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https://d.docs.live.net/e6252d25111dbdb6/_lligams - estudi/ll_Obres/ll24_44 FAÇANA crtra Valls km3 Laboratori EMATSA TARRAGONA/5. Tràmits/2. LICITACIÓ/"/>
    </mc:Choice>
  </mc:AlternateContent>
  <xr:revisionPtr revIDLastSave="0" documentId="11_1E270634976955ADC57A9E6CBBC71194310C4F8E" xr6:coauthVersionLast="47" xr6:coauthVersionMax="47" xr10:uidLastSave="{00000000-0000-0000-0000-000000000000}"/>
  <bookViews>
    <workbookView xWindow="-120" yWindow="-120" windowWidth="29040" windowHeight="17520" xr2:uid="{00000000-000D-0000-FFFF-FFFF00000000}"/>
  </bookViews>
  <sheets>
    <sheet name="Full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35" i="1" l="1"/>
  <c r="K635" i="1"/>
  <c r="M635" i="1" s="1"/>
  <c r="L637" i="1" s="1"/>
  <c r="L631" i="1"/>
  <c r="K631" i="1"/>
  <c r="M631" i="1" s="1"/>
  <c r="L629" i="1"/>
  <c r="K629" i="1"/>
  <c r="M629" i="1" s="1"/>
  <c r="L633" i="1" s="1"/>
  <c r="J625" i="1"/>
  <c r="J624" i="1"/>
  <c r="J623" i="1"/>
  <c r="J622" i="1"/>
  <c r="J626" i="1" s="1"/>
  <c r="K626" i="1" s="1"/>
  <c r="K619" i="1" s="1"/>
  <c r="M619" i="1" s="1"/>
  <c r="L619" i="1"/>
  <c r="J618" i="1"/>
  <c r="K618" i="1" s="1"/>
  <c r="K614" i="1" s="1"/>
  <c r="M614" i="1" s="1"/>
  <c r="J617" i="1"/>
  <c r="L614" i="1"/>
  <c r="J612" i="1"/>
  <c r="J613" i="1" s="1"/>
  <c r="K613" i="1" s="1"/>
  <c r="K602" i="1" s="1"/>
  <c r="M602" i="1" s="1"/>
  <c r="J611" i="1"/>
  <c r="J610" i="1"/>
  <c r="J609" i="1"/>
  <c r="J608" i="1"/>
  <c r="J607" i="1"/>
  <c r="J606" i="1"/>
  <c r="L602" i="1"/>
  <c r="J600" i="1"/>
  <c r="J599" i="1"/>
  <c r="J598" i="1"/>
  <c r="J597" i="1"/>
  <c r="J601" i="1" s="1"/>
  <c r="K601" i="1" s="1"/>
  <c r="K594" i="1" s="1"/>
  <c r="M594" i="1" s="1"/>
  <c r="L594" i="1"/>
  <c r="J593" i="1"/>
  <c r="K593" i="1" s="1"/>
  <c r="K589" i="1" s="1"/>
  <c r="M589" i="1" s="1"/>
  <c r="J592" i="1"/>
  <c r="L589" i="1"/>
  <c r="J587" i="1"/>
  <c r="J586" i="1"/>
  <c r="J585" i="1"/>
  <c r="J584" i="1"/>
  <c r="J583" i="1"/>
  <c r="J582" i="1"/>
  <c r="J588" i="1" s="1"/>
  <c r="K588" i="1" s="1"/>
  <c r="K577" i="1" s="1"/>
  <c r="M577" i="1" s="1"/>
  <c r="J581" i="1"/>
  <c r="L577" i="1"/>
  <c r="L573" i="1"/>
  <c r="K573" i="1"/>
  <c r="M573" i="1" s="1"/>
  <c r="L571" i="1"/>
  <c r="K571" i="1"/>
  <c r="M571" i="1" s="1"/>
  <c r="J570" i="1"/>
  <c r="K570" i="1" s="1"/>
  <c r="K563" i="1" s="1"/>
  <c r="M563" i="1" s="1"/>
  <c r="J569" i="1"/>
  <c r="J568" i="1"/>
  <c r="J567" i="1"/>
  <c r="J566" i="1"/>
  <c r="L563" i="1"/>
  <c r="J562" i="1"/>
  <c r="J561" i="1"/>
  <c r="J560" i="1"/>
  <c r="J559" i="1"/>
  <c r="J558" i="1"/>
  <c r="J557" i="1"/>
  <c r="J556" i="1"/>
  <c r="J555" i="1"/>
  <c r="K562" i="1" s="1"/>
  <c r="K552" i="1" s="1"/>
  <c r="M552" i="1" s="1"/>
  <c r="L552" i="1"/>
  <c r="K551" i="1"/>
  <c r="K548" i="1" s="1"/>
  <c r="M548" i="1" s="1"/>
  <c r="J551" i="1"/>
  <c r="L548" i="1"/>
  <c r="J545" i="1"/>
  <c r="J544" i="1"/>
  <c r="J543" i="1"/>
  <c r="K545" i="1" s="1"/>
  <c r="K538" i="1" s="1"/>
  <c r="M538" i="1" s="1"/>
  <c r="J542" i="1"/>
  <c r="J541" i="1"/>
  <c r="L538" i="1"/>
  <c r="J537" i="1"/>
  <c r="J536" i="1"/>
  <c r="J535" i="1"/>
  <c r="J534" i="1"/>
  <c r="J533" i="1"/>
  <c r="J532" i="1"/>
  <c r="J531" i="1"/>
  <c r="J530" i="1"/>
  <c r="J529" i="1"/>
  <c r="J528" i="1"/>
  <c r="J527" i="1"/>
  <c r="J526" i="1"/>
  <c r="J525" i="1"/>
  <c r="J524" i="1"/>
  <c r="J523" i="1"/>
  <c r="J522" i="1"/>
  <c r="J521" i="1"/>
  <c r="J520" i="1"/>
  <c r="J519" i="1"/>
  <c r="J518" i="1"/>
  <c r="J517" i="1"/>
  <c r="J516" i="1"/>
  <c r="J515" i="1"/>
  <c r="J514" i="1"/>
  <c r="J513" i="1"/>
  <c r="K537" i="1" s="1"/>
  <c r="K510" i="1" s="1"/>
  <c r="M510" i="1" s="1"/>
  <c r="L510" i="1"/>
  <c r="J509" i="1"/>
  <c r="J508" i="1"/>
  <c r="J507" i="1"/>
  <c r="J506" i="1"/>
  <c r="J505" i="1"/>
  <c r="J504" i="1"/>
  <c r="J503" i="1"/>
  <c r="J502" i="1"/>
  <c r="J501" i="1"/>
  <c r="J500" i="1"/>
  <c r="J499" i="1"/>
  <c r="J498" i="1"/>
  <c r="J497" i="1"/>
  <c r="J496" i="1"/>
  <c r="J495" i="1"/>
  <c r="J494" i="1"/>
  <c r="J493" i="1"/>
  <c r="J492" i="1"/>
  <c r="J491" i="1"/>
  <c r="J490" i="1"/>
  <c r="J489" i="1"/>
  <c r="J488" i="1"/>
  <c r="J487" i="1"/>
  <c r="J486" i="1"/>
  <c r="J485" i="1"/>
  <c r="K509" i="1" s="1"/>
  <c r="K482" i="1" s="1"/>
  <c r="M482" i="1" s="1"/>
  <c r="L482" i="1"/>
  <c r="K479" i="1"/>
  <c r="K476" i="1" s="1"/>
  <c r="M476" i="1" s="1"/>
  <c r="J479" i="1"/>
  <c r="L476" i="1"/>
  <c r="J475" i="1"/>
  <c r="J474" i="1"/>
  <c r="J473" i="1"/>
  <c r="J472" i="1"/>
  <c r="K475" i="1" s="1"/>
  <c r="K468" i="1" s="1"/>
  <c r="M468" i="1" s="1"/>
  <c r="L480" i="1" s="1"/>
  <c r="L468" i="1"/>
  <c r="J465" i="1"/>
  <c r="K465" i="1" s="1"/>
  <c r="K462" i="1" s="1"/>
  <c r="M462" i="1" s="1"/>
  <c r="L462" i="1"/>
  <c r="J461" i="1"/>
  <c r="K461" i="1" s="1"/>
  <c r="J459" i="1"/>
  <c r="K459" i="1" s="1"/>
  <c r="K456" i="1" s="1"/>
  <c r="M456" i="1" s="1"/>
  <c r="L456" i="1"/>
  <c r="J455" i="1"/>
  <c r="K455" i="1" s="1"/>
  <c r="K452" i="1" s="1"/>
  <c r="M452" i="1" s="1"/>
  <c r="L452" i="1"/>
  <c r="J451" i="1"/>
  <c r="K451" i="1" s="1"/>
  <c r="K448" i="1" s="1"/>
  <c r="M448" i="1" s="1"/>
  <c r="L448" i="1"/>
  <c r="J447" i="1"/>
  <c r="K447" i="1" s="1"/>
  <c r="K444" i="1" s="1"/>
  <c r="M444" i="1" s="1"/>
  <c r="L444" i="1"/>
  <c r="K443" i="1"/>
  <c r="K440" i="1" s="1"/>
  <c r="M440" i="1" s="1"/>
  <c r="J443" i="1"/>
  <c r="L440" i="1"/>
  <c r="J439" i="1"/>
  <c r="K439" i="1" s="1"/>
  <c r="K436" i="1" s="1"/>
  <c r="M436" i="1" s="1"/>
  <c r="L436" i="1"/>
  <c r="J432" i="1"/>
  <c r="J431" i="1"/>
  <c r="J430" i="1"/>
  <c r="J429" i="1"/>
  <c r="J428" i="1"/>
  <c r="J427" i="1"/>
  <c r="J426" i="1"/>
  <c r="J425" i="1"/>
  <c r="J424" i="1"/>
  <c r="J423" i="1"/>
  <c r="J422" i="1"/>
  <c r="J421" i="1"/>
  <c r="J420" i="1"/>
  <c r="J419" i="1"/>
  <c r="J418" i="1"/>
  <c r="J417" i="1"/>
  <c r="J416" i="1"/>
  <c r="J433" i="1" s="1"/>
  <c r="K433" i="1" s="1"/>
  <c r="J415" i="1"/>
  <c r="J414" i="1"/>
  <c r="J413" i="1"/>
  <c r="J412" i="1"/>
  <c r="J411" i="1"/>
  <c r="J410" i="1"/>
  <c r="J409" i="1"/>
  <c r="J408" i="1"/>
  <c r="J405" i="1"/>
  <c r="J404" i="1"/>
  <c r="J403" i="1"/>
  <c r="J402" i="1"/>
  <c r="J401" i="1"/>
  <c r="J400" i="1"/>
  <c r="J399" i="1"/>
  <c r="J398" i="1"/>
  <c r="J397" i="1"/>
  <c r="J396" i="1"/>
  <c r="J395" i="1"/>
  <c r="J394" i="1"/>
  <c r="J393" i="1"/>
  <c r="J392" i="1"/>
  <c r="J391" i="1"/>
  <c r="J390" i="1"/>
  <c r="J389" i="1"/>
  <c r="J388" i="1"/>
  <c r="J387" i="1"/>
  <c r="J386" i="1"/>
  <c r="J385" i="1"/>
  <c r="J384" i="1"/>
  <c r="J406" i="1" s="1"/>
  <c r="K406" i="1" s="1"/>
  <c r="J383" i="1"/>
  <c r="J382" i="1"/>
  <c r="J381" i="1"/>
  <c r="L377" i="1"/>
  <c r="J375" i="1"/>
  <c r="J374" i="1"/>
  <c r="J373" i="1"/>
  <c r="J372" i="1"/>
  <c r="J371" i="1"/>
  <c r="J370" i="1"/>
  <c r="J369" i="1"/>
  <c r="J368" i="1"/>
  <c r="J367" i="1"/>
  <c r="J366" i="1"/>
  <c r="J365" i="1"/>
  <c r="J364" i="1"/>
  <c r="J363" i="1"/>
  <c r="J362" i="1"/>
  <c r="J361" i="1"/>
  <c r="J360" i="1"/>
  <c r="J359" i="1"/>
  <c r="J358" i="1"/>
  <c r="J357" i="1"/>
  <c r="J356" i="1"/>
  <c r="J355" i="1"/>
  <c r="J354" i="1"/>
  <c r="J353" i="1"/>
  <c r="J352" i="1"/>
  <c r="J351" i="1"/>
  <c r="J376" i="1" s="1"/>
  <c r="K376" i="1" s="1"/>
  <c r="J348" i="1"/>
  <c r="J347" i="1"/>
  <c r="J346" i="1"/>
  <c r="J345" i="1"/>
  <c r="J344" i="1"/>
  <c r="J343" i="1"/>
  <c r="J342" i="1"/>
  <c r="J341" i="1"/>
  <c r="J340" i="1"/>
  <c r="J339" i="1"/>
  <c r="J338" i="1"/>
  <c r="J337" i="1"/>
  <c r="J336" i="1"/>
  <c r="J335" i="1"/>
  <c r="J334" i="1"/>
  <c r="J333" i="1"/>
  <c r="J332" i="1"/>
  <c r="J331" i="1"/>
  <c r="J330" i="1"/>
  <c r="J329" i="1"/>
  <c r="J328" i="1"/>
  <c r="J327" i="1"/>
  <c r="J326" i="1"/>
  <c r="J325" i="1"/>
  <c r="J324" i="1"/>
  <c r="J349" i="1" s="1"/>
  <c r="K349" i="1" s="1"/>
  <c r="L320" i="1"/>
  <c r="K319" i="1"/>
  <c r="J319" i="1"/>
  <c r="J318" i="1"/>
  <c r="J315" i="1"/>
  <c r="J314" i="1"/>
  <c r="J313" i="1"/>
  <c r="J312" i="1"/>
  <c r="J311" i="1"/>
  <c r="J310" i="1"/>
  <c r="J309" i="1"/>
  <c r="J308" i="1"/>
  <c r="J307" i="1"/>
  <c r="J306" i="1"/>
  <c r="J305" i="1"/>
  <c r="J304" i="1"/>
  <c r="J303" i="1"/>
  <c r="J302" i="1"/>
  <c r="J301" i="1"/>
  <c r="J300" i="1"/>
  <c r="J299" i="1"/>
  <c r="J298" i="1"/>
  <c r="J297" i="1"/>
  <c r="J296" i="1"/>
  <c r="J295" i="1"/>
  <c r="J294" i="1"/>
  <c r="J293" i="1"/>
  <c r="J292" i="1"/>
  <c r="J291" i="1"/>
  <c r="J316" i="1" s="1"/>
  <c r="K316" i="1" s="1"/>
  <c r="J289" i="1"/>
  <c r="J288" i="1"/>
  <c r="J287" i="1"/>
  <c r="J286" i="1"/>
  <c r="J285" i="1"/>
  <c r="J284" i="1"/>
  <c r="J283" i="1"/>
  <c r="J282" i="1"/>
  <c r="J281" i="1"/>
  <c r="J280" i="1"/>
  <c r="J279" i="1"/>
  <c r="J278" i="1"/>
  <c r="J277" i="1"/>
  <c r="J276" i="1"/>
  <c r="J275" i="1"/>
  <c r="J274" i="1"/>
  <c r="J273" i="1"/>
  <c r="J272" i="1"/>
  <c r="K289" i="1" s="1"/>
  <c r="J271" i="1"/>
  <c r="J270" i="1"/>
  <c r="J269" i="1"/>
  <c r="J268" i="1"/>
  <c r="J267" i="1"/>
  <c r="J266" i="1"/>
  <c r="J265" i="1"/>
  <c r="L262" i="1"/>
  <c r="J261" i="1"/>
  <c r="K261" i="1" s="1"/>
  <c r="K258" i="1" s="1"/>
  <c r="M258" i="1" s="1"/>
  <c r="L258" i="1"/>
  <c r="K257" i="1"/>
  <c r="K254" i="1" s="1"/>
  <c r="M254" i="1" s="1"/>
  <c r="J257" i="1"/>
  <c r="L254" i="1"/>
  <c r="J253" i="1"/>
  <c r="J252" i="1"/>
  <c r="J251" i="1"/>
  <c r="J250" i="1"/>
  <c r="J249" i="1"/>
  <c r="J248" i="1"/>
  <c r="J247" i="1"/>
  <c r="J246" i="1"/>
  <c r="J245" i="1"/>
  <c r="J244" i="1"/>
  <c r="J243" i="1"/>
  <c r="J242" i="1"/>
  <c r="J241" i="1"/>
  <c r="J240" i="1"/>
  <c r="J239" i="1"/>
  <c r="J238" i="1"/>
  <c r="J237" i="1"/>
  <c r="J236" i="1"/>
  <c r="J235" i="1"/>
  <c r="J234" i="1"/>
  <c r="J233" i="1"/>
  <c r="J232" i="1"/>
  <c r="K253" i="1" s="1"/>
  <c r="K229" i="1" s="1"/>
  <c r="M229" i="1" s="1"/>
  <c r="L229" i="1"/>
  <c r="J228" i="1"/>
  <c r="K228" i="1" s="1"/>
  <c r="K224" i="1" s="1"/>
  <c r="M224" i="1" s="1"/>
  <c r="J227" i="1"/>
  <c r="L224" i="1"/>
  <c r="K221" i="1"/>
  <c r="J221" i="1"/>
  <c r="L218" i="1"/>
  <c r="K218" i="1"/>
  <c r="M218" i="1" s="1"/>
  <c r="J217" i="1"/>
  <c r="J216" i="1"/>
  <c r="K217" i="1" s="1"/>
  <c r="K212" i="1" s="1"/>
  <c r="M212" i="1" s="1"/>
  <c r="J215" i="1"/>
  <c r="L212" i="1"/>
  <c r="J211" i="1"/>
  <c r="J210" i="1"/>
  <c r="J209" i="1"/>
  <c r="J208" i="1"/>
  <c r="J207" i="1"/>
  <c r="J206" i="1"/>
  <c r="J205" i="1"/>
  <c r="J204" i="1"/>
  <c r="J203" i="1"/>
  <c r="J202" i="1"/>
  <c r="J201" i="1"/>
  <c r="J200" i="1"/>
  <c r="J199" i="1"/>
  <c r="J198" i="1"/>
  <c r="J197" i="1"/>
  <c r="J196" i="1"/>
  <c r="J195" i="1"/>
  <c r="J194" i="1"/>
  <c r="J193" i="1"/>
  <c r="K211" i="1" s="1"/>
  <c r="K190" i="1" s="1"/>
  <c r="M190" i="1" s="1"/>
  <c r="L190" i="1"/>
  <c r="K187" i="1"/>
  <c r="K184" i="1" s="1"/>
  <c r="M184" i="1" s="1"/>
  <c r="J187" i="1"/>
  <c r="L184" i="1"/>
  <c r="J183" i="1"/>
  <c r="K183" i="1" s="1"/>
  <c r="K180" i="1" s="1"/>
  <c r="M180" i="1" s="1"/>
  <c r="L180" i="1"/>
  <c r="J179" i="1"/>
  <c r="J178" i="1"/>
  <c r="K179" i="1" s="1"/>
  <c r="K175" i="1" s="1"/>
  <c r="M175" i="1" s="1"/>
  <c r="L188" i="1" s="1"/>
  <c r="L175" i="1"/>
  <c r="J172" i="1"/>
  <c r="J171" i="1"/>
  <c r="J170" i="1"/>
  <c r="J169" i="1"/>
  <c r="J168" i="1"/>
  <c r="J167" i="1"/>
  <c r="J166" i="1"/>
  <c r="J165" i="1"/>
  <c r="J164" i="1"/>
  <c r="J163" i="1"/>
  <c r="J162" i="1"/>
  <c r="J161" i="1"/>
  <c r="J160" i="1"/>
  <c r="J159" i="1"/>
  <c r="J158" i="1"/>
  <c r="J157" i="1"/>
  <c r="J156" i="1"/>
  <c r="J155" i="1"/>
  <c r="J154" i="1"/>
  <c r="J153" i="1"/>
  <c r="J152" i="1"/>
  <c r="K172" i="1" s="1"/>
  <c r="K148" i="1" s="1"/>
  <c r="M148" i="1" s="1"/>
  <c r="J151" i="1"/>
  <c r="L148" i="1"/>
  <c r="J147" i="1"/>
  <c r="K147" i="1" s="1"/>
  <c r="K144" i="1" s="1"/>
  <c r="M144" i="1" s="1"/>
  <c r="L144" i="1"/>
  <c r="J143" i="1"/>
  <c r="J142" i="1"/>
  <c r="J141" i="1"/>
  <c r="K143" i="1" s="1"/>
  <c r="K138" i="1" s="1"/>
  <c r="M138" i="1" s="1"/>
  <c r="L138" i="1"/>
  <c r="J137" i="1"/>
  <c r="K137" i="1" s="1"/>
  <c r="K134" i="1" s="1"/>
  <c r="M134" i="1" s="1"/>
  <c r="L134" i="1"/>
  <c r="J133" i="1"/>
  <c r="K133" i="1" s="1"/>
  <c r="K130" i="1" s="1"/>
  <c r="M130" i="1" s="1"/>
  <c r="L130" i="1"/>
  <c r="K129" i="1"/>
  <c r="K126" i="1" s="1"/>
  <c r="M126" i="1" s="1"/>
  <c r="J129" i="1"/>
  <c r="L126" i="1"/>
  <c r="K125" i="1"/>
  <c r="J125" i="1"/>
  <c r="L122" i="1"/>
  <c r="K122" i="1"/>
  <c r="M122" i="1" s="1"/>
  <c r="J121" i="1"/>
  <c r="K121" i="1" s="1"/>
  <c r="K118" i="1" s="1"/>
  <c r="M118" i="1" s="1"/>
  <c r="L118" i="1"/>
  <c r="J117" i="1"/>
  <c r="J116" i="1"/>
  <c r="K117" i="1" s="1"/>
  <c r="K113" i="1" s="1"/>
  <c r="M113" i="1" s="1"/>
  <c r="L113" i="1"/>
  <c r="K112" i="1"/>
  <c r="J112" i="1"/>
  <c r="L109" i="1"/>
  <c r="K109" i="1"/>
  <c r="M109" i="1" s="1"/>
  <c r="J108" i="1"/>
  <c r="J107" i="1"/>
  <c r="K108" i="1" s="1"/>
  <c r="K103" i="1" s="1"/>
  <c r="M103" i="1" s="1"/>
  <c r="L103" i="1"/>
  <c r="K102" i="1"/>
  <c r="K99" i="1" s="1"/>
  <c r="M99" i="1" s="1"/>
  <c r="J102" i="1"/>
  <c r="L99" i="1"/>
  <c r="K98" i="1"/>
  <c r="J98" i="1"/>
  <c r="L95" i="1"/>
  <c r="K95" i="1"/>
  <c r="M95" i="1" s="1"/>
  <c r="J94" i="1"/>
  <c r="K94" i="1" s="1"/>
  <c r="K91" i="1" s="1"/>
  <c r="M91" i="1" s="1"/>
  <c r="L91" i="1"/>
  <c r="J90" i="1"/>
  <c r="J89" i="1"/>
  <c r="J87" i="1"/>
  <c r="J86" i="1"/>
  <c r="J85" i="1"/>
  <c r="J84" i="1"/>
  <c r="J83" i="1"/>
  <c r="J82" i="1"/>
  <c r="K90" i="1" s="1"/>
  <c r="K78" i="1" s="1"/>
  <c r="M78" i="1" s="1"/>
  <c r="L78" i="1"/>
  <c r="J77" i="1"/>
  <c r="J76" i="1"/>
  <c r="J75" i="1"/>
  <c r="J74" i="1"/>
  <c r="J73" i="1"/>
  <c r="J72" i="1"/>
  <c r="J71" i="1"/>
  <c r="J70" i="1"/>
  <c r="J69" i="1"/>
  <c r="J68" i="1"/>
  <c r="J67" i="1"/>
  <c r="J66" i="1"/>
  <c r="J65" i="1"/>
  <c r="J64" i="1"/>
  <c r="J63" i="1"/>
  <c r="J62" i="1"/>
  <c r="J61" i="1"/>
  <c r="K77" i="1" s="1"/>
  <c r="K50" i="1" s="1"/>
  <c r="M50" i="1" s="1"/>
  <c r="J60" i="1"/>
  <c r="J59" i="1"/>
  <c r="J58" i="1"/>
  <c r="J57" i="1"/>
  <c r="J56" i="1"/>
  <c r="J55" i="1"/>
  <c r="J54" i="1"/>
  <c r="J53" i="1"/>
  <c r="L50" i="1"/>
  <c r="J49" i="1"/>
  <c r="K49" i="1" s="1"/>
  <c r="K46" i="1" s="1"/>
  <c r="M46" i="1" s="1"/>
  <c r="L46" i="1"/>
  <c r="J43" i="1"/>
  <c r="K43" i="1" s="1"/>
  <c r="K40" i="1" s="1"/>
  <c r="M40" i="1" s="1"/>
  <c r="L40" i="1"/>
  <c r="L38" i="1"/>
  <c r="K38" i="1"/>
  <c r="M38" i="1" s="1"/>
  <c r="J37" i="1"/>
  <c r="K37" i="1" s="1"/>
  <c r="K34" i="1" s="1"/>
  <c r="M34" i="1" s="1"/>
  <c r="L34" i="1"/>
  <c r="K33" i="1"/>
  <c r="J33" i="1"/>
  <c r="L30" i="1"/>
  <c r="K30" i="1"/>
  <c r="M30" i="1" s="1"/>
  <c r="K29" i="1"/>
  <c r="J29" i="1"/>
  <c r="L26" i="1"/>
  <c r="K26" i="1"/>
  <c r="M26" i="1" s="1"/>
  <c r="J25" i="1"/>
  <c r="K25" i="1" s="1"/>
  <c r="K22" i="1" s="1"/>
  <c r="M22" i="1" s="1"/>
  <c r="L22" i="1"/>
  <c r="J21" i="1"/>
  <c r="K21" i="1" s="1"/>
  <c r="K18" i="1" s="1"/>
  <c r="M18" i="1" s="1"/>
  <c r="L18" i="1"/>
  <c r="J17" i="1"/>
  <c r="K17" i="1" s="1"/>
  <c r="K14" i="1" s="1"/>
  <c r="M14" i="1" s="1"/>
  <c r="L14" i="1"/>
  <c r="J13" i="1"/>
  <c r="K13" i="1" s="1"/>
  <c r="K10" i="1" s="1"/>
  <c r="M10" i="1" s="1"/>
  <c r="L10" i="1"/>
  <c r="K9" i="1"/>
  <c r="K6" i="1" s="1"/>
  <c r="M6" i="1" s="1"/>
  <c r="J9" i="1"/>
  <c r="L6" i="1"/>
  <c r="K377" i="1" l="1"/>
  <c r="M377" i="1" s="1"/>
  <c r="L627" i="1"/>
  <c r="M480" i="1"/>
  <c r="L467" i="1"/>
  <c r="M467" i="1" s="1"/>
  <c r="L546" i="1"/>
  <c r="K320" i="1"/>
  <c r="M320" i="1" s="1"/>
  <c r="L466" i="1"/>
  <c r="M188" i="1"/>
  <c r="L174" i="1"/>
  <c r="M174" i="1" s="1"/>
  <c r="L44" i="1"/>
  <c r="L628" i="1"/>
  <c r="M628" i="1" s="1"/>
  <c r="M633" i="1"/>
  <c r="K262" i="1"/>
  <c r="M262" i="1" s="1"/>
  <c r="L434" i="1" s="1"/>
  <c r="M637" i="1"/>
  <c r="L634" i="1"/>
  <c r="M634" i="1" s="1"/>
  <c r="L173" i="1"/>
  <c r="L575" i="1"/>
  <c r="L222" i="1"/>
  <c r="L223" i="1" l="1"/>
  <c r="M223" i="1" s="1"/>
  <c r="M434" i="1"/>
  <c r="M546" i="1"/>
  <c r="L481" i="1"/>
  <c r="M481" i="1" s="1"/>
  <c r="M222" i="1"/>
  <c r="L189" i="1"/>
  <c r="M189" i="1" s="1"/>
  <c r="L547" i="1"/>
  <c r="M547" i="1" s="1"/>
  <c r="M575" i="1"/>
  <c r="M627" i="1"/>
  <c r="L576" i="1"/>
  <c r="M576" i="1" s="1"/>
  <c r="L5" i="1"/>
  <c r="M5" i="1" s="1"/>
  <c r="M44" i="1"/>
  <c r="M466" i="1"/>
  <c r="L435" i="1"/>
  <c r="M435" i="1" s="1"/>
  <c r="M173" i="1"/>
  <c r="L45" i="1"/>
  <c r="M45" i="1" s="1"/>
  <c r="L638" i="1" l="1"/>
  <c r="M638" i="1" l="1"/>
  <c r="L4" i="1"/>
  <c r="M4" i="1" s="1"/>
</calcChain>
</file>

<file path=xl/sharedStrings.xml><?xml version="1.0" encoding="utf-8"?>
<sst xmlns="http://schemas.openxmlformats.org/spreadsheetml/2006/main" count="1182" uniqueCount="1182">
  <si>
    <t>Obra:</t>
  </si>
  <si>
    <t>Façana Lab. Ematsa</t>
  </si>
  <si>
    <t>Pressupost</t>
  </si>
  <si>
    <t>% C.I.</t>
  </si>
  <si>
    <t>Codi</t>
  </si>
  <si>
    <t>Tipus</t>
  </si>
  <si>
    <t>U</t>
  </si>
  <si>
    <t>Resum</t>
  </si>
  <si>
    <t>Quantitat</t>
  </si>
  <si>
    <t>Preu (€)</t>
  </si>
  <si>
    <t>Import (€)</t>
  </si>
  <si>
    <t>II24_44_AM_02</t>
  </si>
  <si>
    <t>Capítol</t>
  </si>
  <si>
    <t>Façana Lab. Ematsa</t>
  </si>
  <si>
    <t>01</t>
  </si>
  <si>
    <t>Capítol</t>
  </si>
  <si>
    <t>Treballs previs</t>
  </si>
  <si>
    <t>0XA130</t>
  </si>
  <si>
    <t>Partida</t>
  </si>
  <si>
    <t>U</t>
  </si>
  <si>
    <t>MUNTATGE I DESMUNTATGE BASTIDA MULTIDIRECCIONAL FAÇANA SUD</t>
  </si>
  <si>
    <t>Preu (€) bastida tubular multidireccional homologada d'acord amb UNE 12810-1 amb 73 cm d'amplada mínima i 9,26 m alçada màxima, amb 20 cm de separació a la façana, plataformes cada 2 m amb protecció perimetral exterior formada per baranes a 0,5 y 1 m sobre plataforma i sòcols de fusta de 15 cm, ancoratges cada 12 m2, amb borrasa de protecció. Inclou tarjeta de conformitat de muntatge, càrrega, descarrega i transport del material. El muntatge es realitzarà d'acord amb la normativa vigent, segons RD 2177/04, Llei 31/95 i les UNE 12810 i 12811.</t>
  </si>
  <si>
    <t>Uts.</t>
  </si>
  <si>
    <t>Llargada</t>
  </si>
  <si>
    <t>Amplada</t>
  </si>
  <si>
    <t>Alçada</t>
  </si>
  <si>
    <t>Parcial</t>
  </si>
  <si>
    <t>Subtotal</t>
  </si>
  <si>
    <t>Façana sud</t>
  </si>
  <si>
    <t>0XA130b</t>
  </si>
  <si>
    <t>Partida</t>
  </si>
  <si>
    <t>U</t>
  </si>
  <si>
    <t>MUNTATGE I DESMUNTATGE BASTIDA MULTIDIRECCIONAL FAÇANA EST</t>
  </si>
  <si>
    <t>Preu (€) bastida tubular despenjada desde terrat multidireccional homologada d'acord amb UNE 12810-1 amb 73 cm d'amplada mínima i 6 m d'estructura màxima, amb 20 cm de separació a la façana, plataformes cada 2 m amb protecció perimetral exterior formada per baranes a 0,5 y 1 m sobre plataforma i sòcols de fusta de 15 cm, ancoratges cada 12 m2 i muntada amb verticals amb espigues encargolades i encargolades entre si, amb borrasa de protecció. Inclou tarjeta de conformitat de muntatge, càrrega, descarrega i transport del material. El muntatge es realitzarà d'acord amb la normativa vigent, segons RD 2177/04, Llei 31/95 i les UNE 12810 i 12811.</t>
  </si>
  <si>
    <t>Uts.</t>
  </si>
  <si>
    <t>Llargada</t>
  </si>
  <si>
    <t>Amplada</t>
  </si>
  <si>
    <t>Alçada</t>
  </si>
  <si>
    <t>Parcial</t>
  </si>
  <si>
    <t>Subtotal</t>
  </si>
  <si>
    <t>Façana est</t>
  </si>
  <si>
    <t>0XA130c</t>
  </si>
  <si>
    <t>Partida</t>
  </si>
  <si>
    <t>U</t>
  </si>
  <si>
    <t>MUNTATGE I DESMUNTATGE BASTIDA MULTIDIRECCIONAL FAÇANA NORD</t>
  </si>
  <si>
    <t>Preu (€) bastida tubular multidireccional homologada d'acord amb UNE 12810-1 amb 73 cm d'amplada mínima i 4,38 m alçada màxima, amb 20 cm de separació a la façana, plataformes cada 2 m amb protecció perimetral exterior formada per baranes a 0,5 y 1 m sobre plataforma i sòcols de fusta de 15 cm, ancoratges cada 12 m2, amb borrasa de protecció. Inclou tarjeta de conformitat de muntatge, càrrega, descarrega i transport del material. El muntatge es realitzarà d'acord amb la normativa vigent, segons RD 2177/04, Llei 31/95 i les UNE 12810 i 12811.</t>
  </si>
  <si>
    <t>Uts.</t>
  </si>
  <si>
    <t>Llargada</t>
  </si>
  <si>
    <t>Amplada</t>
  </si>
  <si>
    <t>Alçada</t>
  </si>
  <si>
    <t>Parcial</t>
  </si>
  <si>
    <t>Subtotal</t>
  </si>
  <si>
    <t>Façana nord</t>
  </si>
  <si>
    <t>0XA130d</t>
  </si>
  <si>
    <t>Partida</t>
  </si>
  <si>
    <t>U</t>
  </si>
  <si>
    <t>MUNTATGE I DESMUNTATGE BASTIDA MULTIDIRECCIONAL FAÇANA OEST</t>
  </si>
  <si>
    <t>Preu (€) bastida tubular multidireccional homologada d'acord amb UNE 12810-1 amb 73 cm d'amplada mínima i 8,21 m alçada màxima, amb 20 cm de separació a la façana, plataformes cada 2 m amb protecció perimetral exterior formada per baranes a 0,5 y 1 m sobre plataforma i sòcols de fusta de 15 cm, ancoratges cada 12 m2, amb borrasa de protecció. Inclou tarjeta de conformitat de muntatge, càrrega, descarrega i transport del material. El muntatge es realitzarà d'acord amb la normativa vigent, segons RD 2177/04, Llei 31/95 i les UNE 12810 i 12811.</t>
  </si>
  <si>
    <t>Uts.</t>
  </si>
  <si>
    <t>Llargada</t>
  </si>
  <si>
    <t>Amplada</t>
  </si>
  <si>
    <t>Alçada</t>
  </si>
  <si>
    <t>Parcial</t>
  </si>
  <si>
    <t>Subtotal</t>
  </si>
  <si>
    <t>Façana oest</t>
  </si>
  <si>
    <t>0XA110</t>
  </si>
  <si>
    <t>Partida</t>
  </si>
  <si>
    <t>U</t>
  </si>
  <si>
    <t>Lloguer de bastida tubular de façana.</t>
  </si>
  <si>
    <t>Lloguer, durant 30 dies naturals, de bastida tubular normalitzada, tipus multidireccional, fins a 10 m d'altura màxima de treball, format per estructura tubular d'acer galvanitzat en calent, de 48,3 mm de diàmetre i 3,2 mm de gruix, sense duplicitat d'elements verticals, compost per plataformes de treball de 60 cm d'ample, disposades cada 2 m d'altura, escala interior amb trapa, barana posterior amb dues barres i entornpeu, i barana davantera amb una barra; per a l'execució de façana de 225 m², considerant com a superfície de façana la resultant del producte de la projecció en planta del perímetre més sortint de la façana per l'altura màxima de treball de la bastida; amb voladissos disposats en un percentatge menor del 50% del seu perímetre i que sobresurten més de 30 cm del pla de façana. Inclús xarxa flexible, tipus mosquitera monofilament, de polietilè 100%.
Inclou: Revisió periòdica per a garantir la seva estabilitat i condicions de seguretat.
Criteri d'amidament de projecte: Nombre d'unitats previstes, segons documentació gràfica de Projecte.
Criteri de mesura d'obra: Amortització en forma de lloguer diari, segons condicions definides en el contracte subscrit amb l'empresa suministradora, considerant un mínim de 250 m² de façana i 15 dies naturals.</t>
  </si>
  <si>
    <t>Uts.</t>
  </si>
  <si>
    <t>Llargada</t>
  </si>
  <si>
    <t>Amplada</t>
  </si>
  <si>
    <t>Alçada</t>
  </si>
  <si>
    <t>Parcial</t>
  </si>
  <si>
    <t>Subtotal</t>
  </si>
  <si>
    <t>Façana sud</t>
  </si>
  <si>
    <t>0XA110b</t>
  </si>
  <si>
    <t>Partida</t>
  </si>
  <si>
    <t>U</t>
  </si>
  <si>
    <t>Lloguer de bastida tubular de façana.</t>
  </si>
  <si>
    <t>Lloguer, durant 30 dies naturals, de bastida tubular normalitzada, tipus multidireccional, fins a 10 m d'altura màxima de treball, format per estructura tubular d'acer galvanitzat en calent, de 48,3 mm de diàmetre i 3,2 mm de gruix, sense duplicitat d'elements verticals, compost per plataformes de treball de 60 cm d'ample, disposades cada 2 m d'altura, escala interior amb trapa, barana posterior amb dues barres i entornpeu, i barana davantera amb una barra; per a l'execució de façana de 158 m², considerant com a superfície de façana la resultant del producte de la projecció en planta del perímetre més sortint de la façana per l'altura màxima de treball de la bastida; amb voladissos disposats en un percentatge menor del 50% del seu perímetre i que sobresurten més de 30 cm del pla de façana. Inclús xarxa flexible, tipus mosquitera monofilament, de polietilè 100%.
Inclou: Revisió periòdica per a garantir la seva estabilitat i condicions de seguretat.
Criteri d'amidament de projecte: Nombre d'unitats previstes, segons documentació gràfica de Projecte.
Criteri de mesura d'obra: Amortització en forma de lloguer diari, segons condicions definides en el contracte subscrit amb l'empresa suministradora, considerant un mínim de 250 m² de façana i 15 dies naturals.</t>
  </si>
  <si>
    <t>Uts.</t>
  </si>
  <si>
    <t>Llargada</t>
  </si>
  <si>
    <t>Amplada</t>
  </si>
  <si>
    <t>Alçada</t>
  </si>
  <si>
    <t>Parcial</t>
  </si>
  <si>
    <t>Subtotal</t>
  </si>
  <si>
    <t>Façana est</t>
  </si>
  <si>
    <t>0XA110c</t>
  </si>
  <si>
    <t>Partida</t>
  </si>
  <si>
    <t>U</t>
  </si>
  <si>
    <t>Lloguer de bastida tubular de façana.</t>
  </si>
  <si>
    <t>Lloguer, durant 30 dies naturals, de bastida tubular normalitzada, tipus multidireccional, fins a 10 m d'altura màxima de treball, format per estructura tubular d'acer galvanitzat en calent, de 48,3 mm de diàmetre i 3,2 mm de gruix, sense duplicitat d'elements verticals, compost per plataformes de treball de 60 cm d'ample, disposades cada 2 m d'altura, escala interior amb trapa, barana posterior amb dues barres i entornpeu, i barana davantera amb una barra; per a l'execució de façana de 118 m², considerant com a superfície de façana la resultant del producte de la projecció en planta del perímetre més sortint de la façana per l'altura màxima de treball de la bastida; amb voladissos disposats en un percentatge menor del 50% del seu perímetre i que sobresurten més de 30 cm del pla de façana. Inclús xarxa flexible, tipus mosquitera monofilament, de polietilè 100%.
Inclou: Revisió periòdica per a garantir la seva estabilitat i condicions de seguretat.
Criteri d'amidament de projecte: Nombre d'unitats previstes, segons documentació gràfica de Projecte.
Criteri de mesura d'obra: Amortització en forma de lloguer diari, segons condicions definides en el contracte subscrit amb l'empresa suministradora, considerant un mínim de 250 m² de façana i 15 dies naturals.</t>
  </si>
  <si>
    <t>Uts.</t>
  </si>
  <si>
    <t>Llargada</t>
  </si>
  <si>
    <t>Amplada</t>
  </si>
  <si>
    <t>Alçada</t>
  </si>
  <si>
    <t>Parcial</t>
  </si>
  <si>
    <t>Subtotal</t>
  </si>
  <si>
    <t>Façana nord</t>
  </si>
  <si>
    <t>0XA110d</t>
  </si>
  <si>
    <t>Partida</t>
  </si>
  <si>
    <t>U</t>
  </si>
  <si>
    <t>Lloguer de bastida tubular de façana.</t>
  </si>
  <si>
    <t>Lloguer, durant 30 dies naturals, de bastida tubular normalitzada, tipus multidireccional, fins a 10 m d'altura màxima de treball, format per estructura tubular d'acer galvanitzat en calent, de 48,3 mm de diàmetre i 3,2 mm de gruix, sense duplicitat d'elements verticals, compost per plataformes de treball de 60 cm d'ample, disposades cada 2 m d'altura, escala interior amb trapa, barana posterior amb dues barres i entornpeu, i barana davantera amb una barra; per a l'execució de façana de 140 m², considerant com a superfície de façana la resultant del producte de la projecció en planta del perímetre més sortint de la façana per l'altura màxima de treball de la bastida; amb voladissos disposats en un percentatge menor del 50% del seu perímetre i que sobresurten més de 30 cm del pla de façana. Inclús xarxa flexible, tipus mosquitera monofilament, de polietilè 100%.
Inclou: Revisió periòdica per a garantir la seva estabilitat i condicions de seguretat.
Criteri d'amidament de projecte: Nombre d'unitats previstes, segons documentació gràfica de Projecte.
Criteri de mesura d'obra: Amortització en forma de lloguer diari, segons condicions definides en el contracte subscrit amb l'empresa suministradora, considerant un mínim de 250 m² de façana i 15 dies naturals.</t>
  </si>
  <si>
    <t>Uts.</t>
  </si>
  <si>
    <t>Llargada</t>
  </si>
  <si>
    <t>Amplada</t>
  </si>
  <si>
    <t>Alçada</t>
  </si>
  <si>
    <t>Parcial</t>
  </si>
  <si>
    <t>Subtotal</t>
  </si>
  <si>
    <t>Façana Oest</t>
  </si>
  <si>
    <t>01.0A</t>
  </si>
  <si>
    <t>Partida</t>
  </si>
  <si>
    <t>U</t>
  </si>
  <si>
    <t>Increment per pla de muntatge específic bastida façana est i nord A. Amb nota de càlcul elaborada per tècnic copetent d'acord amb el RD 2177/04.</t>
  </si>
  <si>
    <t>Increment per pla de muntatge específic bastida façana est i nord A. Amb nota de càlcul elaborada per tècnic copetent d'acord amb el RD 2177/04.</t>
  </si>
  <si>
    <t>01.0B</t>
  </si>
  <si>
    <t>Partida</t>
  </si>
  <si>
    <t>U</t>
  </si>
  <si>
    <t>MUNTATGE I DESMUNTATGE CONTRABASTIDA AMB CONTRAPESOS MULTIDIRECCIONAL FAÇANA EST I NORD 1</t>
  </si>
  <si>
    <t>Preu (€) bastida tubular multidireccional  homologada d'acord amb UNE 12810-1 aquesta estructura contindrà els contrapesos requerits per a subjectar les bastides despenjades de la façana. El muntatge es realitzarà d'acord amb la normativa vigent, segons RD 2177/04, Llei 31/95 i les UNE 12810 i 12811.</t>
  </si>
  <si>
    <t>Uts.</t>
  </si>
  <si>
    <t>Llargada</t>
  </si>
  <si>
    <t>Amplada</t>
  </si>
  <si>
    <t>Alçada</t>
  </si>
  <si>
    <t>Parcial</t>
  </si>
  <si>
    <t>Subtotal</t>
  </si>
  <si>
    <t>Façana est i nord 1.</t>
  </si>
  <si>
    <t>01</t>
  </si>
  <si>
    <t>02</t>
  </si>
  <si>
    <t>Capítol</t>
  </si>
  <si>
    <t>Enderroc</t>
  </si>
  <si>
    <t>DIC030b</t>
  </si>
  <si>
    <t>Partida</t>
  </si>
  <si>
    <t>U</t>
  </si>
  <si>
    <t>Desmuntatge d'unitat d'aire condicionat.</t>
  </si>
  <si>
    <t>Desmuntatge d'unitat exterior de sistema d'aire condicionat, de 50 kg de pes màxim, amb mitjans manuals, i recuperació del material per a la seva posterior ubicació en altre emplaçament, i càrrega manual sobre camió o contenidor.
Criteri de valoració econòmica: El preu inclou el desmuntatge dels accessoris i dels suports de fixació i l'obturació de les conduccions connectades a l'element.
Inclou: Desmuntatge de l'element. Obturació de les conduccions connectades a l'element. Classificació i etiquetatge. Aplec dels materials a reutilitzar. Càrrega manual del material a reutilitzar sobre camió. Retirada i aplec de les restes d'obra. Neteja de les restes de l'obra. Càrrega manual de les restes d'obra sobre camió o contenidor.
Criteri d'amidament de projecte: Nombre d'unitats previstes, segons documentació gràfica de Projecte.
Criteri de mesura d'obra: S'amidarà el nombre d'unitats realment desmuntades segons especificacions de Projecte.</t>
  </si>
  <si>
    <t>Uts.</t>
  </si>
  <si>
    <t>Llargada</t>
  </si>
  <si>
    <t>Amplada</t>
  </si>
  <si>
    <t>Alçada</t>
  </si>
  <si>
    <t>Parcial</t>
  </si>
  <si>
    <t>Subtotal</t>
  </si>
  <si>
    <t>Façana</t>
  </si>
  <si>
    <t>DLC020</t>
  </si>
  <si>
    <t>Partida</t>
  </si>
  <si>
    <t>m²</t>
  </si>
  <si>
    <t>Aixecat de fusteria exterior.</t>
  </si>
  <si>
    <t>Aixecat de fusteria envidrada de qualsevol tipus situada en façana, amb mitjans manuals, sense deteriorar els elements constructius als quals està subjecta, i càrrega manual sobre camió o contenidor.
Criteri de valoració econòmica: El preu inclou l'aixecat de les fulles, dels marcs, dels tapajunts i de les ferramentes.
Inclou: Aixecat de l'element. Retirada i apilament del material aixecat. Neteja de les restes de l'obra. Càrrega manual del material aixecat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</si>
  <si>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</si>
  <si>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</si>
  <si>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</si>
  <si>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</si>
  <si>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</si>
  <si>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</si>
  <si>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</si>
  <si>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</si>
  <si>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</si>
  <si>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</si>
  <si>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</si>
  <si>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</si>
  <si>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</si>
  <si>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</si>
  <si>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</si>
  <si>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</si>
  <si>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</si>
  <si>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</si>
  <si>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</si>
  <si>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</si>
  <si>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</si>
  <si>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</si>
  <si>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</si>
  <si>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</si>
  <si>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</si>
  <si>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</si>
  <si>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</si>
  <si>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</si>
  <si>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</si>
  <si>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</si>
  <si>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</si>
  <si>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DLS020</t>
  </si>
  <si>
    <t>Partida</t>
  </si>
  <si>
    <t>m²</t>
  </si>
  <si>
    <t>Desmuntatge de gelosia de lamel·les i reixa de protecció.</t>
  </si>
  <si>
    <t>Desmuntatge de gelosia de lamel·les i/o reixes de protecció, amb mitjans manuals, sense deteriorar els elements constructius sobre els quals se subjecta, i càrrega manual sobre camió o contenidor.
Criteri de valoració econòmica: El preu inclou el desmuntatge dels accessoris i dels elements de fixació.
Inclou: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</si>
  <si>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</si>
  <si>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</si>
  <si>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</si>
  <si>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</si>
  <si>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</si>
  <si>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</si>
  <si>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Reixes</t>
  </si>
  <si>
    <t>0</t>
  </si>
  <si>
    <t>F4.1</t>
  </si>
  <si>
    <t>F4.2</t>
  </si>
  <si>
    <t>F5</t>
  </si>
  <si>
    <t>F12</t>
  </si>
  <si>
    <t>F14</t>
  </si>
  <si>
    <t>F16</t>
  </si>
  <si>
    <t>Lamel·les</t>
  </si>
  <si>
    <t>0</t>
  </si>
  <si>
    <t>F9</t>
  </si>
  <si>
    <t>F10</t>
  </si>
  <si>
    <t>DLS020b</t>
  </si>
  <si>
    <t>Partida</t>
  </si>
  <si>
    <t>m²</t>
  </si>
  <si>
    <t>Desmuntatge de reixa de ventilació.</t>
  </si>
  <si>
    <t>Desmuntatge de reixa de ventilació en façana, amb mitjans manuals, sense deteriorar els elements constructius sobre els quals se subjecta, i càrrega manual sobre camió o contenidor.
Criteri de valoració econòmica: El preu inclou el desmuntatge dels accessoris i dels elements de fixació.
Inclou: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</si>
  <si>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</si>
  <si>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</si>
  <si>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</si>
  <si>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</si>
  <si>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</si>
  <si>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</si>
  <si>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Reixes ventilació</t>
  </si>
  <si>
    <t>DHE010</t>
  </si>
  <si>
    <t>Partida</t>
  </si>
  <si>
    <t>m</t>
  </si>
  <si>
    <t>Demolició de cavalló.</t>
  </si>
  <si>
    <t>Demolició de cavalló metàl·lic per a cobriment de murs, amb mitjans manuals,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Longitud mesurada segons documentació gràfica de Projecte.
Criteri de mesura d'obra: S'amidarà la longitud realment desmuntada segons especificacions de Projecte.</t>
  </si>
  <si>
    <t>Uts.</t>
  </si>
  <si>
    <t>Llargada</t>
  </si>
  <si>
    <t>Amplada</t>
  </si>
  <si>
    <t>Alçada</t>
  </si>
  <si>
    <t>Parcial</t>
  </si>
  <si>
    <t>Subtotal</t>
  </si>
  <si>
    <t>Coronament mur coberta</t>
  </si>
  <si>
    <t>DLS030b</t>
  </si>
  <si>
    <t>Partida</t>
  </si>
  <si>
    <t>U</t>
  </si>
  <si>
    <t>Desmuntatge d'element metal·lics.</t>
  </si>
  <si>
    <t>Desmuntatge d'escala de gat existent per posterior recol·locació.</t>
  </si>
  <si>
    <t>Uts.</t>
  </si>
  <si>
    <t>Llargada</t>
  </si>
  <si>
    <t>Amplada</t>
  </si>
  <si>
    <t>Alçada</t>
  </si>
  <si>
    <t>Parcial</t>
  </si>
  <si>
    <t>Subtotal</t>
  </si>
  <si>
    <t>Retirada escala de gat</t>
  </si>
  <si>
    <t>DFD020</t>
  </si>
  <si>
    <t>Partida</t>
  </si>
  <si>
    <t>m</t>
  </si>
  <si>
    <t>Aixecat de barana metàl·lica.</t>
  </si>
  <si>
    <t>Aixecat amb mitjans manuals i equip d'oxitall, de barana metàl·lica en forma recta, de 100 cm d'altura, situada en balcó o terrassa de façana i fixada, sense deteriorar els elements constructius als quals està subjecta, i càrrega manual sobre camió o contenidor.
Criteri de valoració econòmica: El preu inclou el desmuntatge dels accessoris i dels elements de fixació.
Inclou: Aixecat de l'element. Retirada i apilament del material aixecat. Neteja de les restes de l'obra. Càrrega manual del material aixecat i restes de l'obra sobre camió o contenidor.
Criteri d'amidament de projecte: Longitud mesurada segons documentació gràfica de Projecte.
Criteri de mesura d'obra: S'amidarà la longitud realment desmuntada segons especificacions de Projecte.</t>
  </si>
  <si>
    <t>Uts.</t>
  </si>
  <si>
    <t>Llargada</t>
  </si>
  <si>
    <t>Amplada</t>
  </si>
  <si>
    <t>Alçada</t>
  </si>
  <si>
    <t>Parcial</t>
  </si>
  <si>
    <t>Subtotal</t>
  </si>
  <si>
    <t>Retirada de barana</t>
  </si>
  <si>
    <t>0</t>
  </si>
  <si>
    <t>Façana est.1</t>
  </si>
  <si>
    <t>Façana sud, entrada escales</t>
  </si>
  <si>
    <t>DQC040</t>
  </si>
  <si>
    <t>Partida</t>
  </si>
  <si>
    <t>m²</t>
  </si>
  <si>
    <t>Desmuntatge de cobertura de teules en coberta inclinada.</t>
  </si>
  <si>
    <t>Desmuntatge de cobertura de teula ceràmica corba, col·locada amb morter a menys de 20 m d'altura, en coberta inclinada a tres aigües amb un pendent mitjà del 30%; amb mitjans manuals, i càrrega manual sobre camió o contenidor.
Criteri de valoració econòmica: El preu inclou el desmuntatge dels elements de fixació, dels acabats, dels canalons i dels baixants.
Inclou: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</si>
  <si>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</si>
  <si>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</si>
  <si>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</si>
  <si>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</si>
  <si>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</si>
  <si>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</si>
  <si>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Coberta galeria</t>
  </si>
  <si>
    <t>DRS017</t>
  </si>
  <si>
    <t>Partida</t>
  </si>
  <si>
    <t>m²</t>
  </si>
  <si>
    <t>Demolició de paviment de terratzo "in situ".</t>
  </si>
  <si>
    <t>Demolició de paviment existent a l'interior de l'edifici, de terratzo "in situ", amb martell pneumàtic,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</si>
  <si>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</si>
  <si>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</si>
  <si>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</si>
  <si>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</si>
  <si>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</si>
  <si>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</si>
  <si>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Replans entrada</t>
  </si>
  <si>
    <t>Façana est, sortida emergència</t>
  </si>
  <si>
    <t>DRE010</t>
  </si>
  <si>
    <t>Partida</t>
  </si>
  <si>
    <t>m</t>
  </si>
  <si>
    <t>Demolició d'esglaó.</t>
  </si>
  <si>
    <t>Aixecat de revestiment d'esglaó de terratzo, amb mitjans manuals, sense deteriorar la superfície de l'esglaó, que quedarà al descobert i preparada per al seu posterior revestiment, i càrrega manual sobre camió o contenidor.
Inclou: Aixecament del revestiment. Retirada i apilament del material aixecat. Neteja de les restes de l'obra. Càrrega manual del material aixecat i restes de l'obra sobre camió o contenidor.
Criteri d'amidament de projecte: Longitud mesurada segons documentació gràfica de Projecte.
Criteri de mesura d'obra: S'amidarà la longitud realment desmuntada segons especificacions de Projecte.</t>
  </si>
  <si>
    <t>Uts.</t>
  </si>
  <si>
    <t>Llargada</t>
  </si>
  <si>
    <t>Amplada</t>
  </si>
  <si>
    <t>Alçada</t>
  </si>
  <si>
    <t>Parcial</t>
  </si>
  <si>
    <t>Subtotal</t>
  </si>
  <si>
    <t>Esglaons entrada</t>
  </si>
  <si>
    <t>DRS020</t>
  </si>
  <si>
    <t>Partida</t>
  </si>
  <si>
    <t>m²</t>
  </si>
  <si>
    <t>Demolició de paviment ceràmic.</t>
  </si>
  <si>
    <t>Demolició de paviment existent a l'interior de l'edifici, de rajoles ceràmiques, amb mitjans manuals, sense deteriorar els elements constructius contigus, i càrrega manual sobre camió o contenidor.
Criteri de valoració econòmica: El preu inclou el picat del material d'unió adherit al suport, però no inclou la demolició de la base suport.
Inclou: Demolició de l'element. Fragmentació dels enderrocs en peces manejables. Retirada i arreplegat de enderrocs. Neteja de les restes de l'obra. Càrrega manual d'enderrocs sobre camió o contenidor.
Criteri d'amidament de projecte: Superfície mesurada segons documentació gràfica de Projecte.
Criteri de mesura d'obra: S'amidarà la superfície realment enderrocada segons especificacions de Projecte.</t>
  </si>
  <si>
    <t>Uts.</t>
  </si>
  <si>
    <t>Llargada</t>
  </si>
  <si>
    <t>Amplada</t>
  </si>
  <si>
    <t>Alçada</t>
  </si>
  <si>
    <t>Parcial</t>
  </si>
  <si>
    <t>Subtotal</t>
  </si>
  <si>
    <t>Entrada façana nord</t>
  </si>
  <si>
    <t>DQC020</t>
  </si>
  <si>
    <t>Partida</t>
  </si>
  <si>
    <t>m²</t>
  </si>
  <si>
    <t>Desmuntatge de cobertura de plaques de fibrociment sense amiant en coberta inclinada.</t>
  </si>
  <si>
    <t>Desmuntatge de cobertura de plaques de fibrociment sense amiant, subjecta mecànicament sobre corretja estructural a menys de 20 m d'altura, en coberta inclinada a una aigua amb un pendent mitjà del 30%; amb mitjans manuals, i càrrega manual sobre camió o contenidor.
Criteri de valoració econòmica: El preu inclou el desmuntatge dels elements de fixació i estructura de suport, dels acabats, dels canalons i dels baixants.
Inclou: Desmuntatge de l'element. Retirada i apilament del material desmuntat. Neteja de les restes de l'obra. Càrrega manual del material desmuntat i restes de l'obra sobre camió o contenidor.
Criteri d'amidament de projecte: Superfície mesurada segons documentació gràfica de Projecte.
Criteri de mesura d'obra: S'amidarà la superfície realment desmuntada segons especificacions de Projecte.</t>
  </si>
  <si>
    <t>Uts.</t>
  </si>
  <si>
    <t>Llargada</t>
  </si>
  <si>
    <t>Amplada</t>
  </si>
  <si>
    <t>Alçada</t>
  </si>
  <si>
    <t>Parcial</t>
  </si>
  <si>
    <t>Subtotal</t>
  </si>
  <si>
    <t>Cobert entrada nord</t>
  </si>
  <si>
    <t>DII010</t>
  </si>
  <si>
    <t>Partida</t>
  </si>
  <si>
    <t>U</t>
  </si>
  <si>
    <t>Desmuntatge de lluminària.</t>
  </si>
  <si>
    <t>Desmuntatge de lluminària exterior situada a menys de 3 m d'altura, instal·lada en superfície amb mitjans manuals i recuperació del material per a la seva posterior ubicació en altre emplaçament, sent l'ordre d'execució del procés invers al de la seva instal·lació, sense deteriorar els elements constructius als quals pugui estar subjecte, i càrrega manual sobre camió o contenidor.
Inclou: Desmuntatge de l'element. Classificació i etiquetatge. Aplec dels materials a reutilitzar. Càrrega manual del material a reutilitzar sobre camió. Retirada i aplec de les restes d'obra. Neteja de les restes de l'obra. Càrrega manual de les restes d'obra sobre camió o contenidor.
Criteri d'amidament de projecte: Nombre d'unitats previstes, segons documentació gràfica de Projecte.
Criteri de mesura d'obra: S'amidarà el nombre d'unitats realment desmuntades segons especificacions de Projecte.</t>
  </si>
  <si>
    <t>Uts.</t>
  </si>
  <si>
    <t>Llargada</t>
  </si>
  <si>
    <t>Amplada</t>
  </si>
  <si>
    <t>Alçada</t>
  </si>
  <si>
    <t>Parcial</t>
  </si>
  <si>
    <t>Subtotal</t>
  </si>
  <si>
    <t>Llums exteriors</t>
  </si>
  <si>
    <t>DIG010</t>
  </si>
  <si>
    <t>Partida</t>
  </si>
  <si>
    <t>m</t>
  </si>
  <si>
    <t>Desmuntatge de canonada d'instal·lació superficial de gas.</t>
  </si>
  <si>
    <t>Desmuntatge de tubs d'acer negre de més de 2" de diàmetre, en instal·lació superficial de gas, amb mitjans manuals, sense deteriorar els elements constructius als quals estan subjectes, i càrrega manual sobre camió o contenidor.
Inclou: Desmuntatge de l'element. Obturació de les conduccions connectades a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</si>
  <si>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Uts.</t>
  </si>
  <si>
    <t>Llargada</t>
  </si>
  <si>
    <t>Amplada</t>
  </si>
  <si>
    <t>Alçada</t>
  </si>
  <si>
    <t>Parcial</t>
  </si>
  <si>
    <t>Subtotal</t>
  </si>
  <si>
    <t>Canonada gas</t>
  </si>
  <si>
    <t>DIF103b</t>
  </si>
  <si>
    <t>Partida</t>
  </si>
  <si>
    <t>m</t>
  </si>
  <si>
    <t>Desmuntatge de canonada de distribució d'aigua.</t>
  </si>
  <si>
    <t>Desmuntatge de conduccions d'instal·lacions diverses: canals, canonades, cablejat, conductes, ..., col·locades superficialment, de qualsevol classe de material i secció, amb mitjans manuals, i càrrega manual sobre camió o contenidor.
Criteri de valoració econòmica: El preu inclou el desmuntatge dels accessoris, dels peces especials i dels sistemes de subjecció.
Inclou: Desmuntatge de l'element. Retirada i apilament del material desmuntat. Neteja de les restes de l'obra. Càrrega manual del material desmuntat i restes de l'obra sobre camió o contenidor. 
Criteri d'amidament de projecte: Longitud mesurada segons documentació gràfica de Projecte. 
Criteri de mesura d'obra: S'amidarà la longitud realment desmuntada segons especificacions de Projecte.</t>
  </si>
  <si>
    <t>Uts.</t>
  </si>
  <si>
    <t>Llargada</t>
  </si>
  <si>
    <t>Amplada</t>
  </si>
  <si>
    <t>Alçada</t>
  </si>
  <si>
    <t>Parcial</t>
  </si>
  <si>
    <t>Subtotal</t>
  </si>
  <si>
    <t>Electricitat</t>
  </si>
  <si>
    <t>Aire acondicionat</t>
  </si>
  <si>
    <t>Diverses</t>
  </si>
  <si>
    <t>DSM015</t>
  </si>
  <si>
    <t>Partida</t>
  </si>
  <si>
    <t>U</t>
  </si>
  <si>
    <t>Desmuntatge de dutxa protecció productes químics</t>
  </si>
  <si>
    <t>Desmuntatge de dutxa de protecció de productes químics, amb mitjans manuals, i càrrega manual sobre camió o contenidor. Per reposició en nova ubicació.
Inclou: Desmuntatge de l'element. Obturació de les conduccions connectades a l'element. Retirada i apilament del material desmuntat. Neteja de les restes de l'obra. Càrrega manual del material desmuntat i restes de l'obra sobre camió o contenidor.
Criteri d'amidament de projecte: Nombre d'unitats previstes, segons documentació gràfica de Projecte.
Criteri de mesura d'obra: S'amidarà el nombre d'unitats realment desmuntades segons especificacions de Projecte.</t>
  </si>
  <si>
    <t>Uts.</t>
  </si>
  <si>
    <t>Llargada</t>
  </si>
  <si>
    <t>Amplada</t>
  </si>
  <si>
    <t>Alçada</t>
  </si>
  <si>
    <t>Parcial</t>
  </si>
  <si>
    <t>Subtotal</t>
  </si>
  <si>
    <t>Dutxa protecció</t>
  </si>
  <si>
    <t>DHE100</t>
  </si>
  <si>
    <t>Partida</t>
  </si>
  <si>
    <t>m</t>
  </si>
  <si>
    <t>Demolició d'escopidor.</t>
  </si>
  <si>
    <t>Demolició d'escopidor de pedra artificial situat entre els brancals del buit cobrint els ampits, amb mitjans manuals, sense deteriorar els elements constructius contigus, i càrrega manual sobre camió o contenidor.
Inclou: Demolició de l'element. Fragmentació dels enderrocs en peces manejables. Retirada i arreplegat de enderrocs. Neteja de les restes de l'obra. Càrrega manual d'enderrocs sobre camió o contenidor.
Criteri d'amidament de projecte: Longitud mesurada segons documentació gràfica de Projecte.
Criteri de mesura d'obra: S'amidarà la longitud realment enderrocada segons especificacions de Projecte.</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</si>
  <si>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</si>
  <si>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</si>
  <si>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</si>
  <si>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</si>
  <si>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</si>
  <si>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</si>
  <si>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</si>
  <si>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</si>
  <si>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</si>
  <si>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</si>
  <si>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</si>
  <si>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</si>
  <si>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</si>
  <si>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</si>
  <si>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</si>
  <si>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</si>
  <si>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</si>
  <si>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</si>
  <si>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</si>
  <si>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</si>
  <si>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</si>
  <si>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</si>
  <si>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</si>
  <si>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</si>
  <si>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</si>
  <si>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</si>
  <si>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</si>
  <si>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</si>
  <si>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02</t>
  </si>
  <si>
    <t>03</t>
  </si>
  <si>
    <t>Capítol</t>
  </si>
  <si>
    <t>Coberta</t>
  </si>
  <si>
    <t>FFF010</t>
  </si>
  <si>
    <t>Partida</t>
  </si>
  <si>
    <t>m²</t>
  </si>
  <si>
    <t>Façana d'un full, de fàbrica de maó ceràmic per a revestir.</t>
  </si>
  <si>
    <t>Façana d'un full, de 29 cm d'espessor, de fàbrica de maó ceràmic calat (gero), per revestir, 29x14x10 cm, amb junts horitzontals i verticals de 10 mm d'espessor, rebuda amb morter de ciment industrial, color gris, M-5, subministrat a granel. Llinda de fàbrica per a revestir sobre perfil laminat. Revestiment dels fronts de forjat amb peces ceràmiques i dels fronts de pilars amb maons tallats, col·locats amb el mateix morter utilitzat en el rebut de la fàbrica.
Inclou: Definició dels plànols de façana mitjançant ploms. Replanteig, planta a planta. Marcat en els pilars dels nivells de referència general de planta i de nivell de paviment. Seient de la primera filada sobre capa de morter. Col·locació i aplomat de mires de referència. Estesa de fils entre mires. Col·locació de ploms fixos a les arestes. Col·locació de les peces per filades a nivell. Revestiment dels fronts de forjat. Realització de tots els treballs necessaris per a la resolució dels buits. Trobades de la fàbrica amb façanes, pilars i envans. Trobada de la fàbrica amb el forjat superior. Neteja del parament.
Criteri d'amidament de projecte: Superfície mesurada segons documentació gràfica de Projecte, sense duplicar cantonades ni encontres, deduint els buits de superfície major de 4 m². En els buits que no es dedueixin, estan inclosos els treballs de realitzar la superfície interior del buit.
Criteri de mesura d'obra: Es mesurarà la superfície realment executada segons especificacions de Projecte, sense duplicar cantonades ni encontres, deduint els buits de superfície major de 4 m². En els buits que no es dedueixin, estan inclosos els treballs de realitzar la superfície interior del buit.</t>
  </si>
  <si>
    <t>Uts.</t>
  </si>
  <si>
    <t>Llargada</t>
  </si>
  <si>
    <t>Amplada</t>
  </si>
  <si>
    <t>Alçada</t>
  </si>
  <si>
    <t>Parcial</t>
  </si>
  <si>
    <t>Subtotal</t>
  </si>
  <si>
    <t>Recrescut murets coberta</t>
  </si>
  <si>
    <t>Muret tribuna</t>
  </si>
  <si>
    <t>QDB010</t>
  </si>
  <si>
    <t>Partida</t>
  </si>
  <si>
    <t>m²</t>
  </si>
  <si>
    <t>Coberta plana no transitable, no ventilada, amb grava, tipus convencional. Impermeabilització amb làmines asfàltiques, tipus monocapa.</t>
  </si>
  <si>
    <t>Coberta plana no transitable, no ventilada, amb grava, tipus convencional, pendent del 1% al 5%. FORMACIÓ DE PENDENTS: mitjançant vorada de tremujals, aiguafons i juntes amb mestres de maó ceràmic buit doble i capa d'argila expandida, abocada en sec i consolidada en la seva superfície amb beurada de ciment, proporcionant una resistència a compressió de 1 MPa i con una conductivitat tèrmica de 0,087 W/(mK), amb espessor medi de 10 cm; amb capa de regularització de morter de ciment, industrial, M-5 de 4 cm d'espessor, acabat remolinat; AÏLLAMENT TÈRMIC: panell d'escuma de poliisocianurat soldable, de 80 mm d'espessor; IMPERMEABILITZACIÓ: tipus monocapa, adherida, formada per una làmina de betum modificat amb elastòmer SBS, LBM(SBS)-40-FP, totalment adherida amb bufador; CAPA SEPARADORA SOTA PROTECCIÓ: geotèxtil no teixit compost per fibres de polièster unides per tiretes, (200 g/m²); CAPA DE PROTECCIÓ: Capa de cantells rodats rentats, amb un espessor medi de 10 cm.
Criteri de valoració econòmica: El preu no inclou l'execució i el segellat dels junts ni l'execució d'acabats en les trobades amb paraments i desaigües.
Inclou: Replanteig dels punts singulars. Replanteig dels pendents i traçat de tremujals, aiguafons i juntes. Formació de pendents mitjançant vorada de tremujals, aiguafons i juntes amb mestres de maó. Replè de juntes amb poliestirè expandit. Abocament en sec de l'argila expandida fins a arribar al nivell de coronació de les mestres, i consolidació amb beurada de ciment. Abocat, estesa i reglejat de la capa de morter de regularització. Revisió de la superfície base en la que es realitza la fixació de l'aïllament d'acord amb les exigències de la tècnica a emprar. Tall, ajust i col·locació de l'aïllament. Neteja i preparació de la superfície. Col·locació de la impermeabilització. Col·locació de la capa separadora sota protecció. Abocament i estesa de la capa de protecció de grava.
Criteri d'amidament de projecte: Superfície mesurada en projecció horitzontal, segons documentació gràfica de Projecte, des de les cares interiors dels ampits o plastrons perimetrals que la limiten.
Criteri de mesura d'obra: Es mesurarà, en projecció horitzontal, la superfície realment executada segons especificacions de Projecte, des de les cares interiors dels ampits o plastrons perimetrals que la limiten.</t>
  </si>
  <si>
    <t>Uts.</t>
  </si>
  <si>
    <t>Llargada</t>
  </si>
  <si>
    <t>Amplada</t>
  </si>
  <si>
    <t>Alçada</t>
  </si>
  <si>
    <t>Parcial</t>
  </si>
  <si>
    <t>Subtotal</t>
  </si>
  <si>
    <t>Coberta tribuna</t>
  </si>
  <si>
    <t>HRX010</t>
  </si>
  <si>
    <t>Partida</t>
  </si>
  <si>
    <t>U</t>
  </si>
  <si>
    <t>Gàrgola d'acer inoxidable.</t>
  </si>
  <si>
    <t>Gàrgola d'acer inoxidable AISI 304, formada per placa en L de 100x100 mm, i tub de sortida de 45 mm de diàmetre i 250 mm de longitud; col·locació amb massilla de silicona neutra; i segellat i impermeabilització del junt perimetral amb massilla de poliuretà, prèvia aplicació de l'emprimació.
Inclou: Replanteig de la peça. Col·locació, aplomat, anivellació i alineació. Segellat de juntes i neteja.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</si>
  <si>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</si>
  <si>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</si>
  <si>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</si>
  <si>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</si>
  <si>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</si>
  <si>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</si>
  <si>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Coberta tribuna</t>
  </si>
  <si>
    <t>03</t>
  </si>
  <si>
    <t>04</t>
  </si>
  <si>
    <t>Capítol</t>
  </si>
  <si>
    <t>Façanes</t>
  </si>
  <si>
    <t>FSM010</t>
  </si>
  <si>
    <t>Partida</t>
  </si>
  <si>
    <t>m²</t>
  </si>
  <si>
    <t>Sistema SATE d'aïllament tèrmic per l'exterior de façanes.</t>
  </si>
  <si>
    <t>Aïllament tèrmic per l'exterior de façanes, amb sistema SATE, compost per: panell de llana de roca volcànica, segons UNE-EN 13162, de 80 mm d'espessor, fixat al suport amb morter, aplicat manualment i fixacions mecàniques amb tac d'expansió de polipropilè; capa de regularització de morter, aplicat manualment, armat amb malla de fibra de vidre, antiàlcalis, de 5x4 mm de llum de malla, de 0,6 mm d'espessor i de 160 g/m² de massa superficial; capa d'acabat de morter acrílic, color 100 E (travertino) identic al edifici existent ampliació, sobre emprimació acrílica. Inclús perfils d'arrencada d'alumini, perfils de tancament superior d'alumini, perfils de cantó de PVC amb malla, massilla segelladora monocomponent i cordó d'escuma de polietilè expandit de cel·les tancades per a segellat de junts.
Criteri de valoració econòmica: El preu inclou l'execució de les rematades en els trobaments amb paraments, revestiments o altres elements rebuts en la seva superfície.
Inclou: Preparació de la superfície suport. Col·locació de la malla d'arrancada. Col·locació del perfil d'arrencada. Tall i preparació de l'aïllament. Col·locació de l'aïllament sobre el parament. Col·locació de la resta de perfils. Resolució dels punts singulars. Aplicació del morter base i col·locació de la malla de fibra de vidre en la capa de regularització. Formació de juntes. Aplicació de la capa d'acabat. Segellat de junts.
Criteri d'amidament de projecte: Superfície mesurada segons documentació gràfica de Projecte, deduint els buits de superfície major de 1 m², afegint a canvi la superfície de la part interior del buit, corresponent al desenvolupament de brancals i llindes.
Criteri de mesura d'obra: Es mesurarà la superfície realment executada segons especificacions de Projecte, deduint els buits de superfície major de 1 m², afegint a canvi la superfície de la part interior del buit, corresponent al desenvolupament de brancals i llindes.</t>
  </si>
  <si>
    <t>Uts.</t>
  </si>
  <si>
    <t>Llargada</t>
  </si>
  <si>
    <t>Amplada</t>
  </si>
  <si>
    <t>Alçada</t>
  </si>
  <si>
    <t>Parcial</t>
  </si>
  <si>
    <t>Subtotal</t>
  </si>
  <si>
    <t>Façana sud</t>
  </si>
  <si>
    <t>Obertures</t>
  </si>
  <si>
    <t>Façana est.1</t>
  </si>
  <si>
    <t>Obertures</t>
  </si>
  <si>
    <t>Façana est.2</t>
  </si>
  <si>
    <t>Obertures</t>
  </si>
  <si>
    <t>Façana nord.1</t>
  </si>
  <si>
    <t>Obertures</t>
  </si>
  <si>
    <t>Façana nord.2</t>
  </si>
  <si>
    <t>Obertures</t>
  </si>
  <si>
    <t>Façana nord.3</t>
  </si>
  <si>
    <t>Obertures</t>
  </si>
  <si>
    <t>Façana oest</t>
  </si>
  <si>
    <t>Obertures</t>
  </si>
  <si>
    <t>FSC010</t>
  </si>
  <si>
    <t>Partida</t>
  </si>
  <si>
    <t>m²</t>
  </si>
  <si>
    <t>Sistema SATE d'aïllament tèrmic per l'exterior de façanes. Revestiment amb peces de gres de porcellana. Col·locació en capa fina.</t>
  </si>
  <si>
    <t>Aïllament tèrmic per l'exterior de façanes, amb sistema SATE, compost per: panell de llana de roca volcànica, segons UNE-EN 13162, de 80 mm d'espessor, fixat al suport amb morter, aplicat manualment i fixacions mecàniques amb tac d'expansió de polipropilè; dues capes de regularització, cadascuna d'elles composta per morter, aplicat manualment, armat amb malla de fibra de vidre, antiàlcalis, de 5x4 mm de llum de malla, de 0,6 mm d'espessor i de 160 g/m² de massa superficial, intercalant entre ambdues una capa del mateix morter per millorar l'adherència, aplicada amb plana dentada; fixació mecànica de la malla de fibra de vidre al suport amb tac d'expansió de polietilè amb clau d'acer. Revestiment amb peces de gres porcellànic esmaltat, acabat mat o natural, de 600x400x10 mm, gamma alta, capacitat d'absorció d'aigua E&lt;0,5%, grup BIa, segons UNE-EN 14411. COL·LOCACIÓ: en capa fina i mitjançant doble encolat amb adhesiu cimentós millorat, C2 TE S2, segons UNE-EN 12004, altament deformable, amb lliscament reduït i temps obert ampliat. REJUNTAT: amb morter de junts cimentós millorat, amb absorció d'aigua reduïda i resistència elevada a l'abrasió tipus CG 2 W A, color blanc, en junts de 3 mm d'espessor. Inclús creuetes de PVC, perfils d'arrencada d'alumini, perfils de tancament superior d'alumini, perfils de cantó de PVC amb malla, massilla segelladora monocomponent i cordó d'escuma de polietilè expandit de cel·les tancades per a segellat de junts, minves i ruptures.
Criteri de valoració econòmica: El preu inclou l'execució de les rematades en els trobaments amb paraments, revestiments o altres elements rebuts en la seva superfície.
Inclou: Preparació de la superfície suport. Col·locació de la malla d'arrancada. Col·locació del perfil d'arrencada. Tall i preparació de l'aïllament. Col·locació de l'aïllament sobre el parament. Escatat de tota la superfície. Col·locació de la resta de perfils. Resolució dels punts singulars. Aplicació del morter base i col·locació de la malla de fibra de vidre en la capa de regularització. Replanteig dels nivells, de la disposició de peces i dels junts. Tall i encaixonat de les peces. Preparació i aplicació del material de col·locació. Formació de juntes de moviment. Col·locació de les peces. Rejuntat. Segellat de junts. Eliminació i neteja del material sobrant. Neteja final de la façana.
Criteri d'amidament de projecte: Superfície mesurada segons documentació gràfica de Projecte, deduint els buits de superfície major de 1 m², afegint a canvi la superfície de la part interior del buit, corresponent al desenvolupament de brancals i llindes.
Criteri de mesura d'obra: Es mesurarà la superfície realment executada segons especificacions de Projecte, deduint els buits de superfície major de 1 m², afegint a canvi la superfície de la part interior del buit, corresponent al desenvolupament de brancals i llindes.</t>
  </si>
  <si>
    <t>Uts.</t>
  </si>
  <si>
    <t>Llargada</t>
  </si>
  <si>
    <t>Amplada</t>
  </si>
  <si>
    <t>Alçada</t>
  </si>
  <si>
    <t>Parcial</t>
  </si>
  <si>
    <t>Subtotal</t>
  </si>
  <si>
    <t>Façana sud</t>
  </si>
  <si>
    <t>Obertura</t>
  </si>
  <si>
    <t>EFY020</t>
  </si>
  <si>
    <t>Partida</t>
  </si>
  <si>
    <t>m</t>
  </si>
  <si>
    <t>Reparació d'esquerda en estructura de fàbrica de maó ceràmic, amb grapes metàl·liques.</t>
  </si>
  <si>
    <t>Reparació d'esquerda en estructura de fàbrica de maó ceràmic mitjançant el cosit amb grapes d'acer corrugat B 500 S, de 8 mm de diàmetre, col·locades cada 300 mm en perforacions prèviament farcides amb injecció de 3,5 kg/m de morter de resina epoxi i sorra de sílice, d'enduriment ràpid.
Inclou: Neteja i preparació de la zona a grapar. Replanteig de la posició de les grapes. Execució de les perforacions. Injecció del morter. Col·locació amb tascons de les grapes. Retirada dels tascons una vegada endurit el morter. Retirada i arreplegat de enderrocs. Càrrega manual d'enderrocs sobre camió o contenidor.
Criteri d'amidament de projecte: Longitud mesurada a eixos, segons documentació gràfica de Projecte.
Criteri de mesura d'obra: Es mesurarà la longitud realment executada segons especificacions de Projecte.</t>
  </si>
  <si>
    <t>Uts.</t>
  </si>
  <si>
    <t>Llargada</t>
  </si>
  <si>
    <t>Amplada</t>
  </si>
  <si>
    <t>Alçada</t>
  </si>
  <si>
    <t>Parcial</t>
  </si>
  <si>
    <t>Subtotal</t>
  </si>
  <si>
    <t>Esquerdes</t>
  </si>
  <si>
    <t>04</t>
  </si>
  <si>
    <t>05</t>
  </si>
  <si>
    <t>Capítol</t>
  </si>
  <si>
    <t>Revestiment</t>
  </si>
  <si>
    <t>HRL010</t>
  </si>
  <si>
    <t>Partida</t>
  </si>
  <si>
    <t>m</t>
  </si>
  <si>
    <t>Cavalló d'alumini.</t>
  </si>
  <si>
    <t>Cavalló metàl·lic, de xapa plegada d'alumini lacat en color, amb un angle d'inclinació de 10°, amb 60 micres de gruix mínim de pel·lícula seca, espessor 1,5 mm, desenvolupament 500 mm i 7 plecs, amb goteró, per a cobriment de murs; fixació amb cargols autotaladrants d'acer galvanitzat; i segellat dels junts entre peces i, si s'escau, de les unions amb els murs amb segellador adhesiu monocomponent.
Inclou: Preparació de la superfície de recolzament. Preparació de la base i dels mitjans de fixació. Replanteig de les peces. Tall de les peces. Col·locació i fixació de les peces metàl·liques anivellades i aplomades. Segellat de juntes i neteja.
Criteri d'amidament de projecte: Longitud mesurada a eixos, segons documentació gràfica de Projecte.
Criteri de mesura d'obra: Es mesurarà a eixos, la longitud realment executada segons especificacions de Projecte.</t>
  </si>
  <si>
    <t>Uts.</t>
  </si>
  <si>
    <t>Llargada</t>
  </si>
  <si>
    <t>Amplada</t>
  </si>
  <si>
    <t>Alçada</t>
  </si>
  <si>
    <t>Parcial</t>
  </si>
  <si>
    <t>Subtotal</t>
  </si>
  <si>
    <t>Recrescut murets coberta</t>
  </si>
  <si>
    <t>Muret tribuna</t>
  </si>
  <si>
    <t>HRL040</t>
  </si>
  <si>
    <t>Partida</t>
  </si>
  <si>
    <t>m</t>
  </si>
  <si>
    <t>Escopidor d'alumini.</t>
  </si>
  <si>
    <t>Escopidor de xapa plegada d'alumini lacat en color, amb 60 micres de gruix mínim de pel·lícula seca, espessor 1,2 mm, desenvolupament 600 mm i 4 plecs, amb goteró, encastat en els brancals; col·locació amb adhesiu bituminós d'aplicació en fred; i segellat dels junts entre peces i de les unions amb els murs amb segellador adhesiu monocomponent.
Inclou: Replanteig de les peces. Tall de les peces. Preparació i regularització del suport. Col·locació i fixació de les peces metàl·liques, anivellades i aplomades. Segellat de juntes i neteja.
Criteri d'amidament de projecte: Longitud del ample del buit, amidada segons documentació gràfica de Projecte, incrementada en 5 cm a cada costat.
Criteri de mesura d'obra: Es mesurarà la longitud realment executada segons especificacions de Projecte, incloent els encastaments en els brancals.</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</si>
  <si>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</si>
  <si>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</si>
  <si>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</si>
  <si>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</si>
  <si>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</si>
  <si>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</si>
  <si>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</si>
  <si>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</si>
  <si>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</si>
  <si>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</si>
  <si>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</si>
  <si>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</si>
  <si>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</si>
  <si>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</si>
  <si>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</si>
  <si>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</si>
  <si>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</si>
  <si>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</si>
  <si>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</si>
  <si>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</si>
  <si>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</si>
  <si>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</si>
  <si>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</si>
  <si>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</si>
  <si>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</si>
  <si>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</si>
  <si>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</si>
  <si>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</si>
  <si>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HRL020</t>
  </si>
  <si>
    <t>Partida</t>
  </si>
  <si>
    <t>m²</t>
  </si>
  <si>
    <t>Revestiment de front de forjat, d'alumini.</t>
  </si>
  <si>
    <t>Revestiment de façana de xapa plegada d'alumini lacat en color, amb 60 micres de gruix mínim de pel·lícula seca, 2 mm de gruix, 900 mm de desenvolupament i 4 plecs; fixació amb cargols autotaladrants; i segellat dels junts entre peces i, si s'escau, de les unions amb els murs amb segellador adhesiu monocomponent.
Inclou: Replanteig de les peces. Tall de les peces. Col·locació, aplomat, anivellació i alineació. Segellat de juntes i neteja.
Criteri d'amidament de projecte: Longitud mesurada pel més gran desenvolupament lineal, segons documentació gràfica de Projecte.
Criteri de mesura d'obra: Es mesurarà pel seu major desenvolupament lineal, la longitud realment executada segons especificacions de Projecte, incloent la longitud que pogués perdre's en biaixos.</t>
  </si>
  <si>
    <t>Uts.</t>
  </si>
  <si>
    <t>Llargada</t>
  </si>
  <si>
    <t>Amplada</t>
  </si>
  <si>
    <t>Alçada</t>
  </si>
  <si>
    <t>Parcial</t>
  </si>
  <si>
    <t>Subtotal</t>
  </si>
  <si>
    <t>Obertures façanes sud</t>
  </si>
  <si>
    <t>RFC020</t>
  </si>
  <si>
    <t>Partida</t>
  </si>
  <si>
    <t>m²</t>
  </si>
  <si>
    <t>Pintura a la calç sobre parament exterior.</t>
  </si>
  <si>
    <t>Aplicació manual de dues mans de pintura a la calç, color a escollir, la primera mà diluïda amb un 30 a 40% d'aigua i la següent diluïda amb un 30% d'aigua o sense diluir, (rendiment: 0,29 l/m² cada mà); prèvia aplicació d'una mà d'emprimació granulosa translúcida, sobre parament exterior de morter de calç o morter bastard de calç.
Criteri de valoració econòmica: El preu inclou la protecció dels elements de l'entorn que puguin veure's afectats durant els treballs i la resolució de punts singulars.
Inclou: Preparació, neteja i escatat previ del suport. Humectació prèvia de la superfície suport.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</si>
  <si>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</si>
  <si>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Llargada</t>
  </si>
  <si>
    <t>Amplada</t>
  </si>
  <si>
    <t>Alçada</t>
  </si>
  <si>
    <t>Parcial</t>
  </si>
  <si>
    <t>Subtotal</t>
  </si>
  <si>
    <t>Façana est.1 balconet</t>
  </si>
  <si>
    <t>RBA010</t>
  </si>
  <si>
    <t>Partida</t>
  </si>
  <si>
    <t>m²</t>
  </si>
  <si>
    <t>Capa de morter de calç sobre parament exterior.</t>
  </si>
  <si>
    <t>Capa de morter de calç, tipus GP CSIII W1, segons UNE-EN 998-1, color gris, de 15 mm d'espessor, reglejat, amb acabat remolinat, aplicat mecànicament, sobre parament exterior de fàbrica ceràmica, vertical. Inclús rivets de PVC, per a formació de juntes i malla de fibra de vidre antiàlcalis en els canvis de material i en els fronts de forjat, per evitar fissures.
Criteri de valoració econòmica: El preu inclou la protecció dels elements de l'entorn que puguin veure's afectats durant els treballs i la resolució de punts singulars.
Inclou: Preparació de la superfície suport. Especejament de panys de treball. Col·locació de regles i corretges. Col·locació de tocs. Formació de mestres. Preparació del morter. Col·locació de la malla entre diferents materials i en els fronts de forjat. Aplicació del morter. Realització de juntes i punts singulars. Execució de l'acabat. Cura del morter.
Criteri d'amidament de projecte: Superfície mesurada segons documentació gràfica de Projecte, deduint el 50% dels buits entre 2 i 4 m² i el 100% dels buits majors de 4 m², afegint a canvi, en aquests últims, la superfície de la part interior del buit, corresponent al desenvolupament de brancals i llindes. En els buits que no es dedueixin, o que es dedueixin parcialment, estan inclosos els treballs de realitzar la superfície interior del buit.
Criteri de mesura d'obra: Es mesurarà la superfície realment executada segons especificacions de Projecte, deduint el 50% dels buits entre 2 i 4 m² i el 100% dels buits majors de 4 m², afegint a canvi, en aquests últims, la superfície de la part interior del buit, corresponent al desenvolupament de brancals i llindes. En els buits que no es dedueixin, o que es dedueixin parcialment, estan inclosos els treballs de realitzar la superfície interior del buit.</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</si>
  <si>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</si>
  <si>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</si>
  <si>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</si>
  <si>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</si>
  <si>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</si>
  <si>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</si>
  <si>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</si>
  <si>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</si>
  <si>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</si>
  <si>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</si>
  <si>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</si>
  <si>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</si>
  <si>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</si>
  <si>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</si>
  <si>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</si>
  <si>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</si>
  <si>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</si>
  <si>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</si>
  <si>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</si>
  <si>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</si>
  <si>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</si>
  <si>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</si>
  <si>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</si>
  <si>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</si>
  <si>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</si>
  <si>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</si>
  <si>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</si>
  <si>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</si>
  <si>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</si>
  <si>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</si>
  <si>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</si>
  <si>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</si>
  <si>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</si>
  <si>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</si>
  <si>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</si>
  <si>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</si>
  <si>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</si>
  <si>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</si>
  <si>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</si>
  <si>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</si>
  <si>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</si>
  <si>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</si>
  <si>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</si>
  <si>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</si>
  <si>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</si>
  <si>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</si>
  <si>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</si>
  <si>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</si>
  <si>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</si>
  <si>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</si>
  <si>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</si>
  <si>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</si>
  <si>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</si>
  <si>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</si>
  <si>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</si>
  <si>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</si>
  <si>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</si>
  <si>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</si>
  <si>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</si>
  <si>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</si>
  <si>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</si>
  <si>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</si>
  <si>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Uts.</t>
  </si>
  <si>
    <t>Llargada</t>
  </si>
  <si>
    <t>Amplada</t>
  </si>
  <si>
    <t>Alçada</t>
  </si>
  <si>
    <t>Parcial</t>
  </si>
  <si>
    <t>Subtotal</t>
  </si>
  <si>
    <t>Recrescut murets coberta</t>
  </si>
  <si>
    <t>Muret tribuna</t>
  </si>
  <si>
    <t>RPG010</t>
  </si>
  <si>
    <t>Partida</t>
  </si>
  <si>
    <t>m²</t>
  </si>
  <si>
    <t>Enguixat de guix.</t>
  </si>
  <si>
    <t>Formació de revestiment continu interior de guix, a bona vista, sobre parament vertical, de fins 3 m d'altura, de 15 mm de gruix, format per una primera capa de guarnit amb pasta de guix de construcció B1, aplicat sobre els paraments a revestir i una segona capa de lliscat amb pasta de guix d'aplicació en capa fina C6, que constitueix la finalització o acabat, amb mestres solament en les cantonades, racons, guarniment de buits i mestres intermèdies per que la separació entre elles no sigui superior a 3 m. Inclús col·locació de cantoneres de plàstic i metall amb perforacions, acabaments amb entornpeu, formació d'arestes i racons, guarnicions de buits, col·locació de malla de fibra de vidre antiàlcalis per a reforç de trobades entre materials diferents a un 10% de la superfície del parament i muntatge, desmuntatge i retirada de bastides.
Inclou: Preparació del suport que es revestirà. Realització de mestres. Col·locació de cantoneres a les cantonades i sortints. Pastat del guix gruixut. Extès de la pasta de guix entre les mestres i regulartizació del revestiment. Pastat del guix fi. Execució del lliscat, estenent la pasta de guix fi sobre la superfície prèviament enguixada.
Criteri d'amidament de projecte: Superfície mesurada des del paviment fins al sostre, segons documentació gràfica de Projecte, sense deduir forats menors de 4 m² i deduint, en els buits de superfície major de 4 m², l'excés sobre 4 m². No han sigut objecte de descompte els paraments verticals que tenen armaris encastats, sigui com sigui la seva dimensió.
Criteri de mesura d'obra: Es mesurarà a cinta correguda, la superfície realment executada segons especificacions de Projecte, considerant com altura la distància entre el paviment i el sostre, sense deduir forats menors de 4 m² i deduint, en els buits de superfície major de 4 m², l'excés sobre 4 m². Els paraments que tinguin armaris de paret no seran objecte de descompte sigui com sigui la seva dimensió.</t>
  </si>
  <si>
    <t>Uts.</t>
  </si>
  <si>
    <t>Llargada</t>
  </si>
  <si>
    <t>Amplada</t>
  </si>
  <si>
    <t>Alçada</t>
  </si>
  <si>
    <t>Parcial</t>
  </si>
  <si>
    <t>Subtotal</t>
  </si>
  <si>
    <t>A justificar al voltant de obertura</t>
  </si>
  <si>
    <t>0</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</si>
  <si>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</si>
  <si>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</si>
  <si>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</si>
  <si>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</si>
  <si>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</si>
  <si>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</si>
  <si>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</si>
  <si>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</si>
  <si>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</si>
  <si>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</si>
  <si>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</si>
  <si>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</si>
  <si>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</si>
  <si>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</si>
  <si>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</si>
  <si>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</si>
  <si>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</si>
  <si>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</si>
  <si>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</si>
  <si>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</si>
  <si>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</si>
  <si>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</si>
  <si>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</si>
  <si>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</si>
  <si>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</si>
  <si>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</si>
  <si>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</si>
  <si>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</si>
  <si>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</si>
  <si>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</si>
  <si>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</si>
  <si>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</si>
  <si>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</si>
  <si>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</si>
  <si>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</si>
  <si>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</si>
  <si>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</si>
  <si>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</si>
  <si>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</si>
  <si>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</si>
  <si>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</si>
  <si>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</si>
  <si>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</si>
  <si>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</si>
  <si>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</si>
  <si>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</si>
  <si>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</si>
  <si>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</si>
  <si>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</si>
  <si>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</si>
  <si>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</si>
  <si>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</si>
  <si>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</si>
  <si>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</si>
  <si>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</si>
  <si>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</si>
  <si>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RIS030</t>
  </si>
  <si>
    <t>Partida</t>
  </si>
  <si>
    <t>m²</t>
  </si>
  <si>
    <t>Pintura al silicat sobre parament interior de guix o escaiola.</t>
  </si>
  <si>
    <t>Aplicació manual de dues mans de pintura al silicat, color blanc, acabat mat, textura llisa, (rendiment: 0,09 l/m² cada mà); prèvia aplicació d'una mà d'emprimació acrílica, reguladora de l'absorció, sobre parament interior de guix o escaiola, vertical, de fins 3 m d'altura.
Criteri de valoració econòmica: El preu inclou la protecció dels elements de l'entorn que puguin veure's afectats durant els treballs i la resolució de punts singulars.
Inclou: Preparació i neteja prèvia del suport. Preparació de la mescla. Aplicació d'una mà de fons. Aplicació de dues mans d'acabat.
Criteri d'amidament de projecte: Superfície mesurada segons documentació gràfica de Projecte, amb el mateix criteri que el suport base.
Criteri de mesura d'obra: Es mesurarà la superfície realment executada segons especificacions de Projecte, amb el mateix criteri que el suport base.</t>
  </si>
  <si>
    <t>Uts.</t>
  </si>
  <si>
    <t>Llargada</t>
  </si>
  <si>
    <t>Amplada</t>
  </si>
  <si>
    <t>Alçada</t>
  </si>
  <si>
    <t>Parcial</t>
  </si>
  <si>
    <t>Subtotal</t>
  </si>
  <si>
    <t>A justificar al voltant de obertura</t>
  </si>
  <si>
    <t>0</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</si>
  <si>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</si>
  <si>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</si>
  <si>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</si>
  <si>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</si>
  <si>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</si>
  <si>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</si>
  <si>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</si>
  <si>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</si>
  <si>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</si>
  <si>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</si>
  <si>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</si>
  <si>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</si>
  <si>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</si>
  <si>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</si>
  <si>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</si>
  <si>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</si>
  <si>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</si>
  <si>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</si>
  <si>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</si>
  <si>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</si>
  <si>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</si>
  <si>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</si>
  <si>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</si>
  <si>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</si>
  <si>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</si>
  <si>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</si>
  <si>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</si>
  <si>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</si>
  <si>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</si>
  <si>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</si>
  <si>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</si>
  <si>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</si>
  <si>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</si>
  <si>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</si>
  <si>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</si>
  <si>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</si>
  <si>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</si>
  <si>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</si>
  <si>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</si>
  <si>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</si>
  <si>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</si>
  <si>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</si>
  <si>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</si>
  <si>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</si>
  <si>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</si>
  <si>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</si>
  <si>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</si>
  <si>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</si>
  <si>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</si>
  <si>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</si>
  <si>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</si>
  <si>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</si>
  <si>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</si>
  <si>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</si>
  <si>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</si>
  <si>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</si>
  <si>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05</t>
  </si>
  <si>
    <t>06</t>
  </si>
  <si>
    <t>Capítol</t>
  </si>
  <si>
    <t>Serralleria</t>
  </si>
  <si>
    <t>FDD100</t>
  </si>
  <si>
    <t>Partida</t>
  </si>
  <si>
    <t>m</t>
  </si>
  <si>
    <t>Barana d'escala, d'acer.</t>
  </si>
  <si>
    <t>Barana metàl·lica de tub buit d'acer laminat en fred de 90 cm d'altura, amb bastidor doble, composta de passamans rodons de 40 mm; muntants verticals de tub 30x20x1.5 mm disposats cada 120 cm, i sòcol de pletina 100x6  per escala recta d'un tram. Inclús patilles d'ancoratge per a rebut en obra de fàbrica amb morter de ciment, industrial, M-5. Elaborada en taller i muntada en obra. Totalment acabada i llesta per pintar.
Inclou: Replanteig dels punts de fixació. Aplomat i anivellació. Resolució de les unions entre trams. Resolució de les unions al parament.
Criteri d'amidament de projecte: Longitud mesurada a eixos en veritable magnitud, segons documentació gràfica de Projecte.
Criteri de mesura d'obra: Es mesurarà en veritable magnitud, a eixos, la longitud realment executada segons especificacions de Projecte.</t>
  </si>
  <si>
    <t>Uts.</t>
  </si>
  <si>
    <t>Llargada</t>
  </si>
  <si>
    <t>Amplada</t>
  </si>
  <si>
    <t>Alçada</t>
  </si>
  <si>
    <t>Parcial</t>
  </si>
  <si>
    <t>Subtotal</t>
  </si>
  <si>
    <t>Façana sud, entrada escales</t>
  </si>
  <si>
    <t>FDD100b</t>
  </si>
  <si>
    <t>Partida</t>
  </si>
  <si>
    <t>U</t>
  </si>
  <si>
    <t>Modificació de barana existent.</t>
  </si>
  <si>
    <t>Modificació de barana existent composta de tres perfils horitzontal i un socol amb montants cada 120 cm aproximats, formada per tall amb la mida de l'escurçament previst i soldat del nou montant a la mida prevista.</t>
  </si>
  <si>
    <t>Uts.</t>
  </si>
  <si>
    <t>Llargada</t>
  </si>
  <si>
    <t>Amplada</t>
  </si>
  <si>
    <t>Alçada</t>
  </si>
  <si>
    <t>Parcial</t>
  </si>
  <si>
    <t>Subtotal</t>
  </si>
  <si>
    <t>Barana façana nord.2 entrada</t>
  </si>
  <si>
    <t>QUM010</t>
  </si>
  <si>
    <t>Partida</t>
  </si>
  <si>
    <t>U</t>
  </si>
  <si>
    <t>Marquesina de xapa d'acer prelacat.</t>
  </si>
  <si>
    <t>Marquesina de xapa d'acer prelacat, gruix 6 mm, RAL 7016, de forma semiesfèrica i ancorada a mur amb cargols i tirant superior, segons documentació gràfica.</t>
  </si>
  <si>
    <t>Uts.</t>
  </si>
  <si>
    <t>Llargada</t>
  </si>
  <si>
    <t>Amplada</t>
  </si>
  <si>
    <t>Alçada</t>
  </si>
  <si>
    <t>Parcial</t>
  </si>
  <si>
    <t>Subtotal</t>
  </si>
  <si>
    <t>Marquesina façana nord.2, entrada</t>
  </si>
  <si>
    <t>IOE010</t>
  </si>
  <si>
    <t>Partida</t>
  </si>
  <si>
    <t>U</t>
  </si>
  <si>
    <t>Escala d'emergència.</t>
  </si>
  <si>
    <t>Escala metàl·lica d'emergència situada en l'exterior de l'edifici, composta de muntants d'escala i replans, per a 1 plantes, d'altura de planta 1.4 m, recta i amb un tram recte, amb una amplada útil de 0.9 m per a una sobrecàrrega d'ús de 400 kg/m², Euroclasse A1 de reacció al foc, segons UNE-EN 13501-1, elaborada en taller i muntada en obra mitjançant unions soldades. Composta de: FONAMENTACIÓ de formigó armat, realitzada amb formigó HA-25/F/20/XC2 fabricat en central, i acer UNE-EN 10080 B 500 S, amb una quantia aproximada de 50 kg/m³, formigonada sobre base de formigó de neteja, en el fons de l'excavació prèviament realitzada. ESTRUCTURA metàl·lica de perfils d'acer S 275 JR laminat en calent, formada per dos suports intermedis amb perfils HEB, muntant d'escala amb perfils IPE i biga mènsula per a suport de la biga de replà amb perfils HEB. ESGLAONAT I REPLÀ de xapa llagrimada d'acer galvanitzat, de 3 mm d'espessor i BARANA de 1,10 m d'altura, de tub d'acer laminat en fred, de 40x20x1,5 mm i 20x20x1,5 mm, col·locada en tot el seu perímetre i en el buit de l'escala. Inclús plaques d'ancoratge a la fonamentació i a l'estructura de l'edifici, peces especials i despunts.
Criteri de valoració econòmica: El preu inclou l'excavació de la fonamentació, l'elaboració de la ferralla (tall, doblegat i conformat d'elements) en taller industrial i el muntatge en el lloc definitiu de la seva col·locació en obra.
Segons documentació gràfica
Inclou: Formació de la capa de formigó de neteja. Col·locació de l'armadura amb separadors homologats. Abocament i compactació del formigó. Coronació i enrasament de la fonamentació amb les plaques d'ancoratge. Curat del formigó. Replanteig i marcat dels eixos dels pilars metàl·lics. Tall i ajust de les peces. Hissat i presentació de les bigues. Aplomat. Resolució de les unions a la base de fonamentació. Reglatge de la peça i ajust definitiu de les unions. Comprovació final de l'aplomat. Unions a l'edifici. Execució de punts de trobada especials i acabaments. Aplicació de dues mans d'emprimació anticorrosiva.
Criteri d'amidament de projecte: Nombre d'unitats previstes, segons documentació gràfica de Projecte.
Criteri de mesura d'obra: Es mesurarà el nombre d'unitats realment executades segons especificacions de Projecte.</t>
  </si>
  <si>
    <t>Uts.</t>
  </si>
  <si>
    <t>Llargada</t>
  </si>
  <si>
    <t>Amplada</t>
  </si>
  <si>
    <t>Alçada</t>
  </si>
  <si>
    <t>Parcial</t>
  </si>
  <si>
    <t>Subtotal</t>
  </si>
  <si>
    <t>Escala emergència</t>
  </si>
  <si>
    <t>FDD100c</t>
  </si>
  <si>
    <t>Partida</t>
  </si>
  <si>
    <t>m</t>
  </si>
  <si>
    <t>Barana d'acer.</t>
  </si>
  <si>
    <t>Barana metàl·lica de tub buit d'acer laminat en fred de 90 cm d'altura, amb bastidor doble, composta de passamans rodons de 40 mm; muntants verticals de tub 30x20x1.5 mm disposats cada 120 cm, i sòcol de pletina 100x6 mm. Inclús patilles d'ancoratge per a rebut en obra de fàbrica amb morter de ciment, industrial, M-5. Elaborada en taller i muntada en obra. Totalment acabada i llesta per pintar. 
Inclou: Replanteig dels punts de fixació. Aplomat i anivellació. Resolució de les unions entre trams. Resolució de les unions al parament.
Criteri d'amidament de projecte: Longitud mesurada a eixos en veritable magnitud, segons documentació gràfica de Projecte.
Criteri de mesura d'obra: Es mesurarà en veritable magnitud, a eixos, la longitud realment executada segons especificacions de Projecte.</t>
  </si>
  <si>
    <t>Uts.</t>
  </si>
  <si>
    <t>Llargada</t>
  </si>
  <si>
    <t>Amplada</t>
  </si>
  <si>
    <t>Alçada</t>
  </si>
  <si>
    <t>Parcial</t>
  </si>
  <si>
    <t>Subtotal</t>
  </si>
  <si>
    <t>Façana est.1</t>
  </si>
  <si>
    <t>RNE020</t>
  </si>
  <si>
    <t>Partida</t>
  </si>
  <si>
    <t>m²</t>
  </si>
  <si>
    <t>Esmalt sobre manyeria d'acer.</t>
  </si>
  <si>
    <t>Aplicació manual de dues mans d'esmalt de poliuretà, color blanc, acabat brillant, (rendiment: 0,077 l/m² cada mà); prèvia aplicació d'una mà d'emprimació fosfocromatant d'un sol component, color gris, acabat mat (rendiment: 0,057 l/m²), sobre barana exterior amb clavenda de barrots, d'acer.
Inclou: Preparació i neteja de la superfície suport. Aplicació d'una mà d'emprimació. Aplicació de dues mans d'acabat.
Criteri d'amidament de projecte: Superfície del polígon envolupant, mesurada segons documentació gràfica de Projecte, per una sola cara, sense descomptar buits.
Criteri de mesura d'obra: Es mesurarà la superfície del polígon envolupant de les unitats realment executades segons especificacions de Projecte, per una sola cara.</t>
  </si>
  <si>
    <t>Uts.</t>
  </si>
  <si>
    <t>Llargada</t>
  </si>
  <si>
    <t>Amplada</t>
  </si>
  <si>
    <t>Alçada</t>
  </si>
  <si>
    <t>Parcial</t>
  </si>
  <si>
    <t>Subtotal</t>
  </si>
  <si>
    <t>Façana sud, entrada escales</t>
  </si>
  <si>
    <t>Uts.</t>
  </si>
  <si>
    <t>Llargada</t>
  </si>
  <si>
    <t>Amplada</t>
  </si>
  <si>
    <t>Alçada</t>
  </si>
  <si>
    <t>Parcial</t>
  </si>
  <si>
    <t>Subtotal</t>
  </si>
  <si>
    <t>Façana est.1</t>
  </si>
  <si>
    <t>IOE010b</t>
  </si>
  <si>
    <t>Partida</t>
  </si>
  <si>
    <t>U</t>
  </si>
  <si>
    <t>Reposició escala de gat.</t>
  </si>
  <si>
    <t>Reposició d'escala de gat existent, deprès de ejecutat la façana amb sate.</t>
  </si>
  <si>
    <t>Uts.</t>
  </si>
  <si>
    <t>Llargada</t>
  </si>
  <si>
    <t>Amplada</t>
  </si>
  <si>
    <t>Alçada</t>
  </si>
  <si>
    <t>Parcial</t>
  </si>
  <si>
    <t>Subtotal</t>
  </si>
  <si>
    <t>Escala de gat</t>
  </si>
  <si>
    <t>06</t>
  </si>
  <si>
    <t>07</t>
  </si>
  <si>
    <t>Capítol</t>
  </si>
  <si>
    <t>Paviments</t>
  </si>
  <si>
    <t>UXH010</t>
  </si>
  <si>
    <t>Partida</t>
  </si>
  <si>
    <t>m²</t>
  </si>
  <si>
    <t>Enrajolat de cairons de formigó.</t>
  </si>
  <si>
    <t>Subministrament i col·locació de paviment per a ús públic, de rajoles de formigó per exteriors, acabat superficial de la cara vista: baix relleu sense polir, classe resistent a flexió T, classe resistent segons la càrrega de ruptura 11, classe de desgast per abrasió H, format nominal 30x60x4 cm, color gris, segons UNE-EN 1339, col·locades picat de pitxell amb morter de ciment M-5 de 3 cm de gruix, deixant entre elles una junta de separació de entre 1,5 i 3 mm. Inclús, juntes estructurals i de dilatació, talls a realitzar per ajustar-les als cantells del confinament o a les intrusions existents en el paviment i reblert de juntes amb sorra silícia de mida 0/2 mm.
Criteri de valoració econòmica: El preu no inclou la base de recolzament.
Inclou: Replanteig de mestres i nivells. Estesa de la capa de morter. Humectació de les peces a col·locar. Col·locació individual, a pic de maceta, de les peces. Formació de juntes i trobades. Neteja del paviment i les juntes. Reblert dels junts amb sorra seca, mitjançant raspallat. Eliminació del material sobrant de la superfície, mitjançant escombrat.
Criteri d'amidament de projecte: Superfície mesurada en projecció horitzontal, segons documentació gràfica de Projecte, deduint els buits de superfície major de 1,5 m². No s'han tingut en compte les escapçadures com factor d'influència per incrementar l'amidament, cada vegada que en la descomposició s'ha considerat el tant per cent de ruptures general.
Criteri de mesura d'obra: Es mesurarà, en projecció horitzontal, la superfície realment executada segons especificacions de Projecte, deduint els buits de superfície major de 1,5 m².</t>
  </si>
  <si>
    <t>Uts.</t>
  </si>
  <si>
    <t>Llargada</t>
  </si>
  <si>
    <t>Amplada</t>
  </si>
  <si>
    <t>Alçada</t>
  </si>
  <si>
    <t>Parcial</t>
  </si>
  <si>
    <t>Subtotal</t>
  </si>
  <si>
    <t>0</t>
  </si>
  <si>
    <t>Replans entrada, façana sud</t>
  </si>
  <si>
    <t>Façana est, sortida emergència</t>
  </si>
  <si>
    <t>Façana nord, entrada</t>
  </si>
  <si>
    <t>Arribada escala emergència</t>
  </si>
  <si>
    <t>ANS010</t>
  </si>
  <si>
    <t>Partida</t>
  </si>
  <si>
    <t>m²</t>
  </si>
  <si>
    <t>Solera de formigó.</t>
  </si>
  <si>
    <t>Solera de formigó amb malla electrosoldada de 10 cm d'espessor, realitzada amb formigó HM-20/B/20/X0 fabricat en central i abocament des de camió, amb malla electrosoldada superior com a armadura de repartiment, ME 20x20 Ø 5-5 B 500 T 6x2,20 UNE-EN 10080, estès i vibrat manual mitjançant regla vibrant, sense tractament de la seva superfície; amb junts de retracció de 5 mm d'espessor, mitjançant tall amb disc de diamant. Inclús panell de poliestirè expandit de 3 cm d'espessor, per a l'execució de juntes de retracció.
Criteri de valoració econòmica: El preu no inclou la base de la solera.
Inclou: Preparació de la superfície de recolzament del formigó. Replanteig dels junts de construcció i de dilatació. Estesa de nivells mitjançant tocaments, mestres de formigó o regles. Reg de la superfície base. Formació de juntes de construcció i de juntes perimetrals de dilatació. Col·locació de la malla electrosoldada amb separadors homologats. Connexionat, ancoratge i embroquetat de les xarxes d'instal·lacions projectades. Abocat, estesa i vibrat del formigó. Curat del formigó. Replanteig dels junts de retracció. Cort del formigó. Neteja final dels junts de retracció.
Criteri d'amidament de projecte: Superfície mesurada segons documentació gràfica de Projecte.
Criteri de mesura d'obra: Es mesurarà la superfície realment executada segons especificacions de Projecte, sense deduir la superfície ocupada pels pilars situats dintre del seu perímetre.</t>
  </si>
  <si>
    <t>Uts.</t>
  </si>
  <si>
    <t>Llargada</t>
  </si>
  <si>
    <t>Amplada</t>
  </si>
  <si>
    <t>Alçada</t>
  </si>
  <si>
    <t>Parcial</t>
  </si>
  <si>
    <t>Subtotal</t>
  </si>
  <si>
    <t>Arribada escala emergència</t>
  </si>
  <si>
    <t>07</t>
  </si>
  <si>
    <t>08</t>
  </si>
  <si>
    <t>Capítol</t>
  </si>
  <si>
    <t>Tancaments</t>
  </si>
  <si>
    <t>LCL055</t>
  </si>
  <si>
    <t>Partida</t>
  </si>
  <si>
    <t>m²</t>
  </si>
  <si>
    <t>Fusteria d'alumini tancament a l'edifici.</t>
  </si>
  <si>
    <t>Fusteria d'alumini lacat texturitzat, color gris RAL 7016, tipus model serie XP-60 TH d'EXTRUGASA o equivalent, formada per fulles fixes, practicables, corredisses i oscilo-batents; certificat de conformitat marca de qualitat QUALICOAT, amb trencament de pont tèrmic, amb classificació a la permeabilitat a l'aire segons UNE-EN 12207, a l'estanquitat a l'aigua segons UNE-EN 12208 i a la resistència a la càrrega del vent segons UNE-EN 12210, sense bastiment de base; composta per perfils extrusionats formant bastiments i fulles. Inclús patilles d'ancoratge per a la fixació de la fusteria, silicona neutra per a segellat perimetral dels junts exterior i interior, entre la fusteria i l'obra.
Criteri de valoració econòmica: El preu inclou el rebut en obra de la fusteria.
Inclou: Col·locació de la fusteria. Ajust final de les fulles. Segellat de junts perimetrals. Realització de proves de servei.
Criteri d'amidament de projecte: Superfície del buit a tancar, mesurada segons documentació gràfica de Projecte.
Criteri de mesura d'obra: Es mesurarà, amb les dimensions del buit, la superfície realment executada segons especificacions de Projecte.</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</si>
  <si>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</si>
  <si>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</si>
  <si>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</si>
  <si>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</si>
  <si>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</si>
  <si>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</si>
  <si>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</si>
  <si>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</si>
  <si>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</si>
  <si>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</si>
  <si>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</si>
  <si>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</si>
  <si>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</si>
  <si>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</si>
  <si>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</si>
  <si>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</si>
  <si>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</si>
  <si>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</si>
  <si>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</si>
  <si>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</si>
  <si>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</si>
  <si>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</si>
  <si>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</si>
  <si>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</si>
  <si>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</si>
  <si>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</si>
  <si>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</si>
  <si>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</si>
  <si>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</si>
  <si>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</si>
  <si>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</si>
  <si>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LVC014</t>
  </si>
  <si>
    <t>Partida</t>
  </si>
  <si>
    <t>m²</t>
  </si>
  <si>
    <t>Doble envidriament de control solar.</t>
  </si>
  <si>
    <t>Doble envidriament trempat de control solar, color blau, 6/12/6, conjunt format per vidre exterior trempat, de control solar, color blau de 6 mm, cambra de gas deshidratada amb perfil separador d'alumini i doble segellat perimetral, de 12 mm, reomplerta de gas argó i vidre interior Float incolor de 6 mm d'espessor; 24 mm de gruix total, fixat sobre fusteria amb sola mitjançant falques de recolzament perimetrals i laterals, segellat en fred amb silicona sintètica incolora, compatible amb el material suport.
Inclou: Col·locació, calçat, muntatge i ajustament en la fusteria. Segellat final d'estanquitat. Senyalització de les fulles.
Criteri d'amidament de projecte: Superfície de fusteria a envidrar, segons documentació gràfica de Projecte, incloent en cada fulla vidriera les dimensions del bastidor.
Criteri de mesura d'obra: S'amidarà la superfície realment executada segons especificacions de Projecte, sumant, per a cadascuna de les peces, la superfície resultant d'arrodonir per excés cadascuna de les seves arestes a múltiples de 30 mm.</t>
  </si>
  <si>
    <t>Uts.</t>
  </si>
  <si>
    <t>Llargada</t>
  </si>
  <si>
    <t>Amplada</t>
  </si>
  <si>
    <t>Alçada</t>
  </si>
  <si>
    <t>Parcial</t>
  </si>
  <si>
    <t>Subtotal</t>
  </si>
  <si>
    <t>F1</t>
  </si>
  <si>
    <t>F2</t>
  </si>
  <si>
    <t>F3</t>
  </si>
  <si>
    <t>F4.1</t>
  </si>
  <si>
    <t>F4.2</t>
  </si>
  <si>
    <t>F5</t>
  </si>
  <si>
    <t>F6.1</t>
  </si>
  <si>
    <t>F6.2</t>
  </si>
  <si>
    <t>F6.3</t>
  </si>
  <si>
    <t>F7</t>
  </si>
  <si>
    <t>F8</t>
  </si>
  <si>
    <t>F9</t>
  </si>
  <si>
    <t>F10</t>
  </si>
  <si>
    <t>F11.1</t>
  </si>
  <si>
    <t>F11.2</t>
  </si>
  <si>
    <t>F12</t>
  </si>
  <si>
    <t>F13.1</t>
  </si>
  <si>
    <t>F13.2</t>
  </si>
  <si>
    <t>F14</t>
  </si>
  <si>
    <t>F15.1</t>
  </si>
  <si>
    <t>F15.2</t>
  </si>
  <si>
    <t>F16</t>
  </si>
  <si>
    <t>P1</t>
  </si>
  <si>
    <t>P2</t>
  </si>
  <si>
    <t>P3</t>
  </si>
  <si>
    <t>LST040</t>
  </si>
  <si>
    <t>Partida</t>
  </si>
  <si>
    <t>m</t>
  </si>
  <si>
    <t>Tendal punt recte Kipsol.</t>
  </si>
  <si>
    <t>Tendal punt recte, tipus Kipsol Punt Recte o equivalent, 1000 mm de sortida, lona de polièster, amb tractament ignífug, color RAL 7016, amb ferraments i accessoris de fixació, sense faldó, sense cofre, sense bambalina. Inclús ferraments i accessoris.
Inclou: Replanteig. Ancoratge al parament dels elements de fixació. Muntatge del tendal i dels accessoris.
Criteri d'amidament de projecte: Nombre d'unitats previstes, segons documentació gràfica de Projecte.
Criteri de mesura d'obra: Es mesurarà el nombre d'unitats realment executades segons especificacions de Projecte.
Accionament motoritzat amb control a distància via radio.</t>
  </si>
  <si>
    <t>Uts.</t>
  </si>
  <si>
    <t>Llargada</t>
  </si>
  <si>
    <t>Amplada</t>
  </si>
  <si>
    <t>Alçada</t>
  </si>
  <si>
    <t>Parcial</t>
  </si>
  <si>
    <t>Subtotal</t>
  </si>
  <si>
    <t>F4.1</t>
  </si>
  <si>
    <t>F9</t>
  </si>
  <si>
    <t>F10</t>
  </si>
  <si>
    <t>F11.1</t>
  </si>
  <si>
    <t>F11.2</t>
  </si>
  <si>
    <t>08</t>
  </si>
  <si>
    <t>09</t>
  </si>
  <si>
    <t>Capítol</t>
  </si>
  <si>
    <t>Instal·lacions</t>
  </si>
  <si>
    <t>ICN020</t>
  </si>
  <si>
    <t>Partida</t>
  </si>
  <si>
    <t>U</t>
  </si>
  <si>
    <t>Canvi d'ubicació d'unitat exterior.</t>
  </si>
  <si>
    <t>Canvi d'ubicació d'unitat exterior a coberta, amb elements antivibratoris i suports de paret per a recolzament de la unitat exterior, canonades de gas frigorífic i cablejat, coquilles i tubs i safates protectores. Omplert de gas, totalment funcionant.</t>
  </si>
  <si>
    <t>Uts.</t>
  </si>
  <si>
    <t>Llargada</t>
  </si>
  <si>
    <t>Amplada</t>
  </si>
  <si>
    <t>Alçada</t>
  </si>
  <si>
    <t>Parcial</t>
  </si>
  <si>
    <t>Subtotal</t>
  </si>
  <si>
    <t>Unitats</t>
  </si>
  <si>
    <t>IEO031</t>
  </si>
  <si>
    <t>Partida</t>
  </si>
  <si>
    <t>m</t>
  </si>
  <si>
    <t>Canal protectora per a allotjament d'instal·lacions.</t>
  </si>
  <si>
    <t>Canal protectora d'alumini, color RAL a escollir, de 50x100 mm, amb una tapa de 80 mm d'amplada, amb graus de protecció IP4X i IK07, amb 1 compartiment.
Inclou: Replanteig. Col·locació i fixació.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</si>
  <si>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</si>
  <si>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</si>
  <si>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</si>
  <si>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</si>
  <si>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</si>
  <si>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</si>
  <si>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Façana sud</t>
  </si>
  <si>
    <t>Façana est.1</t>
  </si>
  <si>
    <t>Façana est.2</t>
  </si>
  <si>
    <t>Façana nord.1</t>
  </si>
  <si>
    <t>Façana nord.2</t>
  </si>
  <si>
    <t>Façana nord.3</t>
  </si>
  <si>
    <t>Façana oest</t>
  </si>
  <si>
    <t>IEO031b</t>
  </si>
  <si>
    <t>Partida</t>
  </si>
  <si>
    <t>m²</t>
  </si>
  <si>
    <t>Canal protectora per a allotjament d'instal·lacions.</t>
  </si>
  <si>
    <t>Tapa registrable per a pas d'instal·lacions de xapa d'alumini perforada, color  RAL a escollir, per a instal·lacions que no es modifica el seu traçat.
Inclou: Replanteig. Col·locació i fixació.
Criteri d'amidament de projecte: Longitud mesurada segons documentació gràfica de Projecte.
Criteri de mesura d'obra: Es mesurarà la longitud realment executada segons especificacions de Projecte.</t>
  </si>
  <si>
    <t>Uts.</t>
  </si>
  <si>
    <t>Llargada</t>
  </si>
  <si>
    <t>Amplada</t>
  </si>
  <si>
    <t>Alçada</t>
  </si>
  <si>
    <t>Parcial</t>
  </si>
  <si>
    <t>Subtotal</t>
  </si>
  <si>
    <t>Façana est.1, tubs fixos</t>
  </si>
  <si>
    <t>Reixetes ventilació, façana est.1</t>
  </si>
  <si>
    <t>Façana sud, reixa ventilació</t>
  </si>
  <si>
    <t>Façana nord, reixa ventilació</t>
  </si>
  <si>
    <t>Façana oest, reixa ventilació</t>
  </si>
  <si>
    <t>UIP010</t>
  </si>
  <si>
    <t>Partida</t>
  </si>
  <si>
    <t>U</t>
  </si>
  <si>
    <t>Aplic mural model GUNNAR d'Urbidermis H9,50m 20W 3000K WF</t>
  </si>
  <si>
    <t>Projector d'aplicació mural d'Urbidermis model GUNNAR 20W (18L 2700K IRC80 350mA) o equivalent, realitzat en injecció d'alumini acabat pintat. Sistema òptic de tecnologia LED, de distribució simètrica Wide Flood. Font d'alimentació electrònica regulable (automàtica programada, Dali, 1-10V, regulador de flux en capçalera). Classe I. IP66. IK08.
Inclou braç simple i floró per a fixació mural de projector d'Urbidermis model GUNNAR.</t>
  </si>
  <si>
    <t>UIP010b</t>
  </si>
  <si>
    <t>Partida</t>
  </si>
  <si>
    <t>U</t>
  </si>
  <si>
    <t>Aplic mural model GUNNAR d'Urbidermis H7,00-H5,20m 15W 3000K WF</t>
  </si>
  <si>
    <t>Projector d'aplicació mural d'Urbidermis model GUNNAR 15W (12L 2700K IRC80 350mA) o equivalent, realitzat en injecció d'alumini acabat pintat. Sistema òptic de tecnologia LED, de distribució simètrica Wide Flood. Font d'alimentació electrònica regulable (automàtica programada, Dali, 1-10V, regulador de flux en capçalera). Classe I. IP66. IK08.
Inclou braç simple i floró per a fixació mural de projector d'Urbidermis model GUNNAR.</t>
  </si>
  <si>
    <t>09</t>
  </si>
  <si>
    <t>10</t>
  </si>
  <si>
    <t>Capítol</t>
  </si>
  <si>
    <t>Gestió de residus</t>
  </si>
  <si>
    <t>GRA020</t>
  </si>
  <si>
    <t>Partida</t>
  </si>
  <si>
    <t>m³</t>
  </si>
  <si>
    <t>Transport de residus inertes amb camió.</t>
  </si>
  <si>
    <t>Transport amb camió de residus inertes de maons, teules i materials ceràmics, produïts en obres de construcció i/o demolició, a abocador específic, instal·lació de tractament de residus de construcció i demolició externa a l'obra o centre de valorització o eliminació de residus, situat a 10 km de distància.
Criteri de valoració econòmica: El preu inclou el temps d'espera en obra durant les operacions de càrrega, el viatge d'anada, la descàrrega i el viatge de tornada, però no inclou la càrrega en obra.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t>
  </si>
  <si>
    <t>Uts.</t>
  </si>
  <si>
    <t>Llargada</t>
  </si>
  <si>
    <t>Amplada</t>
  </si>
  <si>
    <t>Alçada</t>
  </si>
  <si>
    <t>Parcial</t>
  </si>
  <si>
    <t>Subtotal</t>
  </si>
  <si>
    <t>Runa</t>
  </si>
  <si>
    <t>0</t>
  </si>
  <si>
    <t>Teules</t>
  </si>
  <si>
    <t>Terratzo</t>
  </si>
  <si>
    <t>Esglaons</t>
  </si>
  <si>
    <t>Paviment ceràmic</t>
  </si>
  <si>
    <t>Plaques coberta</t>
  </si>
  <si>
    <t>Escopidors</t>
  </si>
  <si>
    <t>GRA020b</t>
  </si>
  <si>
    <t>Partida</t>
  </si>
  <si>
    <t>m³</t>
  </si>
  <si>
    <t>Transport de residus inertes amb camió.</t>
  </si>
  <si>
    <t>Transport amb camió de residus inerts vitris produïts en obres de construcció i/o demolició, a abocador específic, instal·lació de tractament de residus de construcció i demolició externa a l'obra o centre de valorització o eliminació de residus, situat a 10 km de distància.
Criteri de valoració econòmica: El preu inclou el temps d'espera en obra durant les operacions de càrrega, el viatge d'anada, la descàrrega i el viatge de tornada, però no inclou la càrrega en obra.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t>
  </si>
  <si>
    <t>Uts.</t>
  </si>
  <si>
    <t>Llargada</t>
  </si>
  <si>
    <t>Amplada</t>
  </si>
  <si>
    <t>Alçada</t>
  </si>
  <si>
    <t>Parcial</t>
  </si>
  <si>
    <t>Subtotal</t>
  </si>
  <si>
    <t>Vidres</t>
  </si>
  <si>
    <t>GRA020c</t>
  </si>
  <si>
    <t>Partida</t>
  </si>
  <si>
    <t>m³</t>
  </si>
  <si>
    <t>Transport de residus inertes amb camió.</t>
  </si>
  <si>
    <t>Transport amb camió de residus inerts metàl·lics produïts en obres de construcció i/o demolició, a abocador específic, instal·lació de tractament de residus de construcció i demolició externa a l'obra o centre de valorització o eliminació de residus, situat a 10 km de distància.
Criteri de valoració econòmica: El preu inclou el temps d'espera en obra durant les operacions de càrrega, el viatge d'anada, la descàrrega i el viatge de tornada, però no inclou la càrrega en obra.
Criteri d'amidament de projecte: Volum teòric, estimat a partir del pes i la densitat aparent dels diferents materials que componen els residus, segons documentació gràfica de Projecte.
Criteri de mesura d'obra: Es mesurarà, incloent l'estufament, el volum de residus realment transportat segons especificacions de Projecte.</t>
  </si>
  <si>
    <t>Uts.</t>
  </si>
  <si>
    <t>Llargada</t>
  </si>
  <si>
    <t>Amplada</t>
  </si>
  <si>
    <t>Alçada</t>
  </si>
  <si>
    <t>Parcial</t>
  </si>
  <si>
    <t>Subtotal</t>
  </si>
  <si>
    <t>Fusteria</t>
  </si>
  <si>
    <t>Reixes protecció</t>
  </si>
  <si>
    <t>Reixes ventilació</t>
  </si>
  <si>
    <t>Cavalló</t>
  </si>
  <si>
    <t>GRB020</t>
  </si>
  <si>
    <t>Partida</t>
  </si>
  <si>
    <t>m³</t>
  </si>
  <si>
    <t>Cànon d'abocament per lliurament de residus inerts a gestor autoritzat.</t>
  </si>
  <si>
    <t>Cànon d'abocament per lliurament de residus inertes de maons, teules i materials ceràmics, produïts a obres de construcció i/o demolició, en abocador específic, instal·lació de tractament de residus de construcció i demolició externa a l'obra o centre de valorització o eliminació de residus.
Criteri de valoració econòmica: El preu no inclou el transport.
Criteri d'amidament de projecte: Volum teòric, estimat a partir del pes i la densitat aparent dels diferents materials que componen els residus, segons documentació gràfica de Projecte.
Criteri de mesura d'obra: Es mesurarà, incloent l'estufament, el volum de residus realment entregat segons especificacions de Projecte.</t>
  </si>
  <si>
    <t>Uts.</t>
  </si>
  <si>
    <t>Llargada</t>
  </si>
  <si>
    <t>Amplada</t>
  </si>
  <si>
    <t>Alçada</t>
  </si>
  <si>
    <t>Parcial</t>
  </si>
  <si>
    <t>Subtotal</t>
  </si>
  <si>
    <t>Runa</t>
  </si>
  <si>
    <t>0</t>
  </si>
  <si>
    <t>Teules</t>
  </si>
  <si>
    <t>Terratzo</t>
  </si>
  <si>
    <t>Esglaons</t>
  </si>
  <si>
    <t>Paviment ceràmic</t>
  </si>
  <si>
    <t>Plaques coberta</t>
  </si>
  <si>
    <t>Escopidors</t>
  </si>
  <si>
    <t>GRB020b</t>
  </si>
  <si>
    <t>Partida</t>
  </si>
  <si>
    <t>m³</t>
  </si>
  <si>
    <t>Cànon d'abocament per lliurament de residus inerts a gestor autoritzat.</t>
  </si>
  <si>
    <t>Cànon d'abocament per lliurament de residus inerts vitris produïts a obres de construcció i/o demolició, en abocador específic, instal·lació de tractament de residus de construcció i demolició externa a l'obra o centre de valorització o eliminació de residus.
Criteri de valoració econòmica: El preu no inclou el transport.
Criteri d'amidament de projecte: Volum teòric, estimat a partir del pes i la densitat aparent dels diferents materials que componen els residus, segons documentació gràfica de Projecte.
Criteri de mesura d'obra: Es mesurarà, incloent l'estufament, el volum de residus realment entregat segons especificacions de Projecte.</t>
  </si>
  <si>
    <t>Uts.</t>
  </si>
  <si>
    <t>Llargada</t>
  </si>
  <si>
    <t>Amplada</t>
  </si>
  <si>
    <t>Alçada</t>
  </si>
  <si>
    <t>Parcial</t>
  </si>
  <si>
    <t>Subtotal</t>
  </si>
  <si>
    <t>Vidres</t>
  </si>
  <si>
    <t>GRB020c</t>
  </si>
  <si>
    <t>Partida</t>
  </si>
  <si>
    <t>m³</t>
  </si>
  <si>
    <t>Cànon d'abocament per lliurament de residus inerts a gestor autoritzat.</t>
  </si>
  <si>
    <t>Cànon d'abocament per lliurament de residus inerts metàl·lics produïts a obres de construcció i/o demolició, en abocador específic, instal·lació de tractament de residus de construcció i demolició externa a l'obra o centre de valorització o eliminació de residus.
Criteri de valoració econòmica: El preu no inclou el transport.
Criteri d'amidament de projecte: Volum teòric, estimat a partir del pes i la densitat aparent dels diferents materials que componen els residus, segons documentació gràfica de Projecte.
Criteri de mesura d'obra: Es mesurarà, incloent l'estufament, el volum de residus realment entregat segons especificacions de Projecte.</t>
  </si>
  <si>
    <t>Uts.</t>
  </si>
  <si>
    <t>Llargada</t>
  </si>
  <si>
    <t>Amplada</t>
  </si>
  <si>
    <t>Alçada</t>
  </si>
  <si>
    <t>Parcial</t>
  </si>
  <si>
    <t>Subtotal</t>
  </si>
  <si>
    <t>Fusteria</t>
  </si>
  <si>
    <t>Reixes protecció</t>
  </si>
  <si>
    <t>Reixes ventilació</t>
  </si>
  <si>
    <t>Cavalló</t>
  </si>
  <si>
    <t>10</t>
  </si>
  <si>
    <t>11</t>
  </si>
  <si>
    <t>Capítol</t>
  </si>
  <si>
    <t>Control de qualitat</t>
  </si>
  <si>
    <t>XRF010</t>
  </si>
  <si>
    <t>Partida</t>
  </si>
  <si>
    <t>U</t>
  </si>
  <si>
    <t>Prova de servei de façana.</t>
  </si>
  <si>
    <t>Prova de servei a realitzar per laboratori acreditat a l'àrea tècnica corresponent, per comprovar l'estanquitat d'una zona de façana, realitzada una vegada executada el full exterior del tancament i abans de col·locar l'aïllament, mitjançant simulació de pluja sobre una superfície de 3 m d'amplària aproximadament i altura corresponent a la distància entre forjats. Fins i tot desplaçament a obra i informe de resultats.
Inclou: Desplaçament a obra. Realització de la prova. Redacció d'informe del resultat de la prova realitzada.
Criteri d'amidament de projecte: Prova a realitzar, segons documentació del Pla de control de qualitat.
Criteri de mesura d'obra: Es mesurarà el nombre de proves realitzades per laboratori acreditat segons especificacions de Projecte.</t>
  </si>
  <si>
    <t>XRF020</t>
  </si>
  <si>
    <t>Partida</t>
  </si>
  <si>
    <t>U</t>
  </si>
  <si>
    <t>Prova de servei de fusteria exterior.</t>
  </si>
  <si>
    <t>Prova de servei a realitzar per laboratori acreditat a l'àrea tècnica corresponent, per comprovar l'estanquitat d'una fusteria exterior instal·lada en obra, realitzada una vegada executat el tancament de façana i abans de col·locar la pintura o l'acabat interior del tancament, mitjançant simulació de pluja sobre la fusteria i una part del tancament perimetral a la mateixa. Fins i tot desplaçament a obra i informe de resultats.
Inclou: Desplaçament a obra. Realització de la prova. Redacció d'informe del resultat de la prova realitzada.
Criteri d'amidament de projecte: Prova a realitzar, segons documentació del Pla de control de qualitat.
Criteri de mesura d'obra: Es mesurarà el nombre de proves realitzades per laboratori acreditat segons especificacions de Projecte.</t>
  </si>
  <si>
    <t>11</t>
  </si>
  <si>
    <t>12</t>
  </si>
  <si>
    <t>Capítol</t>
  </si>
  <si>
    <t>Seguretat i salut</t>
  </si>
  <si>
    <t>12.1</t>
  </si>
  <si>
    <t>Partida</t>
  </si>
  <si>
    <t>U</t>
  </si>
  <si>
    <t>Seguretat i salut</t>
  </si>
  <si>
    <t>Seguretat i salut</t>
  </si>
  <si>
    <t>12</t>
  </si>
  <si>
    <t>II24_44_AM_02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</si>
</sst>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7" x14ac:knownFonts="1">
    <font>
      <sz val="12"/>
      <color rgb="FF000000"/>
      <name val="Verdana"/>
      <family val="2"/>
    </font>
    <font>
      <b/>
      <sz val="9.9499999999999993"/>
      <color rgb="FF000000"/>
      <name val="Arial"/>
      <family val="2"/>
    </font>
    <font>
      <sz val="8"/>
      <color rgb="FF000000"/>
      <name val="Arial"/>
      <family val="2"/>
    </font>
    <font>
      <b/>
      <sz val="9"/>
      <color rgb="FF000000"/>
      <name val="Arial"/>
      <family val="2"/>
    </font>
    <font>
      <b/>
      <sz val="8"/>
      <color rgb="FF000000"/>
      <name val="Arial"/>
      <family val="2"/>
    </font>
    <font>
      <sz val="8"/>
      <color rgb="FF808080"/>
      <name val="Arial"/>
      <family val="2"/>
    </font>
    <font>
      <sz val="8"/>
      <color rgb="FF101010"/>
      <name val="Arial"/>
      <family val="2"/>
    </font>
  </fonts>
  <fills count="5">
    <fill>
      <patternFill patternType="none"/>
    </fill>
    <fill>
      <patternFill patternType="gray125"/>
    </fill>
    <fill>
      <patternFill patternType="solid">
        <fgColor rgb="FFDFFFBF"/>
      </patternFill>
    </fill>
    <fill>
      <patternFill patternType="solid">
        <fgColor rgb="FF269900"/>
      </patternFill>
    </fill>
    <fill>
      <patternFill patternType="solid">
        <fgColor rgb="FF3FB219"/>
      </patternFill>
    </fill>
  </fills>
  <borders count="6">
    <border>
      <left/>
      <right/>
      <top/>
      <bottom/>
      <diagonal/>
    </border>
    <border>
      <left/>
      <right/>
      <top/>
      <bottom style="thin">
        <color rgb="FF000000"/>
      </bottom>
      <diagonal/>
    </border>
    <border>
      <left/>
      <right/>
      <top style="thin">
        <color rgb="FF000000"/>
      </top>
      <bottom/>
      <diagonal/>
    </border>
    <border>
      <left/>
      <right/>
      <top/>
      <bottom style="thin">
        <color rgb="FF808080"/>
      </bottom>
      <diagonal/>
    </border>
    <border>
      <left/>
      <right/>
      <top style="thin">
        <color rgb="FF808080"/>
      </top>
      <bottom/>
      <diagonal/>
    </border>
    <border>
      <left/>
      <right/>
      <top style="thin">
        <color rgb="FF000000"/>
      </top>
      <bottom style="thin">
        <color rgb="FF000000"/>
      </bottom>
      <diagonal/>
    </border>
  </borders>
  <cellStyleXfs count="1">
    <xf numFmtId="0" fontId="0" fillId="0" borderId="0"/>
  </cellStyleXfs>
  <cellXfs count="50">
    <xf numFmtId="0" fontId="0" fillId="0" borderId="0" xfId="0" applyAlignment="1">
      <alignment horizontal="left" vertical="center"/>
    </xf>
    <xf numFmtId="0" fontId="1" fillId="2" borderId="0" xfId="0" applyFont="1" applyFill="1" applyAlignment="1">
      <alignment horizontal="right" vertical="top" wrapText="1"/>
    </xf>
    <xf numFmtId="0" fontId="0" fillId="0" borderId="0" xfId="0" applyAlignment="1">
      <alignment horizontal="left" vertical="top" wrapText="1"/>
    </xf>
    <xf numFmtId="0" fontId="0" fillId="2" borderId="0" xfId="0" applyFill="1" applyAlignment="1">
      <alignment horizontal="left" vertical="top" wrapText="1"/>
    </xf>
    <xf numFmtId="0" fontId="2" fillId="0" borderId="0" xfId="0" applyFont="1" applyAlignment="1">
      <alignment horizontal="right" vertical="top" wrapText="1"/>
    </xf>
    <xf numFmtId="0" fontId="2" fillId="2" borderId="0" xfId="0" applyFont="1" applyFill="1" applyAlignment="1">
      <alignment horizontal="right" vertical="top" wrapText="1"/>
    </xf>
    <xf numFmtId="0" fontId="2" fillId="0" borderId="0" xfId="0" applyFont="1" applyAlignment="1">
      <alignment horizontal="left" vertical="top" wrapText="1"/>
    </xf>
    <xf numFmtId="0" fontId="2" fillId="2" borderId="0" xfId="0" applyFont="1" applyFill="1" applyAlignment="1">
      <alignment horizontal="left" vertical="top" wrapText="1"/>
    </xf>
    <xf numFmtId="0" fontId="0" fillId="0" borderId="0" xfId="0" applyAlignment="1">
      <alignment horizontal="center" vertical="center" wrapText="1"/>
    </xf>
    <xf numFmtId="0" fontId="3" fillId="2" borderId="1" xfId="0" applyFont="1" applyFill="1" applyBorder="1" applyAlignment="1">
      <alignment horizontal="left" vertical="top" wrapText="1"/>
    </xf>
    <xf numFmtId="0" fontId="0" fillId="2" borderId="1" xfId="0" applyFill="1" applyBorder="1" applyAlignment="1">
      <alignment horizontal="left" vertical="top" wrapText="1"/>
    </xf>
    <xf numFmtId="0" fontId="3" fillId="2" borderId="1" xfId="0" applyFont="1" applyFill="1" applyBorder="1" applyAlignment="1">
      <alignment horizontal="right" vertical="top" wrapText="1"/>
    </xf>
    <xf numFmtId="0" fontId="4" fillId="0" borderId="0" xfId="0" applyFont="1" applyAlignment="1">
      <alignment horizontal="left" vertical="top" wrapText="1"/>
    </xf>
    <xf numFmtId="0" fontId="4" fillId="3" borderId="2" xfId="0" applyFont="1" applyFill="1" applyBorder="1" applyAlignment="1">
      <alignment horizontal="left" vertical="top" wrapText="1"/>
    </xf>
    <xf numFmtId="0" fontId="0" fillId="3" borderId="2" xfId="0" applyFill="1" applyBorder="1" applyAlignment="1">
      <alignment horizontal="left" vertical="top" wrapText="1"/>
    </xf>
    <xf numFmtId="4" fontId="4" fillId="3" borderId="2" xfId="0" applyNumberFormat="1" applyFont="1" applyFill="1" applyBorder="1" applyAlignment="1">
      <alignment horizontal="right" vertical="top" wrapText="1"/>
    </xf>
    <xf numFmtId="0" fontId="4" fillId="4" borderId="0" xfId="0" applyFont="1" applyFill="1" applyAlignment="1">
      <alignment horizontal="left" vertical="top" wrapText="1"/>
    </xf>
    <xf numFmtId="0" fontId="0" fillId="4" borderId="0" xfId="0" applyFill="1" applyAlignment="1">
      <alignment horizontal="left" vertical="top" wrapText="1"/>
    </xf>
    <xf numFmtId="4" fontId="4" fillId="4" borderId="0" xfId="0" applyNumberFormat="1" applyFont="1" applyFill="1" applyAlignment="1">
      <alignment horizontal="right" vertical="top" wrapText="1"/>
    </xf>
    <xf numFmtId="164" fontId="2" fillId="0" borderId="0" xfId="0" applyNumberFormat="1" applyFont="1" applyAlignment="1">
      <alignment horizontal="right" vertical="top" wrapText="1"/>
    </xf>
    <xf numFmtId="4" fontId="2" fillId="0" borderId="0" xfId="0" applyNumberFormat="1" applyFont="1" applyAlignment="1">
      <alignment horizontal="right" vertical="top" wrapText="1"/>
    </xf>
    <xf numFmtId="0" fontId="5" fillId="0" borderId="3" xfId="0" applyFont="1" applyBorder="1" applyAlignment="1">
      <alignment horizontal="left" vertical="top" wrapText="1"/>
    </xf>
    <xf numFmtId="0" fontId="5" fillId="0" borderId="0" xfId="0" applyFont="1" applyAlignment="1">
      <alignment horizontal="right" vertical="top" wrapText="1"/>
    </xf>
    <xf numFmtId="0" fontId="5" fillId="0" borderId="3" xfId="0" applyFont="1" applyBorder="1" applyAlignment="1">
      <alignment horizontal="right" vertical="top" wrapText="1"/>
    </xf>
    <xf numFmtId="0" fontId="5" fillId="0" borderId="0" xfId="0" applyFont="1" applyAlignment="1">
      <alignment horizontal="left" vertical="top" wrapText="1"/>
    </xf>
    <xf numFmtId="0" fontId="2" fillId="0" borderId="4" xfId="0" applyFont="1" applyBorder="1" applyAlignment="1">
      <alignment horizontal="left" vertical="top" wrapText="1"/>
    </xf>
    <xf numFmtId="0" fontId="2" fillId="0" borderId="4" xfId="0" applyFont="1" applyBorder="1" applyAlignment="1">
      <alignment horizontal="right" vertical="top" wrapText="1"/>
    </xf>
    <xf numFmtId="164" fontId="2" fillId="0" borderId="4" xfId="0" applyNumberFormat="1" applyFont="1" applyBorder="1" applyAlignment="1">
      <alignment horizontal="right" vertical="top" wrapText="1"/>
    </xf>
    <xf numFmtId="164" fontId="5" fillId="0" borderId="0" xfId="0" applyNumberFormat="1" applyFont="1" applyAlignment="1">
      <alignment horizontal="right" vertical="top" wrapText="1"/>
    </xf>
    <xf numFmtId="164" fontId="5" fillId="0" borderId="4" xfId="0" applyNumberFormat="1" applyFont="1" applyBorder="1" applyAlignment="1">
      <alignment horizontal="right" vertical="top" wrapText="1"/>
    </xf>
    <xf numFmtId="164" fontId="6" fillId="0" borderId="0" xfId="0" applyNumberFormat="1" applyFont="1" applyAlignment="1">
      <alignment horizontal="right" vertical="top" wrapText="1"/>
    </xf>
    <xf numFmtId="164" fontId="6" fillId="0" borderId="4" xfId="0" applyNumberFormat="1" applyFont="1" applyBorder="1" applyAlignment="1">
      <alignment horizontal="right" vertical="top" wrapText="1"/>
    </xf>
    <xf numFmtId="0" fontId="0" fillId="0" borderId="1" xfId="0" applyBorder="1" applyAlignment="1">
      <alignment horizontal="center" vertical="center" wrapText="1"/>
    </xf>
    <xf numFmtId="0" fontId="4" fillId="4" borderId="1" xfId="0" applyFont="1" applyFill="1" applyBorder="1" applyAlignment="1">
      <alignment horizontal="left" vertical="top" wrapText="1"/>
    </xf>
    <xf numFmtId="0" fontId="0" fillId="4" borderId="1" xfId="0" applyFill="1" applyBorder="1" applyAlignment="1">
      <alignment horizontal="left" vertical="top" wrapText="1"/>
    </xf>
    <xf numFmtId="4" fontId="4" fillId="4" borderId="1" xfId="0" applyNumberFormat="1" applyFont="1" applyFill="1" applyBorder="1" applyAlignment="1">
      <alignment horizontal="right" vertical="top" wrapText="1"/>
    </xf>
    <xf numFmtId="0" fontId="4" fillId="4" borderId="2" xfId="0" applyFont="1" applyFill="1" applyBorder="1" applyAlignment="1">
      <alignment horizontal="left" vertical="top" wrapText="1"/>
    </xf>
    <xf numFmtId="0" fontId="0" fillId="4" borderId="2" xfId="0" applyFill="1" applyBorder="1" applyAlignment="1">
      <alignment horizontal="left" vertical="top" wrapText="1"/>
    </xf>
    <xf numFmtId="4" fontId="4" fillId="4" borderId="2" xfId="0" applyNumberFormat="1" applyFont="1" applyFill="1" applyBorder="1" applyAlignment="1">
      <alignment horizontal="right" vertical="top" wrapText="1"/>
    </xf>
    <xf numFmtId="0" fontId="0" fillId="0" borderId="4" xfId="0" applyBorder="1" applyAlignment="1">
      <alignment horizontal="center" vertical="center" wrapText="1"/>
    </xf>
    <xf numFmtId="0" fontId="5" fillId="0" borderId="4" xfId="0" applyFont="1" applyBorder="1" applyAlignment="1">
      <alignment horizontal="right" vertical="top" wrapText="1"/>
    </xf>
    <xf numFmtId="0" fontId="0" fillId="0" borderId="5" xfId="0" applyBorder="1" applyAlignment="1">
      <alignment horizontal="center" vertical="center" wrapText="1"/>
    </xf>
    <xf numFmtId="0" fontId="4" fillId="3" borderId="5" xfId="0" applyFont="1" applyFill="1" applyBorder="1" applyAlignment="1">
      <alignment horizontal="left" vertical="top" wrapText="1"/>
    </xf>
    <xf numFmtId="0" fontId="0" fillId="3" borderId="5" xfId="0" applyFill="1" applyBorder="1" applyAlignment="1">
      <alignment horizontal="left" vertical="top" wrapText="1"/>
    </xf>
    <xf numFmtId="4" fontId="4" fillId="3" borderId="5" xfId="0" applyNumberFormat="1" applyFont="1" applyFill="1" applyBorder="1" applyAlignment="1">
      <alignment horizontal="right" vertical="top" wrapText="1"/>
    </xf>
    <xf numFmtId="0" fontId="1" fillId="2" borderId="0" xfId="0" applyFont="1" applyFill="1" applyAlignment="1">
      <alignment horizontal="left" vertical="top" wrapText="1"/>
    </xf>
    <xf numFmtId="0" fontId="4" fillId="3" borderId="2" xfId="0" applyFont="1" applyFill="1" applyBorder="1" applyAlignment="1">
      <alignment horizontal="justify" vertical="top" wrapText="1"/>
    </xf>
    <xf numFmtId="0" fontId="4" fillId="4" borderId="0" xfId="0" applyFont="1" applyFill="1" applyAlignment="1">
      <alignment horizontal="justify" vertical="top" wrapText="1"/>
    </xf>
    <xf numFmtId="0" fontId="2" fillId="0" borderId="0" xfId="0" applyFont="1" applyAlignment="1">
      <alignment horizontal="justify" vertical="top" wrapText="1"/>
    </xf>
    <xf numFmtId="0" fontId="4" fillId="4" borderId="2" xfId="0" applyFont="1" applyFill="1" applyBorder="1" applyAlignment="1">
      <alignment horizontal="justify" vertical="top"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38"/>
  <sheetViews>
    <sheetView tabSelected="1" view="pageLayout" workbookViewId="0"/>
  </sheetViews>
  <sheetFormatPr defaultColWidth="11.19921875" defaultRowHeight="15" x14ac:dyDescent="0.2"/>
  <cols>
    <col min="1" max="1" width="6.59765625" customWidth="1"/>
    <col min="2" max="2" width="5.796875" customWidth="1"/>
    <col min="3" max="3" width="2.796875" customWidth="1"/>
    <col min="4" max="4" width="15.69921875" customWidth="1"/>
    <col min="5" max="5" width="9.19921875" customWidth="1"/>
    <col min="6" max="7" width="5" customWidth="1"/>
    <col min="8" max="8" width="5.09765625" customWidth="1"/>
    <col min="9" max="9" width="4.3984375" customWidth="1"/>
    <col min="10" max="10" width="5.5" customWidth="1"/>
    <col min="11" max="13" width="7.19921875" customWidth="1"/>
    <col min="14" max="14" width="11.09765625" customWidth="1"/>
  </cols>
  <sheetData>
    <row r="1" spans="1:14" ht="17.850000000000001" customHeight="1" thickBot="1" x14ac:dyDescent="0.25">
      <c r="A1" s="1" t="s">
        <v>0</v>
      </c>
      <c r="B1" s="45" t="s">
        <v>1</v>
      </c>
      <c r="C1" s="45"/>
      <c r="D1" s="45"/>
      <c r="E1" s="45"/>
      <c r="F1" s="45"/>
      <c r="G1" s="45"/>
      <c r="H1" s="45"/>
      <c r="I1" s="45"/>
      <c r="J1" s="45"/>
      <c r="K1" s="45"/>
      <c r="L1" s="45"/>
      <c r="M1" s="45"/>
      <c r="N1" s="2"/>
    </row>
    <row r="2" spans="1:14" ht="17.850000000000001" customHeight="1" thickBot="1" x14ac:dyDescent="0.25">
      <c r="A2" s="45" t="s">
        <v>2</v>
      </c>
      <c r="B2" s="45"/>
      <c r="C2" s="45"/>
      <c r="D2" s="3"/>
      <c r="E2" s="3"/>
      <c r="F2" s="3"/>
      <c r="G2" s="3"/>
      <c r="H2" s="3"/>
      <c r="I2" s="3"/>
      <c r="J2" s="3"/>
      <c r="K2" s="3"/>
      <c r="L2" s="5" t="s">
        <v>3</v>
      </c>
      <c r="M2" s="7">
        <v>3</v>
      </c>
      <c r="N2" s="8"/>
    </row>
    <row r="3" spans="1:14" ht="16.7" customHeight="1" thickBot="1" x14ac:dyDescent="0.25">
      <c r="A3" s="9" t="s">
        <v>4</v>
      </c>
      <c r="B3" s="9" t="s">
        <v>5</v>
      </c>
      <c r="C3" s="9" t="s">
        <v>6</v>
      </c>
      <c r="D3" s="9" t="s">
        <v>7</v>
      </c>
      <c r="E3" s="10"/>
      <c r="F3" s="10"/>
      <c r="G3" s="10"/>
      <c r="H3" s="10"/>
      <c r="I3" s="10"/>
      <c r="J3" s="10"/>
      <c r="K3" s="11" t="s">
        <v>8</v>
      </c>
      <c r="L3" s="11" t="s">
        <v>9</v>
      </c>
      <c r="M3" s="11" t="s">
        <v>10</v>
      </c>
      <c r="N3" s="8"/>
    </row>
    <row r="4" spans="1:14" ht="25.15" customHeight="1" thickBot="1" x14ac:dyDescent="0.25">
      <c r="A4" s="13" t="s">
        <v>11</v>
      </c>
      <c r="B4" s="13" t="s">
        <v>12</v>
      </c>
      <c r="C4" s="14"/>
      <c r="D4" s="46" t="s">
        <v>13</v>
      </c>
      <c r="E4" s="46"/>
      <c r="F4" s="46"/>
      <c r="G4" s="46"/>
      <c r="H4" s="46"/>
      <c r="I4" s="46"/>
      <c r="J4" s="46"/>
      <c r="K4" s="14"/>
      <c r="L4" s="15">
        <f>L638</f>
        <v>189301.28</v>
      </c>
      <c r="M4" s="15">
        <f>ROUND(L4,2)</f>
        <v>189301.28</v>
      </c>
      <c r="N4" s="8"/>
    </row>
    <row r="5" spans="1:14" ht="15.4" customHeight="1" thickBot="1" x14ac:dyDescent="0.25">
      <c r="A5" s="16" t="s">
        <v>14</v>
      </c>
      <c r="B5" s="16" t="s">
        <v>15</v>
      </c>
      <c r="C5" s="17"/>
      <c r="D5" s="47" t="s">
        <v>16</v>
      </c>
      <c r="E5" s="47"/>
      <c r="F5" s="47"/>
      <c r="G5" s="47"/>
      <c r="H5" s="47"/>
      <c r="I5" s="47"/>
      <c r="J5" s="47"/>
      <c r="K5" s="17"/>
      <c r="L5" s="18">
        <f>L44</f>
        <v>16954.669999999998</v>
      </c>
      <c r="M5" s="18">
        <f>ROUND(L5,2)</f>
        <v>16954.669999999998</v>
      </c>
      <c r="N5" s="8"/>
    </row>
    <row r="6" spans="1:14" ht="15.4" customHeight="1" thickBot="1" x14ac:dyDescent="0.25">
      <c r="A6" s="12" t="s">
        <v>17</v>
      </c>
      <c r="B6" s="6" t="s">
        <v>18</v>
      </c>
      <c r="C6" s="6" t="s">
        <v>19</v>
      </c>
      <c r="D6" s="48" t="s">
        <v>20</v>
      </c>
      <c r="E6" s="48"/>
      <c r="F6" s="48"/>
      <c r="G6" s="48"/>
      <c r="H6" s="48"/>
      <c r="I6" s="48"/>
      <c r="J6" s="48"/>
      <c r="K6" s="19">
        <f>SUM(K9:K9)</f>
        <v>1</v>
      </c>
      <c r="L6" s="20">
        <f>ROUND(4230.29*(1+M2/100),2)</f>
        <v>4357.2</v>
      </c>
      <c r="M6" s="20">
        <f>ROUND(K6*L6,2)</f>
        <v>4357.2</v>
      </c>
      <c r="N6" s="8"/>
    </row>
    <row r="7" spans="1:14" ht="39.75" customHeight="1" thickBot="1" x14ac:dyDescent="0.25">
      <c r="A7" s="8"/>
      <c r="B7" s="8"/>
      <c r="C7" s="8"/>
      <c r="D7" s="48" t="s">
        <v>21</v>
      </c>
      <c r="E7" s="48"/>
      <c r="F7" s="48"/>
      <c r="G7" s="48"/>
      <c r="H7" s="48"/>
      <c r="I7" s="48"/>
      <c r="J7" s="48"/>
      <c r="K7" s="48"/>
      <c r="L7" s="48"/>
      <c r="M7" s="48"/>
      <c r="N7" s="8"/>
    </row>
    <row r="8" spans="1:14" ht="15.2" customHeight="1" thickBot="1" x14ac:dyDescent="0.25">
      <c r="A8" s="8"/>
      <c r="B8" s="8"/>
      <c r="C8" s="8"/>
      <c r="D8" s="8"/>
      <c r="E8" s="21"/>
      <c r="F8" s="23" t="s">
        <v>22</v>
      </c>
      <c r="G8" s="23" t="s">
        <v>23</v>
      </c>
      <c r="H8" s="23" t="s">
        <v>24</v>
      </c>
      <c r="I8" s="23" t="s">
        <v>25</v>
      </c>
      <c r="J8" s="23" t="s">
        <v>26</v>
      </c>
      <c r="K8" s="23" t="s">
        <v>27</v>
      </c>
      <c r="L8" s="8"/>
      <c r="M8" s="8"/>
      <c r="N8" s="8"/>
    </row>
    <row r="9" spans="1:14" ht="15.2" customHeight="1" thickBot="1" x14ac:dyDescent="0.25">
      <c r="A9" s="8"/>
      <c r="B9" s="8"/>
      <c r="C9" s="8"/>
      <c r="D9" s="24"/>
      <c r="E9" s="25" t="s">
        <v>28</v>
      </c>
      <c r="F9" s="26">
        <v>1</v>
      </c>
      <c r="G9" s="27"/>
      <c r="H9" s="27"/>
      <c r="I9" s="27"/>
      <c r="J9" s="29">
        <f>ROUND(F9,3)</f>
        <v>1</v>
      </c>
      <c r="K9" s="31">
        <f>SUM(J9:J9)</f>
        <v>1</v>
      </c>
      <c r="L9" s="8"/>
      <c r="M9" s="8"/>
      <c r="N9" s="8"/>
    </row>
    <row r="10" spans="1:14" ht="15.4" customHeight="1" thickBot="1" x14ac:dyDescent="0.25">
      <c r="A10" s="12" t="s">
        <v>29</v>
      </c>
      <c r="B10" s="6" t="s">
        <v>30</v>
      </c>
      <c r="C10" s="6" t="s">
        <v>31</v>
      </c>
      <c r="D10" s="48" t="s">
        <v>32</v>
      </c>
      <c r="E10" s="48"/>
      <c r="F10" s="48"/>
      <c r="G10" s="48"/>
      <c r="H10" s="48"/>
      <c r="I10" s="48"/>
      <c r="J10" s="48"/>
      <c r="K10" s="19">
        <f>SUM(K13:K13)</f>
        <v>1</v>
      </c>
      <c r="L10" s="20">
        <f>ROUND(2970.6*(1+M2/100),2)</f>
        <v>3059.72</v>
      </c>
      <c r="M10" s="20">
        <f>ROUND(K10*L10,2)</f>
        <v>3059.72</v>
      </c>
      <c r="N10" s="8"/>
    </row>
    <row r="11" spans="1:14" ht="49.15" customHeight="1" thickBot="1" x14ac:dyDescent="0.25">
      <c r="A11" s="8"/>
      <c r="B11" s="8"/>
      <c r="C11" s="8"/>
      <c r="D11" s="48" t="s">
        <v>33</v>
      </c>
      <c r="E11" s="48"/>
      <c r="F11" s="48"/>
      <c r="G11" s="48"/>
      <c r="H11" s="48"/>
      <c r="I11" s="48"/>
      <c r="J11" s="48"/>
      <c r="K11" s="48"/>
      <c r="L11" s="48"/>
      <c r="M11" s="48"/>
      <c r="N11" s="8"/>
    </row>
    <row r="12" spans="1:14" ht="15.2" customHeight="1" thickBot="1" x14ac:dyDescent="0.25">
      <c r="A12" s="8"/>
      <c r="B12" s="8"/>
      <c r="C12" s="8"/>
      <c r="D12" s="8"/>
      <c r="E12" s="21"/>
      <c r="F12" s="23" t="s">
        <v>34</v>
      </c>
      <c r="G12" s="23" t="s">
        <v>35</v>
      </c>
      <c r="H12" s="23" t="s">
        <v>36</v>
      </c>
      <c r="I12" s="23" t="s">
        <v>37</v>
      </c>
      <c r="J12" s="23" t="s">
        <v>38</v>
      </c>
      <c r="K12" s="23" t="s">
        <v>39</v>
      </c>
      <c r="L12" s="8"/>
      <c r="M12" s="8"/>
      <c r="N12" s="8"/>
    </row>
    <row r="13" spans="1:14" ht="15.2" customHeight="1" thickBot="1" x14ac:dyDescent="0.25">
      <c r="A13" s="8"/>
      <c r="B13" s="8"/>
      <c r="C13" s="8"/>
      <c r="D13" s="24"/>
      <c r="E13" s="25" t="s">
        <v>40</v>
      </c>
      <c r="F13" s="26">
        <v>1</v>
      </c>
      <c r="G13" s="27"/>
      <c r="H13" s="27"/>
      <c r="I13" s="27"/>
      <c r="J13" s="29">
        <f>ROUND(F13,3)</f>
        <v>1</v>
      </c>
      <c r="K13" s="31">
        <f>SUM(J13:J13)</f>
        <v>1</v>
      </c>
      <c r="L13" s="8"/>
      <c r="M13" s="8"/>
      <c r="N13" s="8"/>
    </row>
    <row r="14" spans="1:14" ht="15.4" customHeight="1" thickBot="1" x14ac:dyDescent="0.25">
      <c r="A14" s="12" t="s">
        <v>41</v>
      </c>
      <c r="B14" s="6" t="s">
        <v>42</v>
      </c>
      <c r="C14" s="6" t="s">
        <v>43</v>
      </c>
      <c r="D14" s="48" t="s">
        <v>44</v>
      </c>
      <c r="E14" s="48"/>
      <c r="F14" s="48"/>
      <c r="G14" s="48"/>
      <c r="H14" s="48"/>
      <c r="I14" s="48"/>
      <c r="J14" s="48"/>
      <c r="K14" s="19">
        <f>SUM(K17:K17)</f>
        <v>1</v>
      </c>
      <c r="L14" s="20">
        <f>ROUND(2218.55*(1+M2/100),2)</f>
        <v>2285.11</v>
      </c>
      <c r="M14" s="20">
        <f>ROUND(K14*L14,2)</f>
        <v>2285.11</v>
      </c>
      <c r="N14" s="8"/>
    </row>
    <row r="15" spans="1:14" ht="39.75" customHeight="1" thickBot="1" x14ac:dyDescent="0.25">
      <c r="A15" s="8"/>
      <c r="B15" s="8"/>
      <c r="C15" s="8"/>
      <c r="D15" s="48" t="s">
        <v>45</v>
      </c>
      <c r="E15" s="48"/>
      <c r="F15" s="48"/>
      <c r="G15" s="48"/>
      <c r="H15" s="48"/>
      <c r="I15" s="48"/>
      <c r="J15" s="48"/>
      <c r="K15" s="48"/>
      <c r="L15" s="48"/>
      <c r="M15" s="48"/>
      <c r="N15" s="8"/>
    </row>
    <row r="16" spans="1:14" ht="15.2" customHeight="1" thickBot="1" x14ac:dyDescent="0.25">
      <c r="A16" s="8"/>
      <c r="B16" s="8"/>
      <c r="C16" s="8"/>
      <c r="D16" s="8"/>
      <c r="E16" s="21"/>
      <c r="F16" s="23" t="s">
        <v>46</v>
      </c>
      <c r="G16" s="23" t="s">
        <v>47</v>
      </c>
      <c r="H16" s="23" t="s">
        <v>48</v>
      </c>
      <c r="I16" s="23" t="s">
        <v>49</v>
      </c>
      <c r="J16" s="23" t="s">
        <v>50</v>
      </c>
      <c r="K16" s="23" t="s">
        <v>51</v>
      </c>
      <c r="L16" s="8"/>
      <c r="M16" s="8"/>
      <c r="N16" s="8"/>
    </row>
    <row r="17" spans="1:14" ht="15.2" customHeight="1" thickBot="1" x14ac:dyDescent="0.25">
      <c r="A17" s="8"/>
      <c r="B17" s="8"/>
      <c r="C17" s="8"/>
      <c r="D17" s="24"/>
      <c r="E17" s="25" t="s">
        <v>52</v>
      </c>
      <c r="F17" s="26">
        <v>1</v>
      </c>
      <c r="G17" s="27"/>
      <c r="H17" s="27"/>
      <c r="I17" s="27"/>
      <c r="J17" s="29">
        <f>ROUND(F17,3)</f>
        <v>1</v>
      </c>
      <c r="K17" s="31">
        <f>SUM(J17:J17)</f>
        <v>1</v>
      </c>
      <c r="L17" s="8"/>
      <c r="M17" s="8"/>
      <c r="N17" s="8"/>
    </row>
    <row r="18" spans="1:14" ht="15.4" customHeight="1" thickBot="1" x14ac:dyDescent="0.25">
      <c r="A18" s="12" t="s">
        <v>53</v>
      </c>
      <c r="B18" s="6" t="s">
        <v>54</v>
      </c>
      <c r="C18" s="6" t="s">
        <v>55</v>
      </c>
      <c r="D18" s="48" t="s">
        <v>56</v>
      </c>
      <c r="E18" s="48"/>
      <c r="F18" s="48"/>
      <c r="G18" s="48"/>
      <c r="H18" s="48"/>
      <c r="I18" s="48"/>
      <c r="J18" s="48"/>
      <c r="K18" s="19">
        <f>SUM(K21:K21)</f>
        <v>1</v>
      </c>
      <c r="L18" s="20">
        <f>ROUND(2632.19*(1+M2/100),2)</f>
        <v>2711.16</v>
      </c>
      <c r="M18" s="20">
        <f>ROUND(K18*L18,2)</f>
        <v>2711.16</v>
      </c>
      <c r="N18" s="8"/>
    </row>
    <row r="19" spans="1:14" ht="39.75" customHeight="1" thickBot="1" x14ac:dyDescent="0.25">
      <c r="A19" s="8"/>
      <c r="B19" s="8"/>
      <c r="C19" s="8"/>
      <c r="D19" s="48" t="s">
        <v>57</v>
      </c>
      <c r="E19" s="48"/>
      <c r="F19" s="48"/>
      <c r="G19" s="48"/>
      <c r="H19" s="48"/>
      <c r="I19" s="48"/>
      <c r="J19" s="48"/>
      <c r="K19" s="48"/>
      <c r="L19" s="48"/>
      <c r="M19" s="48"/>
      <c r="N19" s="8"/>
    </row>
    <row r="20" spans="1:14" ht="15.2" customHeight="1" thickBot="1" x14ac:dyDescent="0.25">
      <c r="A20" s="8"/>
      <c r="B20" s="8"/>
      <c r="C20" s="8"/>
      <c r="D20" s="8"/>
      <c r="E20" s="21"/>
      <c r="F20" s="23" t="s">
        <v>58</v>
      </c>
      <c r="G20" s="23" t="s">
        <v>59</v>
      </c>
      <c r="H20" s="23" t="s">
        <v>60</v>
      </c>
      <c r="I20" s="23" t="s">
        <v>61</v>
      </c>
      <c r="J20" s="23" t="s">
        <v>62</v>
      </c>
      <c r="K20" s="23" t="s">
        <v>63</v>
      </c>
      <c r="L20" s="8"/>
      <c r="M20" s="8"/>
      <c r="N20" s="8"/>
    </row>
    <row r="21" spans="1:14" ht="15.2" customHeight="1" thickBot="1" x14ac:dyDescent="0.25">
      <c r="A21" s="8"/>
      <c r="B21" s="8"/>
      <c r="C21" s="8"/>
      <c r="D21" s="24"/>
      <c r="E21" s="25" t="s">
        <v>64</v>
      </c>
      <c r="F21" s="26">
        <v>1</v>
      </c>
      <c r="G21" s="27"/>
      <c r="H21" s="27"/>
      <c r="I21" s="27"/>
      <c r="J21" s="29">
        <f>ROUND(F21,3)</f>
        <v>1</v>
      </c>
      <c r="K21" s="31">
        <f>SUM(J21:J21)</f>
        <v>1</v>
      </c>
      <c r="L21" s="8"/>
      <c r="M21" s="8"/>
      <c r="N21" s="8"/>
    </row>
    <row r="22" spans="1:14" ht="15.4" customHeight="1" thickBot="1" x14ac:dyDescent="0.25">
      <c r="A22" s="12" t="s">
        <v>65</v>
      </c>
      <c r="B22" s="6" t="s">
        <v>66</v>
      </c>
      <c r="C22" s="6" t="s">
        <v>67</v>
      </c>
      <c r="D22" s="48" t="s">
        <v>68</v>
      </c>
      <c r="E22" s="48"/>
      <c r="F22" s="48"/>
      <c r="G22" s="48"/>
      <c r="H22" s="48"/>
      <c r="I22" s="48"/>
      <c r="J22" s="48"/>
      <c r="K22" s="19">
        <f>SUM(K25:K25)</f>
        <v>1</v>
      </c>
      <c r="L22" s="20">
        <f>ROUND(1109.59*(1+M2/100),2)</f>
        <v>1142.8800000000001</v>
      </c>
      <c r="M22" s="20">
        <f>ROUND(K22*L22,2)</f>
        <v>1142.8800000000001</v>
      </c>
      <c r="N22" s="8"/>
    </row>
    <row r="23" spans="1:14" ht="95.25" customHeight="1" thickBot="1" x14ac:dyDescent="0.25">
      <c r="A23" s="8"/>
      <c r="B23" s="8"/>
      <c r="C23" s="8"/>
      <c r="D23" s="48" t="s">
        <v>69</v>
      </c>
      <c r="E23" s="48"/>
      <c r="F23" s="48"/>
      <c r="G23" s="48"/>
      <c r="H23" s="48"/>
      <c r="I23" s="48"/>
      <c r="J23" s="48"/>
      <c r="K23" s="48"/>
      <c r="L23" s="48"/>
      <c r="M23" s="48"/>
      <c r="N23" s="8"/>
    </row>
    <row r="24" spans="1:14" ht="15.2" customHeight="1" thickBot="1" x14ac:dyDescent="0.25">
      <c r="A24" s="8"/>
      <c r="B24" s="8"/>
      <c r="C24" s="8"/>
      <c r="D24" s="8"/>
      <c r="E24" s="21"/>
      <c r="F24" s="23" t="s">
        <v>70</v>
      </c>
      <c r="G24" s="23" t="s">
        <v>71</v>
      </c>
      <c r="H24" s="23" t="s">
        <v>72</v>
      </c>
      <c r="I24" s="23" t="s">
        <v>73</v>
      </c>
      <c r="J24" s="23" t="s">
        <v>74</v>
      </c>
      <c r="K24" s="23" t="s">
        <v>75</v>
      </c>
      <c r="L24" s="8"/>
      <c r="M24" s="8"/>
      <c r="N24" s="8"/>
    </row>
    <row r="25" spans="1:14" ht="15.2" customHeight="1" thickBot="1" x14ac:dyDescent="0.25">
      <c r="A25" s="8"/>
      <c r="B25" s="8"/>
      <c r="C25" s="8"/>
      <c r="D25" s="24"/>
      <c r="E25" s="25" t="s">
        <v>76</v>
      </c>
      <c r="F25" s="26">
        <v>1</v>
      </c>
      <c r="G25" s="27"/>
      <c r="H25" s="27"/>
      <c r="I25" s="27"/>
      <c r="J25" s="29">
        <f>ROUND(F25,3)</f>
        <v>1</v>
      </c>
      <c r="K25" s="31">
        <f>SUM(J25:J25)</f>
        <v>1</v>
      </c>
      <c r="L25" s="8"/>
      <c r="M25" s="8"/>
      <c r="N25" s="8"/>
    </row>
    <row r="26" spans="1:14" ht="15.4" customHeight="1" thickBot="1" x14ac:dyDescent="0.25">
      <c r="A26" s="12" t="s">
        <v>77</v>
      </c>
      <c r="B26" s="6" t="s">
        <v>78</v>
      </c>
      <c r="C26" s="6" t="s">
        <v>79</v>
      </c>
      <c r="D26" s="48" t="s">
        <v>80</v>
      </c>
      <c r="E26" s="48"/>
      <c r="F26" s="48"/>
      <c r="G26" s="48"/>
      <c r="H26" s="48"/>
      <c r="I26" s="48"/>
      <c r="J26" s="48"/>
      <c r="K26" s="19">
        <f>SUM(K29:K29)</f>
        <v>1</v>
      </c>
      <c r="L26" s="20">
        <f>ROUND(732.33*(1+M2/100),2)</f>
        <v>754.3</v>
      </c>
      <c r="M26" s="20">
        <f>ROUND(K26*L26,2)</f>
        <v>754.3</v>
      </c>
      <c r="N26" s="8"/>
    </row>
    <row r="27" spans="1:14" ht="95.25" customHeight="1" thickBot="1" x14ac:dyDescent="0.25">
      <c r="A27" s="8"/>
      <c r="B27" s="8"/>
      <c r="C27" s="8"/>
      <c r="D27" s="48" t="s">
        <v>81</v>
      </c>
      <c r="E27" s="48"/>
      <c r="F27" s="48"/>
      <c r="G27" s="48"/>
      <c r="H27" s="48"/>
      <c r="I27" s="48"/>
      <c r="J27" s="48"/>
      <c r="K27" s="48"/>
      <c r="L27" s="48"/>
      <c r="M27" s="48"/>
      <c r="N27" s="8"/>
    </row>
    <row r="28" spans="1:14" ht="15.2" customHeight="1" thickBot="1" x14ac:dyDescent="0.25">
      <c r="A28" s="8"/>
      <c r="B28" s="8"/>
      <c r="C28" s="8"/>
      <c r="D28" s="8"/>
      <c r="E28" s="21"/>
      <c r="F28" s="23" t="s">
        <v>82</v>
      </c>
      <c r="G28" s="23" t="s">
        <v>83</v>
      </c>
      <c r="H28" s="23" t="s">
        <v>84</v>
      </c>
      <c r="I28" s="23" t="s">
        <v>85</v>
      </c>
      <c r="J28" s="23" t="s">
        <v>86</v>
      </c>
      <c r="K28" s="23" t="s">
        <v>87</v>
      </c>
      <c r="L28" s="8"/>
      <c r="M28" s="8"/>
      <c r="N28" s="8"/>
    </row>
    <row r="29" spans="1:14" ht="15.2" customHeight="1" thickBot="1" x14ac:dyDescent="0.25">
      <c r="A29" s="8"/>
      <c r="B29" s="8"/>
      <c r="C29" s="8"/>
      <c r="D29" s="24"/>
      <c r="E29" s="25" t="s">
        <v>88</v>
      </c>
      <c r="F29" s="26">
        <v>1</v>
      </c>
      <c r="G29" s="27"/>
      <c r="H29" s="27"/>
      <c r="I29" s="27"/>
      <c r="J29" s="29">
        <f>ROUND(F29,3)</f>
        <v>1</v>
      </c>
      <c r="K29" s="31">
        <f>SUM(J29:J29)</f>
        <v>1</v>
      </c>
      <c r="L29" s="8"/>
      <c r="M29" s="8"/>
      <c r="N29" s="8"/>
    </row>
    <row r="30" spans="1:14" ht="15.4" customHeight="1" thickBot="1" x14ac:dyDescent="0.25">
      <c r="A30" s="12" t="s">
        <v>89</v>
      </c>
      <c r="B30" s="6" t="s">
        <v>90</v>
      </c>
      <c r="C30" s="6" t="s">
        <v>91</v>
      </c>
      <c r="D30" s="48" t="s">
        <v>92</v>
      </c>
      <c r="E30" s="48"/>
      <c r="F30" s="48"/>
      <c r="G30" s="48"/>
      <c r="H30" s="48"/>
      <c r="I30" s="48"/>
      <c r="J30" s="48"/>
      <c r="K30" s="19">
        <f>SUM(K33:K33)</f>
        <v>1</v>
      </c>
      <c r="L30" s="20">
        <f>ROUND(510.41*(1+M2/100),2)</f>
        <v>525.72</v>
      </c>
      <c r="M30" s="20">
        <f>ROUND(K30*L30,2)</f>
        <v>525.72</v>
      </c>
      <c r="N30" s="8"/>
    </row>
    <row r="31" spans="1:14" ht="95.25" customHeight="1" thickBot="1" x14ac:dyDescent="0.25">
      <c r="A31" s="8"/>
      <c r="B31" s="8"/>
      <c r="C31" s="8"/>
      <c r="D31" s="48" t="s">
        <v>93</v>
      </c>
      <c r="E31" s="48"/>
      <c r="F31" s="48"/>
      <c r="G31" s="48"/>
      <c r="H31" s="48"/>
      <c r="I31" s="48"/>
      <c r="J31" s="48"/>
      <c r="K31" s="48"/>
      <c r="L31" s="48"/>
      <c r="M31" s="48"/>
      <c r="N31" s="8"/>
    </row>
    <row r="32" spans="1:14" ht="15.2" customHeight="1" thickBot="1" x14ac:dyDescent="0.25">
      <c r="A32" s="8"/>
      <c r="B32" s="8"/>
      <c r="C32" s="8"/>
      <c r="D32" s="8"/>
      <c r="E32" s="21"/>
      <c r="F32" s="23" t="s">
        <v>94</v>
      </c>
      <c r="G32" s="23" t="s">
        <v>95</v>
      </c>
      <c r="H32" s="23" t="s">
        <v>96</v>
      </c>
      <c r="I32" s="23" t="s">
        <v>97</v>
      </c>
      <c r="J32" s="23" t="s">
        <v>98</v>
      </c>
      <c r="K32" s="23" t="s">
        <v>99</v>
      </c>
      <c r="L32" s="8"/>
      <c r="M32" s="8"/>
      <c r="N32" s="8"/>
    </row>
    <row r="33" spans="1:14" ht="15.2" customHeight="1" thickBot="1" x14ac:dyDescent="0.25">
      <c r="A33" s="8"/>
      <c r="B33" s="8"/>
      <c r="C33" s="8"/>
      <c r="D33" s="24"/>
      <c r="E33" s="25" t="s">
        <v>100</v>
      </c>
      <c r="F33" s="26">
        <v>1</v>
      </c>
      <c r="G33" s="27"/>
      <c r="H33" s="27"/>
      <c r="I33" s="27"/>
      <c r="J33" s="29">
        <f>ROUND(F33,3)</f>
        <v>1</v>
      </c>
      <c r="K33" s="31">
        <f>SUM(J33:J33)</f>
        <v>1</v>
      </c>
      <c r="L33" s="8"/>
      <c r="M33" s="8"/>
      <c r="N33" s="8"/>
    </row>
    <row r="34" spans="1:14" ht="15.4" customHeight="1" thickBot="1" x14ac:dyDescent="0.25">
      <c r="A34" s="12" t="s">
        <v>101</v>
      </c>
      <c r="B34" s="6" t="s">
        <v>102</v>
      </c>
      <c r="C34" s="6" t="s">
        <v>103</v>
      </c>
      <c r="D34" s="48" t="s">
        <v>104</v>
      </c>
      <c r="E34" s="48"/>
      <c r="F34" s="48"/>
      <c r="G34" s="48"/>
      <c r="H34" s="48"/>
      <c r="I34" s="48"/>
      <c r="J34" s="48"/>
      <c r="K34" s="19">
        <f>SUM(K37:K37)</f>
        <v>1</v>
      </c>
      <c r="L34" s="20">
        <f>ROUND(649.11*(1+M2/100),2)</f>
        <v>668.58</v>
      </c>
      <c r="M34" s="20">
        <f>ROUND(K34*L34,2)</f>
        <v>668.58</v>
      </c>
      <c r="N34" s="8"/>
    </row>
    <row r="35" spans="1:14" ht="95.25" customHeight="1" thickBot="1" x14ac:dyDescent="0.25">
      <c r="A35" s="8"/>
      <c r="B35" s="8"/>
      <c r="C35" s="8"/>
      <c r="D35" s="48" t="s">
        <v>105</v>
      </c>
      <c r="E35" s="48"/>
      <c r="F35" s="48"/>
      <c r="G35" s="48"/>
      <c r="H35" s="48"/>
      <c r="I35" s="48"/>
      <c r="J35" s="48"/>
      <c r="K35" s="48"/>
      <c r="L35" s="48"/>
      <c r="M35" s="48"/>
      <c r="N35" s="8"/>
    </row>
    <row r="36" spans="1:14" ht="15.2" customHeight="1" thickBot="1" x14ac:dyDescent="0.25">
      <c r="A36" s="8"/>
      <c r="B36" s="8"/>
      <c r="C36" s="8"/>
      <c r="D36" s="8"/>
      <c r="E36" s="21"/>
      <c r="F36" s="23" t="s">
        <v>106</v>
      </c>
      <c r="G36" s="23" t="s">
        <v>107</v>
      </c>
      <c r="H36" s="23" t="s">
        <v>108</v>
      </c>
      <c r="I36" s="23" t="s">
        <v>109</v>
      </c>
      <c r="J36" s="23" t="s">
        <v>110</v>
      </c>
      <c r="K36" s="23" t="s">
        <v>111</v>
      </c>
      <c r="L36" s="8"/>
      <c r="M36" s="8"/>
      <c r="N36" s="8"/>
    </row>
    <row r="37" spans="1:14" ht="15.2" customHeight="1" thickBot="1" x14ac:dyDescent="0.25">
      <c r="A37" s="8"/>
      <c r="B37" s="8"/>
      <c r="C37" s="8"/>
      <c r="D37" s="24"/>
      <c r="E37" s="25" t="s">
        <v>112</v>
      </c>
      <c r="F37" s="26">
        <v>1</v>
      </c>
      <c r="G37" s="27"/>
      <c r="H37" s="27"/>
      <c r="I37" s="27"/>
      <c r="J37" s="29">
        <f>ROUND(F37,3)</f>
        <v>1</v>
      </c>
      <c r="K37" s="31">
        <f>SUM(J37:J37)</f>
        <v>1</v>
      </c>
      <c r="L37" s="8"/>
      <c r="M37" s="8"/>
      <c r="N37" s="8"/>
    </row>
    <row r="38" spans="1:14" ht="21.4" customHeight="1" thickBot="1" x14ac:dyDescent="0.25">
      <c r="A38" s="12" t="s">
        <v>113</v>
      </c>
      <c r="B38" s="6" t="s">
        <v>114</v>
      </c>
      <c r="C38" s="6" t="s">
        <v>115</v>
      </c>
      <c r="D38" s="48" t="s">
        <v>116</v>
      </c>
      <c r="E38" s="48"/>
      <c r="F38" s="48"/>
      <c r="G38" s="48"/>
      <c r="H38" s="48"/>
      <c r="I38" s="48"/>
      <c r="J38" s="48"/>
      <c r="K38" s="19">
        <f>ROUND(1,2)</f>
        <v>1</v>
      </c>
      <c r="L38" s="20">
        <f>ROUND(970.874*(1+M2/100),2)</f>
        <v>1000</v>
      </c>
      <c r="M38" s="20">
        <f>ROUND(K38*L38,2)</f>
        <v>1000</v>
      </c>
      <c r="N38" s="8"/>
    </row>
    <row r="39" spans="1:14" ht="12.2" customHeight="1" thickBot="1" x14ac:dyDescent="0.25">
      <c r="A39" s="8"/>
      <c r="B39" s="8"/>
      <c r="C39" s="8"/>
      <c r="D39" s="48" t="s">
        <v>117</v>
      </c>
      <c r="E39" s="48"/>
      <c r="F39" s="48"/>
      <c r="G39" s="48"/>
      <c r="H39" s="48"/>
      <c r="I39" s="48"/>
      <c r="J39" s="48"/>
      <c r="K39" s="48"/>
      <c r="L39" s="48"/>
      <c r="M39" s="48"/>
      <c r="N39" s="8"/>
    </row>
    <row r="40" spans="1:14" ht="21.4" customHeight="1" thickBot="1" x14ac:dyDescent="0.25">
      <c r="A40" s="12" t="s">
        <v>118</v>
      </c>
      <c r="B40" s="6" t="s">
        <v>119</v>
      </c>
      <c r="C40" s="6" t="s">
        <v>120</v>
      </c>
      <c r="D40" s="48" t="s">
        <v>121</v>
      </c>
      <c r="E40" s="48"/>
      <c r="F40" s="48"/>
      <c r="G40" s="48"/>
      <c r="H40" s="48"/>
      <c r="I40" s="48"/>
      <c r="J40" s="48"/>
      <c r="K40" s="19">
        <f>SUM(K43:K43)</f>
        <v>1</v>
      </c>
      <c r="L40" s="20">
        <f>ROUND(436.893*(1+M2/100),2)</f>
        <v>450</v>
      </c>
      <c r="M40" s="20">
        <f>ROUND(K40*L40,2)</f>
        <v>450</v>
      </c>
      <c r="N40" s="8"/>
    </row>
    <row r="41" spans="1:14" ht="30.6" customHeight="1" thickBot="1" x14ac:dyDescent="0.25">
      <c r="A41" s="8"/>
      <c r="B41" s="8"/>
      <c r="C41" s="8"/>
      <c r="D41" s="48" t="s">
        <v>122</v>
      </c>
      <c r="E41" s="48"/>
      <c r="F41" s="48"/>
      <c r="G41" s="48"/>
      <c r="H41" s="48"/>
      <c r="I41" s="48"/>
      <c r="J41" s="48"/>
      <c r="K41" s="48"/>
      <c r="L41" s="48"/>
      <c r="M41" s="48"/>
      <c r="N41" s="8"/>
    </row>
    <row r="42" spans="1:14" ht="15.2" customHeight="1" thickBot="1" x14ac:dyDescent="0.25">
      <c r="A42" s="8"/>
      <c r="B42" s="8"/>
      <c r="C42" s="8"/>
      <c r="D42" s="8"/>
      <c r="E42" s="21"/>
      <c r="F42" s="23" t="s">
        <v>123</v>
      </c>
      <c r="G42" s="23" t="s">
        <v>124</v>
      </c>
      <c r="H42" s="23" t="s">
        <v>125</v>
      </c>
      <c r="I42" s="23" t="s">
        <v>126</v>
      </c>
      <c r="J42" s="23" t="s">
        <v>127</v>
      </c>
      <c r="K42" s="23" t="s">
        <v>128</v>
      </c>
      <c r="L42" s="8"/>
      <c r="M42" s="8"/>
      <c r="N42" s="8"/>
    </row>
    <row r="43" spans="1:14" ht="21.4" customHeight="1" thickBot="1" x14ac:dyDescent="0.25">
      <c r="A43" s="8"/>
      <c r="B43" s="8"/>
      <c r="C43" s="8"/>
      <c r="D43" s="24"/>
      <c r="E43" s="25" t="s">
        <v>129</v>
      </c>
      <c r="F43" s="26">
        <v>1</v>
      </c>
      <c r="G43" s="27"/>
      <c r="H43" s="27"/>
      <c r="I43" s="27"/>
      <c r="J43" s="29">
        <f>ROUND(F43,3)</f>
        <v>1</v>
      </c>
      <c r="K43" s="31">
        <f>SUM(J43:J43)</f>
        <v>1</v>
      </c>
      <c r="L43" s="8"/>
      <c r="M43" s="8"/>
      <c r="N43" s="8"/>
    </row>
    <row r="44" spans="1:14" ht="15.4" customHeight="1" thickBot="1" x14ac:dyDescent="0.25">
      <c r="A44" s="32"/>
      <c r="B44" s="32"/>
      <c r="C44" s="32"/>
      <c r="D44" s="33" t="s">
        <v>130</v>
      </c>
      <c r="E44" s="34"/>
      <c r="F44" s="34"/>
      <c r="G44" s="34"/>
      <c r="H44" s="34"/>
      <c r="I44" s="34"/>
      <c r="J44" s="34"/>
      <c r="K44" s="34"/>
      <c r="L44" s="35">
        <f>M6+M10+M14+M18+M22+M26+M30+M34+M38+M40</f>
        <v>16954.669999999998</v>
      </c>
      <c r="M44" s="35">
        <f>ROUND(L44,2)</f>
        <v>16954.669999999998</v>
      </c>
      <c r="N44" s="8"/>
    </row>
    <row r="45" spans="1:14" ht="15.4" customHeight="1" thickBot="1" x14ac:dyDescent="0.25">
      <c r="A45" s="36" t="s">
        <v>131</v>
      </c>
      <c r="B45" s="36" t="s">
        <v>132</v>
      </c>
      <c r="C45" s="37"/>
      <c r="D45" s="49" t="s">
        <v>133</v>
      </c>
      <c r="E45" s="49"/>
      <c r="F45" s="49"/>
      <c r="G45" s="49"/>
      <c r="H45" s="49"/>
      <c r="I45" s="49"/>
      <c r="J45" s="49"/>
      <c r="K45" s="37"/>
      <c r="L45" s="38">
        <f>L173</f>
        <v>6372.05</v>
      </c>
      <c r="M45" s="38">
        <f>ROUND(L45,2)</f>
        <v>6372.05</v>
      </c>
      <c r="N45" s="8"/>
    </row>
    <row r="46" spans="1:14" ht="15.4" customHeight="1" thickBot="1" x14ac:dyDescent="0.25">
      <c r="A46" s="12" t="s">
        <v>134</v>
      </c>
      <c r="B46" s="6" t="s">
        <v>135</v>
      </c>
      <c r="C46" s="6" t="s">
        <v>136</v>
      </c>
      <c r="D46" s="48" t="s">
        <v>137</v>
      </c>
      <c r="E46" s="48"/>
      <c r="F46" s="48"/>
      <c r="G46" s="48"/>
      <c r="H46" s="48"/>
      <c r="I46" s="48"/>
      <c r="J46" s="48"/>
      <c r="K46" s="19">
        <f>SUM(K49:K49)</f>
        <v>7</v>
      </c>
      <c r="L46" s="20">
        <f>ROUND(183.24*(1+M2/100),2)</f>
        <v>188.74</v>
      </c>
      <c r="M46" s="20">
        <f>ROUND(K46*L46,2)</f>
        <v>1321.18</v>
      </c>
      <c r="N46" s="8"/>
    </row>
    <row r="47" spans="1:14" ht="86.1" customHeight="1" thickBot="1" x14ac:dyDescent="0.25">
      <c r="A47" s="8"/>
      <c r="B47" s="8"/>
      <c r="C47" s="8"/>
      <c r="D47" s="48" t="s">
        <v>138</v>
      </c>
      <c r="E47" s="48"/>
      <c r="F47" s="48"/>
      <c r="G47" s="48"/>
      <c r="H47" s="48"/>
      <c r="I47" s="48"/>
      <c r="J47" s="48"/>
      <c r="K47" s="48"/>
      <c r="L47" s="48"/>
      <c r="M47" s="48"/>
      <c r="N47" s="8"/>
    </row>
    <row r="48" spans="1:14" ht="15.2" customHeight="1" thickBot="1" x14ac:dyDescent="0.25">
      <c r="A48" s="8"/>
      <c r="B48" s="8"/>
      <c r="C48" s="8"/>
      <c r="D48" s="8"/>
      <c r="E48" s="21"/>
      <c r="F48" s="23" t="s">
        <v>139</v>
      </c>
      <c r="G48" s="23" t="s">
        <v>140</v>
      </c>
      <c r="H48" s="23" t="s">
        <v>141</v>
      </c>
      <c r="I48" s="23" t="s">
        <v>142</v>
      </c>
      <c r="J48" s="23" t="s">
        <v>143</v>
      </c>
      <c r="K48" s="23" t="s">
        <v>144</v>
      </c>
      <c r="L48" s="8"/>
      <c r="M48" s="8"/>
      <c r="N48" s="8"/>
    </row>
    <row r="49" spans="1:14" ht="15.2" customHeight="1" thickBot="1" x14ac:dyDescent="0.25">
      <c r="A49" s="8"/>
      <c r="B49" s="8"/>
      <c r="C49" s="8"/>
      <c r="D49" s="24"/>
      <c r="E49" s="25" t="s">
        <v>145</v>
      </c>
      <c r="F49" s="26">
        <v>7</v>
      </c>
      <c r="G49" s="27"/>
      <c r="H49" s="27"/>
      <c r="I49" s="27"/>
      <c r="J49" s="29">
        <f>ROUND(F49,3)</f>
        <v>7</v>
      </c>
      <c r="K49" s="31">
        <f>SUM(J49:J49)</f>
        <v>7</v>
      </c>
      <c r="L49" s="8"/>
      <c r="M49" s="8"/>
      <c r="N49" s="8"/>
    </row>
    <row r="50" spans="1:14" ht="15.4" customHeight="1" thickBot="1" x14ac:dyDescent="0.25">
      <c r="A50" s="12" t="s">
        <v>146</v>
      </c>
      <c r="B50" s="6" t="s">
        <v>147</v>
      </c>
      <c r="C50" s="6" t="s">
        <v>148</v>
      </c>
      <c r="D50" s="48" t="s">
        <v>149</v>
      </c>
      <c r="E50" s="48"/>
      <c r="F50" s="48"/>
      <c r="G50" s="48"/>
      <c r="H50" s="48"/>
      <c r="I50" s="48"/>
      <c r="J50" s="48"/>
      <c r="K50" s="19">
        <f>SUM(K53:K77)</f>
        <v>101.50800000000002</v>
      </c>
      <c r="L50" s="20">
        <f>ROUND(10.27*(1+M2/100),2)</f>
        <v>10.58</v>
      </c>
      <c r="M50" s="20">
        <f>ROUND(K50*L50,2)</f>
        <v>1073.95</v>
      </c>
      <c r="N50" s="8"/>
    </row>
    <row r="51" spans="1:14" ht="67.5" customHeight="1" thickBot="1" x14ac:dyDescent="0.25">
      <c r="A51" s="8"/>
      <c r="B51" s="8"/>
      <c r="C51" s="8"/>
      <c r="D51" s="48" t="s">
        <v>150</v>
      </c>
      <c r="E51" s="48"/>
      <c r="F51" s="48"/>
      <c r="G51" s="48"/>
      <c r="H51" s="48"/>
      <c r="I51" s="48"/>
      <c r="J51" s="48"/>
      <c r="K51" s="48"/>
      <c r="L51" s="48"/>
      <c r="M51" s="48"/>
      <c r="N51" s="8"/>
    </row>
    <row r="52" spans="1:14" ht="15.2" customHeight="1" thickBot="1" x14ac:dyDescent="0.25">
      <c r="A52" s="8"/>
      <c r="B52" s="8"/>
      <c r="C52" s="8"/>
      <c r="D52" s="8"/>
      <c r="E52" s="21"/>
      <c r="F52" s="23" t="s">
        <v>151</v>
      </c>
      <c r="G52" s="23" t="s">
        <v>152</v>
      </c>
      <c r="H52" s="23" t="s">
        <v>153</v>
      </c>
      <c r="I52" s="23" t="s">
        <v>154</v>
      </c>
      <c r="J52" s="23" t="s">
        <v>155</v>
      </c>
      <c r="K52" s="23" t="s">
        <v>156</v>
      </c>
      <c r="L52" s="8"/>
      <c r="M52" s="8"/>
      <c r="N52" s="8"/>
    </row>
    <row r="53" spans="1:14" ht="15.2" customHeight="1" thickBot="1" x14ac:dyDescent="0.25">
      <c r="A53" s="8"/>
      <c r="B53" s="8"/>
      <c r="C53" s="8"/>
      <c r="D53" s="24"/>
      <c r="E53" s="25" t="s">
        <v>157</v>
      </c>
      <c r="F53" s="26">
        <v>1</v>
      </c>
      <c r="G53" s="27">
        <v>1.4</v>
      </c>
      <c r="H53" s="27"/>
      <c r="I53" s="27">
        <v>1.1499999999999999</v>
      </c>
      <c r="J53" s="29">
        <f t="shared" ref="J53:J77" si="0">ROUND(F53*G53*I53,3)</f>
        <v>1.61</v>
      </c>
      <c r="K53" s="39"/>
      <c r="L53" s="8"/>
      <c r="M53" s="8"/>
      <c r="N53" s="8"/>
    </row>
    <row r="54" spans="1:14" ht="15.2" customHeight="1" thickBot="1" x14ac:dyDescent="0.25">
      <c r="A54" s="8"/>
      <c r="B54" s="8"/>
      <c r="C54" s="8"/>
      <c r="D54" s="24"/>
      <c r="E54" s="6" t="s">
        <v>158</v>
      </c>
      <c r="F54" s="4">
        <v>2</v>
      </c>
      <c r="G54" s="19">
        <v>1.2</v>
      </c>
      <c r="H54" s="19"/>
      <c r="I54" s="19">
        <v>1.1499999999999999</v>
      </c>
      <c r="J54" s="28">
        <f t="shared" si="0"/>
        <v>2.76</v>
      </c>
      <c r="K54" s="8"/>
      <c r="L54" s="8"/>
      <c r="M54" s="8"/>
      <c r="N54" s="8"/>
    </row>
    <row r="55" spans="1:14" ht="15.2" customHeight="1" thickBot="1" x14ac:dyDescent="0.25">
      <c r="A55" s="8"/>
      <c r="B55" s="8"/>
      <c r="C55" s="8"/>
      <c r="D55" s="24"/>
      <c r="E55" s="6" t="s">
        <v>159</v>
      </c>
      <c r="F55" s="4">
        <v>1</v>
      </c>
      <c r="G55" s="19">
        <v>1.55</v>
      </c>
      <c r="H55" s="19"/>
      <c r="I55" s="19">
        <v>1.1499999999999999</v>
      </c>
      <c r="J55" s="28">
        <f t="shared" si="0"/>
        <v>1.7829999999999999</v>
      </c>
      <c r="K55" s="8"/>
      <c r="L55" s="8"/>
      <c r="M55" s="8"/>
      <c r="N55" s="8"/>
    </row>
    <row r="56" spans="1:14" ht="15.2" customHeight="1" thickBot="1" x14ac:dyDescent="0.25">
      <c r="A56" s="8"/>
      <c r="B56" s="8"/>
      <c r="C56" s="8"/>
      <c r="D56" s="24"/>
      <c r="E56" s="6" t="s">
        <v>160</v>
      </c>
      <c r="F56" s="4">
        <v>2</v>
      </c>
      <c r="G56" s="19">
        <v>2.4</v>
      </c>
      <c r="H56" s="19"/>
      <c r="I56" s="19">
        <v>1.2</v>
      </c>
      <c r="J56" s="28">
        <f t="shared" si="0"/>
        <v>5.76</v>
      </c>
      <c r="K56" s="8"/>
      <c r="L56" s="8"/>
      <c r="M56" s="8"/>
      <c r="N56" s="8"/>
    </row>
    <row r="57" spans="1:14" ht="15.2" customHeight="1" thickBot="1" x14ac:dyDescent="0.25">
      <c r="A57" s="8"/>
      <c r="B57" s="8"/>
      <c r="C57" s="8"/>
      <c r="D57" s="24"/>
      <c r="E57" s="6" t="s">
        <v>161</v>
      </c>
      <c r="F57" s="4">
        <v>1</v>
      </c>
      <c r="G57" s="19">
        <v>2.4</v>
      </c>
      <c r="H57" s="19"/>
      <c r="I57" s="19">
        <v>1.2</v>
      </c>
      <c r="J57" s="28">
        <f t="shared" si="0"/>
        <v>2.88</v>
      </c>
      <c r="K57" s="8"/>
      <c r="L57" s="8"/>
      <c r="M57" s="8"/>
      <c r="N57" s="8"/>
    </row>
    <row r="58" spans="1:14" ht="15.2" customHeight="1" thickBot="1" x14ac:dyDescent="0.25">
      <c r="A58" s="8"/>
      <c r="B58" s="8"/>
      <c r="C58" s="8"/>
      <c r="D58" s="24"/>
      <c r="E58" s="6" t="s">
        <v>162</v>
      </c>
      <c r="F58" s="4">
        <v>2</v>
      </c>
      <c r="G58" s="19">
        <v>1</v>
      </c>
      <c r="H58" s="19"/>
      <c r="I58" s="19">
        <v>1.2</v>
      </c>
      <c r="J58" s="28">
        <f t="shared" si="0"/>
        <v>2.4</v>
      </c>
      <c r="K58" s="8"/>
      <c r="L58" s="8"/>
      <c r="M58" s="8"/>
      <c r="N58" s="8"/>
    </row>
    <row r="59" spans="1:14" ht="15.2" customHeight="1" thickBot="1" x14ac:dyDescent="0.25">
      <c r="A59" s="8"/>
      <c r="B59" s="8"/>
      <c r="C59" s="8"/>
      <c r="D59" s="24"/>
      <c r="E59" s="6" t="s">
        <v>163</v>
      </c>
      <c r="F59" s="4">
        <v>2</v>
      </c>
      <c r="G59" s="19">
        <v>1.7</v>
      </c>
      <c r="H59" s="19"/>
      <c r="I59" s="19">
        <v>1.2</v>
      </c>
      <c r="J59" s="28">
        <f t="shared" si="0"/>
        <v>4.08</v>
      </c>
      <c r="K59" s="8"/>
      <c r="L59" s="8"/>
      <c r="M59" s="8"/>
      <c r="N59" s="8"/>
    </row>
    <row r="60" spans="1:14" ht="15.2" customHeight="1" thickBot="1" x14ac:dyDescent="0.25">
      <c r="A60" s="8"/>
      <c r="B60" s="8"/>
      <c r="C60" s="8"/>
      <c r="D60" s="24"/>
      <c r="E60" s="6" t="s">
        <v>164</v>
      </c>
      <c r="F60" s="4">
        <v>1</v>
      </c>
      <c r="G60" s="19">
        <v>1.7</v>
      </c>
      <c r="H60" s="19"/>
      <c r="I60" s="19">
        <v>1.2</v>
      </c>
      <c r="J60" s="28">
        <f t="shared" si="0"/>
        <v>2.04</v>
      </c>
      <c r="K60" s="8"/>
      <c r="L60" s="8"/>
      <c r="M60" s="8"/>
      <c r="N60" s="8"/>
    </row>
    <row r="61" spans="1:14" ht="15.2" customHeight="1" thickBot="1" x14ac:dyDescent="0.25">
      <c r="A61" s="8"/>
      <c r="B61" s="8"/>
      <c r="C61" s="8"/>
      <c r="D61" s="24"/>
      <c r="E61" s="6" t="s">
        <v>165</v>
      </c>
      <c r="F61" s="4">
        <v>1</v>
      </c>
      <c r="G61" s="19">
        <v>1.7</v>
      </c>
      <c r="H61" s="19"/>
      <c r="I61" s="19">
        <v>1.2</v>
      </c>
      <c r="J61" s="28">
        <f t="shared" si="0"/>
        <v>2.04</v>
      </c>
      <c r="K61" s="8"/>
      <c r="L61" s="8"/>
      <c r="M61" s="8"/>
      <c r="N61" s="8"/>
    </row>
    <row r="62" spans="1:14" ht="15.2" customHeight="1" thickBot="1" x14ac:dyDescent="0.25">
      <c r="A62" s="8"/>
      <c r="B62" s="8"/>
      <c r="C62" s="8"/>
      <c r="D62" s="24"/>
      <c r="E62" s="6" t="s">
        <v>166</v>
      </c>
      <c r="F62" s="4">
        <v>4</v>
      </c>
      <c r="G62" s="19">
        <v>0.8</v>
      </c>
      <c r="H62" s="19"/>
      <c r="I62" s="19">
        <v>1.2</v>
      </c>
      <c r="J62" s="28">
        <f t="shared" si="0"/>
        <v>3.84</v>
      </c>
      <c r="K62" s="8"/>
      <c r="L62" s="8"/>
      <c r="M62" s="8"/>
      <c r="N62" s="8"/>
    </row>
    <row r="63" spans="1:14" ht="15.2" customHeight="1" thickBot="1" x14ac:dyDescent="0.25">
      <c r="A63" s="8"/>
      <c r="B63" s="8"/>
      <c r="C63" s="8"/>
      <c r="D63" s="24"/>
      <c r="E63" s="6" t="s">
        <v>167</v>
      </c>
      <c r="F63" s="4">
        <v>1</v>
      </c>
      <c r="G63" s="19">
        <v>6.5</v>
      </c>
      <c r="H63" s="19"/>
      <c r="I63" s="19">
        <v>1.6</v>
      </c>
      <c r="J63" s="28">
        <f t="shared" si="0"/>
        <v>10.4</v>
      </c>
      <c r="K63" s="8"/>
      <c r="L63" s="8"/>
      <c r="M63" s="8"/>
      <c r="N63" s="8"/>
    </row>
    <row r="64" spans="1:14" ht="15.2" customHeight="1" thickBot="1" x14ac:dyDescent="0.25">
      <c r="A64" s="8"/>
      <c r="B64" s="8"/>
      <c r="C64" s="8"/>
      <c r="D64" s="24"/>
      <c r="E64" s="6" t="s">
        <v>168</v>
      </c>
      <c r="F64" s="4">
        <v>1</v>
      </c>
      <c r="G64" s="19">
        <v>2.5</v>
      </c>
      <c r="H64" s="19"/>
      <c r="I64" s="19">
        <v>1.2</v>
      </c>
      <c r="J64" s="28">
        <f t="shared" si="0"/>
        <v>3</v>
      </c>
      <c r="K64" s="8"/>
      <c r="L64" s="8"/>
      <c r="M64" s="8"/>
      <c r="N64" s="8"/>
    </row>
    <row r="65" spans="1:14" ht="15.2" customHeight="1" thickBot="1" x14ac:dyDescent="0.25">
      <c r="A65" s="8"/>
      <c r="B65" s="8"/>
      <c r="C65" s="8"/>
      <c r="D65" s="24"/>
      <c r="E65" s="6" t="s">
        <v>169</v>
      </c>
      <c r="F65" s="4">
        <v>1</v>
      </c>
      <c r="G65" s="19">
        <v>1.65</v>
      </c>
      <c r="H65" s="19"/>
      <c r="I65" s="19">
        <v>1.2</v>
      </c>
      <c r="J65" s="28">
        <f t="shared" si="0"/>
        <v>1.98</v>
      </c>
      <c r="K65" s="8"/>
      <c r="L65" s="8"/>
      <c r="M65" s="8"/>
      <c r="N65" s="8"/>
    </row>
    <row r="66" spans="1:14" ht="15.2" customHeight="1" thickBot="1" x14ac:dyDescent="0.25">
      <c r="A66" s="8"/>
      <c r="B66" s="8"/>
      <c r="C66" s="8"/>
      <c r="D66" s="24"/>
      <c r="E66" s="6" t="s">
        <v>170</v>
      </c>
      <c r="F66" s="4">
        <v>11</v>
      </c>
      <c r="G66" s="19">
        <v>2</v>
      </c>
      <c r="H66" s="19"/>
      <c r="I66" s="19">
        <v>1.1000000000000001</v>
      </c>
      <c r="J66" s="28">
        <f t="shared" si="0"/>
        <v>24.2</v>
      </c>
      <c r="K66" s="8"/>
      <c r="L66" s="8"/>
      <c r="M66" s="8"/>
      <c r="N66" s="8"/>
    </row>
    <row r="67" spans="1:14" ht="15.2" customHeight="1" thickBot="1" x14ac:dyDescent="0.25">
      <c r="A67" s="8"/>
      <c r="B67" s="8"/>
      <c r="C67" s="8"/>
      <c r="D67" s="24"/>
      <c r="E67" s="6" t="s">
        <v>171</v>
      </c>
      <c r="F67" s="4">
        <v>1</v>
      </c>
      <c r="G67" s="19">
        <v>2</v>
      </c>
      <c r="H67" s="19"/>
      <c r="I67" s="19">
        <v>1.1000000000000001</v>
      </c>
      <c r="J67" s="28">
        <f t="shared" si="0"/>
        <v>2.2000000000000002</v>
      </c>
      <c r="K67" s="8"/>
      <c r="L67" s="8"/>
      <c r="M67" s="8"/>
      <c r="N67" s="8"/>
    </row>
    <row r="68" spans="1:14" ht="15.2" customHeight="1" thickBot="1" x14ac:dyDescent="0.25">
      <c r="A68" s="8"/>
      <c r="B68" s="8"/>
      <c r="C68" s="8"/>
      <c r="D68" s="24"/>
      <c r="E68" s="6" t="s">
        <v>172</v>
      </c>
      <c r="F68" s="4">
        <v>6</v>
      </c>
      <c r="G68" s="19">
        <v>2</v>
      </c>
      <c r="H68" s="19"/>
      <c r="I68" s="19">
        <v>0.7</v>
      </c>
      <c r="J68" s="28">
        <f t="shared" si="0"/>
        <v>8.4</v>
      </c>
      <c r="K68" s="8"/>
      <c r="L68" s="8"/>
      <c r="M68" s="8"/>
      <c r="N68" s="8"/>
    </row>
    <row r="69" spans="1:14" ht="15.2" customHeight="1" thickBot="1" x14ac:dyDescent="0.25">
      <c r="A69" s="8"/>
      <c r="B69" s="8"/>
      <c r="C69" s="8"/>
      <c r="D69" s="24"/>
      <c r="E69" s="6" t="s">
        <v>173</v>
      </c>
      <c r="F69" s="4">
        <v>1</v>
      </c>
      <c r="G69" s="19">
        <v>0.75</v>
      </c>
      <c r="H69" s="19"/>
      <c r="I69" s="19">
        <v>1.2</v>
      </c>
      <c r="J69" s="28">
        <f t="shared" si="0"/>
        <v>0.9</v>
      </c>
      <c r="K69" s="8"/>
      <c r="L69" s="8"/>
      <c r="M69" s="8"/>
      <c r="N69" s="8"/>
    </row>
    <row r="70" spans="1:14" ht="15.2" customHeight="1" thickBot="1" x14ac:dyDescent="0.25">
      <c r="A70" s="8"/>
      <c r="B70" s="8"/>
      <c r="C70" s="8"/>
      <c r="D70" s="24"/>
      <c r="E70" s="6" t="s">
        <v>174</v>
      </c>
      <c r="F70" s="4">
        <v>1</v>
      </c>
      <c r="G70" s="19">
        <v>0.75</v>
      </c>
      <c r="H70" s="19"/>
      <c r="I70" s="19">
        <v>1.2</v>
      </c>
      <c r="J70" s="28">
        <f t="shared" si="0"/>
        <v>0.9</v>
      </c>
      <c r="K70" s="8"/>
      <c r="L70" s="8"/>
      <c r="M70" s="8"/>
      <c r="N70" s="8"/>
    </row>
    <row r="71" spans="1:14" ht="15.2" customHeight="1" thickBot="1" x14ac:dyDescent="0.25">
      <c r="A71" s="8"/>
      <c r="B71" s="8"/>
      <c r="C71" s="8"/>
      <c r="D71" s="24"/>
      <c r="E71" s="6" t="s">
        <v>175</v>
      </c>
      <c r="F71" s="4">
        <v>2</v>
      </c>
      <c r="G71" s="19">
        <v>2.4</v>
      </c>
      <c r="H71" s="19"/>
      <c r="I71" s="19">
        <v>0.5</v>
      </c>
      <c r="J71" s="28">
        <f t="shared" si="0"/>
        <v>2.4</v>
      </c>
      <c r="K71" s="8"/>
      <c r="L71" s="8"/>
      <c r="M71" s="8"/>
      <c r="N71" s="8"/>
    </row>
    <row r="72" spans="1:14" ht="15.2" customHeight="1" thickBot="1" x14ac:dyDescent="0.25">
      <c r="A72" s="8"/>
      <c r="B72" s="8"/>
      <c r="C72" s="8"/>
      <c r="D72" s="24"/>
      <c r="E72" s="6" t="s">
        <v>176</v>
      </c>
      <c r="F72" s="4">
        <v>1</v>
      </c>
      <c r="G72" s="19">
        <v>0.8</v>
      </c>
      <c r="H72" s="19"/>
      <c r="I72" s="19">
        <v>0.5</v>
      </c>
      <c r="J72" s="28">
        <f t="shared" si="0"/>
        <v>0.4</v>
      </c>
      <c r="K72" s="8"/>
      <c r="L72" s="8"/>
      <c r="M72" s="8"/>
      <c r="N72" s="8"/>
    </row>
    <row r="73" spans="1:14" ht="15.2" customHeight="1" thickBot="1" x14ac:dyDescent="0.25">
      <c r="A73" s="8"/>
      <c r="B73" s="8"/>
      <c r="C73" s="8"/>
      <c r="D73" s="24"/>
      <c r="E73" s="6" t="s">
        <v>177</v>
      </c>
      <c r="F73" s="4">
        <v>1</v>
      </c>
      <c r="G73" s="19">
        <v>0.8</v>
      </c>
      <c r="H73" s="19"/>
      <c r="I73" s="19">
        <v>0.5</v>
      </c>
      <c r="J73" s="28">
        <f t="shared" si="0"/>
        <v>0.4</v>
      </c>
      <c r="K73" s="8"/>
      <c r="L73" s="8"/>
      <c r="M73" s="8"/>
      <c r="N73" s="8"/>
    </row>
    <row r="74" spans="1:14" ht="15.2" customHeight="1" thickBot="1" x14ac:dyDescent="0.25">
      <c r="A74" s="8"/>
      <c r="B74" s="8"/>
      <c r="C74" s="8"/>
      <c r="D74" s="24"/>
      <c r="E74" s="6" t="s">
        <v>178</v>
      </c>
      <c r="F74" s="4">
        <v>2</v>
      </c>
      <c r="G74" s="19">
        <v>0.75</v>
      </c>
      <c r="H74" s="19"/>
      <c r="I74" s="19">
        <v>1.1499999999999999</v>
      </c>
      <c r="J74" s="28">
        <f t="shared" si="0"/>
        <v>1.7250000000000001</v>
      </c>
      <c r="K74" s="8"/>
      <c r="L74" s="8"/>
      <c r="M74" s="8"/>
      <c r="N74" s="8"/>
    </row>
    <row r="75" spans="1:14" ht="15.2" customHeight="1" thickBot="1" x14ac:dyDescent="0.25">
      <c r="A75" s="8"/>
      <c r="B75" s="8"/>
      <c r="C75" s="8"/>
      <c r="D75" s="24"/>
      <c r="E75" s="6" t="s">
        <v>179</v>
      </c>
      <c r="F75" s="4">
        <v>1</v>
      </c>
      <c r="G75" s="19">
        <v>3.5</v>
      </c>
      <c r="H75" s="19"/>
      <c r="I75" s="19">
        <v>2.5</v>
      </c>
      <c r="J75" s="28">
        <f t="shared" si="0"/>
        <v>8.75</v>
      </c>
      <c r="K75" s="8"/>
      <c r="L75" s="8"/>
      <c r="M75" s="8"/>
      <c r="N75" s="8"/>
    </row>
    <row r="76" spans="1:14" ht="15.2" customHeight="1" thickBot="1" x14ac:dyDescent="0.25">
      <c r="A76" s="8"/>
      <c r="B76" s="8"/>
      <c r="C76" s="8"/>
      <c r="D76" s="24"/>
      <c r="E76" s="6" t="s">
        <v>180</v>
      </c>
      <c r="F76" s="4">
        <v>1</v>
      </c>
      <c r="G76" s="19">
        <v>0.9</v>
      </c>
      <c r="H76" s="19"/>
      <c r="I76" s="19">
        <v>2.5</v>
      </c>
      <c r="J76" s="28">
        <f t="shared" si="0"/>
        <v>2.25</v>
      </c>
      <c r="K76" s="8"/>
      <c r="L76" s="8"/>
      <c r="M76" s="8"/>
      <c r="N76" s="8"/>
    </row>
    <row r="77" spans="1:14" ht="15.2" customHeight="1" thickBot="1" x14ac:dyDescent="0.25">
      <c r="A77" s="8"/>
      <c r="B77" s="8"/>
      <c r="C77" s="8"/>
      <c r="D77" s="24"/>
      <c r="E77" s="6" t="s">
        <v>181</v>
      </c>
      <c r="F77" s="4">
        <v>1</v>
      </c>
      <c r="G77" s="19">
        <v>2.1</v>
      </c>
      <c r="H77" s="19"/>
      <c r="I77" s="19">
        <v>2.1</v>
      </c>
      <c r="J77" s="28">
        <f t="shared" si="0"/>
        <v>4.41</v>
      </c>
      <c r="K77" s="30">
        <f>SUM(J53:J77)</f>
        <v>101.50800000000002</v>
      </c>
      <c r="L77" s="8"/>
      <c r="M77" s="8"/>
      <c r="N77" s="8"/>
    </row>
    <row r="78" spans="1:14" ht="15.4" customHeight="1" thickBot="1" x14ac:dyDescent="0.25">
      <c r="A78" s="12" t="s">
        <v>182</v>
      </c>
      <c r="B78" s="6" t="s">
        <v>183</v>
      </c>
      <c r="C78" s="6" t="s">
        <v>184</v>
      </c>
      <c r="D78" s="48" t="s">
        <v>185</v>
      </c>
      <c r="E78" s="48"/>
      <c r="F78" s="48"/>
      <c r="G78" s="48"/>
      <c r="H78" s="48"/>
      <c r="I78" s="48"/>
      <c r="J78" s="48"/>
      <c r="K78" s="19">
        <f>SUM(K81:K90)</f>
        <v>28.545000000000002</v>
      </c>
      <c r="L78" s="20">
        <f>ROUND(23.25*(1+M2/100),2)</f>
        <v>23.95</v>
      </c>
      <c r="M78" s="20">
        <f>ROUND(K78*L78,2)</f>
        <v>683.65</v>
      </c>
      <c r="N78" s="8"/>
    </row>
    <row r="79" spans="1:14" ht="67.5" customHeight="1" thickBot="1" x14ac:dyDescent="0.25">
      <c r="A79" s="8"/>
      <c r="B79" s="8"/>
      <c r="C79" s="8"/>
      <c r="D79" s="48" t="s">
        <v>186</v>
      </c>
      <c r="E79" s="48"/>
      <c r="F79" s="48"/>
      <c r="G79" s="48"/>
      <c r="H79" s="48"/>
      <c r="I79" s="48"/>
      <c r="J79" s="48"/>
      <c r="K79" s="48"/>
      <c r="L79" s="48"/>
      <c r="M79" s="48"/>
      <c r="N79" s="8"/>
    </row>
    <row r="80" spans="1:14" ht="15.2" customHeight="1" thickBot="1" x14ac:dyDescent="0.25">
      <c r="A80" s="8"/>
      <c r="B80" s="8"/>
      <c r="C80" s="8"/>
      <c r="D80" s="8"/>
      <c r="E80" s="21"/>
      <c r="F80" s="23" t="s">
        <v>187</v>
      </c>
      <c r="G80" s="23" t="s">
        <v>188</v>
      </c>
      <c r="H80" s="23" t="s">
        <v>189</v>
      </c>
      <c r="I80" s="23" t="s">
        <v>190</v>
      </c>
      <c r="J80" s="23" t="s">
        <v>191</v>
      </c>
      <c r="K80" s="23" t="s">
        <v>192</v>
      </c>
      <c r="L80" s="8"/>
      <c r="M80" s="8"/>
      <c r="N80" s="8"/>
    </row>
    <row r="81" spans="1:14" ht="15.2" customHeight="1" thickBot="1" x14ac:dyDescent="0.25">
      <c r="A81" s="8"/>
      <c r="B81" s="8"/>
      <c r="C81" s="8"/>
      <c r="D81" s="24"/>
      <c r="E81" s="25" t="s">
        <v>193</v>
      </c>
      <c r="F81" s="26"/>
      <c r="G81" s="27"/>
      <c r="H81" s="27"/>
      <c r="I81" s="27"/>
      <c r="J81" s="40" t="s">
        <v>194</v>
      </c>
      <c r="K81" s="39"/>
      <c r="L81" s="8"/>
      <c r="M81" s="8"/>
      <c r="N81" s="8"/>
    </row>
    <row r="82" spans="1:14" ht="15.2" customHeight="1" thickBot="1" x14ac:dyDescent="0.25">
      <c r="A82" s="8"/>
      <c r="B82" s="8"/>
      <c r="C82" s="8"/>
      <c r="D82" s="24"/>
      <c r="E82" s="6" t="s">
        <v>195</v>
      </c>
      <c r="F82" s="4">
        <v>2</v>
      </c>
      <c r="G82" s="19">
        <v>2.4</v>
      </c>
      <c r="H82" s="19"/>
      <c r="I82" s="19">
        <v>1.2</v>
      </c>
      <c r="J82" s="28">
        <f t="shared" ref="J82:J87" si="1">ROUND(F82*G82*I82,3)</f>
        <v>5.76</v>
      </c>
      <c r="K82" s="8"/>
      <c r="L82" s="8"/>
      <c r="M82" s="8"/>
      <c r="N82" s="8"/>
    </row>
    <row r="83" spans="1:14" ht="15.2" customHeight="1" thickBot="1" x14ac:dyDescent="0.25">
      <c r="A83" s="8"/>
      <c r="B83" s="8"/>
      <c r="C83" s="8"/>
      <c r="D83" s="24"/>
      <c r="E83" s="6" t="s">
        <v>196</v>
      </c>
      <c r="F83" s="4">
        <v>1</v>
      </c>
      <c r="G83" s="19">
        <v>2.4</v>
      </c>
      <c r="H83" s="19"/>
      <c r="I83" s="19">
        <v>1.2</v>
      </c>
      <c r="J83" s="28">
        <f t="shared" si="1"/>
        <v>2.88</v>
      </c>
      <c r="K83" s="8"/>
      <c r="L83" s="8"/>
      <c r="M83" s="8"/>
      <c r="N83" s="8"/>
    </row>
    <row r="84" spans="1:14" ht="15.2" customHeight="1" thickBot="1" x14ac:dyDescent="0.25">
      <c r="A84" s="8"/>
      <c r="B84" s="8"/>
      <c r="C84" s="8"/>
      <c r="D84" s="24"/>
      <c r="E84" s="6" t="s">
        <v>197</v>
      </c>
      <c r="F84" s="4">
        <v>2</v>
      </c>
      <c r="G84" s="19">
        <v>1</v>
      </c>
      <c r="H84" s="19"/>
      <c r="I84" s="19">
        <v>1.2</v>
      </c>
      <c r="J84" s="28">
        <f t="shared" si="1"/>
        <v>2.4</v>
      </c>
      <c r="K84" s="8"/>
      <c r="L84" s="8"/>
      <c r="M84" s="8"/>
      <c r="N84" s="8"/>
    </row>
    <row r="85" spans="1:14" ht="15.2" customHeight="1" thickBot="1" x14ac:dyDescent="0.25">
      <c r="A85" s="8"/>
      <c r="B85" s="8"/>
      <c r="C85" s="8"/>
      <c r="D85" s="24"/>
      <c r="E85" s="6" t="s">
        <v>198</v>
      </c>
      <c r="F85" s="4">
        <v>6</v>
      </c>
      <c r="G85" s="19">
        <v>2</v>
      </c>
      <c r="H85" s="19"/>
      <c r="I85" s="19">
        <v>0.7</v>
      </c>
      <c r="J85" s="28">
        <f t="shared" si="1"/>
        <v>8.4</v>
      </c>
      <c r="K85" s="8"/>
      <c r="L85" s="8"/>
      <c r="M85" s="8"/>
      <c r="N85" s="8"/>
    </row>
    <row r="86" spans="1:14" ht="15.2" customHeight="1" thickBot="1" x14ac:dyDescent="0.25">
      <c r="A86" s="8"/>
      <c r="B86" s="8"/>
      <c r="C86" s="8"/>
      <c r="D86" s="24"/>
      <c r="E86" s="6" t="s">
        <v>199</v>
      </c>
      <c r="F86" s="4">
        <v>2</v>
      </c>
      <c r="G86" s="19">
        <v>2.4</v>
      </c>
      <c r="H86" s="19"/>
      <c r="I86" s="19">
        <v>0.5</v>
      </c>
      <c r="J86" s="28">
        <f t="shared" si="1"/>
        <v>2.4</v>
      </c>
      <c r="K86" s="8"/>
      <c r="L86" s="8"/>
      <c r="M86" s="8"/>
      <c r="N86" s="8"/>
    </row>
    <row r="87" spans="1:14" ht="15.2" customHeight="1" thickBot="1" x14ac:dyDescent="0.25">
      <c r="A87" s="8"/>
      <c r="B87" s="8"/>
      <c r="C87" s="8"/>
      <c r="D87" s="24"/>
      <c r="E87" s="6" t="s">
        <v>200</v>
      </c>
      <c r="F87" s="4">
        <v>2</v>
      </c>
      <c r="G87" s="19">
        <v>0.75</v>
      </c>
      <c r="H87" s="19"/>
      <c r="I87" s="19">
        <v>1.1499999999999999</v>
      </c>
      <c r="J87" s="28">
        <f t="shared" si="1"/>
        <v>1.7250000000000001</v>
      </c>
      <c r="K87" s="8"/>
      <c r="L87" s="8"/>
      <c r="M87" s="8"/>
      <c r="N87" s="8"/>
    </row>
    <row r="88" spans="1:14" ht="15.2" customHeight="1" thickBot="1" x14ac:dyDescent="0.25">
      <c r="A88" s="8"/>
      <c r="B88" s="8"/>
      <c r="C88" s="8"/>
      <c r="D88" s="24"/>
      <c r="E88" s="6" t="s">
        <v>201</v>
      </c>
      <c r="F88" s="4"/>
      <c r="G88" s="19"/>
      <c r="H88" s="19"/>
      <c r="I88" s="19"/>
      <c r="J88" s="22" t="s">
        <v>202</v>
      </c>
      <c r="K88" s="8"/>
      <c r="L88" s="8"/>
      <c r="M88" s="8"/>
      <c r="N88" s="8"/>
    </row>
    <row r="89" spans="1:14" ht="15.2" customHeight="1" thickBot="1" x14ac:dyDescent="0.25">
      <c r="A89" s="8"/>
      <c r="B89" s="8"/>
      <c r="C89" s="8"/>
      <c r="D89" s="24"/>
      <c r="E89" s="6" t="s">
        <v>203</v>
      </c>
      <c r="F89" s="4">
        <v>1</v>
      </c>
      <c r="G89" s="19">
        <v>2.5</v>
      </c>
      <c r="H89" s="19"/>
      <c r="I89" s="19">
        <v>1.2</v>
      </c>
      <c r="J89" s="28">
        <f>ROUND(F89*G89*I89,3)</f>
        <v>3</v>
      </c>
      <c r="K89" s="8"/>
      <c r="L89" s="8"/>
      <c r="M89" s="8"/>
      <c r="N89" s="8"/>
    </row>
    <row r="90" spans="1:14" ht="15.2" customHeight="1" thickBot="1" x14ac:dyDescent="0.25">
      <c r="A90" s="8"/>
      <c r="B90" s="8"/>
      <c r="C90" s="8"/>
      <c r="D90" s="24"/>
      <c r="E90" s="6" t="s">
        <v>204</v>
      </c>
      <c r="F90" s="4">
        <v>1</v>
      </c>
      <c r="G90" s="19">
        <v>1.65</v>
      </c>
      <c r="H90" s="19"/>
      <c r="I90" s="19">
        <v>1.2</v>
      </c>
      <c r="J90" s="28">
        <f>ROUND(F90*G90*I90,3)</f>
        <v>1.98</v>
      </c>
      <c r="K90" s="30">
        <f>SUM(J81:J90)</f>
        <v>28.545000000000002</v>
      </c>
      <c r="L90" s="8"/>
      <c r="M90" s="8"/>
      <c r="N90" s="8"/>
    </row>
    <row r="91" spans="1:14" ht="15.4" customHeight="1" thickBot="1" x14ac:dyDescent="0.25">
      <c r="A91" s="12" t="s">
        <v>205</v>
      </c>
      <c r="B91" s="6" t="s">
        <v>206</v>
      </c>
      <c r="C91" s="6" t="s">
        <v>207</v>
      </c>
      <c r="D91" s="48" t="s">
        <v>208</v>
      </c>
      <c r="E91" s="48"/>
      <c r="F91" s="48"/>
      <c r="G91" s="48"/>
      <c r="H91" s="48"/>
      <c r="I91" s="48"/>
      <c r="J91" s="48"/>
      <c r="K91" s="19">
        <f>SUM(K94:K94)</f>
        <v>1.92</v>
      </c>
      <c r="L91" s="20">
        <f>ROUND(41.4*(1+M2/100),2)</f>
        <v>42.64</v>
      </c>
      <c r="M91" s="20">
        <f>ROUND(K91*L91,2)</f>
        <v>81.87</v>
      </c>
      <c r="N91" s="8"/>
    </row>
    <row r="92" spans="1:14" ht="67.5" customHeight="1" thickBot="1" x14ac:dyDescent="0.25">
      <c r="A92" s="8"/>
      <c r="B92" s="8"/>
      <c r="C92" s="8"/>
      <c r="D92" s="48" t="s">
        <v>209</v>
      </c>
      <c r="E92" s="48"/>
      <c r="F92" s="48"/>
      <c r="G92" s="48"/>
      <c r="H92" s="48"/>
      <c r="I92" s="48"/>
      <c r="J92" s="48"/>
      <c r="K92" s="48"/>
      <c r="L92" s="48"/>
      <c r="M92" s="48"/>
      <c r="N92" s="8"/>
    </row>
    <row r="93" spans="1:14" ht="15.2" customHeight="1" thickBot="1" x14ac:dyDescent="0.25">
      <c r="A93" s="8"/>
      <c r="B93" s="8"/>
      <c r="C93" s="8"/>
      <c r="D93" s="8"/>
      <c r="E93" s="21"/>
      <c r="F93" s="23" t="s">
        <v>210</v>
      </c>
      <c r="G93" s="23" t="s">
        <v>211</v>
      </c>
      <c r="H93" s="23" t="s">
        <v>212</v>
      </c>
      <c r="I93" s="23" t="s">
        <v>213</v>
      </c>
      <c r="J93" s="23" t="s">
        <v>214</v>
      </c>
      <c r="K93" s="23" t="s">
        <v>215</v>
      </c>
      <c r="L93" s="8"/>
      <c r="M93" s="8"/>
      <c r="N93" s="8"/>
    </row>
    <row r="94" spans="1:14" ht="15.2" customHeight="1" thickBot="1" x14ac:dyDescent="0.25">
      <c r="A94" s="8"/>
      <c r="B94" s="8"/>
      <c r="C94" s="8"/>
      <c r="D94" s="24"/>
      <c r="E94" s="25" t="s">
        <v>216</v>
      </c>
      <c r="F94" s="26">
        <v>12</v>
      </c>
      <c r="G94" s="27">
        <v>0.4</v>
      </c>
      <c r="H94" s="27"/>
      <c r="I94" s="27">
        <v>0.4</v>
      </c>
      <c r="J94" s="29">
        <f>ROUND(F94*G94*I94,3)</f>
        <v>1.92</v>
      </c>
      <c r="K94" s="31">
        <f>SUM(J94:J94)</f>
        <v>1.92</v>
      </c>
      <c r="L94" s="8"/>
      <c r="M94" s="8"/>
      <c r="N94" s="8"/>
    </row>
    <row r="95" spans="1:14" ht="15.4" customHeight="1" thickBot="1" x14ac:dyDescent="0.25">
      <c r="A95" s="12" t="s">
        <v>217</v>
      </c>
      <c r="B95" s="6" t="s">
        <v>218</v>
      </c>
      <c r="C95" s="6" t="s">
        <v>219</v>
      </c>
      <c r="D95" s="48" t="s">
        <v>220</v>
      </c>
      <c r="E95" s="48"/>
      <c r="F95" s="48"/>
      <c r="G95" s="48"/>
      <c r="H95" s="48"/>
      <c r="I95" s="48"/>
      <c r="J95" s="48"/>
      <c r="K95" s="19">
        <f>SUM(K98:K98)</f>
        <v>90</v>
      </c>
      <c r="L95" s="20">
        <f>ROUND(6.17*(1+M2/100),2)</f>
        <v>6.36</v>
      </c>
      <c r="M95" s="20">
        <f>ROUND(K95*L95,2)</f>
        <v>572.4</v>
      </c>
      <c r="N95" s="8"/>
    </row>
    <row r="96" spans="1:14" ht="58.35" customHeight="1" thickBot="1" x14ac:dyDescent="0.25">
      <c r="A96" s="8"/>
      <c r="B96" s="8"/>
      <c r="C96" s="8"/>
      <c r="D96" s="48" t="s">
        <v>221</v>
      </c>
      <c r="E96" s="48"/>
      <c r="F96" s="48"/>
      <c r="G96" s="48"/>
      <c r="H96" s="48"/>
      <c r="I96" s="48"/>
      <c r="J96" s="48"/>
      <c r="K96" s="48"/>
      <c r="L96" s="48"/>
      <c r="M96" s="48"/>
      <c r="N96" s="8"/>
    </row>
    <row r="97" spans="1:14" ht="15.2" customHeight="1" thickBot="1" x14ac:dyDescent="0.25">
      <c r="A97" s="8"/>
      <c r="B97" s="8"/>
      <c r="C97" s="8"/>
      <c r="D97" s="8"/>
      <c r="E97" s="21"/>
      <c r="F97" s="23" t="s">
        <v>222</v>
      </c>
      <c r="G97" s="23" t="s">
        <v>223</v>
      </c>
      <c r="H97" s="23" t="s">
        <v>224</v>
      </c>
      <c r="I97" s="23" t="s">
        <v>225</v>
      </c>
      <c r="J97" s="23" t="s">
        <v>226</v>
      </c>
      <c r="K97" s="23" t="s">
        <v>227</v>
      </c>
      <c r="L97" s="8"/>
      <c r="M97" s="8"/>
      <c r="N97" s="8"/>
    </row>
    <row r="98" spans="1:14" ht="21.4" customHeight="1" thickBot="1" x14ac:dyDescent="0.25">
      <c r="A98" s="8"/>
      <c r="B98" s="8"/>
      <c r="C98" s="8"/>
      <c r="D98" s="24"/>
      <c r="E98" s="25" t="s">
        <v>228</v>
      </c>
      <c r="F98" s="26">
        <v>1</v>
      </c>
      <c r="G98" s="27">
        <v>90</v>
      </c>
      <c r="H98" s="27"/>
      <c r="I98" s="27"/>
      <c r="J98" s="29">
        <f>ROUND(F98*G98,3)</f>
        <v>90</v>
      </c>
      <c r="K98" s="31">
        <f>SUM(J98:J98)</f>
        <v>90</v>
      </c>
      <c r="L98" s="8"/>
      <c r="M98" s="8"/>
      <c r="N98" s="8"/>
    </row>
    <row r="99" spans="1:14" ht="15.4" customHeight="1" thickBot="1" x14ac:dyDescent="0.25">
      <c r="A99" s="12" t="s">
        <v>229</v>
      </c>
      <c r="B99" s="6" t="s">
        <v>230</v>
      </c>
      <c r="C99" s="6" t="s">
        <v>231</v>
      </c>
      <c r="D99" s="48" t="s">
        <v>232</v>
      </c>
      <c r="E99" s="48"/>
      <c r="F99" s="48"/>
      <c r="G99" s="48"/>
      <c r="H99" s="48"/>
      <c r="I99" s="48"/>
      <c r="J99" s="48"/>
      <c r="K99" s="19">
        <f>SUM(K102:K102)</f>
        <v>1</v>
      </c>
      <c r="L99" s="20">
        <f>ROUND(136.2*(1+M2/100),2)</f>
        <v>140.29</v>
      </c>
      <c r="M99" s="20">
        <f>ROUND(K99*L99,2)</f>
        <v>140.29</v>
      </c>
      <c r="N99" s="8"/>
    </row>
    <row r="100" spans="1:14" ht="12.2" customHeight="1" thickBot="1" x14ac:dyDescent="0.25">
      <c r="A100" s="8"/>
      <c r="B100" s="8"/>
      <c r="C100" s="8"/>
      <c r="D100" s="48" t="s">
        <v>233</v>
      </c>
      <c r="E100" s="48"/>
      <c r="F100" s="48"/>
      <c r="G100" s="48"/>
      <c r="H100" s="48"/>
      <c r="I100" s="48"/>
      <c r="J100" s="48"/>
      <c r="K100" s="48"/>
      <c r="L100" s="48"/>
      <c r="M100" s="48"/>
      <c r="N100" s="8"/>
    </row>
    <row r="101" spans="1:14" ht="15.2" customHeight="1" thickBot="1" x14ac:dyDescent="0.25">
      <c r="A101" s="8"/>
      <c r="B101" s="8"/>
      <c r="C101" s="8"/>
      <c r="D101" s="8"/>
      <c r="E101" s="21"/>
      <c r="F101" s="23" t="s">
        <v>234</v>
      </c>
      <c r="G101" s="23" t="s">
        <v>235</v>
      </c>
      <c r="H101" s="23" t="s">
        <v>236</v>
      </c>
      <c r="I101" s="23" t="s">
        <v>237</v>
      </c>
      <c r="J101" s="23" t="s">
        <v>238</v>
      </c>
      <c r="K101" s="23" t="s">
        <v>239</v>
      </c>
      <c r="L101" s="8"/>
      <c r="M101" s="8"/>
      <c r="N101" s="8"/>
    </row>
    <row r="102" spans="1:14" ht="21.4" customHeight="1" thickBot="1" x14ac:dyDescent="0.25">
      <c r="A102" s="8"/>
      <c r="B102" s="8"/>
      <c r="C102" s="8"/>
      <c r="D102" s="24"/>
      <c r="E102" s="25" t="s">
        <v>240</v>
      </c>
      <c r="F102" s="26">
        <v>1</v>
      </c>
      <c r="G102" s="27"/>
      <c r="H102" s="27"/>
      <c r="I102" s="27"/>
      <c r="J102" s="29">
        <f>ROUND(F102,3)</f>
        <v>1</v>
      </c>
      <c r="K102" s="31">
        <f>SUM(J102:J102)</f>
        <v>1</v>
      </c>
      <c r="L102" s="8"/>
      <c r="M102" s="8"/>
      <c r="N102" s="8"/>
    </row>
    <row r="103" spans="1:14" ht="15.4" customHeight="1" thickBot="1" x14ac:dyDescent="0.25">
      <c r="A103" s="12" t="s">
        <v>241</v>
      </c>
      <c r="B103" s="6" t="s">
        <v>242</v>
      </c>
      <c r="C103" s="6" t="s">
        <v>243</v>
      </c>
      <c r="D103" s="48" t="s">
        <v>244</v>
      </c>
      <c r="E103" s="48"/>
      <c r="F103" s="48"/>
      <c r="G103" s="48"/>
      <c r="H103" s="48"/>
      <c r="I103" s="48"/>
      <c r="J103" s="48"/>
      <c r="K103" s="19">
        <f>SUM(K106:K108)</f>
        <v>16</v>
      </c>
      <c r="L103" s="20">
        <f>ROUND(10.26*(1+M2/100),2)</f>
        <v>10.57</v>
      </c>
      <c r="M103" s="20">
        <f>ROUND(K103*L103,2)</f>
        <v>169.12</v>
      </c>
      <c r="N103" s="8"/>
    </row>
    <row r="104" spans="1:14" ht="67.5" customHeight="1" thickBot="1" x14ac:dyDescent="0.25">
      <c r="A104" s="8"/>
      <c r="B104" s="8"/>
      <c r="C104" s="8"/>
      <c r="D104" s="48" t="s">
        <v>245</v>
      </c>
      <c r="E104" s="48"/>
      <c r="F104" s="48"/>
      <c r="G104" s="48"/>
      <c r="H104" s="48"/>
      <c r="I104" s="48"/>
      <c r="J104" s="48"/>
      <c r="K104" s="48"/>
      <c r="L104" s="48"/>
      <c r="M104" s="48"/>
      <c r="N104" s="8"/>
    </row>
    <row r="105" spans="1:14" ht="15.2" customHeight="1" thickBot="1" x14ac:dyDescent="0.25">
      <c r="A105" s="8"/>
      <c r="B105" s="8"/>
      <c r="C105" s="8"/>
      <c r="D105" s="8"/>
      <c r="E105" s="21"/>
      <c r="F105" s="23" t="s">
        <v>246</v>
      </c>
      <c r="G105" s="23" t="s">
        <v>247</v>
      </c>
      <c r="H105" s="23" t="s">
        <v>248</v>
      </c>
      <c r="I105" s="23" t="s">
        <v>249</v>
      </c>
      <c r="J105" s="23" t="s">
        <v>250</v>
      </c>
      <c r="K105" s="23" t="s">
        <v>251</v>
      </c>
      <c r="L105" s="8"/>
      <c r="M105" s="8"/>
      <c r="N105" s="8"/>
    </row>
    <row r="106" spans="1:14" ht="21.4" customHeight="1" thickBot="1" x14ac:dyDescent="0.25">
      <c r="A106" s="8"/>
      <c r="B106" s="8"/>
      <c r="C106" s="8"/>
      <c r="D106" s="24"/>
      <c r="E106" s="25" t="s">
        <v>252</v>
      </c>
      <c r="F106" s="26"/>
      <c r="G106" s="27"/>
      <c r="H106" s="27"/>
      <c r="I106" s="27"/>
      <c r="J106" s="40" t="s">
        <v>253</v>
      </c>
      <c r="K106" s="39"/>
      <c r="L106" s="8"/>
      <c r="M106" s="8"/>
      <c r="N106" s="8"/>
    </row>
    <row r="107" spans="1:14" ht="15.2" customHeight="1" thickBot="1" x14ac:dyDescent="0.25">
      <c r="A107" s="8"/>
      <c r="B107" s="8"/>
      <c r="C107" s="8"/>
      <c r="D107" s="24"/>
      <c r="E107" s="6" t="s">
        <v>254</v>
      </c>
      <c r="F107" s="4">
        <v>1</v>
      </c>
      <c r="G107" s="19">
        <v>8</v>
      </c>
      <c r="H107" s="19"/>
      <c r="I107" s="19"/>
      <c r="J107" s="28">
        <f>ROUND(F107*G107,3)</f>
        <v>8</v>
      </c>
      <c r="K107" s="8"/>
      <c r="L107" s="8"/>
      <c r="M107" s="8"/>
      <c r="N107" s="8"/>
    </row>
    <row r="108" spans="1:14" ht="21.4" customHeight="1" thickBot="1" x14ac:dyDescent="0.25">
      <c r="A108" s="8"/>
      <c r="B108" s="8"/>
      <c r="C108" s="8"/>
      <c r="D108" s="24"/>
      <c r="E108" s="6" t="s">
        <v>255</v>
      </c>
      <c r="F108" s="4">
        <v>2</v>
      </c>
      <c r="G108" s="19">
        <v>4</v>
      </c>
      <c r="H108" s="19"/>
      <c r="I108" s="19"/>
      <c r="J108" s="28">
        <f>ROUND(F108*G108,3)</f>
        <v>8</v>
      </c>
      <c r="K108" s="30">
        <f>SUM(J106:J108)</f>
        <v>16</v>
      </c>
      <c r="L108" s="8"/>
      <c r="M108" s="8"/>
      <c r="N108" s="8"/>
    </row>
    <row r="109" spans="1:14" ht="15.4" customHeight="1" thickBot="1" x14ac:dyDescent="0.25">
      <c r="A109" s="12" t="s">
        <v>256</v>
      </c>
      <c r="B109" s="6" t="s">
        <v>257</v>
      </c>
      <c r="C109" s="6" t="s">
        <v>258</v>
      </c>
      <c r="D109" s="48" t="s">
        <v>259</v>
      </c>
      <c r="E109" s="48"/>
      <c r="F109" s="48"/>
      <c r="G109" s="48"/>
      <c r="H109" s="48"/>
      <c r="I109" s="48"/>
      <c r="J109" s="48"/>
      <c r="K109" s="19">
        <f>SUM(K112:K112)</f>
        <v>6</v>
      </c>
      <c r="L109" s="20">
        <f>ROUND(17.87*(1+M2/100),2)</f>
        <v>18.41</v>
      </c>
      <c r="M109" s="20">
        <f>ROUND(K109*L109,2)</f>
        <v>110.46</v>
      </c>
      <c r="N109" s="8"/>
    </row>
    <row r="110" spans="1:14" ht="67.5" customHeight="1" thickBot="1" x14ac:dyDescent="0.25">
      <c r="A110" s="8"/>
      <c r="B110" s="8"/>
      <c r="C110" s="8"/>
      <c r="D110" s="48" t="s">
        <v>260</v>
      </c>
      <c r="E110" s="48"/>
      <c r="F110" s="48"/>
      <c r="G110" s="48"/>
      <c r="H110" s="48"/>
      <c r="I110" s="48"/>
      <c r="J110" s="48"/>
      <c r="K110" s="48"/>
      <c r="L110" s="48"/>
      <c r="M110" s="48"/>
      <c r="N110" s="8"/>
    </row>
    <row r="111" spans="1:14" ht="15.2" customHeight="1" thickBot="1" x14ac:dyDescent="0.25">
      <c r="A111" s="8"/>
      <c r="B111" s="8"/>
      <c r="C111" s="8"/>
      <c r="D111" s="8"/>
      <c r="E111" s="21"/>
      <c r="F111" s="23" t="s">
        <v>261</v>
      </c>
      <c r="G111" s="23" t="s">
        <v>262</v>
      </c>
      <c r="H111" s="23" t="s">
        <v>263</v>
      </c>
      <c r="I111" s="23" t="s">
        <v>264</v>
      </c>
      <c r="J111" s="23" t="s">
        <v>265</v>
      </c>
      <c r="K111" s="23" t="s">
        <v>266</v>
      </c>
      <c r="L111" s="8"/>
      <c r="M111" s="8"/>
      <c r="N111" s="8"/>
    </row>
    <row r="112" spans="1:14" ht="15.2" customHeight="1" thickBot="1" x14ac:dyDescent="0.25">
      <c r="A112" s="8"/>
      <c r="B112" s="8"/>
      <c r="C112" s="8"/>
      <c r="D112" s="24"/>
      <c r="E112" s="25" t="s">
        <v>267</v>
      </c>
      <c r="F112" s="26">
        <v>1</v>
      </c>
      <c r="G112" s="27">
        <v>6</v>
      </c>
      <c r="H112" s="27"/>
      <c r="I112" s="27"/>
      <c r="J112" s="29">
        <f>ROUND(F112*G112,3)</f>
        <v>6</v>
      </c>
      <c r="K112" s="31">
        <f>SUM(J112:J112)</f>
        <v>6</v>
      </c>
      <c r="L112" s="8"/>
      <c r="M112" s="8"/>
      <c r="N112" s="8"/>
    </row>
    <row r="113" spans="1:14" ht="15.4" customHeight="1" thickBot="1" x14ac:dyDescent="0.25">
      <c r="A113" s="12" t="s">
        <v>268</v>
      </c>
      <c r="B113" s="6" t="s">
        <v>269</v>
      </c>
      <c r="C113" s="6" t="s">
        <v>270</v>
      </c>
      <c r="D113" s="48" t="s">
        <v>271</v>
      </c>
      <c r="E113" s="48"/>
      <c r="F113" s="48"/>
      <c r="G113" s="48"/>
      <c r="H113" s="48"/>
      <c r="I113" s="48"/>
      <c r="J113" s="48"/>
      <c r="K113" s="19">
        <f>SUM(K116:K117)</f>
        <v>15</v>
      </c>
      <c r="L113" s="20">
        <f>ROUND(8.84*(1+M2/100),2)</f>
        <v>9.11</v>
      </c>
      <c r="M113" s="20">
        <f>ROUND(K113*L113,2)</f>
        <v>136.65</v>
      </c>
      <c r="N113" s="8"/>
    </row>
    <row r="114" spans="1:14" ht="58.35" customHeight="1" thickBot="1" x14ac:dyDescent="0.25">
      <c r="A114" s="8"/>
      <c r="B114" s="8"/>
      <c r="C114" s="8"/>
      <c r="D114" s="48" t="s">
        <v>272</v>
      </c>
      <c r="E114" s="48"/>
      <c r="F114" s="48"/>
      <c r="G114" s="48"/>
      <c r="H114" s="48"/>
      <c r="I114" s="48"/>
      <c r="J114" s="48"/>
      <c r="K114" s="48"/>
      <c r="L114" s="48"/>
      <c r="M114" s="48"/>
      <c r="N114" s="8"/>
    </row>
    <row r="115" spans="1:14" ht="15.2" customHeight="1" thickBot="1" x14ac:dyDescent="0.25">
      <c r="A115" s="8"/>
      <c r="B115" s="8"/>
      <c r="C115" s="8"/>
      <c r="D115" s="8"/>
      <c r="E115" s="21"/>
      <c r="F115" s="23" t="s">
        <v>273</v>
      </c>
      <c r="G115" s="23" t="s">
        <v>274</v>
      </c>
      <c r="H115" s="23" t="s">
        <v>275</v>
      </c>
      <c r="I115" s="23" t="s">
        <v>276</v>
      </c>
      <c r="J115" s="23" t="s">
        <v>277</v>
      </c>
      <c r="K115" s="23" t="s">
        <v>278</v>
      </c>
      <c r="L115" s="8"/>
      <c r="M115" s="8"/>
      <c r="N115" s="8"/>
    </row>
    <row r="116" spans="1:14" ht="15.2" customHeight="1" thickBot="1" x14ac:dyDescent="0.25">
      <c r="A116" s="8"/>
      <c r="B116" s="8"/>
      <c r="C116" s="8"/>
      <c r="D116" s="24"/>
      <c r="E116" s="25" t="s">
        <v>279</v>
      </c>
      <c r="F116" s="26">
        <v>1</v>
      </c>
      <c r="G116" s="27">
        <v>6</v>
      </c>
      <c r="H116" s="27"/>
      <c r="I116" s="27"/>
      <c r="J116" s="29">
        <f>ROUND(F116*G116,3)</f>
        <v>6</v>
      </c>
      <c r="K116" s="39"/>
      <c r="L116" s="8"/>
      <c r="M116" s="8"/>
      <c r="N116" s="8"/>
    </row>
    <row r="117" spans="1:14" ht="30.6" customHeight="1" thickBot="1" x14ac:dyDescent="0.25">
      <c r="A117" s="8"/>
      <c r="B117" s="8"/>
      <c r="C117" s="8"/>
      <c r="D117" s="24"/>
      <c r="E117" s="6" t="s">
        <v>280</v>
      </c>
      <c r="F117" s="4">
        <v>1</v>
      </c>
      <c r="G117" s="19">
        <v>9</v>
      </c>
      <c r="H117" s="19"/>
      <c r="I117" s="19"/>
      <c r="J117" s="28">
        <f>ROUND(F117*G117,3)</f>
        <v>9</v>
      </c>
      <c r="K117" s="30">
        <f>SUM(J116:J117)</f>
        <v>15</v>
      </c>
      <c r="L117" s="8"/>
      <c r="M117" s="8"/>
      <c r="N117" s="8"/>
    </row>
    <row r="118" spans="1:14" ht="15.4" customHeight="1" thickBot="1" x14ac:dyDescent="0.25">
      <c r="A118" s="12" t="s">
        <v>281</v>
      </c>
      <c r="B118" s="6" t="s">
        <v>282</v>
      </c>
      <c r="C118" s="6" t="s">
        <v>283</v>
      </c>
      <c r="D118" s="48" t="s">
        <v>284</v>
      </c>
      <c r="E118" s="48"/>
      <c r="F118" s="48"/>
      <c r="G118" s="48"/>
      <c r="H118" s="48"/>
      <c r="I118" s="48"/>
      <c r="J118" s="48"/>
      <c r="K118" s="19">
        <f>SUM(K121:K121)</f>
        <v>24.5</v>
      </c>
      <c r="L118" s="20">
        <f>ROUND(8.31*(1+M2/100),2)</f>
        <v>8.56</v>
      </c>
      <c r="M118" s="20">
        <f>ROUND(K118*L118,2)</f>
        <v>209.72</v>
      </c>
      <c r="N118" s="8"/>
    </row>
    <row r="119" spans="1:14" ht="58.35" customHeight="1" thickBot="1" x14ac:dyDescent="0.25">
      <c r="A119" s="8"/>
      <c r="B119" s="8"/>
      <c r="C119" s="8"/>
      <c r="D119" s="48" t="s">
        <v>285</v>
      </c>
      <c r="E119" s="48"/>
      <c r="F119" s="48"/>
      <c r="G119" s="48"/>
      <c r="H119" s="48"/>
      <c r="I119" s="48"/>
      <c r="J119" s="48"/>
      <c r="K119" s="48"/>
      <c r="L119" s="48"/>
      <c r="M119" s="48"/>
      <c r="N119" s="8"/>
    </row>
    <row r="120" spans="1:14" ht="15.2" customHeight="1" thickBot="1" x14ac:dyDescent="0.25">
      <c r="A120" s="8"/>
      <c r="B120" s="8"/>
      <c r="C120" s="8"/>
      <c r="D120" s="8"/>
      <c r="E120" s="21"/>
      <c r="F120" s="23" t="s">
        <v>286</v>
      </c>
      <c r="G120" s="23" t="s">
        <v>287</v>
      </c>
      <c r="H120" s="23" t="s">
        <v>288</v>
      </c>
      <c r="I120" s="23" t="s">
        <v>289</v>
      </c>
      <c r="J120" s="23" t="s">
        <v>290</v>
      </c>
      <c r="K120" s="23" t="s">
        <v>291</v>
      </c>
      <c r="L120" s="8"/>
      <c r="M120" s="8"/>
      <c r="N120" s="8"/>
    </row>
    <row r="121" spans="1:14" ht="15.2" customHeight="1" thickBot="1" x14ac:dyDescent="0.25">
      <c r="A121" s="8"/>
      <c r="B121" s="8"/>
      <c r="C121" s="8"/>
      <c r="D121" s="24"/>
      <c r="E121" s="25" t="s">
        <v>292</v>
      </c>
      <c r="F121" s="26">
        <v>7</v>
      </c>
      <c r="G121" s="27">
        <v>3.5</v>
      </c>
      <c r="H121" s="27"/>
      <c r="I121" s="27"/>
      <c r="J121" s="29">
        <f>ROUND(F121*G121,3)</f>
        <v>24.5</v>
      </c>
      <c r="K121" s="31">
        <f>SUM(J121:J121)</f>
        <v>24.5</v>
      </c>
      <c r="L121" s="8"/>
      <c r="M121" s="8"/>
      <c r="N121" s="8"/>
    </row>
    <row r="122" spans="1:14" ht="15.4" customHeight="1" thickBot="1" x14ac:dyDescent="0.25">
      <c r="A122" s="12" t="s">
        <v>293</v>
      </c>
      <c r="B122" s="6" t="s">
        <v>294</v>
      </c>
      <c r="C122" s="6" t="s">
        <v>295</v>
      </c>
      <c r="D122" s="48" t="s">
        <v>296</v>
      </c>
      <c r="E122" s="48"/>
      <c r="F122" s="48"/>
      <c r="G122" s="48"/>
      <c r="H122" s="48"/>
      <c r="I122" s="48"/>
      <c r="J122" s="48"/>
      <c r="K122" s="19">
        <f>SUM(K125:K125)</f>
        <v>14</v>
      </c>
      <c r="L122" s="20">
        <f>ROUND(14.24*(1+M2/100),2)</f>
        <v>14.67</v>
      </c>
      <c r="M122" s="20">
        <f>ROUND(K122*L122,2)</f>
        <v>205.38</v>
      </c>
      <c r="N122" s="8"/>
    </row>
    <row r="123" spans="1:14" ht="67.5" customHeight="1" thickBot="1" x14ac:dyDescent="0.25">
      <c r="A123" s="8"/>
      <c r="B123" s="8"/>
      <c r="C123" s="8"/>
      <c r="D123" s="48" t="s">
        <v>297</v>
      </c>
      <c r="E123" s="48"/>
      <c r="F123" s="48"/>
      <c r="G123" s="48"/>
      <c r="H123" s="48"/>
      <c r="I123" s="48"/>
      <c r="J123" s="48"/>
      <c r="K123" s="48"/>
      <c r="L123" s="48"/>
      <c r="M123" s="48"/>
      <c r="N123" s="8"/>
    </row>
    <row r="124" spans="1:14" ht="15.2" customHeight="1" thickBot="1" x14ac:dyDescent="0.25">
      <c r="A124" s="8"/>
      <c r="B124" s="8"/>
      <c r="C124" s="8"/>
      <c r="D124" s="8"/>
      <c r="E124" s="21"/>
      <c r="F124" s="23" t="s">
        <v>298</v>
      </c>
      <c r="G124" s="23" t="s">
        <v>299</v>
      </c>
      <c r="H124" s="23" t="s">
        <v>300</v>
      </c>
      <c r="I124" s="23" t="s">
        <v>301</v>
      </c>
      <c r="J124" s="23" t="s">
        <v>302</v>
      </c>
      <c r="K124" s="23" t="s">
        <v>303</v>
      </c>
      <c r="L124" s="8"/>
      <c r="M124" s="8"/>
      <c r="N124" s="8"/>
    </row>
    <row r="125" spans="1:14" ht="21.4" customHeight="1" thickBot="1" x14ac:dyDescent="0.25">
      <c r="A125" s="8"/>
      <c r="B125" s="8"/>
      <c r="C125" s="8"/>
      <c r="D125" s="24"/>
      <c r="E125" s="25" t="s">
        <v>304</v>
      </c>
      <c r="F125" s="26">
        <v>1</v>
      </c>
      <c r="G125" s="27">
        <v>14</v>
      </c>
      <c r="H125" s="27"/>
      <c r="I125" s="27"/>
      <c r="J125" s="29">
        <f>ROUND(F125*G125,3)</f>
        <v>14</v>
      </c>
      <c r="K125" s="31">
        <f>SUM(J125:J125)</f>
        <v>14</v>
      </c>
      <c r="L125" s="8"/>
      <c r="M125" s="8"/>
      <c r="N125" s="8"/>
    </row>
    <row r="126" spans="1:14" ht="15.4" customHeight="1" thickBot="1" x14ac:dyDescent="0.25">
      <c r="A126" s="12" t="s">
        <v>305</v>
      </c>
      <c r="B126" s="6" t="s">
        <v>306</v>
      </c>
      <c r="C126" s="6" t="s">
        <v>307</v>
      </c>
      <c r="D126" s="48" t="s">
        <v>308</v>
      </c>
      <c r="E126" s="48"/>
      <c r="F126" s="48"/>
      <c r="G126" s="48"/>
      <c r="H126" s="48"/>
      <c r="I126" s="48"/>
      <c r="J126" s="48"/>
      <c r="K126" s="19">
        <f>SUM(K129:K129)</f>
        <v>5.5</v>
      </c>
      <c r="L126" s="20">
        <f>ROUND(8.4*(1+M2/100),2)</f>
        <v>8.65</v>
      </c>
      <c r="M126" s="20">
        <f>ROUND(K126*L126,2)</f>
        <v>47.58</v>
      </c>
      <c r="N126" s="8"/>
    </row>
    <row r="127" spans="1:14" ht="76.900000000000006" customHeight="1" thickBot="1" x14ac:dyDescent="0.25">
      <c r="A127" s="8"/>
      <c r="B127" s="8"/>
      <c r="C127" s="8"/>
      <c r="D127" s="48" t="s">
        <v>309</v>
      </c>
      <c r="E127" s="48"/>
      <c r="F127" s="48"/>
      <c r="G127" s="48"/>
      <c r="H127" s="48"/>
      <c r="I127" s="48"/>
      <c r="J127" s="48"/>
      <c r="K127" s="48"/>
      <c r="L127" s="48"/>
      <c r="M127" s="48"/>
      <c r="N127" s="8"/>
    </row>
    <row r="128" spans="1:14" ht="15.2" customHeight="1" thickBot="1" x14ac:dyDescent="0.25">
      <c r="A128" s="8"/>
      <c r="B128" s="8"/>
      <c r="C128" s="8"/>
      <c r="D128" s="8"/>
      <c r="E128" s="21"/>
      <c r="F128" s="23" t="s">
        <v>310</v>
      </c>
      <c r="G128" s="23" t="s">
        <v>311</v>
      </c>
      <c r="H128" s="23" t="s">
        <v>312</v>
      </c>
      <c r="I128" s="23" t="s">
        <v>313</v>
      </c>
      <c r="J128" s="23" t="s">
        <v>314</v>
      </c>
      <c r="K128" s="23" t="s">
        <v>315</v>
      </c>
      <c r="L128" s="8"/>
      <c r="M128" s="8"/>
      <c r="N128" s="8"/>
    </row>
    <row r="129" spans="1:14" ht="21.4" customHeight="1" thickBot="1" x14ac:dyDescent="0.25">
      <c r="A129" s="8"/>
      <c r="B129" s="8"/>
      <c r="C129" s="8"/>
      <c r="D129" s="24"/>
      <c r="E129" s="25" t="s">
        <v>316</v>
      </c>
      <c r="F129" s="26">
        <v>1</v>
      </c>
      <c r="G129" s="27">
        <v>5.5</v>
      </c>
      <c r="H129" s="27"/>
      <c r="I129" s="27"/>
      <c r="J129" s="29">
        <f>ROUND(F129*G129,3)</f>
        <v>5.5</v>
      </c>
      <c r="K129" s="31">
        <f>SUM(J129:J129)</f>
        <v>5.5</v>
      </c>
      <c r="L129" s="8"/>
      <c r="M129" s="8"/>
      <c r="N129" s="8"/>
    </row>
    <row r="130" spans="1:14" ht="15.4" customHeight="1" thickBot="1" x14ac:dyDescent="0.25">
      <c r="A130" s="12" t="s">
        <v>317</v>
      </c>
      <c r="B130" s="6" t="s">
        <v>318</v>
      </c>
      <c r="C130" s="6" t="s">
        <v>319</v>
      </c>
      <c r="D130" s="48" t="s">
        <v>320</v>
      </c>
      <c r="E130" s="48"/>
      <c r="F130" s="48"/>
      <c r="G130" s="48"/>
      <c r="H130" s="48"/>
      <c r="I130" s="48"/>
      <c r="J130" s="48"/>
      <c r="K130" s="19">
        <f>SUM(K133:K133)</f>
        <v>4</v>
      </c>
      <c r="L130" s="20">
        <f>ROUND(22.87*(1+M2/100),2)</f>
        <v>23.56</v>
      </c>
      <c r="M130" s="20">
        <f>ROUND(K130*L130,2)</f>
        <v>94.24</v>
      </c>
      <c r="N130" s="8"/>
    </row>
    <row r="131" spans="1:14" ht="67.5" customHeight="1" thickBot="1" x14ac:dyDescent="0.25">
      <c r="A131" s="8"/>
      <c r="B131" s="8"/>
      <c r="C131" s="8"/>
      <c r="D131" s="48" t="s">
        <v>321</v>
      </c>
      <c r="E131" s="48"/>
      <c r="F131" s="48"/>
      <c r="G131" s="48"/>
      <c r="H131" s="48"/>
      <c r="I131" s="48"/>
      <c r="J131" s="48"/>
      <c r="K131" s="48"/>
      <c r="L131" s="48"/>
      <c r="M131" s="48"/>
      <c r="N131" s="8"/>
    </row>
    <row r="132" spans="1:14" ht="15.2" customHeight="1" thickBot="1" x14ac:dyDescent="0.25">
      <c r="A132" s="8"/>
      <c r="B132" s="8"/>
      <c r="C132" s="8"/>
      <c r="D132" s="8"/>
      <c r="E132" s="21"/>
      <c r="F132" s="23" t="s">
        <v>322</v>
      </c>
      <c r="G132" s="23" t="s">
        <v>323</v>
      </c>
      <c r="H132" s="23" t="s">
        <v>324</v>
      </c>
      <c r="I132" s="23" t="s">
        <v>325</v>
      </c>
      <c r="J132" s="23" t="s">
        <v>326</v>
      </c>
      <c r="K132" s="23" t="s">
        <v>327</v>
      </c>
      <c r="L132" s="8"/>
      <c r="M132" s="8"/>
      <c r="N132" s="8"/>
    </row>
    <row r="133" spans="1:14" ht="15.2" customHeight="1" thickBot="1" x14ac:dyDescent="0.25">
      <c r="A133" s="8"/>
      <c r="B133" s="8"/>
      <c r="C133" s="8"/>
      <c r="D133" s="24"/>
      <c r="E133" s="25" t="s">
        <v>328</v>
      </c>
      <c r="F133" s="26">
        <v>4</v>
      </c>
      <c r="G133" s="27"/>
      <c r="H133" s="27"/>
      <c r="I133" s="27"/>
      <c r="J133" s="29">
        <f>ROUND(F133,3)</f>
        <v>4</v>
      </c>
      <c r="K133" s="31">
        <f>SUM(J133:J133)</f>
        <v>4</v>
      </c>
      <c r="L133" s="8"/>
      <c r="M133" s="8"/>
      <c r="N133" s="8"/>
    </row>
    <row r="134" spans="1:14" ht="15.4" customHeight="1" thickBot="1" x14ac:dyDescent="0.25">
      <c r="A134" s="12" t="s">
        <v>329</v>
      </c>
      <c r="B134" s="6" t="s">
        <v>330</v>
      </c>
      <c r="C134" s="6" t="s">
        <v>331</v>
      </c>
      <c r="D134" s="48" t="s">
        <v>332</v>
      </c>
      <c r="E134" s="48"/>
      <c r="F134" s="48"/>
      <c r="G134" s="48"/>
      <c r="H134" s="48"/>
      <c r="I134" s="48"/>
      <c r="J134" s="48"/>
      <c r="K134" s="19">
        <f>SUM(K137:K137)</f>
        <v>35</v>
      </c>
      <c r="L134" s="20">
        <f>ROUND(6.49*(1+M2/100),2)</f>
        <v>6.68</v>
      </c>
      <c r="M134" s="20">
        <f>ROUND(K134*L134,2)</f>
        <v>233.8</v>
      </c>
      <c r="N134" s="8"/>
    </row>
    <row r="135" spans="1:14" ht="58.35" customHeight="1" thickBot="1" x14ac:dyDescent="0.25">
      <c r="A135" s="8"/>
      <c r="B135" s="8"/>
      <c r="C135" s="8"/>
      <c r="D135" s="48" t="s">
        <v>333</v>
      </c>
      <c r="E135" s="48"/>
      <c r="F135" s="48"/>
      <c r="G135" s="48"/>
      <c r="H135" s="48"/>
      <c r="I135" s="48"/>
      <c r="J135" s="48"/>
      <c r="K135" s="48"/>
      <c r="L135" s="48"/>
      <c r="M135" s="48"/>
      <c r="N135" s="8"/>
    </row>
    <row r="136" spans="1:14" ht="15.2" customHeight="1" thickBot="1" x14ac:dyDescent="0.25">
      <c r="A136" s="8"/>
      <c r="B136" s="8"/>
      <c r="C136" s="8"/>
      <c r="D136" s="8"/>
      <c r="E136" s="21"/>
      <c r="F136" s="23" t="s">
        <v>334</v>
      </c>
      <c r="G136" s="23" t="s">
        <v>335</v>
      </c>
      <c r="H136" s="23" t="s">
        <v>336</v>
      </c>
      <c r="I136" s="23" t="s">
        <v>337</v>
      </c>
      <c r="J136" s="23" t="s">
        <v>338</v>
      </c>
      <c r="K136" s="23" t="s">
        <v>339</v>
      </c>
      <c r="L136" s="8"/>
      <c r="M136" s="8"/>
      <c r="N136" s="8"/>
    </row>
    <row r="137" spans="1:14" ht="15.2" customHeight="1" thickBot="1" x14ac:dyDescent="0.25">
      <c r="A137" s="8"/>
      <c r="B137" s="8"/>
      <c r="C137" s="8"/>
      <c r="D137" s="24"/>
      <c r="E137" s="25" t="s">
        <v>340</v>
      </c>
      <c r="F137" s="26">
        <v>1</v>
      </c>
      <c r="G137" s="27">
        <v>35</v>
      </c>
      <c r="H137" s="27"/>
      <c r="I137" s="27"/>
      <c r="J137" s="29">
        <f>ROUND(F137*G137,3)</f>
        <v>35</v>
      </c>
      <c r="K137" s="31">
        <f>SUM(J137:J137)</f>
        <v>35</v>
      </c>
      <c r="L137" s="8"/>
      <c r="M137" s="8"/>
      <c r="N137" s="8"/>
    </row>
    <row r="138" spans="1:14" ht="15.4" customHeight="1" thickBot="1" x14ac:dyDescent="0.25">
      <c r="A138" s="12" t="s">
        <v>341</v>
      </c>
      <c r="B138" s="6" t="s">
        <v>342</v>
      </c>
      <c r="C138" s="6" t="s">
        <v>343</v>
      </c>
      <c r="D138" s="48" t="s">
        <v>344</v>
      </c>
      <c r="E138" s="48"/>
      <c r="F138" s="48"/>
      <c r="G138" s="48"/>
      <c r="H138" s="48"/>
      <c r="I138" s="48"/>
      <c r="J138" s="48"/>
      <c r="K138" s="19">
        <f>SUM(K141:K143)</f>
        <v>100</v>
      </c>
      <c r="L138" s="20">
        <f>ROUND(5.97*(1+M2/100),2)</f>
        <v>6.15</v>
      </c>
      <c r="M138" s="20">
        <f>ROUND(K138*L138,2)</f>
        <v>615</v>
      </c>
      <c r="N138" s="8"/>
    </row>
    <row r="139" spans="1:14" ht="67.5" customHeight="1" thickBot="1" x14ac:dyDescent="0.25">
      <c r="A139" s="8"/>
      <c r="B139" s="8"/>
      <c r="C139" s="8"/>
      <c r="D139" s="48" t="s">
        <v>345</v>
      </c>
      <c r="E139" s="48"/>
      <c r="F139" s="48"/>
      <c r="G139" s="48"/>
      <c r="H139" s="48"/>
      <c r="I139" s="48"/>
      <c r="J139" s="48"/>
      <c r="K139" s="48"/>
      <c r="L139" s="48"/>
      <c r="M139" s="48"/>
      <c r="N139" s="8"/>
    </row>
    <row r="140" spans="1:14" ht="15.2" customHeight="1" thickBot="1" x14ac:dyDescent="0.25">
      <c r="A140" s="8"/>
      <c r="B140" s="8"/>
      <c r="C140" s="8"/>
      <c r="D140" s="8"/>
      <c r="E140" s="21"/>
      <c r="F140" s="23" t="s">
        <v>346</v>
      </c>
      <c r="G140" s="23" t="s">
        <v>347</v>
      </c>
      <c r="H140" s="23" t="s">
        <v>348</v>
      </c>
      <c r="I140" s="23" t="s">
        <v>349</v>
      </c>
      <c r="J140" s="23" t="s">
        <v>350</v>
      </c>
      <c r="K140" s="23" t="s">
        <v>351</v>
      </c>
      <c r="L140" s="8"/>
      <c r="M140" s="8"/>
      <c r="N140" s="8"/>
    </row>
    <row r="141" spans="1:14" ht="15.2" customHeight="1" thickBot="1" x14ac:dyDescent="0.25">
      <c r="A141" s="8"/>
      <c r="B141" s="8"/>
      <c r="C141" s="8"/>
      <c r="D141" s="24"/>
      <c r="E141" s="25" t="s">
        <v>352</v>
      </c>
      <c r="F141" s="26">
        <v>1</v>
      </c>
      <c r="G141" s="27">
        <v>40</v>
      </c>
      <c r="H141" s="27"/>
      <c r="I141" s="27"/>
      <c r="J141" s="29">
        <f>ROUND(F141*G141,3)</f>
        <v>40</v>
      </c>
      <c r="K141" s="39"/>
      <c r="L141" s="8"/>
      <c r="M141" s="8"/>
      <c r="N141" s="8"/>
    </row>
    <row r="142" spans="1:14" ht="15.2" customHeight="1" thickBot="1" x14ac:dyDescent="0.25">
      <c r="A142" s="8"/>
      <c r="B142" s="8"/>
      <c r="C142" s="8"/>
      <c r="D142" s="24"/>
      <c r="E142" s="6" t="s">
        <v>353</v>
      </c>
      <c r="F142" s="4">
        <v>1</v>
      </c>
      <c r="G142" s="19">
        <v>40</v>
      </c>
      <c r="H142" s="19"/>
      <c r="I142" s="19"/>
      <c r="J142" s="28">
        <f>ROUND(F142*G142,3)</f>
        <v>40</v>
      </c>
      <c r="K142" s="8"/>
      <c r="L142" s="8"/>
      <c r="M142" s="8"/>
      <c r="N142" s="8"/>
    </row>
    <row r="143" spans="1:14" ht="15.2" customHeight="1" thickBot="1" x14ac:dyDescent="0.25">
      <c r="A143" s="8"/>
      <c r="B143" s="8"/>
      <c r="C143" s="8"/>
      <c r="D143" s="24"/>
      <c r="E143" s="6" t="s">
        <v>354</v>
      </c>
      <c r="F143" s="4">
        <v>1</v>
      </c>
      <c r="G143" s="19">
        <v>20</v>
      </c>
      <c r="H143" s="19"/>
      <c r="I143" s="19"/>
      <c r="J143" s="28">
        <f>ROUND(F143*G143,3)</f>
        <v>20</v>
      </c>
      <c r="K143" s="30">
        <f>SUM(J141:J143)</f>
        <v>100</v>
      </c>
      <c r="L143" s="8"/>
      <c r="M143" s="8"/>
      <c r="N143" s="8"/>
    </row>
    <row r="144" spans="1:14" ht="15.4" customHeight="1" thickBot="1" x14ac:dyDescent="0.25">
      <c r="A144" s="12" t="s">
        <v>355</v>
      </c>
      <c r="B144" s="6" t="s">
        <v>356</v>
      </c>
      <c r="C144" s="6" t="s">
        <v>357</v>
      </c>
      <c r="D144" s="48" t="s">
        <v>358</v>
      </c>
      <c r="E144" s="48"/>
      <c r="F144" s="48"/>
      <c r="G144" s="48"/>
      <c r="H144" s="48"/>
      <c r="I144" s="48"/>
      <c r="J144" s="48"/>
      <c r="K144" s="19">
        <f>SUM(K147:K147)</f>
        <v>2</v>
      </c>
      <c r="L144" s="20">
        <f>ROUND(24.51*(1+M2/100),2)</f>
        <v>25.25</v>
      </c>
      <c r="M144" s="20">
        <f>ROUND(K144*L144,2)</f>
        <v>50.5</v>
      </c>
      <c r="N144" s="8"/>
    </row>
    <row r="145" spans="1:14" ht="58.35" customHeight="1" thickBot="1" x14ac:dyDescent="0.25">
      <c r="A145" s="8"/>
      <c r="B145" s="8"/>
      <c r="C145" s="8"/>
      <c r="D145" s="48" t="s">
        <v>359</v>
      </c>
      <c r="E145" s="48"/>
      <c r="F145" s="48"/>
      <c r="G145" s="48"/>
      <c r="H145" s="48"/>
      <c r="I145" s="48"/>
      <c r="J145" s="48"/>
      <c r="K145" s="48"/>
      <c r="L145" s="48"/>
      <c r="M145" s="48"/>
      <c r="N145" s="8"/>
    </row>
    <row r="146" spans="1:14" ht="15.2" customHeight="1" thickBot="1" x14ac:dyDescent="0.25">
      <c r="A146" s="8"/>
      <c r="B146" s="8"/>
      <c r="C146" s="8"/>
      <c r="D146" s="8"/>
      <c r="E146" s="21"/>
      <c r="F146" s="23" t="s">
        <v>360</v>
      </c>
      <c r="G146" s="23" t="s">
        <v>361</v>
      </c>
      <c r="H146" s="23" t="s">
        <v>362</v>
      </c>
      <c r="I146" s="23" t="s">
        <v>363</v>
      </c>
      <c r="J146" s="23" t="s">
        <v>364</v>
      </c>
      <c r="K146" s="23" t="s">
        <v>365</v>
      </c>
      <c r="L146" s="8"/>
      <c r="M146" s="8"/>
      <c r="N146" s="8"/>
    </row>
    <row r="147" spans="1:14" ht="15.2" customHeight="1" thickBot="1" x14ac:dyDescent="0.25">
      <c r="A147" s="8"/>
      <c r="B147" s="8"/>
      <c r="C147" s="8"/>
      <c r="D147" s="24"/>
      <c r="E147" s="25" t="s">
        <v>366</v>
      </c>
      <c r="F147" s="26">
        <v>2</v>
      </c>
      <c r="G147" s="27"/>
      <c r="H147" s="27"/>
      <c r="I147" s="27"/>
      <c r="J147" s="29">
        <f>ROUND(F147,3)</f>
        <v>2</v>
      </c>
      <c r="K147" s="31">
        <f>SUM(J147:J147)</f>
        <v>2</v>
      </c>
      <c r="L147" s="8"/>
      <c r="M147" s="8"/>
      <c r="N147" s="8"/>
    </row>
    <row r="148" spans="1:14" ht="15.4" customHeight="1" thickBot="1" x14ac:dyDescent="0.25">
      <c r="A148" s="12" t="s">
        <v>367</v>
      </c>
      <c r="B148" s="6" t="s">
        <v>368</v>
      </c>
      <c r="C148" s="6" t="s">
        <v>369</v>
      </c>
      <c r="D148" s="48" t="s">
        <v>370</v>
      </c>
      <c r="E148" s="48"/>
      <c r="F148" s="48"/>
      <c r="G148" s="48"/>
      <c r="H148" s="48"/>
      <c r="I148" s="48"/>
      <c r="J148" s="48"/>
      <c r="K148" s="19">
        <f>SUM(K151:K172)</f>
        <v>80.59999999999998</v>
      </c>
      <c r="L148" s="20">
        <f>ROUND(7.54*(1+M2/100),2)</f>
        <v>7.77</v>
      </c>
      <c r="M148" s="20">
        <f>ROUND(K148*L148,2)</f>
        <v>626.26</v>
      </c>
      <c r="N148" s="8"/>
    </row>
    <row r="149" spans="1:14" ht="58.35" customHeight="1" thickBot="1" x14ac:dyDescent="0.25">
      <c r="A149" s="8"/>
      <c r="B149" s="8"/>
      <c r="C149" s="8"/>
      <c r="D149" s="48" t="s">
        <v>371</v>
      </c>
      <c r="E149" s="48"/>
      <c r="F149" s="48"/>
      <c r="G149" s="48"/>
      <c r="H149" s="48"/>
      <c r="I149" s="48"/>
      <c r="J149" s="48"/>
      <c r="K149" s="48"/>
      <c r="L149" s="48"/>
      <c r="M149" s="48"/>
      <c r="N149" s="8"/>
    </row>
    <row r="150" spans="1:14" ht="15.2" customHeight="1" thickBot="1" x14ac:dyDescent="0.25">
      <c r="A150" s="8"/>
      <c r="B150" s="8"/>
      <c r="C150" s="8"/>
      <c r="D150" s="8"/>
      <c r="E150" s="21"/>
      <c r="F150" s="23" t="s">
        <v>372</v>
      </c>
      <c r="G150" s="23" t="s">
        <v>373</v>
      </c>
      <c r="H150" s="23" t="s">
        <v>374</v>
      </c>
      <c r="I150" s="23" t="s">
        <v>375</v>
      </c>
      <c r="J150" s="23" t="s">
        <v>376</v>
      </c>
      <c r="K150" s="23" t="s">
        <v>377</v>
      </c>
      <c r="L150" s="8"/>
      <c r="M150" s="8"/>
      <c r="N150" s="8"/>
    </row>
    <row r="151" spans="1:14" ht="15.2" customHeight="1" thickBot="1" x14ac:dyDescent="0.25">
      <c r="A151" s="8"/>
      <c r="B151" s="8"/>
      <c r="C151" s="8"/>
      <c r="D151" s="24"/>
      <c r="E151" s="25" t="s">
        <v>378</v>
      </c>
      <c r="F151" s="26">
        <v>1</v>
      </c>
      <c r="G151" s="27">
        <v>1.4</v>
      </c>
      <c r="H151" s="27"/>
      <c r="I151" s="27"/>
      <c r="J151" s="29">
        <f t="shared" ref="J151:J172" si="2">ROUND(F151*G151,3)</f>
        <v>1.4</v>
      </c>
      <c r="K151" s="39"/>
      <c r="L151" s="8"/>
      <c r="M151" s="8"/>
      <c r="N151" s="8"/>
    </row>
    <row r="152" spans="1:14" ht="15.2" customHeight="1" thickBot="1" x14ac:dyDescent="0.25">
      <c r="A152" s="8"/>
      <c r="B152" s="8"/>
      <c r="C152" s="8"/>
      <c r="D152" s="24"/>
      <c r="E152" s="6" t="s">
        <v>379</v>
      </c>
      <c r="F152" s="4">
        <v>2</v>
      </c>
      <c r="G152" s="19">
        <v>1.2</v>
      </c>
      <c r="H152" s="19"/>
      <c r="I152" s="19"/>
      <c r="J152" s="28">
        <f t="shared" si="2"/>
        <v>2.4</v>
      </c>
      <c r="K152" s="8"/>
      <c r="L152" s="8"/>
      <c r="M152" s="8"/>
      <c r="N152" s="8"/>
    </row>
    <row r="153" spans="1:14" ht="15.2" customHeight="1" thickBot="1" x14ac:dyDescent="0.25">
      <c r="A153" s="8"/>
      <c r="B153" s="8"/>
      <c r="C153" s="8"/>
      <c r="D153" s="24"/>
      <c r="E153" s="6" t="s">
        <v>380</v>
      </c>
      <c r="F153" s="4">
        <v>1</v>
      </c>
      <c r="G153" s="19">
        <v>1.55</v>
      </c>
      <c r="H153" s="19"/>
      <c r="I153" s="19"/>
      <c r="J153" s="28">
        <f t="shared" si="2"/>
        <v>1.55</v>
      </c>
      <c r="K153" s="8"/>
      <c r="L153" s="8"/>
      <c r="M153" s="8"/>
      <c r="N153" s="8"/>
    </row>
    <row r="154" spans="1:14" ht="15.2" customHeight="1" thickBot="1" x14ac:dyDescent="0.25">
      <c r="A154" s="8"/>
      <c r="B154" s="8"/>
      <c r="C154" s="8"/>
      <c r="D154" s="24"/>
      <c r="E154" s="6" t="s">
        <v>381</v>
      </c>
      <c r="F154" s="4">
        <v>2</v>
      </c>
      <c r="G154" s="19">
        <v>2.4</v>
      </c>
      <c r="H154" s="19"/>
      <c r="I154" s="19"/>
      <c r="J154" s="28">
        <f t="shared" si="2"/>
        <v>4.8</v>
      </c>
      <c r="K154" s="8"/>
      <c r="L154" s="8"/>
      <c r="M154" s="8"/>
      <c r="N154" s="8"/>
    </row>
    <row r="155" spans="1:14" ht="15.2" customHeight="1" thickBot="1" x14ac:dyDescent="0.25">
      <c r="A155" s="8"/>
      <c r="B155" s="8"/>
      <c r="C155" s="8"/>
      <c r="D155" s="24"/>
      <c r="E155" s="6" t="s">
        <v>382</v>
      </c>
      <c r="F155" s="4">
        <v>1</v>
      </c>
      <c r="G155" s="19">
        <v>2.4</v>
      </c>
      <c r="H155" s="19"/>
      <c r="I155" s="19"/>
      <c r="J155" s="28">
        <f t="shared" si="2"/>
        <v>2.4</v>
      </c>
      <c r="K155" s="8"/>
      <c r="L155" s="8"/>
      <c r="M155" s="8"/>
      <c r="N155" s="8"/>
    </row>
    <row r="156" spans="1:14" ht="15.2" customHeight="1" thickBot="1" x14ac:dyDescent="0.25">
      <c r="A156" s="8"/>
      <c r="B156" s="8"/>
      <c r="C156" s="8"/>
      <c r="D156" s="24"/>
      <c r="E156" s="6" t="s">
        <v>383</v>
      </c>
      <c r="F156" s="4">
        <v>2</v>
      </c>
      <c r="G156" s="19">
        <v>1</v>
      </c>
      <c r="H156" s="19"/>
      <c r="I156" s="19"/>
      <c r="J156" s="28">
        <f t="shared" si="2"/>
        <v>2</v>
      </c>
      <c r="K156" s="8"/>
      <c r="L156" s="8"/>
      <c r="M156" s="8"/>
      <c r="N156" s="8"/>
    </row>
    <row r="157" spans="1:14" ht="15.2" customHeight="1" thickBot="1" x14ac:dyDescent="0.25">
      <c r="A157" s="8"/>
      <c r="B157" s="8"/>
      <c r="C157" s="8"/>
      <c r="D157" s="24"/>
      <c r="E157" s="6" t="s">
        <v>384</v>
      </c>
      <c r="F157" s="4">
        <v>2</v>
      </c>
      <c r="G157" s="19">
        <v>1.7</v>
      </c>
      <c r="H157" s="19"/>
      <c r="I157" s="19"/>
      <c r="J157" s="28">
        <f t="shared" si="2"/>
        <v>3.4</v>
      </c>
      <c r="K157" s="8"/>
      <c r="L157" s="8"/>
      <c r="M157" s="8"/>
      <c r="N157" s="8"/>
    </row>
    <row r="158" spans="1:14" ht="15.2" customHeight="1" thickBot="1" x14ac:dyDescent="0.25">
      <c r="A158" s="8"/>
      <c r="B158" s="8"/>
      <c r="C158" s="8"/>
      <c r="D158" s="24"/>
      <c r="E158" s="6" t="s">
        <v>385</v>
      </c>
      <c r="F158" s="4">
        <v>1</v>
      </c>
      <c r="G158" s="19">
        <v>1.7</v>
      </c>
      <c r="H158" s="19"/>
      <c r="I158" s="19"/>
      <c r="J158" s="28">
        <f t="shared" si="2"/>
        <v>1.7</v>
      </c>
      <c r="K158" s="8"/>
      <c r="L158" s="8"/>
      <c r="M158" s="8"/>
      <c r="N158" s="8"/>
    </row>
    <row r="159" spans="1:14" ht="15.2" customHeight="1" thickBot="1" x14ac:dyDescent="0.25">
      <c r="A159" s="8"/>
      <c r="B159" s="8"/>
      <c r="C159" s="8"/>
      <c r="D159" s="24"/>
      <c r="E159" s="6" t="s">
        <v>386</v>
      </c>
      <c r="F159" s="4">
        <v>1</v>
      </c>
      <c r="G159" s="19">
        <v>1.7</v>
      </c>
      <c r="H159" s="19"/>
      <c r="I159" s="19"/>
      <c r="J159" s="28">
        <f t="shared" si="2"/>
        <v>1.7</v>
      </c>
      <c r="K159" s="8"/>
      <c r="L159" s="8"/>
      <c r="M159" s="8"/>
      <c r="N159" s="8"/>
    </row>
    <row r="160" spans="1:14" ht="15.2" customHeight="1" thickBot="1" x14ac:dyDescent="0.25">
      <c r="A160" s="8"/>
      <c r="B160" s="8"/>
      <c r="C160" s="8"/>
      <c r="D160" s="24"/>
      <c r="E160" s="6" t="s">
        <v>387</v>
      </c>
      <c r="F160" s="4">
        <v>4</v>
      </c>
      <c r="G160" s="19">
        <v>0.8</v>
      </c>
      <c r="H160" s="19"/>
      <c r="I160" s="19"/>
      <c r="J160" s="28">
        <f t="shared" si="2"/>
        <v>3.2</v>
      </c>
      <c r="K160" s="8"/>
      <c r="L160" s="8"/>
      <c r="M160" s="8"/>
      <c r="N160" s="8"/>
    </row>
    <row r="161" spans="1:14" ht="15.2" customHeight="1" thickBot="1" x14ac:dyDescent="0.25">
      <c r="A161" s="8"/>
      <c r="B161" s="8"/>
      <c r="C161" s="8"/>
      <c r="D161" s="24"/>
      <c r="E161" s="6" t="s">
        <v>388</v>
      </c>
      <c r="F161" s="4">
        <v>1</v>
      </c>
      <c r="G161" s="19">
        <v>6.5</v>
      </c>
      <c r="H161" s="19"/>
      <c r="I161" s="19"/>
      <c r="J161" s="28">
        <f t="shared" si="2"/>
        <v>6.5</v>
      </c>
      <c r="K161" s="8"/>
      <c r="L161" s="8"/>
      <c r="M161" s="8"/>
      <c r="N161" s="8"/>
    </row>
    <row r="162" spans="1:14" ht="15.2" customHeight="1" thickBot="1" x14ac:dyDescent="0.25">
      <c r="A162" s="8"/>
      <c r="B162" s="8"/>
      <c r="C162" s="8"/>
      <c r="D162" s="24"/>
      <c r="E162" s="6" t="s">
        <v>389</v>
      </c>
      <c r="F162" s="4">
        <v>1</v>
      </c>
      <c r="G162" s="19">
        <v>2.5</v>
      </c>
      <c r="H162" s="19"/>
      <c r="I162" s="19"/>
      <c r="J162" s="28">
        <f t="shared" si="2"/>
        <v>2.5</v>
      </c>
      <c r="K162" s="8"/>
      <c r="L162" s="8"/>
      <c r="M162" s="8"/>
      <c r="N162" s="8"/>
    </row>
    <row r="163" spans="1:14" ht="15.2" customHeight="1" thickBot="1" x14ac:dyDescent="0.25">
      <c r="A163" s="8"/>
      <c r="B163" s="8"/>
      <c r="C163" s="8"/>
      <c r="D163" s="24"/>
      <c r="E163" s="6" t="s">
        <v>390</v>
      </c>
      <c r="F163" s="4">
        <v>1</v>
      </c>
      <c r="G163" s="19">
        <v>1.65</v>
      </c>
      <c r="H163" s="19"/>
      <c r="I163" s="19"/>
      <c r="J163" s="28">
        <f t="shared" si="2"/>
        <v>1.65</v>
      </c>
      <c r="K163" s="8"/>
      <c r="L163" s="8"/>
      <c r="M163" s="8"/>
      <c r="N163" s="8"/>
    </row>
    <row r="164" spans="1:14" ht="15.2" customHeight="1" thickBot="1" x14ac:dyDescent="0.25">
      <c r="A164" s="8"/>
      <c r="B164" s="8"/>
      <c r="C164" s="8"/>
      <c r="D164" s="24"/>
      <c r="E164" s="6" t="s">
        <v>391</v>
      </c>
      <c r="F164" s="4">
        <v>11</v>
      </c>
      <c r="G164" s="19">
        <v>2</v>
      </c>
      <c r="H164" s="19"/>
      <c r="I164" s="19"/>
      <c r="J164" s="28">
        <f t="shared" si="2"/>
        <v>22</v>
      </c>
      <c r="K164" s="8"/>
      <c r="L164" s="8"/>
      <c r="M164" s="8"/>
      <c r="N164" s="8"/>
    </row>
    <row r="165" spans="1:14" ht="15.2" customHeight="1" thickBot="1" x14ac:dyDescent="0.25">
      <c r="A165" s="8"/>
      <c r="B165" s="8"/>
      <c r="C165" s="8"/>
      <c r="D165" s="24"/>
      <c r="E165" s="6" t="s">
        <v>392</v>
      </c>
      <c r="F165" s="4">
        <v>1</v>
      </c>
      <c r="G165" s="19">
        <v>2</v>
      </c>
      <c r="H165" s="19"/>
      <c r="I165" s="19"/>
      <c r="J165" s="28">
        <f t="shared" si="2"/>
        <v>2</v>
      </c>
      <c r="K165" s="8"/>
      <c r="L165" s="8"/>
      <c r="M165" s="8"/>
      <c r="N165" s="8"/>
    </row>
    <row r="166" spans="1:14" ht="15.2" customHeight="1" thickBot="1" x14ac:dyDescent="0.25">
      <c r="A166" s="8"/>
      <c r="B166" s="8"/>
      <c r="C166" s="8"/>
      <c r="D166" s="24"/>
      <c r="E166" s="6" t="s">
        <v>393</v>
      </c>
      <c r="F166" s="4">
        <v>6</v>
      </c>
      <c r="G166" s="19">
        <v>2</v>
      </c>
      <c r="H166" s="19"/>
      <c r="I166" s="19"/>
      <c r="J166" s="28">
        <f t="shared" si="2"/>
        <v>12</v>
      </c>
      <c r="K166" s="8"/>
      <c r="L166" s="8"/>
      <c r="M166" s="8"/>
      <c r="N166" s="8"/>
    </row>
    <row r="167" spans="1:14" ht="15.2" customHeight="1" thickBot="1" x14ac:dyDescent="0.25">
      <c r="A167" s="8"/>
      <c r="B167" s="8"/>
      <c r="C167" s="8"/>
      <c r="D167" s="24"/>
      <c r="E167" s="6" t="s">
        <v>394</v>
      </c>
      <c r="F167" s="4">
        <v>1</v>
      </c>
      <c r="G167" s="19">
        <v>0.75</v>
      </c>
      <c r="H167" s="19"/>
      <c r="I167" s="19"/>
      <c r="J167" s="28">
        <f t="shared" si="2"/>
        <v>0.75</v>
      </c>
      <c r="K167" s="8"/>
      <c r="L167" s="8"/>
      <c r="M167" s="8"/>
      <c r="N167" s="8"/>
    </row>
    <row r="168" spans="1:14" ht="15.2" customHeight="1" thickBot="1" x14ac:dyDescent="0.25">
      <c r="A168" s="8"/>
      <c r="B168" s="8"/>
      <c r="C168" s="8"/>
      <c r="D168" s="24"/>
      <c r="E168" s="6" t="s">
        <v>395</v>
      </c>
      <c r="F168" s="4">
        <v>1</v>
      </c>
      <c r="G168" s="19">
        <v>0.75</v>
      </c>
      <c r="H168" s="19"/>
      <c r="I168" s="19"/>
      <c r="J168" s="28">
        <f t="shared" si="2"/>
        <v>0.75</v>
      </c>
      <c r="K168" s="8"/>
      <c r="L168" s="8"/>
      <c r="M168" s="8"/>
      <c r="N168" s="8"/>
    </row>
    <row r="169" spans="1:14" ht="15.2" customHeight="1" thickBot="1" x14ac:dyDescent="0.25">
      <c r="A169" s="8"/>
      <c r="B169" s="8"/>
      <c r="C169" s="8"/>
      <c r="D169" s="24"/>
      <c r="E169" s="6" t="s">
        <v>396</v>
      </c>
      <c r="F169" s="4">
        <v>2</v>
      </c>
      <c r="G169" s="19">
        <v>2.4</v>
      </c>
      <c r="H169" s="19"/>
      <c r="I169" s="19"/>
      <c r="J169" s="28">
        <f t="shared" si="2"/>
        <v>4.8</v>
      </c>
      <c r="K169" s="8"/>
      <c r="L169" s="8"/>
      <c r="M169" s="8"/>
      <c r="N169" s="8"/>
    </row>
    <row r="170" spans="1:14" ht="15.2" customHeight="1" thickBot="1" x14ac:dyDescent="0.25">
      <c r="A170" s="8"/>
      <c r="B170" s="8"/>
      <c r="C170" s="8"/>
      <c r="D170" s="24"/>
      <c r="E170" s="6" t="s">
        <v>397</v>
      </c>
      <c r="F170" s="4">
        <v>1</v>
      </c>
      <c r="G170" s="19">
        <v>0.8</v>
      </c>
      <c r="H170" s="19"/>
      <c r="I170" s="19"/>
      <c r="J170" s="28">
        <f t="shared" si="2"/>
        <v>0.8</v>
      </c>
      <c r="K170" s="8"/>
      <c r="L170" s="8"/>
      <c r="M170" s="8"/>
      <c r="N170" s="8"/>
    </row>
    <row r="171" spans="1:14" ht="15.2" customHeight="1" thickBot="1" x14ac:dyDescent="0.25">
      <c r="A171" s="8"/>
      <c r="B171" s="8"/>
      <c r="C171" s="8"/>
      <c r="D171" s="24"/>
      <c r="E171" s="6" t="s">
        <v>398</v>
      </c>
      <c r="F171" s="4">
        <v>1</v>
      </c>
      <c r="G171" s="19">
        <v>0.8</v>
      </c>
      <c r="H171" s="19"/>
      <c r="I171" s="19"/>
      <c r="J171" s="28">
        <f t="shared" si="2"/>
        <v>0.8</v>
      </c>
      <c r="K171" s="8"/>
      <c r="L171" s="8"/>
      <c r="M171" s="8"/>
      <c r="N171" s="8"/>
    </row>
    <row r="172" spans="1:14" ht="15.2" customHeight="1" thickBot="1" x14ac:dyDescent="0.25">
      <c r="A172" s="8"/>
      <c r="B172" s="8"/>
      <c r="C172" s="8"/>
      <c r="D172" s="24"/>
      <c r="E172" s="6" t="s">
        <v>399</v>
      </c>
      <c r="F172" s="4">
        <v>2</v>
      </c>
      <c r="G172" s="19">
        <v>0.75</v>
      </c>
      <c r="H172" s="19"/>
      <c r="I172" s="19"/>
      <c r="J172" s="28">
        <f t="shared" si="2"/>
        <v>1.5</v>
      </c>
      <c r="K172" s="30">
        <f>SUM(J151:J172)</f>
        <v>80.59999999999998</v>
      </c>
      <c r="L172" s="8"/>
      <c r="M172" s="8"/>
      <c r="N172" s="8"/>
    </row>
    <row r="173" spans="1:14" ht="15.4" customHeight="1" thickBot="1" x14ac:dyDescent="0.25">
      <c r="A173" s="32"/>
      <c r="B173" s="32"/>
      <c r="C173" s="32"/>
      <c r="D173" s="33" t="s">
        <v>400</v>
      </c>
      <c r="E173" s="34"/>
      <c r="F173" s="34"/>
      <c r="G173" s="34"/>
      <c r="H173" s="34"/>
      <c r="I173" s="34"/>
      <c r="J173" s="34"/>
      <c r="K173" s="34"/>
      <c r="L173" s="35">
        <f>M46+M50+M78+M91+M95+M99+M103+M109+M113+M118+M122+M126+M130+M134+M138+M144+M148</f>
        <v>6372.05</v>
      </c>
      <c r="M173" s="35">
        <f>ROUND(L173,2)</f>
        <v>6372.05</v>
      </c>
      <c r="N173" s="8"/>
    </row>
    <row r="174" spans="1:14" ht="15.4" customHeight="1" thickBot="1" x14ac:dyDescent="0.25">
      <c r="A174" s="36" t="s">
        <v>401</v>
      </c>
      <c r="B174" s="36" t="s">
        <v>402</v>
      </c>
      <c r="C174" s="37"/>
      <c r="D174" s="49" t="s">
        <v>403</v>
      </c>
      <c r="E174" s="49"/>
      <c r="F174" s="49"/>
      <c r="G174" s="49"/>
      <c r="H174" s="49"/>
      <c r="I174" s="49"/>
      <c r="J174" s="49"/>
      <c r="K174" s="37"/>
      <c r="L174" s="38">
        <f>L188</f>
        <v>8151.28</v>
      </c>
      <c r="M174" s="38">
        <f>ROUND(L174,2)</f>
        <v>8151.28</v>
      </c>
      <c r="N174" s="8"/>
    </row>
    <row r="175" spans="1:14" ht="15.4" customHeight="1" thickBot="1" x14ac:dyDescent="0.25">
      <c r="A175" s="12" t="s">
        <v>404</v>
      </c>
      <c r="B175" s="6" t="s">
        <v>405</v>
      </c>
      <c r="C175" s="6" t="s">
        <v>406</v>
      </c>
      <c r="D175" s="48" t="s">
        <v>407</v>
      </c>
      <c r="E175" s="48"/>
      <c r="F175" s="48"/>
      <c r="G175" s="48"/>
      <c r="H175" s="48"/>
      <c r="I175" s="48"/>
      <c r="J175" s="48"/>
      <c r="K175" s="19">
        <f>SUM(K178:K179)</f>
        <v>99</v>
      </c>
      <c r="L175" s="20">
        <f>ROUND(72.82*(1+M2/100),2)</f>
        <v>75</v>
      </c>
      <c r="M175" s="20">
        <f>ROUND(K175*L175,2)</f>
        <v>7425</v>
      </c>
      <c r="N175" s="8"/>
    </row>
    <row r="176" spans="1:14" ht="123" customHeight="1" thickBot="1" x14ac:dyDescent="0.25">
      <c r="A176" s="8"/>
      <c r="B176" s="8"/>
      <c r="C176" s="8"/>
      <c r="D176" s="48" t="s">
        <v>408</v>
      </c>
      <c r="E176" s="48"/>
      <c r="F176" s="48"/>
      <c r="G176" s="48"/>
      <c r="H176" s="48"/>
      <c r="I176" s="48"/>
      <c r="J176" s="48"/>
      <c r="K176" s="48"/>
      <c r="L176" s="48"/>
      <c r="M176" s="48"/>
      <c r="N176" s="8"/>
    </row>
    <row r="177" spans="1:14" ht="15.2" customHeight="1" thickBot="1" x14ac:dyDescent="0.25">
      <c r="A177" s="8"/>
      <c r="B177" s="8"/>
      <c r="C177" s="8"/>
      <c r="D177" s="8"/>
      <c r="E177" s="21"/>
      <c r="F177" s="23" t="s">
        <v>409</v>
      </c>
      <c r="G177" s="23" t="s">
        <v>410</v>
      </c>
      <c r="H177" s="23" t="s">
        <v>411</v>
      </c>
      <c r="I177" s="23" t="s">
        <v>412</v>
      </c>
      <c r="J177" s="23" t="s">
        <v>413</v>
      </c>
      <c r="K177" s="23" t="s">
        <v>414</v>
      </c>
      <c r="L177" s="8"/>
      <c r="M177" s="8"/>
      <c r="N177" s="8"/>
    </row>
    <row r="178" spans="1:14" ht="21.4" customHeight="1" thickBot="1" x14ac:dyDescent="0.25">
      <c r="A178" s="8"/>
      <c r="B178" s="8"/>
      <c r="C178" s="8"/>
      <c r="D178" s="24"/>
      <c r="E178" s="25" t="s">
        <v>415</v>
      </c>
      <c r="F178" s="26">
        <v>1</v>
      </c>
      <c r="G178" s="27">
        <v>90</v>
      </c>
      <c r="H178" s="27"/>
      <c r="I178" s="27"/>
      <c r="J178" s="29">
        <f>ROUND(F178*G178,3)</f>
        <v>90</v>
      </c>
      <c r="K178" s="39"/>
      <c r="L178" s="8"/>
      <c r="M178" s="8"/>
      <c r="N178" s="8"/>
    </row>
    <row r="179" spans="1:14" ht="15.2" customHeight="1" thickBot="1" x14ac:dyDescent="0.25">
      <c r="A179" s="8"/>
      <c r="B179" s="8"/>
      <c r="C179" s="8"/>
      <c r="D179" s="24"/>
      <c r="E179" s="6" t="s">
        <v>416</v>
      </c>
      <c r="F179" s="4">
        <v>1</v>
      </c>
      <c r="G179" s="19">
        <v>9</v>
      </c>
      <c r="H179" s="19"/>
      <c r="I179" s="19"/>
      <c r="J179" s="28">
        <f>ROUND(F179*G179,3)</f>
        <v>9</v>
      </c>
      <c r="K179" s="30">
        <f>SUM(J178:J179)</f>
        <v>99</v>
      </c>
      <c r="L179" s="8"/>
      <c r="M179" s="8"/>
      <c r="N179" s="8"/>
    </row>
    <row r="180" spans="1:14" ht="21.4" customHeight="1" thickBot="1" x14ac:dyDescent="0.25">
      <c r="A180" s="12" t="s">
        <v>417</v>
      </c>
      <c r="B180" s="6" t="s">
        <v>418</v>
      </c>
      <c r="C180" s="6" t="s">
        <v>419</v>
      </c>
      <c r="D180" s="48" t="s">
        <v>420</v>
      </c>
      <c r="E180" s="48"/>
      <c r="F180" s="48"/>
      <c r="G180" s="48"/>
      <c r="H180" s="48"/>
      <c r="I180" s="48"/>
      <c r="J180" s="48"/>
      <c r="K180" s="19">
        <f>SUM(K183:K183)</f>
        <v>6</v>
      </c>
      <c r="L180" s="20">
        <f>ROUND(75.31*(1+M2/100),2)</f>
        <v>77.569999999999993</v>
      </c>
      <c r="M180" s="20">
        <f>ROUND(K180*L180,2)</f>
        <v>465.42</v>
      </c>
      <c r="N180" s="8"/>
    </row>
    <row r="181" spans="1:14" ht="178.35" customHeight="1" thickBot="1" x14ac:dyDescent="0.25">
      <c r="A181" s="8"/>
      <c r="B181" s="8"/>
      <c r="C181" s="8"/>
      <c r="D181" s="48" t="s">
        <v>421</v>
      </c>
      <c r="E181" s="48"/>
      <c r="F181" s="48"/>
      <c r="G181" s="48"/>
      <c r="H181" s="48"/>
      <c r="I181" s="48"/>
      <c r="J181" s="48"/>
      <c r="K181" s="48"/>
      <c r="L181" s="48"/>
      <c r="M181" s="48"/>
      <c r="N181" s="8"/>
    </row>
    <row r="182" spans="1:14" ht="15.2" customHeight="1" thickBot="1" x14ac:dyDescent="0.25">
      <c r="A182" s="8"/>
      <c r="B182" s="8"/>
      <c r="C182" s="8"/>
      <c r="D182" s="8"/>
      <c r="E182" s="21"/>
      <c r="F182" s="23" t="s">
        <v>422</v>
      </c>
      <c r="G182" s="23" t="s">
        <v>423</v>
      </c>
      <c r="H182" s="23" t="s">
        <v>424</v>
      </c>
      <c r="I182" s="23" t="s">
        <v>425</v>
      </c>
      <c r="J182" s="23" t="s">
        <v>426</v>
      </c>
      <c r="K182" s="23" t="s">
        <v>427</v>
      </c>
      <c r="L182" s="8"/>
      <c r="M182" s="8"/>
      <c r="N182" s="8"/>
    </row>
    <row r="183" spans="1:14" ht="15.2" customHeight="1" thickBot="1" x14ac:dyDescent="0.25">
      <c r="A183" s="8"/>
      <c r="B183" s="8"/>
      <c r="C183" s="8"/>
      <c r="D183" s="24"/>
      <c r="E183" s="25" t="s">
        <v>428</v>
      </c>
      <c r="F183" s="26">
        <v>1</v>
      </c>
      <c r="G183" s="27">
        <v>6</v>
      </c>
      <c r="H183" s="27"/>
      <c r="I183" s="27"/>
      <c r="J183" s="29">
        <f>ROUND(F183*G183,3)</f>
        <v>6</v>
      </c>
      <c r="K183" s="31">
        <f>SUM(J183:J183)</f>
        <v>6</v>
      </c>
      <c r="L183" s="8"/>
      <c r="M183" s="8"/>
      <c r="N183" s="8"/>
    </row>
    <row r="184" spans="1:14" ht="15.4" customHeight="1" thickBot="1" x14ac:dyDescent="0.25">
      <c r="A184" s="12" t="s">
        <v>429</v>
      </c>
      <c r="B184" s="6" t="s">
        <v>430</v>
      </c>
      <c r="C184" s="6" t="s">
        <v>431</v>
      </c>
      <c r="D184" s="48" t="s">
        <v>432</v>
      </c>
      <c r="E184" s="48"/>
      <c r="F184" s="48"/>
      <c r="G184" s="48"/>
      <c r="H184" s="48"/>
      <c r="I184" s="48"/>
      <c r="J184" s="48"/>
      <c r="K184" s="19">
        <f>SUM(K187:K187)</f>
        <v>2</v>
      </c>
      <c r="L184" s="20">
        <f>ROUND(126.63*(1+M2/100),2)</f>
        <v>130.43</v>
      </c>
      <c r="M184" s="20">
        <f>ROUND(K184*L184,2)</f>
        <v>260.86</v>
      </c>
      <c r="N184" s="8"/>
    </row>
    <row r="185" spans="1:14" ht="49.15" customHeight="1" thickBot="1" x14ac:dyDescent="0.25">
      <c r="A185" s="8"/>
      <c r="B185" s="8"/>
      <c r="C185" s="8"/>
      <c r="D185" s="48" t="s">
        <v>433</v>
      </c>
      <c r="E185" s="48"/>
      <c r="F185" s="48"/>
      <c r="G185" s="48"/>
      <c r="H185" s="48"/>
      <c r="I185" s="48"/>
      <c r="J185" s="48"/>
      <c r="K185" s="48"/>
      <c r="L185" s="48"/>
      <c r="M185" s="48"/>
      <c r="N185" s="8"/>
    </row>
    <row r="186" spans="1:14" ht="15.2" customHeight="1" thickBot="1" x14ac:dyDescent="0.25">
      <c r="A186" s="8"/>
      <c r="B186" s="8"/>
      <c r="C186" s="8"/>
      <c r="D186" s="8"/>
      <c r="E186" s="21"/>
      <c r="F186" s="23" t="s">
        <v>434</v>
      </c>
      <c r="G186" s="23" t="s">
        <v>435</v>
      </c>
      <c r="H186" s="23" t="s">
        <v>436</v>
      </c>
      <c r="I186" s="23" t="s">
        <v>437</v>
      </c>
      <c r="J186" s="23" t="s">
        <v>438</v>
      </c>
      <c r="K186" s="23" t="s">
        <v>439</v>
      </c>
      <c r="L186" s="8"/>
      <c r="M186" s="8"/>
      <c r="N186" s="8"/>
    </row>
    <row r="187" spans="1:14" ht="15.2" customHeight="1" thickBot="1" x14ac:dyDescent="0.25">
      <c r="A187" s="8"/>
      <c r="B187" s="8"/>
      <c r="C187" s="8"/>
      <c r="D187" s="24"/>
      <c r="E187" s="25" t="s">
        <v>440</v>
      </c>
      <c r="F187" s="26">
        <v>2</v>
      </c>
      <c r="G187" s="27"/>
      <c r="H187" s="27"/>
      <c r="I187" s="27"/>
      <c r="J187" s="29">
        <f>ROUND(F187,3)</f>
        <v>2</v>
      </c>
      <c r="K187" s="31">
        <f>SUM(J187:J187)</f>
        <v>2</v>
      </c>
      <c r="L187" s="8"/>
      <c r="M187" s="8"/>
      <c r="N187" s="8"/>
    </row>
    <row r="188" spans="1:14" ht="15.4" customHeight="1" thickBot="1" x14ac:dyDescent="0.25">
      <c r="A188" s="32"/>
      <c r="B188" s="32"/>
      <c r="C188" s="32"/>
      <c r="D188" s="33" t="s">
        <v>441</v>
      </c>
      <c r="E188" s="34"/>
      <c r="F188" s="34"/>
      <c r="G188" s="34"/>
      <c r="H188" s="34"/>
      <c r="I188" s="34"/>
      <c r="J188" s="34"/>
      <c r="K188" s="34"/>
      <c r="L188" s="35">
        <f>M175+M180+M184</f>
        <v>8151.28</v>
      </c>
      <c r="M188" s="35">
        <f>ROUND(L188,2)</f>
        <v>8151.28</v>
      </c>
      <c r="N188" s="8"/>
    </row>
    <row r="189" spans="1:14" ht="15.4" customHeight="1" thickBot="1" x14ac:dyDescent="0.25">
      <c r="A189" s="36" t="s">
        <v>442</v>
      </c>
      <c r="B189" s="36" t="s">
        <v>443</v>
      </c>
      <c r="C189" s="37"/>
      <c r="D189" s="49" t="s">
        <v>444</v>
      </c>
      <c r="E189" s="49"/>
      <c r="F189" s="49"/>
      <c r="G189" s="49"/>
      <c r="H189" s="49"/>
      <c r="I189" s="49"/>
      <c r="J189" s="49"/>
      <c r="K189" s="37"/>
      <c r="L189" s="38">
        <f>L222</f>
        <v>48379.07</v>
      </c>
      <c r="M189" s="38">
        <f>ROUND(L189,2)</f>
        <v>48379.07</v>
      </c>
      <c r="N189" s="8"/>
    </row>
    <row r="190" spans="1:14" ht="15.4" customHeight="1" thickBot="1" x14ac:dyDescent="0.25">
      <c r="A190" s="12" t="s">
        <v>445</v>
      </c>
      <c r="B190" s="6" t="s">
        <v>446</v>
      </c>
      <c r="C190" s="6" t="s">
        <v>447</v>
      </c>
      <c r="D190" s="48" t="s">
        <v>448</v>
      </c>
      <c r="E190" s="48"/>
      <c r="F190" s="48"/>
      <c r="G190" s="48"/>
      <c r="H190" s="48"/>
      <c r="I190" s="48"/>
      <c r="J190" s="48"/>
      <c r="K190" s="19">
        <f>SUM(K193:K211)</f>
        <v>378.15000000000003</v>
      </c>
      <c r="L190" s="20">
        <f>ROUND(96.8*(1+M2/100),2)</f>
        <v>99.7</v>
      </c>
      <c r="M190" s="20">
        <f>ROUND(K190*L190,2)</f>
        <v>37701.56</v>
      </c>
      <c r="N190" s="8"/>
    </row>
    <row r="191" spans="1:14" ht="141.4" customHeight="1" thickBot="1" x14ac:dyDescent="0.25">
      <c r="A191" s="8"/>
      <c r="B191" s="8"/>
      <c r="C191" s="8"/>
      <c r="D191" s="48" t="s">
        <v>449</v>
      </c>
      <c r="E191" s="48"/>
      <c r="F191" s="48"/>
      <c r="G191" s="48"/>
      <c r="H191" s="48"/>
      <c r="I191" s="48"/>
      <c r="J191" s="48"/>
      <c r="K191" s="48"/>
      <c r="L191" s="48"/>
      <c r="M191" s="48"/>
      <c r="N191" s="8"/>
    </row>
    <row r="192" spans="1:14" ht="15.2" customHeight="1" thickBot="1" x14ac:dyDescent="0.25">
      <c r="A192" s="8"/>
      <c r="B192" s="8"/>
      <c r="C192" s="8"/>
      <c r="D192" s="8"/>
      <c r="E192" s="21"/>
      <c r="F192" s="23" t="s">
        <v>450</v>
      </c>
      <c r="G192" s="23" t="s">
        <v>451</v>
      </c>
      <c r="H192" s="23" t="s">
        <v>452</v>
      </c>
      <c r="I192" s="23" t="s">
        <v>453</v>
      </c>
      <c r="J192" s="23" t="s">
        <v>454</v>
      </c>
      <c r="K192" s="23" t="s">
        <v>455</v>
      </c>
      <c r="L192" s="8"/>
      <c r="M192" s="8"/>
      <c r="N192" s="8"/>
    </row>
    <row r="193" spans="1:14" ht="15.2" customHeight="1" thickBot="1" x14ac:dyDescent="0.25">
      <c r="A193" s="8"/>
      <c r="B193" s="8"/>
      <c r="C193" s="8"/>
      <c r="D193" s="24"/>
      <c r="E193" s="25" t="s">
        <v>456</v>
      </c>
      <c r="F193" s="26">
        <v>1</v>
      </c>
      <c r="G193" s="27">
        <v>115</v>
      </c>
      <c r="H193" s="27"/>
      <c r="I193" s="27"/>
      <c r="J193" s="29">
        <f t="shared" ref="J193:J211" si="3">ROUND(F193*G193,3)</f>
        <v>115</v>
      </c>
      <c r="K193" s="39"/>
      <c r="L193" s="8"/>
      <c r="M193" s="8"/>
      <c r="N193" s="8"/>
    </row>
    <row r="194" spans="1:14" ht="15.2" customHeight="1" thickBot="1" x14ac:dyDescent="0.25">
      <c r="A194" s="8"/>
      <c r="B194" s="8"/>
      <c r="C194" s="8"/>
      <c r="D194" s="24"/>
      <c r="E194" s="6" t="s">
        <v>457</v>
      </c>
      <c r="F194" s="4">
        <v>-2</v>
      </c>
      <c r="G194" s="19">
        <v>3.5</v>
      </c>
      <c r="H194" s="19"/>
      <c r="I194" s="19"/>
      <c r="J194" s="28">
        <f t="shared" si="3"/>
        <v>-7</v>
      </c>
      <c r="K194" s="8"/>
      <c r="L194" s="8"/>
      <c r="M194" s="8"/>
      <c r="N194" s="8"/>
    </row>
    <row r="195" spans="1:14" ht="15.2" customHeight="1" thickBot="1" x14ac:dyDescent="0.25">
      <c r="A195" s="8"/>
      <c r="B195" s="8"/>
      <c r="C195" s="8"/>
      <c r="D195" s="24"/>
      <c r="E195" s="6"/>
      <c r="F195" s="4">
        <v>-1</v>
      </c>
      <c r="G195" s="19">
        <v>11</v>
      </c>
      <c r="H195" s="19"/>
      <c r="I195" s="19"/>
      <c r="J195" s="28">
        <f t="shared" si="3"/>
        <v>-11</v>
      </c>
      <c r="K195" s="8"/>
      <c r="L195" s="8"/>
      <c r="M195" s="8"/>
      <c r="N195" s="8"/>
    </row>
    <row r="196" spans="1:14" ht="15.2" customHeight="1" thickBot="1" x14ac:dyDescent="0.25">
      <c r="A196" s="8"/>
      <c r="B196" s="8"/>
      <c r="C196" s="8"/>
      <c r="D196" s="24"/>
      <c r="E196" s="6" t="s">
        <v>458</v>
      </c>
      <c r="F196" s="4">
        <v>1</v>
      </c>
      <c r="G196" s="19">
        <v>55</v>
      </c>
      <c r="H196" s="19"/>
      <c r="I196" s="19"/>
      <c r="J196" s="28">
        <f t="shared" si="3"/>
        <v>55</v>
      </c>
      <c r="K196" s="8"/>
      <c r="L196" s="8"/>
      <c r="M196" s="8"/>
      <c r="N196" s="8"/>
    </row>
    <row r="197" spans="1:14" ht="15.2" customHeight="1" thickBot="1" x14ac:dyDescent="0.25">
      <c r="A197" s="8"/>
      <c r="B197" s="8"/>
      <c r="C197" s="8"/>
      <c r="D197" s="24"/>
      <c r="E197" s="6" t="s">
        <v>459</v>
      </c>
      <c r="F197" s="4">
        <v>-1</v>
      </c>
      <c r="G197" s="19">
        <v>3</v>
      </c>
      <c r="H197" s="19"/>
      <c r="I197" s="19"/>
      <c r="J197" s="28">
        <f t="shared" si="3"/>
        <v>-3</v>
      </c>
      <c r="K197" s="8"/>
      <c r="L197" s="8"/>
      <c r="M197" s="8"/>
      <c r="N197" s="8"/>
    </row>
    <row r="198" spans="1:14" ht="15.2" customHeight="1" thickBot="1" x14ac:dyDescent="0.25">
      <c r="A198" s="8"/>
      <c r="B198" s="8"/>
      <c r="C198" s="8"/>
      <c r="D198" s="24"/>
      <c r="E198" s="6"/>
      <c r="F198" s="4">
        <v>-1</v>
      </c>
      <c r="G198" s="19">
        <v>2</v>
      </c>
      <c r="H198" s="19"/>
      <c r="I198" s="19"/>
      <c r="J198" s="28">
        <f t="shared" si="3"/>
        <v>-2</v>
      </c>
      <c r="K198" s="8"/>
      <c r="L198" s="8"/>
      <c r="M198" s="8"/>
      <c r="N198" s="8"/>
    </row>
    <row r="199" spans="1:14" ht="15.2" customHeight="1" thickBot="1" x14ac:dyDescent="0.25">
      <c r="A199" s="8"/>
      <c r="B199" s="8"/>
      <c r="C199" s="8"/>
      <c r="D199" s="24"/>
      <c r="E199" s="6"/>
      <c r="F199" s="4">
        <v>-1</v>
      </c>
      <c r="G199" s="19">
        <v>2.75</v>
      </c>
      <c r="H199" s="19"/>
      <c r="I199" s="19"/>
      <c r="J199" s="28">
        <f t="shared" si="3"/>
        <v>-2.75</v>
      </c>
      <c r="K199" s="8"/>
      <c r="L199" s="8"/>
      <c r="M199" s="8"/>
      <c r="N199" s="8"/>
    </row>
    <row r="200" spans="1:14" ht="15.2" customHeight="1" thickBot="1" x14ac:dyDescent="0.25">
      <c r="A200" s="8"/>
      <c r="B200" s="8"/>
      <c r="C200" s="8"/>
      <c r="D200" s="24"/>
      <c r="E200" s="6"/>
      <c r="F200" s="4">
        <v>-1</v>
      </c>
      <c r="G200" s="19">
        <v>2.2000000000000002</v>
      </c>
      <c r="H200" s="19"/>
      <c r="I200" s="19"/>
      <c r="J200" s="28">
        <f t="shared" si="3"/>
        <v>-2.2000000000000002</v>
      </c>
      <c r="K200" s="8"/>
      <c r="L200" s="8"/>
      <c r="M200" s="8"/>
      <c r="N200" s="8"/>
    </row>
    <row r="201" spans="1:14" ht="15.2" customHeight="1" thickBot="1" x14ac:dyDescent="0.25">
      <c r="A201" s="8"/>
      <c r="B201" s="8"/>
      <c r="C201" s="8"/>
      <c r="D201" s="24"/>
      <c r="E201" s="6" t="s">
        <v>460</v>
      </c>
      <c r="F201" s="4">
        <v>1</v>
      </c>
      <c r="G201" s="19">
        <v>70</v>
      </c>
      <c r="H201" s="19"/>
      <c r="I201" s="19"/>
      <c r="J201" s="28">
        <f t="shared" si="3"/>
        <v>70</v>
      </c>
      <c r="K201" s="8"/>
      <c r="L201" s="8"/>
      <c r="M201" s="8"/>
      <c r="N201" s="8"/>
    </row>
    <row r="202" spans="1:14" ht="15.2" customHeight="1" thickBot="1" x14ac:dyDescent="0.25">
      <c r="A202" s="8"/>
      <c r="B202" s="8"/>
      <c r="C202" s="8"/>
      <c r="D202" s="24"/>
      <c r="E202" s="6" t="s">
        <v>461</v>
      </c>
      <c r="F202" s="4">
        <v>-6</v>
      </c>
      <c r="G202" s="19">
        <v>2.4</v>
      </c>
      <c r="H202" s="19"/>
      <c r="I202" s="19"/>
      <c r="J202" s="28">
        <f t="shared" si="3"/>
        <v>-14.4</v>
      </c>
      <c r="K202" s="8"/>
      <c r="L202" s="8"/>
      <c r="M202" s="8"/>
      <c r="N202" s="8"/>
    </row>
    <row r="203" spans="1:14" ht="15.2" customHeight="1" thickBot="1" x14ac:dyDescent="0.25">
      <c r="A203" s="8"/>
      <c r="B203" s="8"/>
      <c r="C203" s="8"/>
      <c r="D203" s="24"/>
      <c r="E203" s="6" t="s">
        <v>462</v>
      </c>
      <c r="F203" s="4">
        <v>1</v>
      </c>
      <c r="G203" s="19">
        <v>25</v>
      </c>
      <c r="H203" s="19"/>
      <c r="I203" s="19"/>
      <c r="J203" s="28">
        <f t="shared" si="3"/>
        <v>25</v>
      </c>
      <c r="K203" s="8"/>
      <c r="L203" s="8"/>
      <c r="M203" s="8"/>
      <c r="N203" s="8"/>
    </row>
    <row r="204" spans="1:14" ht="15.2" customHeight="1" thickBot="1" x14ac:dyDescent="0.25">
      <c r="A204" s="8"/>
      <c r="B204" s="8"/>
      <c r="C204" s="8"/>
      <c r="D204" s="24"/>
      <c r="E204" s="6" t="s">
        <v>463</v>
      </c>
      <c r="F204" s="4">
        <v>-1</v>
      </c>
      <c r="G204" s="19">
        <v>2.2000000000000002</v>
      </c>
      <c r="H204" s="19"/>
      <c r="I204" s="19"/>
      <c r="J204" s="28">
        <f t="shared" si="3"/>
        <v>-2.2000000000000002</v>
      </c>
      <c r="K204" s="8"/>
      <c r="L204" s="8"/>
      <c r="M204" s="8"/>
      <c r="N204" s="8"/>
    </row>
    <row r="205" spans="1:14" ht="15.2" customHeight="1" thickBot="1" x14ac:dyDescent="0.25">
      <c r="A205" s="8"/>
      <c r="B205" s="8"/>
      <c r="C205" s="8"/>
      <c r="D205" s="24"/>
      <c r="E205" s="6" t="s">
        <v>464</v>
      </c>
      <c r="F205" s="4">
        <v>1</v>
      </c>
      <c r="G205" s="19">
        <v>23</v>
      </c>
      <c r="H205" s="19"/>
      <c r="I205" s="19"/>
      <c r="J205" s="28">
        <f t="shared" si="3"/>
        <v>23</v>
      </c>
      <c r="K205" s="8"/>
      <c r="L205" s="8"/>
      <c r="M205" s="8"/>
      <c r="N205" s="8"/>
    </row>
    <row r="206" spans="1:14" ht="15.2" customHeight="1" thickBot="1" x14ac:dyDescent="0.25">
      <c r="A206" s="8"/>
      <c r="B206" s="8"/>
      <c r="C206" s="8"/>
      <c r="D206" s="24"/>
      <c r="E206" s="6" t="s">
        <v>465</v>
      </c>
      <c r="F206" s="4">
        <v>-1</v>
      </c>
      <c r="G206" s="19">
        <v>4.4000000000000004</v>
      </c>
      <c r="H206" s="19"/>
      <c r="I206" s="19"/>
      <c r="J206" s="28">
        <f t="shared" si="3"/>
        <v>-4.4000000000000004</v>
      </c>
      <c r="K206" s="8"/>
      <c r="L206" s="8"/>
      <c r="M206" s="8"/>
      <c r="N206" s="8"/>
    </row>
    <row r="207" spans="1:14" ht="15.2" customHeight="1" thickBot="1" x14ac:dyDescent="0.25">
      <c r="A207" s="8"/>
      <c r="B207" s="8"/>
      <c r="C207" s="8"/>
      <c r="D207" s="24"/>
      <c r="E207" s="6" t="s">
        <v>466</v>
      </c>
      <c r="F207" s="4">
        <v>1</v>
      </c>
      <c r="G207" s="19">
        <v>43</v>
      </c>
      <c r="H207" s="19"/>
      <c r="I207" s="19"/>
      <c r="J207" s="28">
        <f t="shared" si="3"/>
        <v>43</v>
      </c>
      <c r="K207" s="8"/>
      <c r="L207" s="8"/>
      <c r="M207" s="8"/>
      <c r="N207" s="8"/>
    </row>
    <row r="208" spans="1:14" ht="15.2" customHeight="1" thickBot="1" x14ac:dyDescent="0.25">
      <c r="A208" s="8"/>
      <c r="B208" s="8"/>
      <c r="C208" s="8"/>
      <c r="D208" s="24"/>
      <c r="E208" s="6" t="s">
        <v>467</v>
      </c>
      <c r="F208" s="4">
        <v>-1</v>
      </c>
      <c r="G208" s="19">
        <v>3</v>
      </c>
      <c r="H208" s="19"/>
      <c r="I208" s="19"/>
      <c r="J208" s="28">
        <f t="shared" si="3"/>
        <v>-3</v>
      </c>
      <c r="K208" s="8"/>
      <c r="L208" s="8"/>
      <c r="M208" s="8"/>
      <c r="N208" s="8"/>
    </row>
    <row r="209" spans="1:14" ht="15.2" customHeight="1" thickBot="1" x14ac:dyDescent="0.25">
      <c r="A209" s="8"/>
      <c r="B209" s="8"/>
      <c r="C209" s="8"/>
      <c r="D209" s="24"/>
      <c r="E209" s="6" t="s">
        <v>468</v>
      </c>
      <c r="F209" s="4">
        <v>1</v>
      </c>
      <c r="G209" s="19">
        <v>118</v>
      </c>
      <c r="H209" s="19"/>
      <c r="I209" s="19"/>
      <c r="J209" s="28">
        <f t="shared" si="3"/>
        <v>118</v>
      </c>
      <c r="K209" s="8"/>
      <c r="L209" s="8"/>
      <c r="M209" s="8"/>
      <c r="N209" s="8"/>
    </row>
    <row r="210" spans="1:14" ht="15.2" customHeight="1" thickBot="1" x14ac:dyDescent="0.25">
      <c r="A210" s="8"/>
      <c r="B210" s="8"/>
      <c r="C210" s="8"/>
      <c r="D210" s="24"/>
      <c r="E210" s="6" t="s">
        <v>469</v>
      </c>
      <c r="F210" s="4">
        <v>-6</v>
      </c>
      <c r="G210" s="19">
        <v>2.4</v>
      </c>
      <c r="H210" s="19"/>
      <c r="I210" s="19"/>
      <c r="J210" s="28">
        <f t="shared" si="3"/>
        <v>-14.4</v>
      </c>
      <c r="K210" s="8"/>
      <c r="L210" s="8"/>
      <c r="M210" s="8"/>
      <c r="N210" s="8"/>
    </row>
    <row r="211" spans="1:14" ht="15.2" customHeight="1" thickBot="1" x14ac:dyDescent="0.25">
      <c r="A211" s="8"/>
      <c r="B211" s="8"/>
      <c r="C211" s="8"/>
      <c r="D211" s="24"/>
      <c r="E211" s="6"/>
      <c r="F211" s="4">
        <v>-3</v>
      </c>
      <c r="G211" s="19">
        <v>1.5</v>
      </c>
      <c r="H211" s="19"/>
      <c r="I211" s="19"/>
      <c r="J211" s="28">
        <f t="shared" si="3"/>
        <v>-4.5</v>
      </c>
      <c r="K211" s="30">
        <f>SUM(J193:J211)</f>
        <v>378.15000000000003</v>
      </c>
      <c r="L211" s="8"/>
      <c r="M211" s="8"/>
      <c r="N211" s="8"/>
    </row>
    <row r="212" spans="1:14" ht="21.4" customHeight="1" thickBot="1" x14ac:dyDescent="0.25">
      <c r="A212" s="12" t="s">
        <v>470</v>
      </c>
      <c r="B212" s="6" t="s">
        <v>471</v>
      </c>
      <c r="C212" s="6" t="s">
        <v>472</v>
      </c>
      <c r="D212" s="48" t="s">
        <v>473</v>
      </c>
      <c r="E212" s="48"/>
      <c r="F212" s="48"/>
      <c r="G212" s="48"/>
      <c r="H212" s="48"/>
      <c r="I212" s="48"/>
      <c r="J212" s="48"/>
      <c r="K212" s="19">
        <f>SUM(K215:K217)</f>
        <v>70.7</v>
      </c>
      <c r="L212" s="20">
        <f>ROUND(141.9*(1+M2/100),2)</f>
        <v>146.16</v>
      </c>
      <c r="M212" s="20">
        <f>ROUND(K212*L212,2)</f>
        <v>10333.51</v>
      </c>
      <c r="N212" s="8"/>
    </row>
    <row r="213" spans="1:14" ht="206.1" customHeight="1" thickBot="1" x14ac:dyDescent="0.25">
      <c r="A213" s="8"/>
      <c r="B213" s="8"/>
      <c r="C213" s="8"/>
      <c r="D213" s="48" t="s">
        <v>474</v>
      </c>
      <c r="E213" s="48"/>
      <c r="F213" s="48"/>
      <c r="G213" s="48"/>
      <c r="H213" s="48"/>
      <c r="I213" s="48"/>
      <c r="J213" s="48"/>
      <c r="K213" s="48"/>
      <c r="L213" s="48"/>
      <c r="M213" s="48"/>
      <c r="N213" s="8"/>
    </row>
    <row r="214" spans="1:14" ht="15.2" customHeight="1" thickBot="1" x14ac:dyDescent="0.25">
      <c r="A214" s="8"/>
      <c r="B214" s="8"/>
      <c r="C214" s="8"/>
      <c r="D214" s="8"/>
      <c r="E214" s="21"/>
      <c r="F214" s="23" t="s">
        <v>475</v>
      </c>
      <c r="G214" s="23" t="s">
        <v>476</v>
      </c>
      <c r="H214" s="23" t="s">
        <v>477</v>
      </c>
      <c r="I214" s="23" t="s">
        <v>478</v>
      </c>
      <c r="J214" s="23" t="s">
        <v>479</v>
      </c>
      <c r="K214" s="23" t="s">
        <v>480</v>
      </c>
      <c r="L214" s="8"/>
      <c r="M214" s="8"/>
      <c r="N214" s="8"/>
    </row>
    <row r="215" spans="1:14" ht="15.2" customHeight="1" thickBot="1" x14ac:dyDescent="0.25">
      <c r="A215" s="8"/>
      <c r="B215" s="8"/>
      <c r="C215" s="8"/>
      <c r="D215" s="24"/>
      <c r="E215" s="25" t="s">
        <v>481</v>
      </c>
      <c r="F215" s="26">
        <v>1</v>
      </c>
      <c r="G215" s="27">
        <v>85</v>
      </c>
      <c r="H215" s="27"/>
      <c r="I215" s="27"/>
      <c r="J215" s="29">
        <f>ROUND(F215*G215,3)</f>
        <v>85</v>
      </c>
      <c r="K215" s="39"/>
      <c r="L215" s="8"/>
      <c r="M215" s="8"/>
      <c r="N215" s="8"/>
    </row>
    <row r="216" spans="1:14" ht="15.2" customHeight="1" thickBot="1" x14ac:dyDescent="0.25">
      <c r="A216" s="8"/>
      <c r="B216" s="8"/>
      <c r="C216" s="8"/>
      <c r="D216" s="24"/>
      <c r="E216" s="6" t="s">
        <v>482</v>
      </c>
      <c r="F216" s="4">
        <v>-1</v>
      </c>
      <c r="G216" s="19">
        <v>8.3000000000000007</v>
      </c>
      <c r="H216" s="19"/>
      <c r="I216" s="19"/>
      <c r="J216" s="28">
        <f>ROUND(F216*G216,3)</f>
        <v>-8.3000000000000007</v>
      </c>
      <c r="K216" s="8"/>
      <c r="L216" s="8"/>
      <c r="M216" s="8"/>
      <c r="N216" s="8"/>
    </row>
    <row r="217" spans="1:14" ht="15.2" customHeight="1" thickBot="1" x14ac:dyDescent="0.25">
      <c r="A217" s="8"/>
      <c r="B217" s="8"/>
      <c r="C217" s="8"/>
      <c r="D217" s="24"/>
      <c r="E217" s="6"/>
      <c r="F217" s="4">
        <v>-2</v>
      </c>
      <c r="G217" s="19">
        <v>3</v>
      </c>
      <c r="H217" s="19"/>
      <c r="I217" s="19"/>
      <c r="J217" s="28">
        <f>ROUND(F217*G217,3)</f>
        <v>-6</v>
      </c>
      <c r="K217" s="30">
        <f>SUM(J215:J217)</f>
        <v>70.7</v>
      </c>
      <c r="L217" s="8"/>
      <c r="M217" s="8"/>
      <c r="N217" s="8"/>
    </row>
    <row r="218" spans="1:14" ht="15.4" customHeight="1" thickBot="1" x14ac:dyDescent="0.25">
      <c r="A218" s="12" t="s">
        <v>483</v>
      </c>
      <c r="B218" s="6" t="s">
        <v>484</v>
      </c>
      <c r="C218" s="6" t="s">
        <v>485</v>
      </c>
      <c r="D218" s="48" t="s">
        <v>486</v>
      </c>
      <c r="E218" s="48"/>
      <c r="F218" s="48"/>
      <c r="G218" s="48"/>
      <c r="H218" s="48"/>
      <c r="I218" s="48"/>
      <c r="J218" s="48"/>
      <c r="K218" s="19">
        <f>SUM(K221:K221)</f>
        <v>5</v>
      </c>
      <c r="L218" s="20">
        <f>ROUND(66.8*(1+M2/100),2)</f>
        <v>68.8</v>
      </c>
      <c r="M218" s="20">
        <f>ROUND(K218*L218,2)</f>
        <v>344</v>
      </c>
      <c r="N218" s="8"/>
    </row>
    <row r="219" spans="1:14" ht="76.900000000000006" customHeight="1" thickBot="1" x14ac:dyDescent="0.25">
      <c r="A219" s="8"/>
      <c r="B219" s="8"/>
      <c r="C219" s="8"/>
      <c r="D219" s="48" t="s">
        <v>487</v>
      </c>
      <c r="E219" s="48"/>
      <c r="F219" s="48"/>
      <c r="G219" s="48"/>
      <c r="H219" s="48"/>
      <c r="I219" s="48"/>
      <c r="J219" s="48"/>
      <c r="K219" s="48"/>
      <c r="L219" s="48"/>
      <c r="M219" s="48"/>
      <c r="N219" s="8"/>
    </row>
    <row r="220" spans="1:14" ht="15.2" customHeight="1" thickBot="1" x14ac:dyDescent="0.25">
      <c r="A220" s="8"/>
      <c r="B220" s="8"/>
      <c r="C220" s="8"/>
      <c r="D220" s="8"/>
      <c r="E220" s="21"/>
      <c r="F220" s="23" t="s">
        <v>488</v>
      </c>
      <c r="G220" s="23" t="s">
        <v>489</v>
      </c>
      <c r="H220" s="23" t="s">
        <v>490</v>
      </c>
      <c r="I220" s="23" t="s">
        <v>491</v>
      </c>
      <c r="J220" s="23" t="s">
        <v>492</v>
      </c>
      <c r="K220" s="23" t="s">
        <v>493</v>
      </c>
      <c r="L220" s="8"/>
      <c r="M220" s="8"/>
      <c r="N220" s="8"/>
    </row>
    <row r="221" spans="1:14" ht="15.2" customHeight="1" thickBot="1" x14ac:dyDescent="0.25">
      <c r="A221" s="8"/>
      <c r="B221" s="8"/>
      <c r="C221" s="8"/>
      <c r="D221" s="24"/>
      <c r="E221" s="25" t="s">
        <v>494</v>
      </c>
      <c r="F221" s="26">
        <v>1</v>
      </c>
      <c r="G221" s="27">
        <v>5</v>
      </c>
      <c r="H221" s="27"/>
      <c r="I221" s="27"/>
      <c r="J221" s="29">
        <f>ROUND(F221*G221,3)</f>
        <v>5</v>
      </c>
      <c r="K221" s="31">
        <f>SUM(J221:J221)</f>
        <v>5</v>
      </c>
      <c r="L221" s="8"/>
      <c r="M221" s="8"/>
      <c r="N221" s="8"/>
    </row>
    <row r="222" spans="1:14" ht="15.4" customHeight="1" thickBot="1" x14ac:dyDescent="0.25">
      <c r="A222" s="32"/>
      <c r="B222" s="32"/>
      <c r="C222" s="32"/>
      <c r="D222" s="33" t="s">
        <v>495</v>
      </c>
      <c r="E222" s="34"/>
      <c r="F222" s="34"/>
      <c r="G222" s="34"/>
      <c r="H222" s="34"/>
      <c r="I222" s="34"/>
      <c r="J222" s="34"/>
      <c r="K222" s="34"/>
      <c r="L222" s="35">
        <f>M190+M212+M218</f>
        <v>48379.07</v>
      </c>
      <c r="M222" s="35">
        <f>ROUND(L222,2)</f>
        <v>48379.07</v>
      </c>
      <c r="N222" s="8"/>
    </row>
    <row r="223" spans="1:14" ht="15.4" customHeight="1" thickBot="1" x14ac:dyDescent="0.25">
      <c r="A223" s="36" t="s">
        <v>496</v>
      </c>
      <c r="B223" s="36" t="s">
        <v>497</v>
      </c>
      <c r="C223" s="37"/>
      <c r="D223" s="49" t="s">
        <v>498</v>
      </c>
      <c r="E223" s="49"/>
      <c r="F223" s="49"/>
      <c r="G223" s="49"/>
      <c r="H223" s="49"/>
      <c r="I223" s="49"/>
      <c r="J223" s="49"/>
      <c r="K223" s="37"/>
      <c r="L223" s="38">
        <f>L434</f>
        <v>17274.55</v>
      </c>
      <c r="M223" s="38">
        <f>ROUND(L223,2)</f>
        <v>17274.55</v>
      </c>
      <c r="N223" s="8"/>
    </row>
    <row r="224" spans="1:14" ht="15.4" customHeight="1" thickBot="1" x14ac:dyDescent="0.25">
      <c r="A224" s="12" t="s">
        <v>499</v>
      </c>
      <c r="B224" s="6" t="s">
        <v>500</v>
      </c>
      <c r="C224" s="6" t="s">
        <v>501</v>
      </c>
      <c r="D224" s="48" t="s">
        <v>502</v>
      </c>
      <c r="E224" s="48"/>
      <c r="F224" s="48"/>
      <c r="G224" s="48"/>
      <c r="H224" s="48"/>
      <c r="I224" s="48"/>
      <c r="J224" s="48"/>
      <c r="K224" s="19">
        <f>SUM(K227:K228)</f>
        <v>99</v>
      </c>
      <c r="L224" s="20">
        <f>ROUND(35.84*(1+M2/100),2)</f>
        <v>36.92</v>
      </c>
      <c r="M224" s="20">
        <f>ROUND(K224*L224,2)</f>
        <v>3655.08</v>
      </c>
      <c r="N224" s="8"/>
    </row>
    <row r="225" spans="1:14" ht="67.5" customHeight="1" thickBot="1" x14ac:dyDescent="0.25">
      <c r="A225" s="8"/>
      <c r="B225" s="8"/>
      <c r="C225" s="8"/>
      <c r="D225" s="48" t="s">
        <v>503</v>
      </c>
      <c r="E225" s="48"/>
      <c r="F225" s="48"/>
      <c r="G225" s="48"/>
      <c r="H225" s="48"/>
      <c r="I225" s="48"/>
      <c r="J225" s="48"/>
      <c r="K225" s="48"/>
      <c r="L225" s="48"/>
      <c r="M225" s="48"/>
      <c r="N225" s="8"/>
    </row>
    <row r="226" spans="1:14" ht="15.2" customHeight="1" thickBot="1" x14ac:dyDescent="0.25">
      <c r="A226" s="8"/>
      <c r="B226" s="8"/>
      <c r="C226" s="8"/>
      <c r="D226" s="8"/>
      <c r="E226" s="21"/>
      <c r="F226" s="23" t="s">
        <v>504</v>
      </c>
      <c r="G226" s="23" t="s">
        <v>505</v>
      </c>
      <c r="H226" s="23" t="s">
        <v>506</v>
      </c>
      <c r="I226" s="23" t="s">
        <v>507</v>
      </c>
      <c r="J226" s="23" t="s">
        <v>508</v>
      </c>
      <c r="K226" s="23" t="s">
        <v>509</v>
      </c>
      <c r="L226" s="8"/>
      <c r="M226" s="8"/>
      <c r="N226" s="8"/>
    </row>
    <row r="227" spans="1:14" ht="21.4" customHeight="1" thickBot="1" x14ac:dyDescent="0.25">
      <c r="A227" s="8"/>
      <c r="B227" s="8"/>
      <c r="C227" s="8"/>
      <c r="D227" s="24"/>
      <c r="E227" s="25" t="s">
        <v>510</v>
      </c>
      <c r="F227" s="26">
        <v>1</v>
      </c>
      <c r="G227" s="27">
        <v>90</v>
      </c>
      <c r="H227" s="27"/>
      <c r="I227" s="27"/>
      <c r="J227" s="29">
        <f>ROUND(F227*G227,3)</f>
        <v>90</v>
      </c>
      <c r="K227" s="39"/>
      <c r="L227" s="8"/>
      <c r="M227" s="8"/>
      <c r="N227" s="8"/>
    </row>
    <row r="228" spans="1:14" ht="15.2" customHeight="1" thickBot="1" x14ac:dyDescent="0.25">
      <c r="A228" s="8"/>
      <c r="B228" s="8"/>
      <c r="C228" s="8"/>
      <c r="D228" s="24"/>
      <c r="E228" s="6" t="s">
        <v>511</v>
      </c>
      <c r="F228" s="4">
        <v>1</v>
      </c>
      <c r="G228" s="19">
        <v>9</v>
      </c>
      <c r="H228" s="19"/>
      <c r="I228" s="19"/>
      <c r="J228" s="28">
        <f>ROUND(F228*G228,3)</f>
        <v>9</v>
      </c>
      <c r="K228" s="30">
        <f>SUM(J227:J228)</f>
        <v>99</v>
      </c>
      <c r="L228" s="8"/>
      <c r="M228" s="8"/>
      <c r="N228" s="8"/>
    </row>
    <row r="229" spans="1:14" ht="15.4" customHeight="1" thickBot="1" x14ac:dyDescent="0.25">
      <c r="A229" s="12" t="s">
        <v>512</v>
      </c>
      <c r="B229" s="6" t="s">
        <v>513</v>
      </c>
      <c r="C229" s="6" t="s">
        <v>514</v>
      </c>
      <c r="D229" s="48" t="s">
        <v>515</v>
      </c>
      <c r="E229" s="48"/>
      <c r="F229" s="48"/>
      <c r="G229" s="48"/>
      <c r="H229" s="48"/>
      <c r="I229" s="48"/>
      <c r="J229" s="48"/>
      <c r="K229" s="19">
        <f>SUM(K232:K253)</f>
        <v>80.59999999999998</v>
      </c>
      <c r="L229" s="20">
        <f>ROUND(35.29*(1+M2/100),2)</f>
        <v>36.35</v>
      </c>
      <c r="M229" s="20">
        <f>ROUND(K229*L229,2)</f>
        <v>2929.81</v>
      </c>
      <c r="N229" s="8"/>
    </row>
    <row r="230" spans="1:14" ht="76.900000000000006" customHeight="1" thickBot="1" x14ac:dyDescent="0.25">
      <c r="A230" s="8"/>
      <c r="B230" s="8"/>
      <c r="C230" s="8"/>
      <c r="D230" s="48" t="s">
        <v>516</v>
      </c>
      <c r="E230" s="48"/>
      <c r="F230" s="48"/>
      <c r="G230" s="48"/>
      <c r="H230" s="48"/>
      <c r="I230" s="48"/>
      <c r="J230" s="48"/>
      <c r="K230" s="48"/>
      <c r="L230" s="48"/>
      <c r="M230" s="48"/>
      <c r="N230" s="8"/>
    </row>
    <row r="231" spans="1:14" ht="15.2" customHeight="1" thickBot="1" x14ac:dyDescent="0.25">
      <c r="A231" s="8"/>
      <c r="B231" s="8"/>
      <c r="C231" s="8"/>
      <c r="D231" s="8"/>
      <c r="E231" s="21"/>
      <c r="F231" s="23" t="s">
        <v>517</v>
      </c>
      <c r="G231" s="23" t="s">
        <v>518</v>
      </c>
      <c r="H231" s="23" t="s">
        <v>519</v>
      </c>
      <c r="I231" s="23" t="s">
        <v>520</v>
      </c>
      <c r="J231" s="23" t="s">
        <v>521</v>
      </c>
      <c r="K231" s="23" t="s">
        <v>522</v>
      </c>
      <c r="L231" s="8"/>
      <c r="M231" s="8"/>
      <c r="N231" s="8"/>
    </row>
    <row r="232" spans="1:14" ht="15.2" customHeight="1" thickBot="1" x14ac:dyDescent="0.25">
      <c r="A232" s="8"/>
      <c r="B232" s="8"/>
      <c r="C232" s="8"/>
      <c r="D232" s="24"/>
      <c r="E232" s="25" t="s">
        <v>523</v>
      </c>
      <c r="F232" s="26">
        <v>1</v>
      </c>
      <c r="G232" s="27">
        <v>1.4</v>
      </c>
      <c r="H232" s="27"/>
      <c r="I232" s="27"/>
      <c r="J232" s="29">
        <f t="shared" ref="J232:J253" si="4">ROUND(F232*G232,3)</f>
        <v>1.4</v>
      </c>
      <c r="K232" s="39"/>
      <c r="L232" s="8"/>
      <c r="M232" s="8"/>
      <c r="N232" s="8"/>
    </row>
    <row r="233" spans="1:14" ht="15.2" customHeight="1" thickBot="1" x14ac:dyDescent="0.25">
      <c r="A233" s="8"/>
      <c r="B233" s="8"/>
      <c r="C233" s="8"/>
      <c r="D233" s="24"/>
      <c r="E233" s="6" t="s">
        <v>524</v>
      </c>
      <c r="F233" s="4">
        <v>2</v>
      </c>
      <c r="G233" s="19">
        <v>1.2</v>
      </c>
      <c r="H233" s="19"/>
      <c r="I233" s="19"/>
      <c r="J233" s="28">
        <f t="shared" si="4"/>
        <v>2.4</v>
      </c>
      <c r="K233" s="8"/>
      <c r="L233" s="8"/>
      <c r="M233" s="8"/>
      <c r="N233" s="8"/>
    </row>
    <row r="234" spans="1:14" ht="15.2" customHeight="1" thickBot="1" x14ac:dyDescent="0.25">
      <c r="A234" s="8"/>
      <c r="B234" s="8"/>
      <c r="C234" s="8"/>
      <c r="D234" s="24"/>
      <c r="E234" s="6" t="s">
        <v>525</v>
      </c>
      <c r="F234" s="4">
        <v>1</v>
      </c>
      <c r="G234" s="19">
        <v>1.55</v>
      </c>
      <c r="H234" s="19"/>
      <c r="I234" s="19"/>
      <c r="J234" s="28">
        <f t="shared" si="4"/>
        <v>1.55</v>
      </c>
      <c r="K234" s="8"/>
      <c r="L234" s="8"/>
      <c r="M234" s="8"/>
      <c r="N234" s="8"/>
    </row>
    <row r="235" spans="1:14" ht="15.2" customHeight="1" thickBot="1" x14ac:dyDescent="0.25">
      <c r="A235" s="8"/>
      <c r="B235" s="8"/>
      <c r="C235" s="8"/>
      <c r="D235" s="24"/>
      <c r="E235" s="6" t="s">
        <v>526</v>
      </c>
      <c r="F235" s="4">
        <v>2</v>
      </c>
      <c r="G235" s="19">
        <v>2.4</v>
      </c>
      <c r="H235" s="19"/>
      <c r="I235" s="19"/>
      <c r="J235" s="28">
        <f t="shared" si="4"/>
        <v>4.8</v>
      </c>
      <c r="K235" s="8"/>
      <c r="L235" s="8"/>
      <c r="M235" s="8"/>
      <c r="N235" s="8"/>
    </row>
    <row r="236" spans="1:14" ht="15.2" customHeight="1" thickBot="1" x14ac:dyDescent="0.25">
      <c r="A236" s="8"/>
      <c r="B236" s="8"/>
      <c r="C236" s="8"/>
      <c r="D236" s="24"/>
      <c r="E236" s="6" t="s">
        <v>527</v>
      </c>
      <c r="F236" s="4">
        <v>1</v>
      </c>
      <c r="G236" s="19">
        <v>2.4</v>
      </c>
      <c r="H236" s="19"/>
      <c r="I236" s="19"/>
      <c r="J236" s="28">
        <f t="shared" si="4"/>
        <v>2.4</v>
      </c>
      <c r="K236" s="8"/>
      <c r="L236" s="8"/>
      <c r="M236" s="8"/>
      <c r="N236" s="8"/>
    </row>
    <row r="237" spans="1:14" ht="15.2" customHeight="1" thickBot="1" x14ac:dyDescent="0.25">
      <c r="A237" s="8"/>
      <c r="B237" s="8"/>
      <c r="C237" s="8"/>
      <c r="D237" s="24"/>
      <c r="E237" s="6" t="s">
        <v>528</v>
      </c>
      <c r="F237" s="4">
        <v>2</v>
      </c>
      <c r="G237" s="19">
        <v>1</v>
      </c>
      <c r="H237" s="19"/>
      <c r="I237" s="19"/>
      <c r="J237" s="28">
        <f t="shared" si="4"/>
        <v>2</v>
      </c>
      <c r="K237" s="8"/>
      <c r="L237" s="8"/>
      <c r="M237" s="8"/>
      <c r="N237" s="8"/>
    </row>
    <row r="238" spans="1:14" ht="15.2" customHeight="1" thickBot="1" x14ac:dyDescent="0.25">
      <c r="A238" s="8"/>
      <c r="B238" s="8"/>
      <c r="C238" s="8"/>
      <c r="D238" s="24"/>
      <c r="E238" s="6" t="s">
        <v>529</v>
      </c>
      <c r="F238" s="4">
        <v>2</v>
      </c>
      <c r="G238" s="19">
        <v>1.7</v>
      </c>
      <c r="H238" s="19"/>
      <c r="I238" s="19"/>
      <c r="J238" s="28">
        <f t="shared" si="4"/>
        <v>3.4</v>
      </c>
      <c r="K238" s="8"/>
      <c r="L238" s="8"/>
      <c r="M238" s="8"/>
      <c r="N238" s="8"/>
    </row>
    <row r="239" spans="1:14" ht="15.2" customHeight="1" thickBot="1" x14ac:dyDescent="0.25">
      <c r="A239" s="8"/>
      <c r="B239" s="8"/>
      <c r="C239" s="8"/>
      <c r="D239" s="24"/>
      <c r="E239" s="6" t="s">
        <v>530</v>
      </c>
      <c r="F239" s="4">
        <v>1</v>
      </c>
      <c r="G239" s="19">
        <v>1.7</v>
      </c>
      <c r="H239" s="19"/>
      <c r="I239" s="19"/>
      <c r="J239" s="28">
        <f t="shared" si="4"/>
        <v>1.7</v>
      </c>
      <c r="K239" s="8"/>
      <c r="L239" s="8"/>
      <c r="M239" s="8"/>
      <c r="N239" s="8"/>
    </row>
    <row r="240" spans="1:14" ht="15.2" customHeight="1" thickBot="1" x14ac:dyDescent="0.25">
      <c r="A240" s="8"/>
      <c r="B240" s="8"/>
      <c r="C240" s="8"/>
      <c r="D240" s="24"/>
      <c r="E240" s="6" t="s">
        <v>531</v>
      </c>
      <c r="F240" s="4">
        <v>1</v>
      </c>
      <c r="G240" s="19">
        <v>1.7</v>
      </c>
      <c r="H240" s="19"/>
      <c r="I240" s="19"/>
      <c r="J240" s="28">
        <f t="shared" si="4"/>
        <v>1.7</v>
      </c>
      <c r="K240" s="8"/>
      <c r="L240" s="8"/>
      <c r="M240" s="8"/>
      <c r="N240" s="8"/>
    </row>
    <row r="241" spans="1:14" ht="15.2" customHeight="1" thickBot="1" x14ac:dyDescent="0.25">
      <c r="A241" s="8"/>
      <c r="B241" s="8"/>
      <c r="C241" s="8"/>
      <c r="D241" s="24"/>
      <c r="E241" s="6" t="s">
        <v>532</v>
      </c>
      <c r="F241" s="4">
        <v>4</v>
      </c>
      <c r="G241" s="19">
        <v>0.8</v>
      </c>
      <c r="H241" s="19"/>
      <c r="I241" s="19"/>
      <c r="J241" s="28">
        <f t="shared" si="4"/>
        <v>3.2</v>
      </c>
      <c r="K241" s="8"/>
      <c r="L241" s="8"/>
      <c r="M241" s="8"/>
      <c r="N241" s="8"/>
    </row>
    <row r="242" spans="1:14" ht="15.2" customHeight="1" thickBot="1" x14ac:dyDescent="0.25">
      <c r="A242" s="8"/>
      <c r="B242" s="8"/>
      <c r="C242" s="8"/>
      <c r="D242" s="24"/>
      <c r="E242" s="6" t="s">
        <v>533</v>
      </c>
      <c r="F242" s="4">
        <v>1</v>
      </c>
      <c r="G242" s="19">
        <v>6.5</v>
      </c>
      <c r="H242" s="19"/>
      <c r="I242" s="19"/>
      <c r="J242" s="28">
        <f t="shared" si="4"/>
        <v>6.5</v>
      </c>
      <c r="K242" s="8"/>
      <c r="L242" s="8"/>
      <c r="M242" s="8"/>
      <c r="N242" s="8"/>
    </row>
    <row r="243" spans="1:14" ht="15.2" customHeight="1" thickBot="1" x14ac:dyDescent="0.25">
      <c r="A243" s="8"/>
      <c r="B243" s="8"/>
      <c r="C243" s="8"/>
      <c r="D243" s="24"/>
      <c r="E243" s="6" t="s">
        <v>534</v>
      </c>
      <c r="F243" s="4">
        <v>1</v>
      </c>
      <c r="G243" s="19">
        <v>2.5</v>
      </c>
      <c r="H243" s="19"/>
      <c r="I243" s="19"/>
      <c r="J243" s="28">
        <f t="shared" si="4"/>
        <v>2.5</v>
      </c>
      <c r="K243" s="8"/>
      <c r="L243" s="8"/>
      <c r="M243" s="8"/>
      <c r="N243" s="8"/>
    </row>
    <row r="244" spans="1:14" ht="15.2" customHeight="1" thickBot="1" x14ac:dyDescent="0.25">
      <c r="A244" s="8"/>
      <c r="B244" s="8"/>
      <c r="C244" s="8"/>
      <c r="D244" s="24"/>
      <c r="E244" s="6" t="s">
        <v>535</v>
      </c>
      <c r="F244" s="4">
        <v>1</v>
      </c>
      <c r="G244" s="19">
        <v>1.65</v>
      </c>
      <c r="H244" s="19"/>
      <c r="I244" s="19"/>
      <c r="J244" s="28">
        <f t="shared" si="4"/>
        <v>1.65</v>
      </c>
      <c r="K244" s="8"/>
      <c r="L244" s="8"/>
      <c r="M244" s="8"/>
      <c r="N244" s="8"/>
    </row>
    <row r="245" spans="1:14" ht="15.2" customHeight="1" thickBot="1" x14ac:dyDescent="0.25">
      <c r="A245" s="8"/>
      <c r="B245" s="8"/>
      <c r="C245" s="8"/>
      <c r="D245" s="24"/>
      <c r="E245" s="6" t="s">
        <v>536</v>
      </c>
      <c r="F245" s="4">
        <v>11</v>
      </c>
      <c r="G245" s="19">
        <v>2</v>
      </c>
      <c r="H245" s="19"/>
      <c r="I245" s="19"/>
      <c r="J245" s="28">
        <f t="shared" si="4"/>
        <v>22</v>
      </c>
      <c r="K245" s="8"/>
      <c r="L245" s="8"/>
      <c r="M245" s="8"/>
      <c r="N245" s="8"/>
    </row>
    <row r="246" spans="1:14" ht="15.2" customHeight="1" thickBot="1" x14ac:dyDescent="0.25">
      <c r="A246" s="8"/>
      <c r="B246" s="8"/>
      <c r="C246" s="8"/>
      <c r="D246" s="24"/>
      <c r="E246" s="6" t="s">
        <v>537</v>
      </c>
      <c r="F246" s="4">
        <v>1</v>
      </c>
      <c r="G246" s="19">
        <v>2</v>
      </c>
      <c r="H246" s="19"/>
      <c r="I246" s="19"/>
      <c r="J246" s="28">
        <f t="shared" si="4"/>
        <v>2</v>
      </c>
      <c r="K246" s="8"/>
      <c r="L246" s="8"/>
      <c r="M246" s="8"/>
      <c r="N246" s="8"/>
    </row>
    <row r="247" spans="1:14" ht="15.2" customHeight="1" thickBot="1" x14ac:dyDescent="0.25">
      <c r="A247" s="8"/>
      <c r="B247" s="8"/>
      <c r="C247" s="8"/>
      <c r="D247" s="24"/>
      <c r="E247" s="6" t="s">
        <v>538</v>
      </c>
      <c r="F247" s="4">
        <v>6</v>
      </c>
      <c r="G247" s="19">
        <v>2</v>
      </c>
      <c r="H247" s="19"/>
      <c r="I247" s="19"/>
      <c r="J247" s="28">
        <f t="shared" si="4"/>
        <v>12</v>
      </c>
      <c r="K247" s="8"/>
      <c r="L247" s="8"/>
      <c r="M247" s="8"/>
      <c r="N247" s="8"/>
    </row>
    <row r="248" spans="1:14" ht="15.2" customHeight="1" thickBot="1" x14ac:dyDescent="0.25">
      <c r="A248" s="8"/>
      <c r="B248" s="8"/>
      <c r="C248" s="8"/>
      <c r="D248" s="24"/>
      <c r="E248" s="6" t="s">
        <v>539</v>
      </c>
      <c r="F248" s="4">
        <v>1</v>
      </c>
      <c r="G248" s="19">
        <v>0.75</v>
      </c>
      <c r="H248" s="19"/>
      <c r="I248" s="19"/>
      <c r="J248" s="28">
        <f t="shared" si="4"/>
        <v>0.75</v>
      </c>
      <c r="K248" s="8"/>
      <c r="L248" s="8"/>
      <c r="M248" s="8"/>
      <c r="N248" s="8"/>
    </row>
    <row r="249" spans="1:14" ht="15.2" customHeight="1" thickBot="1" x14ac:dyDescent="0.25">
      <c r="A249" s="8"/>
      <c r="B249" s="8"/>
      <c r="C249" s="8"/>
      <c r="D249" s="24"/>
      <c r="E249" s="6" t="s">
        <v>540</v>
      </c>
      <c r="F249" s="4">
        <v>1</v>
      </c>
      <c r="G249" s="19">
        <v>0.75</v>
      </c>
      <c r="H249" s="19"/>
      <c r="I249" s="19"/>
      <c r="J249" s="28">
        <f t="shared" si="4"/>
        <v>0.75</v>
      </c>
      <c r="K249" s="8"/>
      <c r="L249" s="8"/>
      <c r="M249" s="8"/>
      <c r="N249" s="8"/>
    </row>
    <row r="250" spans="1:14" ht="15.2" customHeight="1" thickBot="1" x14ac:dyDescent="0.25">
      <c r="A250" s="8"/>
      <c r="B250" s="8"/>
      <c r="C250" s="8"/>
      <c r="D250" s="24"/>
      <c r="E250" s="6" t="s">
        <v>541</v>
      </c>
      <c r="F250" s="4">
        <v>2</v>
      </c>
      <c r="G250" s="19">
        <v>2.4</v>
      </c>
      <c r="H250" s="19"/>
      <c r="I250" s="19"/>
      <c r="J250" s="28">
        <f t="shared" si="4"/>
        <v>4.8</v>
      </c>
      <c r="K250" s="8"/>
      <c r="L250" s="8"/>
      <c r="M250" s="8"/>
      <c r="N250" s="8"/>
    </row>
    <row r="251" spans="1:14" ht="15.2" customHeight="1" thickBot="1" x14ac:dyDescent="0.25">
      <c r="A251" s="8"/>
      <c r="B251" s="8"/>
      <c r="C251" s="8"/>
      <c r="D251" s="24"/>
      <c r="E251" s="6" t="s">
        <v>542</v>
      </c>
      <c r="F251" s="4">
        <v>1</v>
      </c>
      <c r="G251" s="19">
        <v>0.8</v>
      </c>
      <c r="H251" s="19"/>
      <c r="I251" s="19"/>
      <c r="J251" s="28">
        <f t="shared" si="4"/>
        <v>0.8</v>
      </c>
      <c r="K251" s="8"/>
      <c r="L251" s="8"/>
      <c r="M251" s="8"/>
      <c r="N251" s="8"/>
    </row>
    <row r="252" spans="1:14" ht="15.2" customHeight="1" thickBot="1" x14ac:dyDescent="0.25">
      <c r="A252" s="8"/>
      <c r="B252" s="8"/>
      <c r="C252" s="8"/>
      <c r="D252" s="24"/>
      <c r="E252" s="6" t="s">
        <v>543</v>
      </c>
      <c r="F252" s="4">
        <v>1</v>
      </c>
      <c r="G252" s="19">
        <v>0.8</v>
      </c>
      <c r="H252" s="19"/>
      <c r="I252" s="19"/>
      <c r="J252" s="28">
        <f t="shared" si="4"/>
        <v>0.8</v>
      </c>
      <c r="K252" s="8"/>
      <c r="L252" s="8"/>
      <c r="M252" s="8"/>
      <c r="N252" s="8"/>
    </row>
    <row r="253" spans="1:14" ht="15.2" customHeight="1" thickBot="1" x14ac:dyDescent="0.25">
      <c r="A253" s="8"/>
      <c r="B253" s="8"/>
      <c r="C253" s="8"/>
      <c r="D253" s="24"/>
      <c r="E253" s="6" t="s">
        <v>544</v>
      </c>
      <c r="F253" s="4">
        <v>2</v>
      </c>
      <c r="G253" s="19">
        <v>0.75</v>
      </c>
      <c r="H253" s="19"/>
      <c r="I253" s="19"/>
      <c r="J253" s="28">
        <f t="shared" si="4"/>
        <v>1.5</v>
      </c>
      <c r="K253" s="30">
        <f>SUM(J232:J253)</f>
        <v>80.59999999999998</v>
      </c>
      <c r="L253" s="8"/>
      <c r="M253" s="8"/>
      <c r="N253" s="8"/>
    </row>
    <row r="254" spans="1:14" ht="15.4" customHeight="1" thickBot="1" x14ac:dyDescent="0.25">
      <c r="A254" s="12" t="s">
        <v>545</v>
      </c>
      <c r="B254" s="6" t="s">
        <v>546</v>
      </c>
      <c r="C254" s="6" t="s">
        <v>547</v>
      </c>
      <c r="D254" s="48" t="s">
        <v>548</v>
      </c>
      <c r="E254" s="48"/>
      <c r="F254" s="48"/>
      <c r="G254" s="48"/>
      <c r="H254" s="48"/>
      <c r="I254" s="48"/>
      <c r="J254" s="48"/>
      <c r="K254" s="19">
        <f>SUM(K257:K257)</f>
        <v>1.5</v>
      </c>
      <c r="L254" s="20">
        <f>ROUND(40.68*(1+M2/100),2)</f>
        <v>41.9</v>
      </c>
      <c r="M254" s="20">
        <f>ROUND(K254*L254,2)</f>
        <v>62.85</v>
      </c>
      <c r="N254" s="8"/>
    </row>
    <row r="255" spans="1:14" ht="67.5" customHeight="1" thickBot="1" x14ac:dyDescent="0.25">
      <c r="A255" s="8"/>
      <c r="B255" s="8"/>
      <c r="C255" s="8"/>
      <c r="D255" s="48" t="s">
        <v>549</v>
      </c>
      <c r="E255" s="48"/>
      <c r="F255" s="48"/>
      <c r="G255" s="48"/>
      <c r="H255" s="48"/>
      <c r="I255" s="48"/>
      <c r="J255" s="48"/>
      <c r="K255" s="48"/>
      <c r="L255" s="48"/>
      <c r="M255" s="48"/>
      <c r="N255" s="8"/>
    </row>
    <row r="256" spans="1:14" ht="15.2" customHeight="1" thickBot="1" x14ac:dyDescent="0.25">
      <c r="A256" s="8"/>
      <c r="B256" s="8"/>
      <c r="C256" s="8"/>
      <c r="D256" s="8"/>
      <c r="E256" s="21"/>
      <c r="F256" s="23" t="s">
        <v>550</v>
      </c>
      <c r="G256" s="23" t="s">
        <v>551</v>
      </c>
      <c r="H256" s="23" t="s">
        <v>552</v>
      </c>
      <c r="I256" s="23" t="s">
        <v>553</v>
      </c>
      <c r="J256" s="23" t="s">
        <v>554</v>
      </c>
      <c r="K256" s="23" t="s">
        <v>555</v>
      </c>
      <c r="L256" s="8"/>
      <c r="M256" s="8"/>
      <c r="N256" s="8"/>
    </row>
    <row r="257" spans="1:14" ht="21.4" customHeight="1" thickBot="1" x14ac:dyDescent="0.25">
      <c r="A257" s="8"/>
      <c r="B257" s="8"/>
      <c r="C257" s="8"/>
      <c r="D257" s="24"/>
      <c r="E257" s="25" t="s">
        <v>556</v>
      </c>
      <c r="F257" s="26">
        <v>2</v>
      </c>
      <c r="G257" s="27">
        <v>0.75</v>
      </c>
      <c r="H257" s="27"/>
      <c r="I257" s="27"/>
      <c r="J257" s="29">
        <f>ROUND(F257*G257,3)</f>
        <v>1.5</v>
      </c>
      <c r="K257" s="31">
        <f>SUM(J257:J257)</f>
        <v>1.5</v>
      </c>
      <c r="L257" s="8"/>
      <c r="M257" s="8"/>
      <c r="N257" s="8"/>
    </row>
    <row r="258" spans="1:14" ht="15.4" customHeight="1" thickBot="1" x14ac:dyDescent="0.25">
      <c r="A258" s="12" t="s">
        <v>557</v>
      </c>
      <c r="B258" s="6" t="s">
        <v>558</v>
      </c>
      <c r="C258" s="6" t="s">
        <v>559</v>
      </c>
      <c r="D258" s="48" t="s">
        <v>560</v>
      </c>
      <c r="E258" s="48"/>
      <c r="F258" s="48"/>
      <c r="G258" s="48"/>
      <c r="H258" s="48"/>
      <c r="I258" s="48"/>
      <c r="J258" s="48"/>
      <c r="K258" s="19">
        <f>SUM(K261:K261)</f>
        <v>10.5</v>
      </c>
      <c r="L258" s="20">
        <f>ROUND(20.58*(1+M2/100),2)</f>
        <v>21.2</v>
      </c>
      <c r="M258" s="20">
        <f>ROUND(K258*L258,2)</f>
        <v>222.6</v>
      </c>
      <c r="N258" s="8"/>
    </row>
    <row r="259" spans="1:14" ht="86.1" customHeight="1" thickBot="1" x14ac:dyDescent="0.25">
      <c r="A259" s="8"/>
      <c r="B259" s="8"/>
      <c r="C259" s="8"/>
      <c r="D259" s="48" t="s">
        <v>561</v>
      </c>
      <c r="E259" s="48"/>
      <c r="F259" s="48"/>
      <c r="G259" s="48"/>
      <c r="H259" s="48"/>
      <c r="I259" s="48"/>
      <c r="J259" s="48"/>
      <c r="K259" s="48"/>
      <c r="L259" s="48"/>
      <c r="M259" s="48"/>
      <c r="N259" s="8"/>
    </row>
    <row r="260" spans="1:14" ht="15.2" customHeight="1" thickBot="1" x14ac:dyDescent="0.25">
      <c r="A260" s="8"/>
      <c r="B260" s="8"/>
      <c r="C260" s="8"/>
      <c r="D260" s="8"/>
      <c r="E260" s="21"/>
      <c r="F260" s="23" t="s">
        <v>562</v>
      </c>
      <c r="G260" s="23" t="s">
        <v>563</v>
      </c>
      <c r="H260" s="23" t="s">
        <v>564</v>
      </c>
      <c r="I260" s="23" t="s">
        <v>565</v>
      </c>
      <c r="J260" s="23" t="s">
        <v>566</v>
      </c>
      <c r="K260" s="23" t="s">
        <v>567</v>
      </c>
      <c r="L260" s="8"/>
      <c r="M260" s="8"/>
      <c r="N260" s="8"/>
    </row>
    <row r="261" spans="1:14" ht="21.4" customHeight="1" thickBot="1" x14ac:dyDescent="0.25">
      <c r="A261" s="8"/>
      <c r="B261" s="8"/>
      <c r="C261" s="8"/>
      <c r="D261" s="24"/>
      <c r="E261" s="25" t="s">
        <v>568</v>
      </c>
      <c r="F261" s="26">
        <v>1</v>
      </c>
      <c r="G261" s="27">
        <v>10.5</v>
      </c>
      <c r="H261" s="27"/>
      <c r="I261" s="27"/>
      <c r="J261" s="29">
        <f>ROUND(F261*G261,3)</f>
        <v>10.5</v>
      </c>
      <c r="K261" s="31">
        <f>SUM(J261:J261)</f>
        <v>10.5</v>
      </c>
      <c r="L261" s="8"/>
      <c r="M261" s="8"/>
      <c r="N261" s="8"/>
    </row>
    <row r="262" spans="1:14" ht="15.4" customHeight="1" thickBot="1" x14ac:dyDescent="0.25">
      <c r="A262" s="12" t="s">
        <v>569</v>
      </c>
      <c r="B262" s="6" t="s">
        <v>570</v>
      </c>
      <c r="C262" s="6" t="s">
        <v>571</v>
      </c>
      <c r="D262" s="48" t="s">
        <v>572</v>
      </c>
      <c r="E262" s="48"/>
      <c r="F262" s="48"/>
      <c r="G262" s="48"/>
      <c r="H262" s="48"/>
      <c r="I262" s="48"/>
      <c r="J262" s="48"/>
      <c r="K262" s="19">
        <f>SUM(K265:K319)</f>
        <v>158.37</v>
      </c>
      <c r="L262" s="20">
        <f>ROUND(32.53*(1+M2/100),2)</f>
        <v>33.51</v>
      </c>
      <c r="M262" s="20">
        <f>ROUND(K262*L262,2)</f>
        <v>5306.98</v>
      </c>
      <c r="N262" s="8"/>
    </row>
    <row r="263" spans="1:14" ht="141.4" customHeight="1" thickBot="1" x14ac:dyDescent="0.25">
      <c r="A263" s="8"/>
      <c r="B263" s="8"/>
      <c r="C263" s="8"/>
      <c r="D263" s="48" t="s">
        <v>573</v>
      </c>
      <c r="E263" s="48"/>
      <c r="F263" s="48"/>
      <c r="G263" s="48"/>
      <c r="H263" s="48"/>
      <c r="I263" s="48"/>
      <c r="J263" s="48"/>
      <c r="K263" s="48"/>
      <c r="L263" s="48"/>
      <c r="M263" s="48"/>
      <c r="N263" s="8"/>
    </row>
    <row r="264" spans="1:14" ht="15.2" customHeight="1" thickBot="1" x14ac:dyDescent="0.25">
      <c r="A264" s="8"/>
      <c r="B264" s="8"/>
      <c r="C264" s="8"/>
      <c r="D264" s="8"/>
      <c r="E264" s="21"/>
      <c r="F264" s="23" t="s">
        <v>574</v>
      </c>
      <c r="G264" s="23" t="s">
        <v>575</v>
      </c>
      <c r="H264" s="23" t="s">
        <v>576</v>
      </c>
      <c r="I264" s="23" t="s">
        <v>577</v>
      </c>
      <c r="J264" s="23" t="s">
        <v>578</v>
      </c>
      <c r="K264" s="23" t="s">
        <v>579</v>
      </c>
      <c r="L264" s="8"/>
      <c r="M264" s="8"/>
      <c r="N264" s="8"/>
    </row>
    <row r="265" spans="1:14" ht="15.2" customHeight="1" thickBot="1" x14ac:dyDescent="0.25">
      <c r="A265" s="8"/>
      <c r="B265" s="8"/>
      <c r="C265" s="8"/>
      <c r="D265" s="24"/>
      <c r="E265" s="25" t="s">
        <v>580</v>
      </c>
      <c r="F265" s="26">
        <v>1</v>
      </c>
      <c r="G265" s="27">
        <v>1.4</v>
      </c>
      <c r="H265" s="27">
        <v>0.3</v>
      </c>
      <c r="I265" s="27"/>
      <c r="J265" s="29">
        <f t="shared" ref="J265:J289" si="5">ROUND(F265*G265*H265,3)</f>
        <v>0.42</v>
      </c>
      <c r="K265" s="39"/>
      <c r="L265" s="8"/>
      <c r="M265" s="8"/>
      <c r="N265" s="8"/>
    </row>
    <row r="266" spans="1:14" ht="15.2" customHeight="1" thickBot="1" x14ac:dyDescent="0.25">
      <c r="A266" s="8"/>
      <c r="B266" s="8"/>
      <c r="C266" s="8"/>
      <c r="D266" s="24"/>
      <c r="E266" s="6" t="s">
        <v>581</v>
      </c>
      <c r="F266" s="4">
        <v>2</v>
      </c>
      <c r="G266" s="19">
        <v>1.2</v>
      </c>
      <c r="H266" s="19">
        <v>0.3</v>
      </c>
      <c r="I266" s="19"/>
      <c r="J266" s="28">
        <f t="shared" si="5"/>
        <v>0.72</v>
      </c>
      <c r="K266" s="8"/>
      <c r="L266" s="8"/>
      <c r="M266" s="8"/>
      <c r="N266" s="8"/>
    </row>
    <row r="267" spans="1:14" ht="15.2" customHeight="1" thickBot="1" x14ac:dyDescent="0.25">
      <c r="A267" s="8"/>
      <c r="B267" s="8"/>
      <c r="C267" s="8"/>
      <c r="D267" s="24"/>
      <c r="E267" s="6" t="s">
        <v>582</v>
      </c>
      <c r="F267" s="4">
        <v>1</v>
      </c>
      <c r="G267" s="19">
        <v>1.55</v>
      </c>
      <c r="H267" s="19">
        <v>0.3</v>
      </c>
      <c r="I267" s="19"/>
      <c r="J267" s="28">
        <f t="shared" si="5"/>
        <v>0.46500000000000002</v>
      </c>
      <c r="K267" s="8"/>
      <c r="L267" s="8"/>
      <c r="M267" s="8"/>
      <c r="N267" s="8"/>
    </row>
    <row r="268" spans="1:14" ht="15.2" customHeight="1" thickBot="1" x14ac:dyDescent="0.25">
      <c r="A268" s="8"/>
      <c r="B268" s="8"/>
      <c r="C268" s="8"/>
      <c r="D268" s="24"/>
      <c r="E268" s="6" t="s">
        <v>583</v>
      </c>
      <c r="F268" s="4">
        <v>2</v>
      </c>
      <c r="G268" s="19">
        <v>2.4</v>
      </c>
      <c r="H268" s="19">
        <v>0.3</v>
      </c>
      <c r="I268" s="19"/>
      <c r="J268" s="28">
        <f t="shared" si="5"/>
        <v>1.44</v>
      </c>
      <c r="K268" s="8"/>
      <c r="L268" s="8"/>
      <c r="M268" s="8"/>
      <c r="N268" s="8"/>
    </row>
    <row r="269" spans="1:14" ht="15.2" customHeight="1" thickBot="1" x14ac:dyDescent="0.25">
      <c r="A269" s="8"/>
      <c r="B269" s="8"/>
      <c r="C269" s="8"/>
      <c r="D269" s="24"/>
      <c r="E269" s="6" t="s">
        <v>584</v>
      </c>
      <c r="F269" s="4">
        <v>1</v>
      </c>
      <c r="G269" s="19">
        <v>2.4</v>
      </c>
      <c r="H269" s="19">
        <v>0.3</v>
      </c>
      <c r="I269" s="19"/>
      <c r="J269" s="28">
        <f t="shared" si="5"/>
        <v>0.72</v>
      </c>
      <c r="K269" s="8"/>
      <c r="L269" s="8"/>
      <c r="M269" s="8"/>
      <c r="N269" s="8"/>
    </row>
    <row r="270" spans="1:14" ht="15.2" customHeight="1" thickBot="1" x14ac:dyDescent="0.25">
      <c r="A270" s="8"/>
      <c r="B270" s="8"/>
      <c r="C270" s="8"/>
      <c r="D270" s="24"/>
      <c r="E270" s="6" t="s">
        <v>585</v>
      </c>
      <c r="F270" s="4">
        <v>2</v>
      </c>
      <c r="G270" s="19">
        <v>1</v>
      </c>
      <c r="H270" s="19">
        <v>0.3</v>
      </c>
      <c r="I270" s="19"/>
      <c r="J270" s="28">
        <f t="shared" si="5"/>
        <v>0.6</v>
      </c>
      <c r="K270" s="8"/>
      <c r="L270" s="8"/>
      <c r="M270" s="8"/>
      <c r="N270" s="8"/>
    </row>
    <row r="271" spans="1:14" ht="15.2" customHeight="1" thickBot="1" x14ac:dyDescent="0.25">
      <c r="A271" s="8"/>
      <c r="B271" s="8"/>
      <c r="C271" s="8"/>
      <c r="D271" s="24"/>
      <c r="E271" s="6" t="s">
        <v>586</v>
      </c>
      <c r="F271" s="4">
        <v>2</v>
      </c>
      <c r="G271" s="19">
        <v>1.7</v>
      </c>
      <c r="H271" s="19">
        <v>0.3</v>
      </c>
      <c r="I271" s="19"/>
      <c r="J271" s="28">
        <f t="shared" si="5"/>
        <v>1.02</v>
      </c>
      <c r="K271" s="8"/>
      <c r="L271" s="8"/>
      <c r="M271" s="8"/>
      <c r="N271" s="8"/>
    </row>
    <row r="272" spans="1:14" ht="15.2" customHeight="1" thickBot="1" x14ac:dyDescent="0.25">
      <c r="A272" s="8"/>
      <c r="B272" s="8"/>
      <c r="C272" s="8"/>
      <c r="D272" s="24"/>
      <c r="E272" s="6" t="s">
        <v>587</v>
      </c>
      <c r="F272" s="4">
        <v>1</v>
      </c>
      <c r="G272" s="19">
        <v>1.7</v>
      </c>
      <c r="H272" s="19">
        <v>0.3</v>
      </c>
      <c r="I272" s="19"/>
      <c r="J272" s="28">
        <f t="shared" si="5"/>
        <v>0.51</v>
      </c>
      <c r="K272" s="8"/>
      <c r="L272" s="8"/>
      <c r="M272" s="8"/>
      <c r="N272" s="8"/>
    </row>
    <row r="273" spans="1:14" ht="15.2" customHeight="1" thickBot="1" x14ac:dyDescent="0.25">
      <c r="A273" s="8"/>
      <c r="B273" s="8"/>
      <c r="C273" s="8"/>
      <c r="D273" s="24"/>
      <c r="E273" s="6" t="s">
        <v>588</v>
      </c>
      <c r="F273" s="4">
        <v>1</v>
      </c>
      <c r="G273" s="19">
        <v>1.7</v>
      </c>
      <c r="H273" s="19">
        <v>0.3</v>
      </c>
      <c r="I273" s="19"/>
      <c r="J273" s="28">
        <f t="shared" si="5"/>
        <v>0.51</v>
      </c>
      <c r="K273" s="8"/>
      <c r="L273" s="8"/>
      <c r="M273" s="8"/>
      <c r="N273" s="8"/>
    </row>
    <row r="274" spans="1:14" ht="15.2" customHeight="1" thickBot="1" x14ac:dyDescent="0.25">
      <c r="A274" s="8"/>
      <c r="B274" s="8"/>
      <c r="C274" s="8"/>
      <c r="D274" s="24"/>
      <c r="E274" s="6" t="s">
        <v>589</v>
      </c>
      <c r="F274" s="4">
        <v>4</v>
      </c>
      <c r="G274" s="19">
        <v>0.8</v>
      </c>
      <c r="H274" s="19">
        <v>0.3</v>
      </c>
      <c r="I274" s="19"/>
      <c r="J274" s="28">
        <f t="shared" si="5"/>
        <v>0.96</v>
      </c>
      <c r="K274" s="8"/>
      <c r="L274" s="8"/>
      <c r="M274" s="8"/>
      <c r="N274" s="8"/>
    </row>
    <row r="275" spans="1:14" ht="15.2" customHeight="1" thickBot="1" x14ac:dyDescent="0.25">
      <c r="A275" s="8"/>
      <c r="B275" s="8"/>
      <c r="C275" s="8"/>
      <c r="D275" s="24"/>
      <c r="E275" s="6" t="s">
        <v>590</v>
      </c>
      <c r="F275" s="4">
        <v>1</v>
      </c>
      <c r="G275" s="19">
        <v>6.5</v>
      </c>
      <c r="H275" s="19">
        <v>0.3</v>
      </c>
      <c r="I275" s="19"/>
      <c r="J275" s="28">
        <f t="shared" si="5"/>
        <v>1.95</v>
      </c>
      <c r="K275" s="8"/>
      <c r="L275" s="8"/>
      <c r="M275" s="8"/>
      <c r="N275" s="8"/>
    </row>
    <row r="276" spans="1:14" ht="15.2" customHeight="1" thickBot="1" x14ac:dyDescent="0.25">
      <c r="A276" s="8"/>
      <c r="B276" s="8"/>
      <c r="C276" s="8"/>
      <c r="D276" s="24"/>
      <c r="E276" s="6" t="s">
        <v>591</v>
      </c>
      <c r="F276" s="4">
        <v>1</v>
      </c>
      <c r="G276" s="19">
        <v>2.5</v>
      </c>
      <c r="H276" s="19">
        <v>0.3</v>
      </c>
      <c r="I276" s="19"/>
      <c r="J276" s="28">
        <f t="shared" si="5"/>
        <v>0.75</v>
      </c>
      <c r="K276" s="8"/>
      <c r="L276" s="8"/>
      <c r="M276" s="8"/>
      <c r="N276" s="8"/>
    </row>
    <row r="277" spans="1:14" ht="15.2" customHeight="1" thickBot="1" x14ac:dyDescent="0.25">
      <c r="A277" s="8"/>
      <c r="B277" s="8"/>
      <c r="C277" s="8"/>
      <c r="D277" s="24"/>
      <c r="E277" s="6" t="s">
        <v>592</v>
      </c>
      <c r="F277" s="4">
        <v>1</v>
      </c>
      <c r="G277" s="19">
        <v>1.65</v>
      </c>
      <c r="H277" s="19">
        <v>0.3</v>
      </c>
      <c r="I277" s="19"/>
      <c r="J277" s="28">
        <f t="shared" si="5"/>
        <v>0.495</v>
      </c>
      <c r="K277" s="8"/>
      <c r="L277" s="8"/>
      <c r="M277" s="8"/>
      <c r="N277" s="8"/>
    </row>
    <row r="278" spans="1:14" ht="15.2" customHeight="1" thickBot="1" x14ac:dyDescent="0.25">
      <c r="A278" s="8"/>
      <c r="B278" s="8"/>
      <c r="C278" s="8"/>
      <c r="D278" s="24"/>
      <c r="E278" s="6" t="s">
        <v>593</v>
      </c>
      <c r="F278" s="4">
        <v>11</v>
      </c>
      <c r="G278" s="19">
        <v>2</v>
      </c>
      <c r="H278" s="19">
        <v>0.3</v>
      </c>
      <c r="I278" s="19"/>
      <c r="J278" s="28">
        <f t="shared" si="5"/>
        <v>6.6</v>
      </c>
      <c r="K278" s="8"/>
      <c r="L278" s="8"/>
      <c r="M278" s="8"/>
      <c r="N278" s="8"/>
    </row>
    <row r="279" spans="1:14" ht="15.2" customHeight="1" thickBot="1" x14ac:dyDescent="0.25">
      <c r="A279" s="8"/>
      <c r="B279" s="8"/>
      <c r="C279" s="8"/>
      <c r="D279" s="24"/>
      <c r="E279" s="6" t="s">
        <v>594</v>
      </c>
      <c r="F279" s="4">
        <v>1</v>
      </c>
      <c r="G279" s="19">
        <v>2</v>
      </c>
      <c r="H279" s="19">
        <v>0.3</v>
      </c>
      <c r="I279" s="19"/>
      <c r="J279" s="28">
        <f t="shared" si="5"/>
        <v>0.6</v>
      </c>
      <c r="K279" s="8"/>
      <c r="L279" s="8"/>
      <c r="M279" s="8"/>
      <c r="N279" s="8"/>
    </row>
    <row r="280" spans="1:14" ht="15.2" customHeight="1" thickBot="1" x14ac:dyDescent="0.25">
      <c r="A280" s="8"/>
      <c r="B280" s="8"/>
      <c r="C280" s="8"/>
      <c r="D280" s="24"/>
      <c r="E280" s="6" t="s">
        <v>595</v>
      </c>
      <c r="F280" s="4">
        <v>6</v>
      </c>
      <c r="G280" s="19">
        <v>2</v>
      </c>
      <c r="H280" s="19">
        <v>0.3</v>
      </c>
      <c r="I280" s="19"/>
      <c r="J280" s="28">
        <f t="shared" si="5"/>
        <v>3.6</v>
      </c>
      <c r="K280" s="8"/>
      <c r="L280" s="8"/>
      <c r="M280" s="8"/>
      <c r="N280" s="8"/>
    </row>
    <row r="281" spans="1:14" ht="15.2" customHeight="1" thickBot="1" x14ac:dyDescent="0.25">
      <c r="A281" s="8"/>
      <c r="B281" s="8"/>
      <c r="C281" s="8"/>
      <c r="D281" s="24"/>
      <c r="E281" s="6" t="s">
        <v>596</v>
      </c>
      <c r="F281" s="4">
        <v>1</v>
      </c>
      <c r="G281" s="19">
        <v>0.75</v>
      </c>
      <c r="H281" s="19">
        <v>0.3</v>
      </c>
      <c r="I281" s="19"/>
      <c r="J281" s="28">
        <f t="shared" si="5"/>
        <v>0.22500000000000001</v>
      </c>
      <c r="K281" s="8"/>
      <c r="L281" s="8"/>
      <c r="M281" s="8"/>
      <c r="N281" s="8"/>
    </row>
    <row r="282" spans="1:14" ht="15.2" customHeight="1" thickBot="1" x14ac:dyDescent="0.25">
      <c r="A282" s="8"/>
      <c r="B282" s="8"/>
      <c r="C282" s="8"/>
      <c r="D282" s="24"/>
      <c r="E282" s="6" t="s">
        <v>597</v>
      </c>
      <c r="F282" s="4">
        <v>1</v>
      </c>
      <c r="G282" s="19">
        <v>0.75</v>
      </c>
      <c r="H282" s="19">
        <v>0.3</v>
      </c>
      <c r="I282" s="19"/>
      <c r="J282" s="28">
        <f t="shared" si="5"/>
        <v>0.22500000000000001</v>
      </c>
      <c r="K282" s="8"/>
      <c r="L282" s="8"/>
      <c r="M282" s="8"/>
      <c r="N282" s="8"/>
    </row>
    <row r="283" spans="1:14" ht="15.2" customHeight="1" thickBot="1" x14ac:dyDescent="0.25">
      <c r="A283" s="8"/>
      <c r="B283" s="8"/>
      <c r="C283" s="8"/>
      <c r="D283" s="24"/>
      <c r="E283" s="6" t="s">
        <v>598</v>
      </c>
      <c r="F283" s="4">
        <v>2</v>
      </c>
      <c r="G283" s="19">
        <v>2.4</v>
      </c>
      <c r="H283" s="19">
        <v>0.3</v>
      </c>
      <c r="I283" s="19"/>
      <c r="J283" s="28">
        <f t="shared" si="5"/>
        <v>1.44</v>
      </c>
      <c r="K283" s="8"/>
      <c r="L283" s="8"/>
      <c r="M283" s="8"/>
      <c r="N283" s="8"/>
    </row>
    <row r="284" spans="1:14" ht="15.2" customHeight="1" thickBot="1" x14ac:dyDescent="0.25">
      <c r="A284" s="8"/>
      <c r="B284" s="8"/>
      <c r="C284" s="8"/>
      <c r="D284" s="24"/>
      <c r="E284" s="6" t="s">
        <v>599</v>
      </c>
      <c r="F284" s="4">
        <v>1</v>
      </c>
      <c r="G284" s="19">
        <v>0.8</v>
      </c>
      <c r="H284" s="19">
        <v>0.3</v>
      </c>
      <c r="I284" s="19"/>
      <c r="J284" s="28">
        <f t="shared" si="5"/>
        <v>0.24</v>
      </c>
      <c r="K284" s="8"/>
      <c r="L284" s="8"/>
      <c r="M284" s="8"/>
      <c r="N284" s="8"/>
    </row>
    <row r="285" spans="1:14" ht="15.2" customHeight="1" thickBot="1" x14ac:dyDescent="0.25">
      <c r="A285" s="8"/>
      <c r="B285" s="8"/>
      <c r="C285" s="8"/>
      <c r="D285" s="24"/>
      <c r="E285" s="6" t="s">
        <v>600</v>
      </c>
      <c r="F285" s="4">
        <v>1</v>
      </c>
      <c r="G285" s="19">
        <v>0.8</v>
      </c>
      <c r="H285" s="19">
        <v>0.3</v>
      </c>
      <c r="I285" s="19"/>
      <c r="J285" s="28">
        <f t="shared" si="5"/>
        <v>0.24</v>
      </c>
      <c r="K285" s="8"/>
      <c r="L285" s="8"/>
      <c r="M285" s="8"/>
      <c r="N285" s="8"/>
    </row>
    <row r="286" spans="1:14" ht="15.2" customHeight="1" thickBot="1" x14ac:dyDescent="0.25">
      <c r="A286" s="8"/>
      <c r="B286" s="8"/>
      <c r="C286" s="8"/>
      <c r="D286" s="24"/>
      <c r="E286" s="6" t="s">
        <v>601</v>
      </c>
      <c r="F286" s="4">
        <v>2</v>
      </c>
      <c r="G286" s="19">
        <v>0.75</v>
      </c>
      <c r="H286" s="19">
        <v>0.3</v>
      </c>
      <c r="I286" s="19"/>
      <c r="J286" s="28">
        <f t="shared" si="5"/>
        <v>0.45</v>
      </c>
      <c r="K286" s="8"/>
      <c r="L286" s="8"/>
      <c r="M286" s="8"/>
      <c r="N286" s="8"/>
    </row>
    <row r="287" spans="1:14" ht="15.2" customHeight="1" thickBot="1" x14ac:dyDescent="0.25">
      <c r="A287" s="8"/>
      <c r="B287" s="8"/>
      <c r="C287" s="8"/>
      <c r="D287" s="24"/>
      <c r="E287" s="6" t="s">
        <v>602</v>
      </c>
      <c r="F287" s="4">
        <v>1</v>
      </c>
      <c r="G287" s="19">
        <v>3.5</v>
      </c>
      <c r="H287" s="19">
        <v>0.3</v>
      </c>
      <c r="I287" s="19"/>
      <c r="J287" s="28">
        <f t="shared" si="5"/>
        <v>1.05</v>
      </c>
      <c r="K287" s="8"/>
      <c r="L287" s="8"/>
      <c r="M287" s="8"/>
      <c r="N287" s="8"/>
    </row>
    <row r="288" spans="1:14" ht="15.2" customHeight="1" thickBot="1" x14ac:dyDescent="0.25">
      <c r="A288" s="8"/>
      <c r="B288" s="8"/>
      <c r="C288" s="8"/>
      <c r="D288" s="24"/>
      <c r="E288" s="6" t="s">
        <v>603</v>
      </c>
      <c r="F288" s="4">
        <v>1</v>
      </c>
      <c r="G288" s="19">
        <v>0.9</v>
      </c>
      <c r="H288" s="19">
        <v>0.3</v>
      </c>
      <c r="I288" s="19"/>
      <c r="J288" s="28">
        <f t="shared" si="5"/>
        <v>0.27</v>
      </c>
      <c r="K288" s="8"/>
      <c r="L288" s="8"/>
      <c r="M288" s="8"/>
      <c r="N288" s="8"/>
    </row>
    <row r="289" spans="1:14" ht="15.2" customHeight="1" thickBot="1" x14ac:dyDescent="0.25">
      <c r="A289" s="8"/>
      <c r="B289" s="8"/>
      <c r="C289" s="8"/>
      <c r="D289" s="24"/>
      <c r="E289" s="6" t="s">
        <v>604</v>
      </c>
      <c r="F289" s="4">
        <v>1</v>
      </c>
      <c r="G289" s="19">
        <v>2.1</v>
      </c>
      <c r="H289" s="19">
        <v>0.3</v>
      </c>
      <c r="I289" s="19"/>
      <c r="J289" s="28">
        <f t="shared" si="5"/>
        <v>0.63</v>
      </c>
      <c r="K289" s="30">
        <f>SUM(J265:J289)</f>
        <v>26.13</v>
      </c>
      <c r="L289" s="8"/>
      <c r="M289" s="8"/>
      <c r="N289" s="8"/>
    </row>
    <row r="290" spans="1:14" ht="15.2" customHeight="1" thickBot="1" x14ac:dyDescent="0.25">
      <c r="A290" s="8"/>
      <c r="B290" s="8"/>
      <c r="C290" s="8"/>
      <c r="D290" s="8"/>
      <c r="E290" s="21"/>
      <c r="F290" s="23" t="s">
        <v>605</v>
      </c>
      <c r="G290" s="23" t="s">
        <v>606</v>
      </c>
      <c r="H290" s="23" t="s">
        <v>607</v>
      </c>
      <c r="I290" s="23" t="s">
        <v>608</v>
      </c>
      <c r="J290" s="23" t="s">
        <v>609</v>
      </c>
      <c r="K290" s="23" t="s">
        <v>610</v>
      </c>
      <c r="L290" s="8"/>
      <c r="M290" s="8"/>
      <c r="N290" s="8"/>
    </row>
    <row r="291" spans="1:14" ht="15.2" customHeight="1" thickBot="1" x14ac:dyDescent="0.25">
      <c r="A291" s="8"/>
      <c r="B291" s="8"/>
      <c r="C291" s="8"/>
      <c r="D291" s="24"/>
      <c r="E291" s="25" t="s">
        <v>611</v>
      </c>
      <c r="F291" s="26">
        <v>1</v>
      </c>
      <c r="G291" s="27"/>
      <c r="H291" s="27">
        <v>0.3</v>
      </c>
      <c r="I291" s="27">
        <v>1.1499999999999999</v>
      </c>
      <c r="J291" s="29">
        <f t="shared" ref="J291:J315" si="6">ROUND(F291*H291*I291,3)</f>
        <v>0.34499999999999997</v>
      </c>
      <c r="K291" s="39"/>
      <c r="L291" s="8"/>
      <c r="M291" s="8"/>
      <c r="N291" s="8"/>
    </row>
    <row r="292" spans="1:14" ht="15.2" customHeight="1" thickBot="1" x14ac:dyDescent="0.25">
      <c r="A292" s="8"/>
      <c r="B292" s="8"/>
      <c r="C292" s="8"/>
      <c r="D292" s="24"/>
      <c r="E292" s="6" t="s">
        <v>612</v>
      </c>
      <c r="F292" s="4">
        <v>2</v>
      </c>
      <c r="G292" s="19"/>
      <c r="H292" s="19">
        <v>0.3</v>
      </c>
      <c r="I292" s="19">
        <v>1.1499999999999999</v>
      </c>
      <c r="J292" s="28">
        <f t="shared" si="6"/>
        <v>0.69</v>
      </c>
      <c r="K292" s="8"/>
      <c r="L292" s="8"/>
      <c r="M292" s="8"/>
      <c r="N292" s="8"/>
    </row>
    <row r="293" spans="1:14" ht="15.2" customHeight="1" thickBot="1" x14ac:dyDescent="0.25">
      <c r="A293" s="8"/>
      <c r="B293" s="8"/>
      <c r="C293" s="8"/>
      <c r="D293" s="24"/>
      <c r="E293" s="6" t="s">
        <v>613</v>
      </c>
      <c r="F293" s="4">
        <v>1</v>
      </c>
      <c r="G293" s="19"/>
      <c r="H293" s="19">
        <v>0.3</v>
      </c>
      <c r="I293" s="19">
        <v>1.1499999999999999</v>
      </c>
      <c r="J293" s="28">
        <f t="shared" si="6"/>
        <v>0.34499999999999997</v>
      </c>
      <c r="K293" s="8"/>
      <c r="L293" s="8"/>
      <c r="M293" s="8"/>
      <c r="N293" s="8"/>
    </row>
    <row r="294" spans="1:14" ht="15.2" customHeight="1" thickBot="1" x14ac:dyDescent="0.25">
      <c r="A294" s="8"/>
      <c r="B294" s="8"/>
      <c r="C294" s="8"/>
      <c r="D294" s="24"/>
      <c r="E294" s="6" t="s">
        <v>614</v>
      </c>
      <c r="F294" s="4">
        <v>2</v>
      </c>
      <c r="G294" s="19"/>
      <c r="H294" s="19">
        <v>0.3</v>
      </c>
      <c r="I294" s="19">
        <v>1.2</v>
      </c>
      <c r="J294" s="28">
        <f t="shared" si="6"/>
        <v>0.72</v>
      </c>
      <c r="K294" s="8"/>
      <c r="L294" s="8"/>
      <c r="M294" s="8"/>
      <c r="N294" s="8"/>
    </row>
    <row r="295" spans="1:14" ht="15.2" customHeight="1" thickBot="1" x14ac:dyDescent="0.25">
      <c r="A295" s="8"/>
      <c r="B295" s="8"/>
      <c r="C295" s="8"/>
      <c r="D295" s="24"/>
      <c r="E295" s="6" t="s">
        <v>615</v>
      </c>
      <c r="F295" s="4">
        <v>1</v>
      </c>
      <c r="G295" s="19"/>
      <c r="H295" s="19">
        <v>0.3</v>
      </c>
      <c r="I295" s="19">
        <v>1.2</v>
      </c>
      <c r="J295" s="28">
        <f t="shared" si="6"/>
        <v>0.36</v>
      </c>
      <c r="K295" s="8"/>
      <c r="L295" s="8"/>
      <c r="M295" s="8"/>
      <c r="N295" s="8"/>
    </row>
    <row r="296" spans="1:14" ht="15.2" customHeight="1" thickBot="1" x14ac:dyDescent="0.25">
      <c r="A296" s="8"/>
      <c r="B296" s="8"/>
      <c r="C296" s="8"/>
      <c r="D296" s="24"/>
      <c r="E296" s="6" t="s">
        <v>616</v>
      </c>
      <c r="F296" s="4">
        <v>2</v>
      </c>
      <c r="G296" s="19"/>
      <c r="H296" s="19">
        <v>0.3</v>
      </c>
      <c r="I296" s="19">
        <v>1.2</v>
      </c>
      <c r="J296" s="28">
        <f t="shared" si="6"/>
        <v>0.72</v>
      </c>
      <c r="K296" s="8"/>
      <c r="L296" s="8"/>
      <c r="M296" s="8"/>
      <c r="N296" s="8"/>
    </row>
    <row r="297" spans="1:14" ht="15.2" customHeight="1" thickBot="1" x14ac:dyDescent="0.25">
      <c r="A297" s="8"/>
      <c r="B297" s="8"/>
      <c r="C297" s="8"/>
      <c r="D297" s="24"/>
      <c r="E297" s="6" t="s">
        <v>617</v>
      </c>
      <c r="F297" s="4">
        <v>2</v>
      </c>
      <c r="G297" s="19"/>
      <c r="H297" s="19">
        <v>0.3</v>
      </c>
      <c r="I297" s="19">
        <v>1.2</v>
      </c>
      <c r="J297" s="28">
        <f t="shared" si="6"/>
        <v>0.72</v>
      </c>
      <c r="K297" s="8"/>
      <c r="L297" s="8"/>
      <c r="M297" s="8"/>
      <c r="N297" s="8"/>
    </row>
    <row r="298" spans="1:14" ht="15.2" customHeight="1" thickBot="1" x14ac:dyDescent="0.25">
      <c r="A298" s="8"/>
      <c r="B298" s="8"/>
      <c r="C298" s="8"/>
      <c r="D298" s="24"/>
      <c r="E298" s="6" t="s">
        <v>618</v>
      </c>
      <c r="F298" s="4">
        <v>1</v>
      </c>
      <c r="G298" s="19"/>
      <c r="H298" s="19">
        <v>0.3</v>
      </c>
      <c r="I298" s="19">
        <v>1.2</v>
      </c>
      <c r="J298" s="28">
        <f t="shared" si="6"/>
        <v>0.36</v>
      </c>
      <c r="K298" s="8"/>
      <c r="L298" s="8"/>
      <c r="M298" s="8"/>
      <c r="N298" s="8"/>
    </row>
    <row r="299" spans="1:14" ht="15.2" customHeight="1" thickBot="1" x14ac:dyDescent="0.25">
      <c r="A299" s="8"/>
      <c r="B299" s="8"/>
      <c r="C299" s="8"/>
      <c r="D299" s="24"/>
      <c r="E299" s="6" t="s">
        <v>619</v>
      </c>
      <c r="F299" s="4">
        <v>1</v>
      </c>
      <c r="G299" s="19"/>
      <c r="H299" s="19">
        <v>0.3</v>
      </c>
      <c r="I299" s="19">
        <v>1.2</v>
      </c>
      <c r="J299" s="28">
        <f t="shared" si="6"/>
        <v>0.36</v>
      </c>
      <c r="K299" s="8"/>
      <c r="L299" s="8"/>
      <c r="M299" s="8"/>
      <c r="N299" s="8"/>
    </row>
    <row r="300" spans="1:14" ht="15.2" customHeight="1" thickBot="1" x14ac:dyDescent="0.25">
      <c r="A300" s="8"/>
      <c r="B300" s="8"/>
      <c r="C300" s="8"/>
      <c r="D300" s="24"/>
      <c r="E300" s="6" t="s">
        <v>620</v>
      </c>
      <c r="F300" s="4">
        <v>4</v>
      </c>
      <c r="G300" s="19"/>
      <c r="H300" s="19">
        <v>0.3</v>
      </c>
      <c r="I300" s="19">
        <v>1.2</v>
      </c>
      <c r="J300" s="28">
        <f t="shared" si="6"/>
        <v>1.44</v>
      </c>
      <c r="K300" s="8"/>
      <c r="L300" s="8"/>
      <c r="M300" s="8"/>
      <c r="N300" s="8"/>
    </row>
    <row r="301" spans="1:14" ht="15.2" customHeight="1" thickBot="1" x14ac:dyDescent="0.25">
      <c r="A301" s="8"/>
      <c r="B301" s="8"/>
      <c r="C301" s="8"/>
      <c r="D301" s="24"/>
      <c r="E301" s="6" t="s">
        <v>621</v>
      </c>
      <c r="F301" s="4">
        <v>1</v>
      </c>
      <c r="G301" s="19"/>
      <c r="H301" s="19">
        <v>0.3</v>
      </c>
      <c r="I301" s="19">
        <v>1.6</v>
      </c>
      <c r="J301" s="28">
        <f t="shared" si="6"/>
        <v>0.48</v>
      </c>
      <c r="K301" s="8"/>
      <c r="L301" s="8"/>
      <c r="M301" s="8"/>
      <c r="N301" s="8"/>
    </row>
    <row r="302" spans="1:14" ht="15.2" customHeight="1" thickBot="1" x14ac:dyDescent="0.25">
      <c r="A302" s="8"/>
      <c r="B302" s="8"/>
      <c r="C302" s="8"/>
      <c r="D302" s="24"/>
      <c r="E302" s="6" t="s">
        <v>622</v>
      </c>
      <c r="F302" s="4">
        <v>1</v>
      </c>
      <c r="G302" s="19"/>
      <c r="H302" s="19">
        <v>0.3</v>
      </c>
      <c r="I302" s="19">
        <v>1.2</v>
      </c>
      <c r="J302" s="28">
        <f t="shared" si="6"/>
        <v>0.36</v>
      </c>
      <c r="K302" s="8"/>
      <c r="L302" s="8"/>
      <c r="M302" s="8"/>
      <c r="N302" s="8"/>
    </row>
    <row r="303" spans="1:14" ht="15.2" customHeight="1" thickBot="1" x14ac:dyDescent="0.25">
      <c r="A303" s="8"/>
      <c r="B303" s="8"/>
      <c r="C303" s="8"/>
      <c r="D303" s="24"/>
      <c r="E303" s="6" t="s">
        <v>623</v>
      </c>
      <c r="F303" s="4">
        <v>1</v>
      </c>
      <c r="G303" s="19"/>
      <c r="H303" s="19">
        <v>0.3</v>
      </c>
      <c r="I303" s="19">
        <v>1.2</v>
      </c>
      <c r="J303" s="28">
        <f t="shared" si="6"/>
        <v>0.36</v>
      </c>
      <c r="K303" s="8"/>
      <c r="L303" s="8"/>
      <c r="M303" s="8"/>
      <c r="N303" s="8"/>
    </row>
    <row r="304" spans="1:14" ht="15.2" customHeight="1" thickBot="1" x14ac:dyDescent="0.25">
      <c r="A304" s="8"/>
      <c r="B304" s="8"/>
      <c r="C304" s="8"/>
      <c r="D304" s="24"/>
      <c r="E304" s="6" t="s">
        <v>624</v>
      </c>
      <c r="F304" s="4">
        <v>11</v>
      </c>
      <c r="G304" s="19"/>
      <c r="H304" s="19">
        <v>0.3</v>
      </c>
      <c r="I304" s="19">
        <v>1.1000000000000001</v>
      </c>
      <c r="J304" s="28">
        <f t="shared" si="6"/>
        <v>3.63</v>
      </c>
      <c r="K304" s="8"/>
      <c r="L304" s="8"/>
      <c r="M304" s="8"/>
      <c r="N304" s="8"/>
    </row>
    <row r="305" spans="1:14" ht="15.2" customHeight="1" thickBot="1" x14ac:dyDescent="0.25">
      <c r="A305" s="8"/>
      <c r="B305" s="8"/>
      <c r="C305" s="8"/>
      <c r="D305" s="24"/>
      <c r="E305" s="6" t="s">
        <v>625</v>
      </c>
      <c r="F305" s="4">
        <v>1</v>
      </c>
      <c r="G305" s="19"/>
      <c r="H305" s="19">
        <v>0.3</v>
      </c>
      <c r="I305" s="19">
        <v>1.1000000000000001</v>
      </c>
      <c r="J305" s="28">
        <f t="shared" si="6"/>
        <v>0.33</v>
      </c>
      <c r="K305" s="8"/>
      <c r="L305" s="8"/>
      <c r="M305" s="8"/>
      <c r="N305" s="8"/>
    </row>
    <row r="306" spans="1:14" ht="15.2" customHeight="1" thickBot="1" x14ac:dyDescent="0.25">
      <c r="A306" s="8"/>
      <c r="B306" s="8"/>
      <c r="C306" s="8"/>
      <c r="D306" s="24"/>
      <c r="E306" s="6" t="s">
        <v>626</v>
      </c>
      <c r="F306" s="4">
        <v>6</v>
      </c>
      <c r="G306" s="19"/>
      <c r="H306" s="19">
        <v>0.3</v>
      </c>
      <c r="I306" s="19">
        <v>0.7</v>
      </c>
      <c r="J306" s="28">
        <f t="shared" si="6"/>
        <v>1.26</v>
      </c>
      <c r="K306" s="8"/>
      <c r="L306" s="8"/>
      <c r="M306" s="8"/>
      <c r="N306" s="8"/>
    </row>
    <row r="307" spans="1:14" ht="15.2" customHeight="1" thickBot="1" x14ac:dyDescent="0.25">
      <c r="A307" s="8"/>
      <c r="B307" s="8"/>
      <c r="C307" s="8"/>
      <c r="D307" s="24"/>
      <c r="E307" s="6" t="s">
        <v>627</v>
      </c>
      <c r="F307" s="4">
        <v>1</v>
      </c>
      <c r="G307" s="19"/>
      <c r="H307" s="19">
        <v>0.3</v>
      </c>
      <c r="I307" s="19">
        <v>1.2</v>
      </c>
      <c r="J307" s="28">
        <f t="shared" si="6"/>
        <v>0.36</v>
      </c>
      <c r="K307" s="8"/>
      <c r="L307" s="8"/>
      <c r="M307" s="8"/>
      <c r="N307" s="8"/>
    </row>
    <row r="308" spans="1:14" ht="15.2" customHeight="1" thickBot="1" x14ac:dyDescent="0.25">
      <c r="A308" s="8"/>
      <c r="B308" s="8"/>
      <c r="C308" s="8"/>
      <c r="D308" s="24"/>
      <c r="E308" s="6" t="s">
        <v>628</v>
      </c>
      <c r="F308" s="4">
        <v>1</v>
      </c>
      <c r="G308" s="19"/>
      <c r="H308" s="19">
        <v>0.3</v>
      </c>
      <c r="I308" s="19">
        <v>1.2</v>
      </c>
      <c r="J308" s="28">
        <f t="shared" si="6"/>
        <v>0.36</v>
      </c>
      <c r="K308" s="8"/>
      <c r="L308" s="8"/>
      <c r="M308" s="8"/>
      <c r="N308" s="8"/>
    </row>
    <row r="309" spans="1:14" ht="15.2" customHeight="1" thickBot="1" x14ac:dyDescent="0.25">
      <c r="A309" s="8"/>
      <c r="B309" s="8"/>
      <c r="C309" s="8"/>
      <c r="D309" s="24"/>
      <c r="E309" s="6" t="s">
        <v>629</v>
      </c>
      <c r="F309" s="4">
        <v>2</v>
      </c>
      <c r="G309" s="19"/>
      <c r="H309" s="19">
        <v>0.3</v>
      </c>
      <c r="I309" s="19">
        <v>0.5</v>
      </c>
      <c r="J309" s="28">
        <f t="shared" si="6"/>
        <v>0.3</v>
      </c>
      <c r="K309" s="8"/>
      <c r="L309" s="8"/>
      <c r="M309" s="8"/>
      <c r="N309" s="8"/>
    </row>
    <row r="310" spans="1:14" ht="15.2" customHeight="1" thickBot="1" x14ac:dyDescent="0.25">
      <c r="A310" s="8"/>
      <c r="B310" s="8"/>
      <c r="C310" s="8"/>
      <c r="D310" s="24"/>
      <c r="E310" s="6" t="s">
        <v>630</v>
      </c>
      <c r="F310" s="4">
        <v>1</v>
      </c>
      <c r="G310" s="19"/>
      <c r="H310" s="19">
        <v>0.3</v>
      </c>
      <c r="I310" s="19">
        <v>0.5</v>
      </c>
      <c r="J310" s="28">
        <f t="shared" si="6"/>
        <v>0.15</v>
      </c>
      <c r="K310" s="8"/>
      <c r="L310" s="8"/>
      <c r="M310" s="8"/>
      <c r="N310" s="8"/>
    </row>
    <row r="311" spans="1:14" ht="15.2" customHeight="1" thickBot="1" x14ac:dyDescent="0.25">
      <c r="A311" s="8"/>
      <c r="B311" s="8"/>
      <c r="C311" s="8"/>
      <c r="D311" s="24"/>
      <c r="E311" s="6" t="s">
        <v>631</v>
      </c>
      <c r="F311" s="4">
        <v>1</v>
      </c>
      <c r="G311" s="19"/>
      <c r="H311" s="19">
        <v>0.3</v>
      </c>
      <c r="I311" s="19">
        <v>0.5</v>
      </c>
      <c r="J311" s="28">
        <f t="shared" si="6"/>
        <v>0.15</v>
      </c>
      <c r="K311" s="8"/>
      <c r="L311" s="8"/>
      <c r="M311" s="8"/>
      <c r="N311" s="8"/>
    </row>
    <row r="312" spans="1:14" ht="15.2" customHeight="1" thickBot="1" x14ac:dyDescent="0.25">
      <c r="A312" s="8"/>
      <c r="B312" s="8"/>
      <c r="C312" s="8"/>
      <c r="D312" s="24"/>
      <c r="E312" s="6" t="s">
        <v>632</v>
      </c>
      <c r="F312" s="4">
        <v>2</v>
      </c>
      <c r="G312" s="19"/>
      <c r="H312" s="19">
        <v>0.3</v>
      </c>
      <c r="I312" s="19">
        <v>1.1499999999999999</v>
      </c>
      <c r="J312" s="28">
        <f t="shared" si="6"/>
        <v>0.69</v>
      </c>
      <c r="K312" s="8"/>
      <c r="L312" s="8"/>
      <c r="M312" s="8"/>
      <c r="N312" s="8"/>
    </row>
    <row r="313" spans="1:14" ht="15.2" customHeight="1" thickBot="1" x14ac:dyDescent="0.25">
      <c r="A313" s="8"/>
      <c r="B313" s="8"/>
      <c r="C313" s="8"/>
      <c r="D313" s="24"/>
      <c r="E313" s="6" t="s">
        <v>633</v>
      </c>
      <c r="F313" s="4">
        <v>1</v>
      </c>
      <c r="G313" s="19"/>
      <c r="H313" s="19">
        <v>0.3</v>
      </c>
      <c r="I313" s="19">
        <v>2.5</v>
      </c>
      <c r="J313" s="28">
        <f t="shared" si="6"/>
        <v>0.75</v>
      </c>
      <c r="K313" s="8"/>
      <c r="L313" s="8"/>
      <c r="M313" s="8"/>
      <c r="N313" s="8"/>
    </row>
    <row r="314" spans="1:14" ht="15.2" customHeight="1" thickBot="1" x14ac:dyDescent="0.25">
      <c r="A314" s="8"/>
      <c r="B314" s="8"/>
      <c r="C314" s="8"/>
      <c r="D314" s="24"/>
      <c r="E314" s="6" t="s">
        <v>634</v>
      </c>
      <c r="F314" s="4">
        <v>1</v>
      </c>
      <c r="G314" s="19"/>
      <c r="H314" s="19">
        <v>0.3</v>
      </c>
      <c r="I314" s="19">
        <v>2.5</v>
      </c>
      <c r="J314" s="28">
        <f t="shared" si="6"/>
        <v>0.75</v>
      </c>
      <c r="K314" s="8"/>
      <c r="L314" s="8"/>
      <c r="M314" s="8"/>
      <c r="N314" s="8"/>
    </row>
    <row r="315" spans="1:14" ht="15.2" customHeight="1" thickBot="1" x14ac:dyDescent="0.25">
      <c r="A315" s="8"/>
      <c r="B315" s="8"/>
      <c r="C315" s="8"/>
      <c r="D315" s="24"/>
      <c r="E315" s="6" t="s">
        <v>635</v>
      </c>
      <c r="F315" s="4">
        <v>1</v>
      </c>
      <c r="G315" s="19"/>
      <c r="H315" s="19">
        <v>0.3</v>
      </c>
      <c r="I315" s="19">
        <v>2.1</v>
      </c>
      <c r="J315" s="28">
        <f t="shared" si="6"/>
        <v>0.63</v>
      </c>
      <c r="K315" s="8"/>
      <c r="L315" s="8"/>
      <c r="M315" s="8"/>
      <c r="N315" s="8"/>
    </row>
    <row r="316" spans="1:14" ht="15.2" customHeight="1" thickBot="1" x14ac:dyDescent="0.25">
      <c r="A316" s="8"/>
      <c r="B316" s="8"/>
      <c r="C316" s="8"/>
      <c r="D316" s="24"/>
      <c r="E316" s="6"/>
      <c r="F316" s="4">
        <v>2</v>
      </c>
      <c r="G316" s="19"/>
      <c r="H316" s="19"/>
      <c r="I316" s="19"/>
      <c r="J316" s="28">
        <f>SUM(J291:J315)</f>
        <v>16.62</v>
      </c>
      <c r="K316" s="19">
        <f>ROUND(F316*J316,3)</f>
        <v>33.24</v>
      </c>
      <c r="L316" s="8"/>
      <c r="M316" s="8"/>
      <c r="N316" s="8"/>
    </row>
    <row r="317" spans="1:14" ht="15.2" customHeight="1" thickBot="1" x14ac:dyDescent="0.25">
      <c r="A317" s="8"/>
      <c r="B317" s="8"/>
      <c r="C317" s="8"/>
      <c r="D317" s="8"/>
      <c r="E317" s="21"/>
      <c r="F317" s="23" t="s">
        <v>636</v>
      </c>
      <c r="G317" s="23" t="s">
        <v>637</v>
      </c>
      <c r="H317" s="23" t="s">
        <v>638</v>
      </c>
      <c r="I317" s="23" t="s">
        <v>639</v>
      </c>
      <c r="J317" s="23" t="s">
        <v>640</v>
      </c>
      <c r="K317" s="23" t="s">
        <v>641</v>
      </c>
      <c r="L317" s="8"/>
      <c r="M317" s="8"/>
      <c r="N317" s="8"/>
    </row>
    <row r="318" spans="1:14" ht="21.4" customHeight="1" thickBot="1" x14ac:dyDescent="0.25">
      <c r="A318" s="8"/>
      <c r="B318" s="8"/>
      <c r="C318" s="8"/>
      <c r="D318" s="24"/>
      <c r="E318" s="25" t="s">
        <v>642</v>
      </c>
      <c r="F318" s="26">
        <v>1</v>
      </c>
      <c r="G318" s="27">
        <v>90</v>
      </c>
      <c r="H318" s="27"/>
      <c r="I318" s="27">
        <v>1</v>
      </c>
      <c r="J318" s="29">
        <f>ROUND(F318*G318*I318,3)</f>
        <v>90</v>
      </c>
      <c r="K318" s="39"/>
      <c r="L318" s="8"/>
      <c r="M318" s="8"/>
      <c r="N318" s="8"/>
    </row>
    <row r="319" spans="1:14" ht="15.2" customHeight="1" thickBot="1" x14ac:dyDescent="0.25">
      <c r="A319" s="8"/>
      <c r="B319" s="8"/>
      <c r="C319" s="8"/>
      <c r="D319" s="24"/>
      <c r="E319" s="6" t="s">
        <v>643</v>
      </c>
      <c r="F319" s="4">
        <v>1</v>
      </c>
      <c r="G319" s="19">
        <v>9</v>
      </c>
      <c r="H319" s="19"/>
      <c r="I319" s="19">
        <v>1</v>
      </c>
      <c r="J319" s="28">
        <f>ROUND(F319*G319*I319,3)</f>
        <v>9</v>
      </c>
      <c r="K319" s="30">
        <f>SUM(J318:J319)</f>
        <v>99</v>
      </c>
      <c r="L319" s="8"/>
      <c r="M319" s="8"/>
      <c r="N319" s="8"/>
    </row>
    <row r="320" spans="1:14" ht="15.4" customHeight="1" thickBot="1" x14ac:dyDescent="0.25">
      <c r="A320" s="12" t="s">
        <v>644</v>
      </c>
      <c r="B320" s="6" t="s">
        <v>645</v>
      </c>
      <c r="C320" s="6" t="s">
        <v>646</v>
      </c>
      <c r="D320" s="48" t="s">
        <v>647</v>
      </c>
      <c r="E320" s="48"/>
      <c r="F320" s="48"/>
      <c r="G320" s="48"/>
      <c r="H320" s="48"/>
      <c r="I320" s="48"/>
      <c r="J320" s="48"/>
      <c r="K320" s="19">
        <f>SUM(K323:K376)</f>
        <v>142.5</v>
      </c>
      <c r="L320" s="20">
        <f>ROUND(14.59*(1+M2/100),2)</f>
        <v>15.03</v>
      </c>
      <c r="M320" s="20">
        <f>ROUND(K320*L320,2)</f>
        <v>2141.7800000000002</v>
      </c>
      <c r="N320" s="8"/>
    </row>
    <row r="321" spans="1:14" ht="141.4" customHeight="1" thickBot="1" x14ac:dyDescent="0.25">
      <c r="A321" s="8"/>
      <c r="B321" s="8"/>
      <c r="C321" s="8"/>
      <c r="D321" s="48" t="s">
        <v>648</v>
      </c>
      <c r="E321" s="48"/>
      <c r="F321" s="48"/>
      <c r="G321" s="48"/>
      <c r="H321" s="48"/>
      <c r="I321" s="48"/>
      <c r="J321" s="48"/>
      <c r="K321" s="48"/>
      <c r="L321" s="48"/>
      <c r="M321" s="48"/>
      <c r="N321" s="8"/>
    </row>
    <row r="322" spans="1:14" ht="15.2" customHeight="1" thickBot="1" x14ac:dyDescent="0.25">
      <c r="A322" s="8"/>
      <c r="B322" s="8"/>
      <c r="C322" s="8"/>
      <c r="D322" s="8"/>
      <c r="E322" s="21"/>
      <c r="F322" s="23" t="s">
        <v>649</v>
      </c>
      <c r="G322" s="23" t="s">
        <v>650</v>
      </c>
      <c r="H322" s="23" t="s">
        <v>651</v>
      </c>
      <c r="I322" s="23" t="s">
        <v>652</v>
      </c>
      <c r="J322" s="23" t="s">
        <v>653</v>
      </c>
      <c r="K322" s="23" t="s">
        <v>654</v>
      </c>
      <c r="L322" s="8"/>
      <c r="M322" s="8"/>
      <c r="N322" s="8"/>
    </row>
    <row r="323" spans="1:14" ht="30.6" customHeight="1" thickBot="1" x14ac:dyDescent="0.25">
      <c r="A323" s="8"/>
      <c r="B323" s="8"/>
      <c r="C323" s="8"/>
      <c r="D323" s="24"/>
      <c r="E323" s="25" t="s">
        <v>655</v>
      </c>
      <c r="F323" s="26"/>
      <c r="G323" s="27"/>
      <c r="H323" s="27"/>
      <c r="I323" s="27"/>
      <c r="J323" s="40" t="s">
        <v>656</v>
      </c>
      <c r="K323" s="39"/>
      <c r="L323" s="8"/>
      <c r="M323" s="8"/>
      <c r="N323" s="8"/>
    </row>
    <row r="324" spans="1:14" ht="15.2" customHeight="1" thickBot="1" x14ac:dyDescent="0.25">
      <c r="A324" s="8"/>
      <c r="B324" s="8"/>
      <c r="C324" s="8"/>
      <c r="D324" s="24"/>
      <c r="E324" s="6" t="s">
        <v>657</v>
      </c>
      <c r="F324" s="4">
        <v>1</v>
      </c>
      <c r="G324" s="19">
        <v>1.4</v>
      </c>
      <c r="H324" s="19"/>
      <c r="I324" s="19">
        <v>0.5</v>
      </c>
      <c r="J324" s="28">
        <f t="shared" ref="J324:J348" si="7">ROUND(F324*G324*I324,3)</f>
        <v>0.7</v>
      </c>
      <c r="K324" s="8"/>
      <c r="L324" s="8"/>
      <c r="M324" s="8"/>
      <c r="N324" s="8"/>
    </row>
    <row r="325" spans="1:14" ht="15.2" customHeight="1" thickBot="1" x14ac:dyDescent="0.25">
      <c r="A325" s="8"/>
      <c r="B325" s="8"/>
      <c r="C325" s="8"/>
      <c r="D325" s="24"/>
      <c r="E325" s="6" t="s">
        <v>658</v>
      </c>
      <c r="F325" s="4">
        <v>2</v>
      </c>
      <c r="G325" s="19">
        <v>1.2</v>
      </c>
      <c r="H325" s="19"/>
      <c r="I325" s="19">
        <v>0.5</v>
      </c>
      <c r="J325" s="28">
        <f t="shared" si="7"/>
        <v>1.2</v>
      </c>
      <c r="K325" s="8"/>
      <c r="L325" s="8"/>
      <c r="M325" s="8"/>
      <c r="N325" s="8"/>
    </row>
    <row r="326" spans="1:14" ht="15.2" customHeight="1" thickBot="1" x14ac:dyDescent="0.25">
      <c r="A326" s="8"/>
      <c r="B326" s="8"/>
      <c r="C326" s="8"/>
      <c r="D326" s="24"/>
      <c r="E326" s="6" t="s">
        <v>659</v>
      </c>
      <c r="F326" s="4">
        <v>1</v>
      </c>
      <c r="G326" s="19">
        <v>1.55</v>
      </c>
      <c r="H326" s="19"/>
      <c r="I326" s="19">
        <v>0.5</v>
      </c>
      <c r="J326" s="28">
        <f t="shared" si="7"/>
        <v>0.77500000000000002</v>
      </c>
      <c r="K326" s="8"/>
      <c r="L326" s="8"/>
      <c r="M326" s="8"/>
      <c r="N326" s="8"/>
    </row>
    <row r="327" spans="1:14" ht="15.2" customHeight="1" thickBot="1" x14ac:dyDescent="0.25">
      <c r="A327" s="8"/>
      <c r="B327" s="8"/>
      <c r="C327" s="8"/>
      <c r="D327" s="24"/>
      <c r="E327" s="6" t="s">
        <v>660</v>
      </c>
      <c r="F327" s="4">
        <v>2</v>
      </c>
      <c r="G327" s="19">
        <v>2.4</v>
      </c>
      <c r="H327" s="19"/>
      <c r="I327" s="19">
        <v>0.5</v>
      </c>
      <c r="J327" s="28">
        <f t="shared" si="7"/>
        <v>2.4</v>
      </c>
      <c r="K327" s="8"/>
      <c r="L327" s="8"/>
      <c r="M327" s="8"/>
      <c r="N327" s="8"/>
    </row>
    <row r="328" spans="1:14" ht="15.2" customHeight="1" thickBot="1" x14ac:dyDescent="0.25">
      <c r="A328" s="8"/>
      <c r="B328" s="8"/>
      <c r="C328" s="8"/>
      <c r="D328" s="24"/>
      <c r="E328" s="6" t="s">
        <v>661</v>
      </c>
      <c r="F328" s="4">
        <v>1</v>
      </c>
      <c r="G328" s="19">
        <v>2.4</v>
      </c>
      <c r="H328" s="19"/>
      <c r="I328" s="19">
        <v>0.5</v>
      </c>
      <c r="J328" s="28">
        <f t="shared" si="7"/>
        <v>1.2</v>
      </c>
      <c r="K328" s="8"/>
      <c r="L328" s="8"/>
      <c r="M328" s="8"/>
      <c r="N328" s="8"/>
    </row>
    <row r="329" spans="1:14" ht="15.2" customHeight="1" thickBot="1" x14ac:dyDescent="0.25">
      <c r="A329" s="8"/>
      <c r="B329" s="8"/>
      <c r="C329" s="8"/>
      <c r="D329" s="24"/>
      <c r="E329" s="6" t="s">
        <v>662</v>
      </c>
      <c r="F329" s="4">
        <v>2</v>
      </c>
      <c r="G329" s="19">
        <v>1</v>
      </c>
      <c r="H329" s="19"/>
      <c r="I329" s="19">
        <v>0.5</v>
      </c>
      <c r="J329" s="28">
        <f t="shared" si="7"/>
        <v>1</v>
      </c>
      <c r="K329" s="8"/>
      <c r="L329" s="8"/>
      <c r="M329" s="8"/>
      <c r="N329" s="8"/>
    </row>
    <row r="330" spans="1:14" ht="15.2" customHeight="1" thickBot="1" x14ac:dyDescent="0.25">
      <c r="A330" s="8"/>
      <c r="B330" s="8"/>
      <c r="C330" s="8"/>
      <c r="D330" s="24"/>
      <c r="E330" s="6" t="s">
        <v>663</v>
      </c>
      <c r="F330" s="4">
        <v>2</v>
      </c>
      <c r="G330" s="19">
        <v>1.7</v>
      </c>
      <c r="H330" s="19"/>
      <c r="I330" s="19">
        <v>0.5</v>
      </c>
      <c r="J330" s="28">
        <f t="shared" si="7"/>
        <v>1.7</v>
      </c>
      <c r="K330" s="8"/>
      <c r="L330" s="8"/>
      <c r="M330" s="8"/>
      <c r="N330" s="8"/>
    </row>
    <row r="331" spans="1:14" ht="15.2" customHeight="1" thickBot="1" x14ac:dyDescent="0.25">
      <c r="A331" s="8"/>
      <c r="B331" s="8"/>
      <c r="C331" s="8"/>
      <c r="D331" s="24"/>
      <c r="E331" s="6" t="s">
        <v>664</v>
      </c>
      <c r="F331" s="4">
        <v>1</v>
      </c>
      <c r="G331" s="19">
        <v>1.7</v>
      </c>
      <c r="H331" s="19"/>
      <c r="I331" s="19">
        <v>0.5</v>
      </c>
      <c r="J331" s="28">
        <f t="shared" si="7"/>
        <v>0.85</v>
      </c>
      <c r="K331" s="8"/>
      <c r="L331" s="8"/>
      <c r="M331" s="8"/>
      <c r="N331" s="8"/>
    </row>
    <row r="332" spans="1:14" ht="15.2" customHeight="1" thickBot="1" x14ac:dyDescent="0.25">
      <c r="A332" s="8"/>
      <c r="B332" s="8"/>
      <c r="C332" s="8"/>
      <c r="D332" s="24"/>
      <c r="E332" s="6" t="s">
        <v>665</v>
      </c>
      <c r="F332" s="4">
        <v>1</v>
      </c>
      <c r="G332" s="19">
        <v>1.7</v>
      </c>
      <c r="H332" s="19"/>
      <c r="I332" s="19">
        <v>0.5</v>
      </c>
      <c r="J332" s="28">
        <f t="shared" si="7"/>
        <v>0.85</v>
      </c>
      <c r="K332" s="8"/>
      <c r="L332" s="8"/>
      <c r="M332" s="8"/>
      <c r="N332" s="8"/>
    </row>
    <row r="333" spans="1:14" ht="15.2" customHeight="1" thickBot="1" x14ac:dyDescent="0.25">
      <c r="A333" s="8"/>
      <c r="B333" s="8"/>
      <c r="C333" s="8"/>
      <c r="D333" s="24"/>
      <c r="E333" s="6" t="s">
        <v>666</v>
      </c>
      <c r="F333" s="4">
        <v>4</v>
      </c>
      <c r="G333" s="19">
        <v>0.8</v>
      </c>
      <c r="H333" s="19"/>
      <c r="I333" s="19">
        <v>0.5</v>
      </c>
      <c r="J333" s="28">
        <f t="shared" si="7"/>
        <v>1.6</v>
      </c>
      <c r="K333" s="8"/>
      <c r="L333" s="8"/>
      <c r="M333" s="8"/>
      <c r="N333" s="8"/>
    </row>
    <row r="334" spans="1:14" ht="15.2" customHeight="1" thickBot="1" x14ac:dyDescent="0.25">
      <c r="A334" s="8"/>
      <c r="B334" s="8"/>
      <c r="C334" s="8"/>
      <c r="D334" s="24"/>
      <c r="E334" s="6" t="s">
        <v>667</v>
      </c>
      <c r="F334" s="4">
        <v>1</v>
      </c>
      <c r="G334" s="19">
        <v>6.5</v>
      </c>
      <c r="H334" s="19"/>
      <c r="I334" s="19">
        <v>0.5</v>
      </c>
      <c r="J334" s="28">
        <f t="shared" si="7"/>
        <v>3.25</v>
      </c>
      <c r="K334" s="8"/>
      <c r="L334" s="8"/>
      <c r="M334" s="8"/>
      <c r="N334" s="8"/>
    </row>
    <row r="335" spans="1:14" ht="15.2" customHeight="1" thickBot="1" x14ac:dyDescent="0.25">
      <c r="A335" s="8"/>
      <c r="B335" s="8"/>
      <c r="C335" s="8"/>
      <c r="D335" s="24"/>
      <c r="E335" s="6" t="s">
        <v>668</v>
      </c>
      <c r="F335" s="4">
        <v>1</v>
      </c>
      <c r="G335" s="19">
        <v>2.5</v>
      </c>
      <c r="H335" s="19"/>
      <c r="I335" s="19">
        <v>0.5</v>
      </c>
      <c r="J335" s="28">
        <f t="shared" si="7"/>
        <v>1.25</v>
      </c>
      <c r="K335" s="8"/>
      <c r="L335" s="8"/>
      <c r="M335" s="8"/>
      <c r="N335" s="8"/>
    </row>
    <row r="336" spans="1:14" ht="15.2" customHeight="1" thickBot="1" x14ac:dyDescent="0.25">
      <c r="A336" s="8"/>
      <c r="B336" s="8"/>
      <c r="C336" s="8"/>
      <c r="D336" s="24"/>
      <c r="E336" s="6" t="s">
        <v>669</v>
      </c>
      <c r="F336" s="4">
        <v>1</v>
      </c>
      <c r="G336" s="19">
        <v>1.65</v>
      </c>
      <c r="H336" s="19"/>
      <c r="I336" s="19">
        <v>0.5</v>
      </c>
      <c r="J336" s="28">
        <f t="shared" si="7"/>
        <v>0.82499999999999996</v>
      </c>
      <c r="K336" s="8"/>
      <c r="L336" s="8"/>
      <c r="M336" s="8"/>
      <c r="N336" s="8"/>
    </row>
    <row r="337" spans="1:14" ht="15.2" customHeight="1" thickBot="1" x14ac:dyDescent="0.25">
      <c r="A337" s="8"/>
      <c r="B337" s="8"/>
      <c r="C337" s="8"/>
      <c r="D337" s="24"/>
      <c r="E337" s="6" t="s">
        <v>670</v>
      </c>
      <c r="F337" s="4">
        <v>11</v>
      </c>
      <c r="G337" s="19">
        <v>2</v>
      </c>
      <c r="H337" s="19"/>
      <c r="I337" s="19">
        <v>0.5</v>
      </c>
      <c r="J337" s="28">
        <f t="shared" si="7"/>
        <v>11</v>
      </c>
      <c r="K337" s="8"/>
      <c r="L337" s="8"/>
      <c r="M337" s="8"/>
      <c r="N337" s="8"/>
    </row>
    <row r="338" spans="1:14" ht="15.2" customHeight="1" thickBot="1" x14ac:dyDescent="0.25">
      <c r="A338" s="8"/>
      <c r="B338" s="8"/>
      <c r="C338" s="8"/>
      <c r="D338" s="24"/>
      <c r="E338" s="6" t="s">
        <v>671</v>
      </c>
      <c r="F338" s="4">
        <v>1</v>
      </c>
      <c r="G338" s="19">
        <v>2</v>
      </c>
      <c r="H338" s="19"/>
      <c r="I338" s="19">
        <v>0.5</v>
      </c>
      <c r="J338" s="28">
        <f t="shared" si="7"/>
        <v>1</v>
      </c>
      <c r="K338" s="8"/>
      <c r="L338" s="8"/>
      <c r="M338" s="8"/>
      <c r="N338" s="8"/>
    </row>
    <row r="339" spans="1:14" ht="15.2" customHeight="1" thickBot="1" x14ac:dyDescent="0.25">
      <c r="A339" s="8"/>
      <c r="B339" s="8"/>
      <c r="C339" s="8"/>
      <c r="D339" s="24"/>
      <c r="E339" s="6" t="s">
        <v>672</v>
      </c>
      <c r="F339" s="4">
        <v>6</v>
      </c>
      <c r="G339" s="19">
        <v>2</v>
      </c>
      <c r="H339" s="19"/>
      <c r="I339" s="19">
        <v>0.5</v>
      </c>
      <c r="J339" s="28">
        <f t="shared" si="7"/>
        <v>6</v>
      </c>
      <c r="K339" s="8"/>
      <c r="L339" s="8"/>
      <c r="M339" s="8"/>
      <c r="N339" s="8"/>
    </row>
    <row r="340" spans="1:14" ht="15.2" customHeight="1" thickBot="1" x14ac:dyDescent="0.25">
      <c r="A340" s="8"/>
      <c r="B340" s="8"/>
      <c r="C340" s="8"/>
      <c r="D340" s="24"/>
      <c r="E340" s="6" t="s">
        <v>673</v>
      </c>
      <c r="F340" s="4">
        <v>1</v>
      </c>
      <c r="G340" s="19">
        <v>0.75</v>
      </c>
      <c r="H340" s="19"/>
      <c r="I340" s="19">
        <v>0.5</v>
      </c>
      <c r="J340" s="28">
        <f t="shared" si="7"/>
        <v>0.375</v>
      </c>
      <c r="K340" s="8"/>
      <c r="L340" s="8"/>
      <c r="M340" s="8"/>
      <c r="N340" s="8"/>
    </row>
    <row r="341" spans="1:14" ht="15.2" customHeight="1" thickBot="1" x14ac:dyDescent="0.25">
      <c r="A341" s="8"/>
      <c r="B341" s="8"/>
      <c r="C341" s="8"/>
      <c r="D341" s="24"/>
      <c r="E341" s="6" t="s">
        <v>674</v>
      </c>
      <c r="F341" s="4">
        <v>1</v>
      </c>
      <c r="G341" s="19">
        <v>0.75</v>
      </c>
      <c r="H341" s="19"/>
      <c r="I341" s="19">
        <v>0.5</v>
      </c>
      <c r="J341" s="28">
        <f t="shared" si="7"/>
        <v>0.375</v>
      </c>
      <c r="K341" s="8"/>
      <c r="L341" s="8"/>
      <c r="M341" s="8"/>
      <c r="N341" s="8"/>
    </row>
    <row r="342" spans="1:14" ht="15.2" customHeight="1" thickBot="1" x14ac:dyDescent="0.25">
      <c r="A342" s="8"/>
      <c r="B342" s="8"/>
      <c r="C342" s="8"/>
      <c r="D342" s="24"/>
      <c r="E342" s="6" t="s">
        <v>675</v>
      </c>
      <c r="F342" s="4">
        <v>2</v>
      </c>
      <c r="G342" s="19">
        <v>2.4</v>
      </c>
      <c r="H342" s="19"/>
      <c r="I342" s="19">
        <v>0.5</v>
      </c>
      <c r="J342" s="28">
        <f t="shared" si="7"/>
        <v>2.4</v>
      </c>
      <c r="K342" s="8"/>
      <c r="L342" s="8"/>
      <c r="M342" s="8"/>
      <c r="N342" s="8"/>
    </row>
    <row r="343" spans="1:14" ht="15.2" customHeight="1" thickBot="1" x14ac:dyDescent="0.25">
      <c r="A343" s="8"/>
      <c r="B343" s="8"/>
      <c r="C343" s="8"/>
      <c r="D343" s="24"/>
      <c r="E343" s="6" t="s">
        <v>676</v>
      </c>
      <c r="F343" s="4">
        <v>1</v>
      </c>
      <c r="G343" s="19">
        <v>0.8</v>
      </c>
      <c r="H343" s="19"/>
      <c r="I343" s="19">
        <v>0.5</v>
      </c>
      <c r="J343" s="28">
        <f t="shared" si="7"/>
        <v>0.4</v>
      </c>
      <c r="K343" s="8"/>
      <c r="L343" s="8"/>
      <c r="M343" s="8"/>
      <c r="N343" s="8"/>
    </row>
    <row r="344" spans="1:14" ht="15.2" customHeight="1" thickBot="1" x14ac:dyDescent="0.25">
      <c r="A344" s="8"/>
      <c r="B344" s="8"/>
      <c r="C344" s="8"/>
      <c r="D344" s="24"/>
      <c r="E344" s="6" t="s">
        <v>677</v>
      </c>
      <c r="F344" s="4">
        <v>1</v>
      </c>
      <c r="G344" s="19">
        <v>0.8</v>
      </c>
      <c r="H344" s="19"/>
      <c r="I344" s="19">
        <v>0.5</v>
      </c>
      <c r="J344" s="28">
        <f t="shared" si="7"/>
        <v>0.4</v>
      </c>
      <c r="K344" s="8"/>
      <c r="L344" s="8"/>
      <c r="M344" s="8"/>
      <c r="N344" s="8"/>
    </row>
    <row r="345" spans="1:14" ht="15.2" customHeight="1" thickBot="1" x14ac:dyDescent="0.25">
      <c r="A345" s="8"/>
      <c r="B345" s="8"/>
      <c r="C345" s="8"/>
      <c r="D345" s="24"/>
      <c r="E345" s="6" t="s">
        <v>678</v>
      </c>
      <c r="F345" s="4">
        <v>2</v>
      </c>
      <c r="G345" s="19">
        <v>0.75</v>
      </c>
      <c r="H345" s="19"/>
      <c r="I345" s="19">
        <v>0.5</v>
      </c>
      <c r="J345" s="28">
        <f t="shared" si="7"/>
        <v>0.75</v>
      </c>
      <c r="K345" s="8"/>
      <c r="L345" s="8"/>
      <c r="M345" s="8"/>
      <c r="N345" s="8"/>
    </row>
    <row r="346" spans="1:14" ht="15.2" customHeight="1" thickBot="1" x14ac:dyDescent="0.25">
      <c r="A346" s="8"/>
      <c r="B346" s="8"/>
      <c r="C346" s="8"/>
      <c r="D346" s="24"/>
      <c r="E346" s="6" t="s">
        <v>679</v>
      </c>
      <c r="F346" s="4">
        <v>1</v>
      </c>
      <c r="G346" s="19">
        <v>3.5</v>
      </c>
      <c r="H346" s="19"/>
      <c r="I346" s="19">
        <v>0.5</v>
      </c>
      <c r="J346" s="28">
        <f t="shared" si="7"/>
        <v>1.75</v>
      </c>
      <c r="K346" s="8"/>
      <c r="L346" s="8"/>
      <c r="M346" s="8"/>
      <c r="N346" s="8"/>
    </row>
    <row r="347" spans="1:14" ht="15.2" customHeight="1" thickBot="1" x14ac:dyDescent="0.25">
      <c r="A347" s="8"/>
      <c r="B347" s="8"/>
      <c r="C347" s="8"/>
      <c r="D347" s="24"/>
      <c r="E347" s="6" t="s">
        <v>680</v>
      </c>
      <c r="F347" s="4">
        <v>1</v>
      </c>
      <c r="G347" s="19">
        <v>0.9</v>
      </c>
      <c r="H347" s="19"/>
      <c r="I347" s="19">
        <v>0.5</v>
      </c>
      <c r="J347" s="28">
        <f t="shared" si="7"/>
        <v>0.45</v>
      </c>
      <c r="K347" s="8"/>
      <c r="L347" s="8"/>
      <c r="M347" s="8"/>
      <c r="N347" s="8"/>
    </row>
    <row r="348" spans="1:14" ht="15.2" customHeight="1" thickBot="1" x14ac:dyDescent="0.25">
      <c r="A348" s="8"/>
      <c r="B348" s="8"/>
      <c r="C348" s="8"/>
      <c r="D348" s="24"/>
      <c r="E348" s="6" t="s">
        <v>681</v>
      </c>
      <c r="F348" s="4">
        <v>1</v>
      </c>
      <c r="G348" s="19">
        <v>2.1</v>
      </c>
      <c r="H348" s="19"/>
      <c r="I348" s="19">
        <v>0.5</v>
      </c>
      <c r="J348" s="28">
        <f t="shared" si="7"/>
        <v>1.05</v>
      </c>
      <c r="K348" s="8"/>
      <c r="L348" s="8"/>
      <c r="M348" s="8"/>
      <c r="N348" s="8"/>
    </row>
    <row r="349" spans="1:14" ht="15.2" customHeight="1" thickBot="1" x14ac:dyDescent="0.25">
      <c r="A349" s="8"/>
      <c r="B349" s="8"/>
      <c r="C349" s="8"/>
      <c r="D349" s="24"/>
      <c r="E349" s="6"/>
      <c r="F349" s="4">
        <v>2</v>
      </c>
      <c r="G349" s="19"/>
      <c r="H349" s="19"/>
      <c r="I349" s="19"/>
      <c r="J349" s="28">
        <f>SUM(J323:J348)</f>
        <v>43.54999999999999</v>
      </c>
      <c r="K349" s="19">
        <f>ROUND(F349*J349,3)</f>
        <v>87.1</v>
      </c>
      <c r="L349" s="8"/>
      <c r="M349" s="8"/>
      <c r="N349" s="8"/>
    </row>
    <row r="350" spans="1:14" ht="15.2" customHeight="1" thickBot="1" x14ac:dyDescent="0.25">
      <c r="A350" s="8"/>
      <c r="B350" s="8"/>
      <c r="C350" s="8"/>
      <c r="D350" s="8"/>
      <c r="E350" s="21"/>
      <c r="F350" s="23" t="s">
        <v>682</v>
      </c>
      <c r="G350" s="23" t="s">
        <v>683</v>
      </c>
      <c r="H350" s="23" t="s">
        <v>684</v>
      </c>
      <c r="I350" s="23" t="s">
        <v>685</v>
      </c>
      <c r="J350" s="23" t="s">
        <v>686</v>
      </c>
      <c r="K350" s="23" t="s">
        <v>687</v>
      </c>
      <c r="L350" s="8"/>
      <c r="M350" s="8"/>
      <c r="N350" s="8"/>
    </row>
    <row r="351" spans="1:14" ht="15.2" customHeight="1" thickBot="1" x14ac:dyDescent="0.25">
      <c r="A351" s="8"/>
      <c r="B351" s="8"/>
      <c r="C351" s="8"/>
      <c r="D351" s="24"/>
      <c r="E351" s="25" t="s">
        <v>688</v>
      </c>
      <c r="F351" s="26">
        <v>1</v>
      </c>
      <c r="G351" s="27">
        <v>0.5</v>
      </c>
      <c r="H351" s="27"/>
      <c r="I351" s="27">
        <v>1.1499999999999999</v>
      </c>
      <c r="J351" s="29">
        <f t="shared" ref="J351:J375" si="8">ROUND(F351*G351*I351,3)</f>
        <v>0.57499999999999996</v>
      </c>
      <c r="K351" s="39"/>
      <c r="L351" s="8"/>
      <c r="M351" s="8"/>
      <c r="N351" s="8"/>
    </row>
    <row r="352" spans="1:14" ht="15.2" customHeight="1" thickBot="1" x14ac:dyDescent="0.25">
      <c r="A352" s="8"/>
      <c r="B352" s="8"/>
      <c r="C352" s="8"/>
      <c r="D352" s="24"/>
      <c r="E352" s="6" t="s">
        <v>689</v>
      </c>
      <c r="F352" s="4">
        <v>2</v>
      </c>
      <c r="G352" s="19">
        <v>0.5</v>
      </c>
      <c r="H352" s="19"/>
      <c r="I352" s="19">
        <v>1.1499999999999999</v>
      </c>
      <c r="J352" s="28">
        <f t="shared" si="8"/>
        <v>1.1499999999999999</v>
      </c>
      <c r="K352" s="8"/>
      <c r="L352" s="8"/>
      <c r="M352" s="8"/>
      <c r="N352" s="8"/>
    </row>
    <row r="353" spans="1:14" ht="15.2" customHeight="1" thickBot="1" x14ac:dyDescent="0.25">
      <c r="A353" s="8"/>
      <c r="B353" s="8"/>
      <c r="C353" s="8"/>
      <c r="D353" s="24"/>
      <c r="E353" s="6" t="s">
        <v>690</v>
      </c>
      <c r="F353" s="4">
        <v>1</v>
      </c>
      <c r="G353" s="19">
        <v>0.5</v>
      </c>
      <c r="H353" s="19"/>
      <c r="I353" s="19">
        <v>1.1499999999999999</v>
      </c>
      <c r="J353" s="28">
        <f t="shared" si="8"/>
        <v>0.57499999999999996</v>
      </c>
      <c r="K353" s="8"/>
      <c r="L353" s="8"/>
      <c r="M353" s="8"/>
      <c r="N353" s="8"/>
    </row>
    <row r="354" spans="1:14" ht="15.2" customHeight="1" thickBot="1" x14ac:dyDescent="0.25">
      <c r="A354" s="8"/>
      <c r="B354" s="8"/>
      <c r="C354" s="8"/>
      <c r="D354" s="24"/>
      <c r="E354" s="6" t="s">
        <v>691</v>
      </c>
      <c r="F354" s="4">
        <v>2</v>
      </c>
      <c r="G354" s="19">
        <v>0.5</v>
      </c>
      <c r="H354" s="19"/>
      <c r="I354" s="19">
        <v>1.2</v>
      </c>
      <c r="J354" s="28">
        <f t="shared" si="8"/>
        <v>1.2</v>
      </c>
      <c r="K354" s="8"/>
      <c r="L354" s="8"/>
      <c r="M354" s="8"/>
      <c r="N354" s="8"/>
    </row>
    <row r="355" spans="1:14" ht="15.2" customHeight="1" thickBot="1" x14ac:dyDescent="0.25">
      <c r="A355" s="8"/>
      <c r="B355" s="8"/>
      <c r="C355" s="8"/>
      <c r="D355" s="24"/>
      <c r="E355" s="6" t="s">
        <v>692</v>
      </c>
      <c r="F355" s="4">
        <v>1</v>
      </c>
      <c r="G355" s="19">
        <v>0.5</v>
      </c>
      <c r="H355" s="19"/>
      <c r="I355" s="19">
        <v>1.2</v>
      </c>
      <c r="J355" s="28">
        <f t="shared" si="8"/>
        <v>0.6</v>
      </c>
      <c r="K355" s="8"/>
      <c r="L355" s="8"/>
      <c r="M355" s="8"/>
      <c r="N355" s="8"/>
    </row>
    <row r="356" spans="1:14" ht="15.2" customHeight="1" thickBot="1" x14ac:dyDescent="0.25">
      <c r="A356" s="8"/>
      <c r="B356" s="8"/>
      <c r="C356" s="8"/>
      <c r="D356" s="24"/>
      <c r="E356" s="6" t="s">
        <v>693</v>
      </c>
      <c r="F356" s="4">
        <v>2</v>
      </c>
      <c r="G356" s="19">
        <v>0.5</v>
      </c>
      <c r="H356" s="19"/>
      <c r="I356" s="19">
        <v>1.2</v>
      </c>
      <c r="J356" s="28">
        <f t="shared" si="8"/>
        <v>1.2</v>
      </c>
      <c r="K356" s="8"/>
      <c r="L356" s="8"/>
      <c r="M356" s="8"/>
      <c r="N356" s="8"/>
    </row>
    <row r="357" spans="1:14" ht="15.2" customHeight="1" thickBot="1" x14ac:dyDescent="0.25">
      <c r="A357" s="8"/>
      <c r="B357" s="8"/>
      <c r="C357" s="8"/>
      <c r="D357" s="24"/>
      <c r="E357" s="6" t="s">
        <v>694</v>
      </c>
      <c r="F357" s="4">
        <v>2</v>
      </c>
      <c r="G357" s="19">
        <v>0.5</v>
      </c>
      <c r="H357" s="19"/>
      <c r="I357" s="19">
        <v>1.2</v>
      </c>
      <c r="J357" s="28">
        <f t="shared" si="8"/>
        <v>1.2</v>
      </c>
      <c r="K357" s="8"/>
      <c r="L357" s="8"/>
      <c r="M357" s="8"/>
      <c r="N357" s="8"/>
    </row>
    <row r="358" spans="1:14" ht="15.2" customHeight="1" thickBot="1" x14ac:dyDescent="0.25">
      <c r="A358" s="8"/>
      <c r="B358" s="8"/>
      <c r="C358" s="8"/>
      <c r="D358" s="24"/>
      <c r="E358" s="6" t="s">
        <v>695</v>
      </c>
      <c r="F358" s="4">
        <v>1</v>
      </c>
      <c r="G358" s="19">
        <v>0.5</v>
      </c>
      <c r="H358" s="19"/>
      <c r="I358" s="19">
        <v>1.2</v>
      </c>
      <c r="J358" s="28">
        <f t="shared" si="8"/>
        <v>0.6</v>
      </c>
      <c r="K358" s="8"/>
      <c r="L358" s="8"/>
      <c r="M358" s="8"/>
      <c r="N358" s="8"/>
    </row>
    <row r="359" spans="1:14" ht="15.2" customHeight="1" thickBot="1" x14ac:dyDescent="0.25">
      <c r="A359" s="8"/>
      <c r="B359" s="8"/>
      <c r="C359" s="8"/>
      <c r="D359" s="24"/>
      <c r="E359" s="6" t="s">
        <v>696</v>
      </c>
      <c r="F359" s="4">
        <v>1</v>
      </c>
      <c r="G359" s="19">
        <v>0.5</v>
      </c>
      <c r="H359" s="19"/>
      <c r="I359" s="19">
        <v>1.2</v>
      </c>
      <c r="J359" s="28">
        <f t="shared" si="8"/>
        <v>0.6</v>
      </c>
      <c r="K359" s="8"/>
      <c r="L359" s="8"/>
      <c r="M359" s="8"/>
      <c r="N359" s="8"/>
    </row>
    <row r="360" spans="1:14" ht="15.2" customHeight="1" thickBot="1" x14ac:dyDescent="0.25">
      <c r="A360" s="8"/>
      <c r="B360" s="8"/>
      <c r="C360" s="8"/>
      <c r="D360" s="24"/>
      <c r="E360" s="6" t="s">
        <v>697</v>
      </c>
      <c r="F360" s="4">
        <v>4</v>
      </c>
      <c r="G360" s="19">
        <v>0.5</v>
      </c>
      <c r="H360" s="19"/>
      <c r="I360" s="19">
        <v>1.2</v>
      </c>
      <c r="J360" s="28">
        <f t="shared" si="8"/>
        <v>2.4</v>
      </c>
      <c r="K360" s="8"/>
      <c r="L360" s="8"/>
      <c r="M360" s="8"/>
      <c r="N360" s="8"/>
    </row>
    <row r="361" spans="1:14" ht="15.2" customHeight="1" thickBot="1" x14ac:dyDescent="0.25">
      <c r="A361" s="8"/>
      <c r="B361" s="8"/>
      <c r="C361" s="8"/>
      <c r="D361" s="24"/>
      <c r="E361" s="6" t="s">
        <v>698</v>
      </c>
      <c r="F361" s="4">
        <v>1</v>
      </c>
      <c r="G361" s="19">
        <v>0.5</v>
      </c>
      <c r="H361" s="19"/>
      <c r="I361" s="19">
        <v>1.6</v>
      </c>
      <c r="J361" s="28">
        <f t="shared" si="8"/>
        <v>0.8</v>
      </c>
      <c r="K361" s="8"/>
      <c r="L361" s="8"/>
      <c r="M361" s="8"/>
      <c r="N361" s="8"/>
    </row>
    <row r="362" spans="1:14" ht="15.2" customHeight="1" thickBot="1" x14ac:dyDescent="0.25">
      <c r="A362" s="8"/>
      <c r="B362" s="8"/>
      <c r="C362" s="8"/>
      <c r="D362" s="24"/>
      <c r="E362" s="6" t="s">
        <v>699</v>
      </c>
      <c r="F362" s="4">
        <v>1</v>
      </c>
      <c r="G362" s="19">
        <v>0.5</v>
      </c>
      <c r="H362" s="19"/>
      <c r="I362" s="19">
        <v>1.2</v>
      </c>
      <c r="J362" s="28">
        <f t="shared" si="8"/>
        <v>0.6</v>
      </c>
      <c r="K362" s="8"/>
      <c r="L362" s="8"/>
      <c r="M362" s="8"/>
      <c r="N362" s="8"/>
    </row>
    <row r="363" spans="1:14" ht="15.2" customHeight="1" thickBot="1" x14ac:dyDescent="0.25">
      <c r="A363" s="8"/>
      <c r="B363" s="8"/>
      <c r="C363" s="8"/>
      <c r="D363" s="24"/>
      <c r="E363" s="6" t="s">
        <v>700</v>
      </c>
      <c r="F363" s="4">
        <v>1</v>
      </c>
      <c r="G363" s="19">
        <v>0.5</v>
      </c>
      <c r="H363" s="19"/>
      <c r="I363" s="19">
        <v>1.2</v>
      </c>
      <c r="J363" s="28">
        <f t="shared" si="8"/>
        <v>0.6</v>
      </c>
      <c r="K363" s="8"/>
      <c r="L363" s="8"/>
      <c r="M363" s="8"/>
      <c r="N363" s="8"/>
    </row>
    <row r="364" spans="1:14" ht="15.2" customHeight="1" thickBot="1" x14ac:dyDescent="0.25">
      <c r="A364" s="8"/>
      <c r="B364" s="8"/>
      <c r="C364" s="8"/>
      <c r="D364" s="24"/>
      <c r="E364" s="6" t="s">
        <v>701</v>
      </c>
      <c r="F364" s="4">
        <v>11</v>
      </c>
      <c r="G364" s="19">
        <v>0.5</v>
      </c>
      <c r="H364" s="19"/>
      <c r="I364" s="19">
        <v>1.1000000000000001</v>
      </c>
      <c r="J364" s="28">
        <f t="shared" si="8"/>
        <v>6.05</v>
      </c>
      <c r="K364" s="8"/>
      <c r="L364" s="8"/>
      <c r="M364" s="8"/>
      <c r="N364" s="8"/>
    </row>
    <row r="365" spans="1:14" ht="15.2" customHeight="1" thickBot="1" x14ac:dyDescent="0.25">
      <c r="A365" s="8"/>
      <c r="B365" s="8"/>
      <c r="C365" s="8"/>
      <c r="D365" s="24"/>
      <c r="E365" s="6" t="s">
        <v>702</v>
      </c>
      <c r="F365" s="4">
        <v>1</v>
      </c>
      <c r="G365" s="19">
        <v>0.5</v>
      </c>
      <c r="H365" s="19"/>
      <c r="I365" s="19">
        <v>1.1000000000000001</v>
      </c>
      <c r="J365" s="28">
        <f t="shared" si="8"/>
        <v>0.55000000000000004</v>
      </c>
      <c r="K365" s="8"/>
      <c r="L365" s="8"/>
      <c r="M365" s="8"/>
      <c r="N365" s="8"/>
    </row>
    <row r="366" spans="1:14" ht="15.2" customHeight="1" thickBot="1" x14ac:dyDescent="0.25">
      <c r="A366" s="8"/>
      <c r="B366" s="8"/>
      <c r="C366" s="8"/>
      <c r="D366" s="24"/>
      <c r="E366" s="6" t="s">
        <v>703</v>
      </c>
      <c r="F366" s="4">
        <v>6</v>
      </c>
      <c r="G366" s="19">
        <v>0.5</v>
      </c>
      <c r="H366" s="19"/>
      <c r="I366" s="19">
        <v>0.7</v>
      </c>
      <c r="J366" s="28">
        <f t="shared" si="8"/>
        <v>2.1</v>
      </c>
      <c r="K366" s="8"/>
      <c r="L366" s="8"/>
      <c r="M366" s="8"/>
      <c r="N366" s="8"/>
    </row>
    <row r="367" spans="1:14" ht="15.2" customHeight="1" thickBot="1" x14ac:dyDescent="0.25">
      <c r="A367" s="8"/>
      <c r="B367" s="8"/>
      <c r="C367" s="8"/>
      <c r="D367" s="24"/>
      <c r="E367" s="6" t="s">
        <v>704</v>
      </c>
      <c r="F367" s="4">
        <v>1</v>
      </c>
      <c r="G367" s="19">
        <v>0.5</v>
      </c>
      <c r="H367" s="19"/>
      <c r="I367" s="19">
        <v>1.2</v>
      </c>
      <c r="J367" s="28">
        <f t="shared" si="8"/>
        <v>0.6</v>
      </c>
      <c r="K367" s="8"/>
      <c r="L367" s="8"/>
      <c r="M367" s="8"/>
      <c r="N367" s="8"/>
    </row>
    <row r="368" spans="1:14" ht="15.2" customHeight="1" thickBot="1" x14ac:dyDescent="0.25">
      <c r="A368" s="8"/>
      <c r="B368" s="8"/>
      <c r="C368" s="8"/>
      <c r="D368" s="24"/>
      <c r="E368" s="6" t="s">
        <v>705</v>
      </c>
      <c r="F368" s="4">
        <v>1</v>
      </c>
      <c r="G368" s="19">
        <v>0.5</v>
      </c>
      <c r="H368" s="19"/>
      <c r="I368" s="19">
        <v>1.2</v>
      </c>
      <c r="J368" s="28">
        <f t="shared" si="8"/>
        <v>0.6</v>
      </c>
      <c r="K368" s="8"/>
      <c r="L368" s="8"/>
      <c r="M368" s="8"/>
      <c r="N368" s="8"/>
    </row>
    <row r="369" spans="1:14" ht="15.2" customHeight="1" thickBot="1" x14ac:dyDescent="0.25">
      <c r="A369" s="8"/>
      <c r="B369" s="8"/>
      <c r="C369" s="8"/>
      <c r="D369" s="24"/>
      <c r="E369" s="6" t="s">
        <v>706</v>
      </c>
      <c r="F369" s="4">
        <v>2</v>
      </c>
      <c r="G369" s="19">
        <v>0.5</v>
      </c>
      <c r="H369" s="19"/>
      <c r="I369" s="19">
        <v>0.5</v>
      </c>
      <c r="J369" s="28">
        <f t="shared" si="8"/>
        <v>0.5</v>
      </c>
      <c r="K369" s="8"/>
      <c r="L369" s="8"/>
      <c r="M369" s="8"/>
      <c r="N369" s="8"/>
    </row>
    <row r="370" spans="1:14" ht="15.2" customHeight="1" thickBot="1" x14ac:dyDescent="0.25">
      <c r="A370" s="8"/>
      <c r="B370" s="8"/>
      <c r="C370" s="8"/>
      <c r="D370" s="24"/>
      <c r="E370" s="6" t="s">
        <v>707</v>
      </c>
      <c r="F370" s="4">
        <v>1</v>
      </c>
      <c r="G370" s="19">
        <v>0.5</v>
      </c>
      <c r="H370" s="19"/>
      <c r="I370" s="19">
        <v>0.5</v>
      </c>
      <c r="J370" s="28">
        <f t="shared" si="8"/>
        <v>0.25</v>
      </c>
      <c r="K370" s="8"/>
      <c r="L370" s="8"/>
      <c r="M370" s="8"/>
      <c r="N370" s="8"/>
    </row>
    <row r="371" spans="1:14" ht="15.2" customHeight="1" thickBot="1" x14ac:dyDescent="0.25">
      <c r="A371" s="8"/>
      <c r="B371" s="8"/>
      <c r="C371" s="8"/>
      <c r="D371" s="24"/>
      <c r="E371" s="6" t="s">
        <v>708</v>
      </c>
      <c r="F371" s="4">
        <v>1</v>
      </c>
      <c r="G371" s="19">
        <v>0.5</v>
      </c>
      <c r="H371" s="19"/>
      <c r="I371" s="19">
        <v>0.5</v>
      </c>
      <c r="J371" s="28">
        <f t="shared" si="8"/>
        <v>0.25</v>
      </c>
      <c r="K371" s="8"/>
      <c r="L371" s="8"/>
      <c r="M371" s="8"/>
      <c r="N371" s="8"/>
    </row>
    <row r="372" spans="1:14" ht="15.2" customHeight="1" thickBot="1" x14ac:dyDescent="0.25">
      <c r="A372" s="8"/>
      <c r="B372" s="8"/>
      <c r="C372" s="8"/>
      <c r="D372" s="24"/>
      <c r="E372" s="6" t="s">
        <v>709</v>
      </c>
      <c r="F372" s="4">
        <v>2</v>
      </c>
      <c r="G372" s="19">
        <v>0.5</v>
      </c>
      <c r="H372" s="19"/>
      <c r="I372" s="19">
        <v>1.1499999999999999</v>
      </c>
      <c r="J372" s="28">
        <f t="shared" si="8"/>
        <v>1.1499999999999999</v>
      </c>
      <c r="K372" s="8"/>
      <c r="L372" s="8"/>
      <c r="M372" s="8"/>
      <c r="N372" s="8"/>
    </row>
    <row r="373" spans="1:14" ht="15.2" customHeight="1" thickBot="1" x14ac:dyDescent="0.25">
      <c r="A373" s="8"/>
      <c r="B373" s="8"/>
      <c r="C373" s="8"/>
      <c r="D373" s="24"/>
      <c r="E373" s="6" t="s">
        <v>710</v>
      </c>
      <c r="F373" s="4">
        <v>1</v>
      </c>
      <c r="G373" s="19">
        <v>0.5</v>
      </c>
      <c r="H373" s="19"/>
      <c r="I373" s="19">
        <v>2.5</v>
      </c>
      <c r="J373" s="28">
        <f t="shared" si="8"/>
        <v>1.25</v>
      </c>
      <c r="K373" s="8"/>
      <c r="L373" s="8"/>
      <c r="M373" s="8"/>
      <c r="N373" s="8"/>
    </row>
    <row r="374" spans="1:14" ht="15.2" customHeight="1" thickBot="1" x14ac:dyDescent="0.25">
      <c r="A374" s="8"/>
      <c r="B374" s="8"/>
      <c r="C374" s="8"/>
      <c r="D374" s="24"/>
      <c r="E374" s="6" t="s">
        <v>711</v>
      </c>
      <c r="F374" s="4">
        <v>1</v>
      </c>
      <c r="G374" s="19">
        <v>0.5</v>
      </c>
      <c r="H374" s="19"/>
      <c r="I374" s="19">
        <v>2.5</v>
      </c>
      <c r="J374" s="28">
        <f t="shared" si="8"/>
        <v>1.25</v>
      </c>
      <c r="K374" s="8"/>
      <c r="L374" s="8"/>
      <c r="M374" s="8"/>
      <c r="N374" s="8"/>
    </row>
    <row r="375" spans="1:14" ht="15.2" customHeight="1" thickBot="1" x14ac:dyDescent="0.25">
      <c r="A375" s="8"/>
      <c r="B375" s="8"/>
      <c r="C375" s="8"/>
      <c r="D375" s="24"/>
      <c r="E375" s="6" t="s">
        <v>712</v>
      </c>
      <c r="F375" s="4">
        <v>1</v>
      </c>
      <c r="G375" s="19">
        <v>0.5</v>
      </c>
      <c r="H375" s="19"/>
      <c r="I375" s="19">
        <v>2.1</v>
      </c>
      <c r="J375" s="28">
        <f t="shared" si="8"/>
        <v>1.05</v>
      </c>
      <c r="K375" s="8"/>
      <c r="L375" s="8"/>
      <c r="M375" s="8"/>
      <c r="N375" s="8"/>
    </row>
    <row r="376" spans="1:14" ht="15.2" customHeight="1" thickBot="1" x14ac:dyDescent="0.25">
      <c r="A376" s="8"/>
      <c r="B376" s="8"/>
      <c r="C376" s="8"/>
      <c r="D376" s="24"/>
      <c r="E376" s="6"/>
      <c r="F376" s="4">
        <v>2</v>
      </c>
      <c r="G376" s="19"/>
      <c r="H376" s="19"/>
      <c r="I376" s="19"/>
      <c r="J376" s="28">
        <f>SUM(J351:J375)</f>
        <v>27.700000000000003</v>
      </c>
      <c r="K376" s="19">
        <f>ROUND(F376*J376,3)</f>
        <v>55.4</v>
      </c>
      <c r="L376" s="8"/>
      <c r="M376" s="8"/>
      <c r="N376" s="8"/>
    </row>
    <row r="377" spans="1:14" ht="15.4" customHeight="1" thickBot="1" x14ac:dyDescent="0.25">
      <c r="A377" s="12" t="s">
        <v>713</v>
      </c>
      <c r="B377" s="6" t="s">
        <v>714</v>
      </c>
      <c r="C377" s="6" t="s">
        <v>715</v>
      </c>
      <c r="D377" s="48" t="s">
        <v>716</v>
      </c>
      <c r="E377" s="48"/>
      <c r="F377" s="48"/>
      <c r="G377" s="48"/>
      <c r="H377" s="48"/>
      <c r="I377" s="48"/>
      <c r="J377" s="48"/>
      <c r="K377" s="19">
        <f>SUM(K380:K433)</f>
        <v>285</v>
      </c>
      <c r="L377" s="20">
        <f>ROUND(10.07*(1+M2/100),2)</f>
        <v>10.37</v>
      </c>
      <c r="M377" s="20">
        <f>ROUND(K377*L377,2)</f>
        <v>2955.45</v>
      </c>
      <c r="N377" s="8"/>
    </row>
    <row r="378" spans="1:14" ht="67.5" customHeight="1" thickBot="1" x14ac:dyDescent="0.25">
      <c r="A378" s="8"/>
      <c r="B378" s="8"/>
      <c r="C378" s="8"/>
      <c r="D378" s="48" t="s">
        <v>717</v>
      </c>
      <c r="E378" s="48"/>
      <c r="F378" s="48"/>
      <c r="G378" s="48"/>
      <c r="H378" s="48"/>
      <c r="I378" s="48"/>
      <c r="J378" s="48"/>
      <c r="K378" s="48"/>
      <c r="L378" s="48"/>
      <c r="M378" s="48"/>
      <c r="N378" s="8"/>
    </row>
    <row r="379" spans="1:14" ht="15.2" customHeight="1" thickBot="1" x14ac:dyDescent="0.25">
      <c r="A379" s="8"/>
      <c r="B379" s="8"/>
      <c r="C379" s="8"/>
      <c r="D379" s="8"/>
      <c r="E379" s="21"/>
      <c r="F379" s="23" t="s">
        <v>718</v>
      </c>
      <c r="G379" s="23" t="s">
        <v>719</v>
      </c>
      <c r="H379" s="23" t="s">
        <v>720</v>
      </c>
      <c r="I379" s="23" t="s">
        <v>721</v>
      </c>
      <c r="J379" s="23" t="s">
        <v>722</v>
      </c>
      <c r="K379" s="23" t="s">
        <v>723</v>
      </c>
      <c r="L379" s="8"/>
      <c r="M379" s="8"/>
      <c r="N379" s="8"/>
    </row>
    <row r="380" spans="1:14" ht="30.6" customHeight="1" thickBot="1" x14ac:dyDescent="0.25">
      <c r="A380" s="8"/>
      <c r="B380" s="8"/>
      <c r="C380" s="8"/>
      <c r="D380" s="24"/>
      <c r="E380" s="25" t="s">
        <v>724</v>
      </c>
      <c r="F380" s="26"/>
      <c r="G380" s="27"/>
      <c r="H380" s="27"/>
      <c r="I380" s="27"/>
      <c r="J380" s="40" t="s">
        <v>725</v>
      </c>
      <c r="K380" s="39"/>
      <c r="L380" s="8"/>
      <c r="M380" s="8"/>
      <c r="N380" s="8"/>
    </row>
    <row r="381" spans="1:14" ht="15.2" customHeight="1" thickBot="1" x14ac:dyDescent="0.25">
      <c r="A381" s="8"/>
      <c r="B381" s="8"/>
      <c r="C381" s="8"/>
      <c r="D381" s="24"/>
      <c r="E381" s="6" t="s">
        <v>726</v>
      </c>
      <c r="F381" s="4">
        <v>1</v>
      </c>
      <c r="G381" s="19">
        <v>1.4</v>
      </c>
      <c r="H381" s="19"/>
      <c r="I381" s="19">
        <v>1</v>
      </c>
      <c r="J381" s="28">
        <f t="shared" ref="J381:J405" si="9">ROUND(F381*G381*I381,3)</f>
        <v>1.4</v>
      </c>
      <c r="K381" s="8"/>
      <c r="L381" s="8"/>
      <c r="M381" s="8"/>
      <c r="N381" s="8"/>
    </row>
    <row r="382" spans="1:14" ht="15.2" customHeight="1" thickBot="1" x14ac:dyDescent="0.25">
      <c r="A382" s="8"/>
      <c r="B382" s="8"/>
      <c r="C382" s="8"/>
      <c r="D382" s="24"/>
      <c r="E382" s="6" t="s">
        <v>727</v>
      </c>
      <c r="F382" s="4">
        <v>2</v>
      </c>
      <c r="G382" s="19">
        <v>1.2</v>
      </c>
      <c r="H382" s="19"/>
      <c r="I382" s="19">
        <v>1</v>
      </c>
      <c r="J382" s="28">
        <f t="shared" si="9"/>
        <v>2.4</v>
      </c>
      <c r="K382" s="8"/>
      <c r="L382" s="8"/>
      <c r="M382" s="8"/>
      <c r="N382" s="8"/>
    </row>
    <row r="383" spans="1:14" ht="15.2" customHeight="1" thickBot="1" x14ac:dyDescent="0.25">
      <c r="A383" s="8"/>
      <c r="B383" s="8"/>
      <c r="C383" s="8"/>
      <c r="D383" s="24"/>
      <c r="E383" s="6" t="s">
        <v>728</v>
      </c>
      <c r="F383" s="4">
        <v>1</v>
      </c>
      <c r="G383" s="19">
        <v>1.55</v>
      </c>
      <c r="H383" s="19"/>
      <c r="I383" s="19">
        <v>1</v>
      </c>
      <c r="J383" s="28">
        <f t="shared" si="9"/>
        <v>1.55</v>
      </c>
      <c r="K383" s="8"/>
      <c r="L383" s="8"/>
      <c r="M383" s="8"/>
      <c r="N383" s="8"/>
    </row>
    <row r="384" spans="1:14" ht="15.2" customHeight="1" thickBot="1" x14ac:dyDescent="0.25">
      <c r="A384" s="8"/>
      <c r="B384" s="8"/>
      <c r="C384" s="8"/>
      <c r="D384" s="24"/>
      <c r="E384" s="6" t="s">
        <v>729</v>
      </c>
      <c r="F384" s="4">
        <v>2</v>
      </c>
      <c r="G384" s="19">
        <v>2.4</v>
      </c>
      <c r="H384" s="19"/>
      <c r="I384" s="19">
        <v>1</v>
      </c>
      <c r="J384" s="28">
        <f t="shared" si="9"/>
        <v>4.8</v>
      </c>
      <c r="K384" s="8"/>
      <c r="L384" s="8"/>
      <c r="M384" s="8"/>
      <c r="N384" s="8"/>
    </row>
    <row r="385" spans="1:14" ht="15.2" customHeight="1" thickBot="1" x14ac:dyDescent="0.25">
      <c r="A385" s="8"/>
      <c r="B385" s="8"/>
      <c r="C385" s="8"/>
      <c r="D385" s="24"/>
      <c r="E385" s="6" t="s">
        <v>730</v>
      </c>
      <c r="F385" s="4">
        <v>1</v>
      </c>
      <c r="G385" s="19">
        <v>2.4</v>
      </c>
      <c r="H385" s="19"/>
      <c r="I385" s="19">
        <v>1</v>
      </c>
      <c r="J385" s="28">
        <f t="shared" si="9"/>
        <v>2.4</v>
      </c>
      <c r="K385" s="8"/>
      <c r="L385" s="8"/>
      <c r="M385" s="8"/>
      <c r="N385" s="8"/>
    </row>
    <row r="386" spans="1:14" ht="15.2" customHeight="1" thickBot="1" x14ac:dyDescent="0.25">
      <c r="A386" s="8"/>
      <c r="B386" s="8"/>
      <c r="C386" s="8"/>
      <c r="D386" s="24"/>
      <c r="E386" s="6" t="s">
        <v>731</v>
      </c>
      <c r="F386" s="4">
        <v>2</v>
      </c>
      <c r="G386" s="19">
        <v>1</v>
      </c>
      <c r="H386" s="19"/>
      <c r="I386" s="19">
        <v>1</v>
      </c>
      <c r="J386" s="28">
        <f t="shared" si="9"/>
        <v>2</v>
      </c>
      <c r="K386" s="8"/>
      <c r="L386" s="8"/>
      <c r="M386" s="8"/>
      <c r="N386" s="8"/>
    </row>
    <row r="387" spans="1:14" ht="15.2" customHeight="1" thickBot="1" x14ac:dyDescent="0.25">
      <c r="A387" s="8"/>
      <c r="B387" s="8"/>
      <c r="C387" s="8"/>
      <c r="D387" s="24"/>
      <c r="E387" s="6" t="s">
        <v>732</v>
      </c>
      <c r="F387" s="4">
        <v>2</v>
      </c>
      <c r="G387" s="19">
        <v>1.7</v>
      </c>
      <c r="H387" s="19"/>
      <c r="I387" s="19">
        <v>1</v>
      </c>
      <c r="J387" s="28">
        <f t="shared" si="9"/>
        <v>3.4</v>
      </c>
      <c r="K387" s="8"/>
      <c r="L387" s="8"/>
      <c r="M387" s="8"/>
      <c r="N387" s="8"/>
    </row>
    <row r="388" spans="1:14" ht="15.2" customHeight="1" thickBot="1" x14ac:dyDescent="0.25">
      <c r="A388" s="8"/>
      <c r="B388" s="8"/>
      <c r="C388" s="8"/>
      <c r="D388" s="24"/>
      <c r="E388" s="6" t="s">
        <v>733</v>
      </c>
      <c r="F388" s="4">
        <v>1</v>
      </c>
      <c r="G388" s="19">
        <v>1.7</v>
      </c>
      <c r="H388" s="19"/>
      <c r="I388" s="19">
        <v>1</v>
      </c>
      <c r="J388" s="28">
        <f t="shared" si="9"/>
        <v>1.7</v>
      </c>
      <c r="K388" s="8"/>
      <c r="L388" s="8"/>
      <c r="M388" s="8"/>
      <c r="N388" s="8"/>
    </row>
    <row r="389" spans="1:14" ht="15.2" customHeight="1" thickBot="1" x14ac:dyDescent="0.25">
      <c r="A389" s="8"/>
      <c r="B389" s="8"/>
      <c r="C389" s="8"/>
      <c r="D389" s="24"/>
      <c r="E389" s="6" t="s">
        <v>734</v>
      </c>
      <c r="F389" s="4">
        <v>1</v>
      </c>
      <c r="G389" s="19">
        <v>1.7</v>
      </c>
      <c r="H389" s="19"/>
      <c r="I389" s="19">
        <v>1</v>
      </c>
      <c r="J389" s="28">
        <f t="shared" si="9"/>
        <v>1.7</v>
      </c>
      <c r="K389" s="8"/>
      <c r="L389" s="8"/>
      <c r="M389" s="8"/>
      <c r="N389" s="8"/>
    </row>
    <row r="390" spans="1:14" ht="15.2" customHeight="1" thickBot="1" x14ac:dyDescent="0.25">
      <c r="A390" s="8"/>
      <c r="B390" s="8"/>
      <c r="C390" s="8"/>
      <c r="D390" s="24"/>
      <c r="E390" s="6" t="s">
        <v>735</v>
      </c>
      <c r="F390" s="4">
        <v>4</v>
      </c>
      <c r="G390" s="19">
        <v>0.8</v>
      </c>
      <c r="H390" s="19"/>
      <c r="I390" s="19">
        <v>1</v>
      </c>
      <c r="J390" s="28">
        <f t="shared" si="9"/>
        <v>3.2</v>
      </c>
      <c r="K390" s="8"/>
      <c r="L390" s="8"/>
      <c r="M390" s="8"/>
      <c r="N390" s="8"/>
    </row>
    <row r="391" spans="1:14" ht="15.2" customHeight="1" thickBot="1" x14ac:dyDescent="0.25">
      <c r="A391" s="8"/>
      <c r="B391" s="8"/>
      <c r="C391" s="8"/>
      <c r="D391" s="24"/>
      <c r="E391" s="6" t="s">
        <v>736</v>
      </c>
      <c r="F391" s="4">
        <v>1</v>
      </c>
      <c r="G391" s="19">
        <v>6.5</v>
      </c>
      <c r="H391" s="19"/>
      <c r="I391" s="19">
        <v>1</v>
      </c>
      <c r="J391" s="28">
        <f t="shared" si="9"/>
        <v>6.5</v>
      </c>
      <c r="K391" s="8"/>
      <c r="L391" s="8"/>
      <c r="M391" s="8"/>
      <c r="N391" s="8"/>
    </row>
    <row r="392" spans="1:14" ht="15.2" customHeight="1" thickBot="1" x14ac:dyDescent="0.25">
      <c r="A392" s="8"/>
      <c r="B392" s="8"/>
      <c r="C392" s="8"/>
      <c r="D392" s="24"/>
      <c r="E392" s="6" t="s">
        <v>737</v>
      </c>
      <c r="F392" s="4">
        <v>1</v>
      </c>
      <c r="G392" s="19">
        <v>2.5</v>
      </c>
      <c r="H392" s="19"/>
      <c r="I392" s="19">
        <v>1</v>
      </c>
      <c r="J392" s="28">
        <f t="shared" si="9"/>
        <v>2.5</v>
      </c>
      <c r="K392" s="8"/>
      <c r="L392" s="8"/>
      <c r="M392" s="8"/>
      <c r="N392" s="8"/>
    </row>
    <row r="393" spans="1:14" ht="15.2" customHeight="1" thickBot="1" x14ac:dyDescent="0.25">
      <c r="A393" s="8"/>
      <c r="B393" s="8"/>
      <c r="C393" s="8"/>
      <c r="D393" s="24"/>
      <c r="E393" s="6" t="s">
        <v>738</v>
      </c>
      <c r="F393" s="4">
        <v>1</v>
      </c>
      <c r="G393" s="19">
        <v>1.65</v>
      </c>
      <c r="H393" s="19"/>
      <c r="I393" s="19">
        <v>1</v>
      </c>
      <c r="J393" s="28">
        <f t="shared" si="9"/>
        <v>1.65</v>
      </c>
      <c r="K393" s="8"/>
      <c r="L393" s="8"/>
      <c r="M393" s="8"/>
      <c r="N393" s="8"/>
    </row>
    <row r="394" spans="1:14" ht="15.2" customHeight="1" thickBot="1" x14ac:dyDescent="0.25">
      <c r="A394" s="8"/>
      <c r="B394" s="8"/>
      <c r="C394" s="8"/>
      <c r="D394" s="24"/>
      <c r="E394" s="6" t="s">
        <v>739</v>
      </c>
      <c r="F394" s="4">
        <v>11</v>
      </c>
      <c r="G394" s="19">
        <v>2</v>
      </c>
      <c r="H394" s="19"/>
      <c r="I394" s="19">
        <v>1</v>
      </c>
      <c r="J394" s="28">
        <f t="shared" si="9"/>
        <v>22</v>
      </c>
      <c r="K394" s="8"/>
      <c r="L394" s="8"/>
      <c r="M394" s="8"/>
      <c r="N394" s="8"/>
    </row>
    <row r="395" spans="1:14" ht="15.2" customHeight="1" thickBot="1" x14ac:dyDescent="0.25">
      <c r="A395" s="8"/>
      <c r="B395" s="8"/>
      <c r="C395" s="8"/>
      <c r="D395" s="24"/>
      <c r="E395" s="6" t="s">
        <v>740</v>
      </c>
      <c r="F395" s="4">
        <v>1</v>
      </c>
      <c r="G395" s="19">
        <v>2</v>
      </c>
      <c r="H395" s="19"/>
      <c r="I395" s="19">
        <v>1</v>
      </c>
      <c r="J395" s="28">
        <f t="shared" si="9"/>
        <v>2</v>
      </c>
      <c r="K395" s="8"/>
      <c r="L395" s="8"/>
      <c r="M395" s="8"/>
      <c r="N395" s="8"/>
    </row>
    <row r="396" spans="1:14" ht="15.2" customHeight="1" thickBot="1" x14ac:dyDescent="0.25">
      <c r="A396" s="8"/>
      <c r="B396" s="8"/>
      <c r="C396" s="8"/>
      <c r="D396" s="24"/>
      <c r="E396" s="6" t="s">
        <v>741</v>
      </c>
      <c r="F396" s="4">
        <v>6</v>
      </c>
      <c r="G396" s="19">
        <v>2</v>
      </c>
      <c r="H396" s="19"/>
      <c r="I396" s="19">
        <v>1</v>
      </c>
      <c r="J396" s="28">
        <f t="shared" si="9"/>
        <v>12</v>
      </c>
      <c r="K396" s="8"/>
      <c r="L396" s="8"/>
      <c r="M396" s="8"/>
      <c r="N396" s="8"/>
    </row>
    <row r="397" spans="1:14" ht="15.2" customHeight="1" thickBot="1" x14ac:dyDescent="0.25">
      <c r="A397" s="8"/>
      <c r="B397" s="8"/>
      <c r="C397" s="8"/>
      <c r="D397" s="24"/>
      <c r="E397" s="6" t="s">
        <v>742</v>
      </c>
      <c r="F397" s="4">
        <v>1</v>
      </c>
      <c r="G397" s="19">
        <v>0.75</v>
      </c>
      <c r="H397" s="19"/>
      <c r="I397" s="19">
        <v>1</v>
      </c>
      <c r="J397" s="28">
        <f t="shared" si="9"/>
        <v>0.75</v>
      </c>
      <c r="K397" s="8"/>
      <c r="L397" s="8"/>
      <c r="M397" s="8"/>
      <c r="N397" s="8"/>
    </row>
    <row r="398" spans="1:14" ht="15.2" customHeight="1" thickBot="1" x14ac:dyDescent="0.25">
      <c r="A398" s="8"/>
      <c r="B398" s="8"/>
      <c r="C398" s="8"/>
      <c r="D398" s="24"/>
      <c r="E398" s="6" t="s">
        <v>743</v>
      </c>
      <c r="F398" s="4">
        <v>1</v>
      </c>
      <c r="G398" s="19">
        <v>0.75</v>
      </c>
      <c r="H398" s="19"/>
      <c r="I398" s="19">
        <v>1</v>
      </c>
      <c r="J398" s="28">
        <f t="shared" si="9"/>
        <v>0.75</v>
      </c>
      <c r="K398" s="8"/>
      <c r="L398" s="8"/>
      <c r="M398" s="8"/>
      <c r="N398" s="8"/>
    </row>
    <row r="399" spans="1:14" ht="15.2" customHeight="1" thickBot="1" x14ac:dyDescent="0.25">
      <c r="A399" s="8"/>
      <c r="B399" s="8"/>
      <c r="C399" s="8"/>
      <c r="D399" s="24"/>
      <c r="E399" s="6" t="s">
        <v>744</v>
      </c>
      <c r="F399" s="4">
        <v>2</v>
      </c>
      <c r="G399" s="19">
        <v>2.4</v>
      </c>
      <c r="H399" s="19"/>
      <c r="I399" s="19">
        <v>1</v>
      </c>
      <c r="J399" s="28">
        <f t="shared" si="9"/>
        <v>4.8</v>
      </c>
      <c r="K399" s="8"/>
      <c r="L399" s="8"/>
      <c r="M399" s="8"/>
      <c r="N399" s="8"/>
    </row>
    <row r="400" spans="1:14" ht="15.2" customHeight="1" thickBot="1" x14ac:dyDescent="0.25">
      <c r="A400" s="8"/>
      <c r="B400" s="8"/>
      <c r="C400" s="8"/>
      <c r="D400" s="24"/>
      <c r="E400" s="6" t="s">
        <v>745</v>
      </c>
      <c r="F400" s="4">
        <v>1</v>
      </c>
      <c r="G400" s="19">
        <v>0.8</v>
      </c>
      <c r="H400" s="19"/>
      <c r="I400" s="19">
        <v>1</v>
      </c>
      <c r="J400" s="28">
        <f t="shared" si="9"/>
        <v>0.8</v>
      </c>
      <c r="K400" s="8"/>
      <c r="L400" s="8"/>
      <c r="M400" s="8"/>
      <c r="N400" s="8"/>
    </row>
    <row r="401" spans="1:14" ht="15.2" customHeight="1" thickBot="1" x14ac:dyDescent="0.25">
      <c r="A401" s="8"/>
      <c r="B401" s="8"/>
      <c r="C401" s="8"/>
      <c r="D401" s="24"/>
      <c r="E401" s="6" t="s">
        <v>746</v>
      </c>
      <c r="F401" s="4">
        <v>1</v>
      </c>
      <c r="G401" s="19">
        <v>0.8</v>
      </c>
      <c r="H401" s="19"/>
      <c r="I401" s="19">
        <v>1</v>
      </c>
      <c r="J401" s="28">
        <f t="shared" si="9"/>
        <v>0.8</v>
      </c>
      <c r="K401" s="8"/>
      <c r="L401" s="8"/>
      <c r="M401" s="8"/>
      <c r="N401" s="8"/>
    </row>
    <row r="402" spans="1:14" ht="15.2" customHeight="1" thickBot="1" x14ac:dyDescent="0.25">
      <c r="A402" s="8"/>
      <c r="B402" s="8"/>
      <c r="C402" s="8"/>
      <c r="D402" s="24"/>
      <c r="E402" s="6" t="s">
        <v>747</v>
      </c>
      <c r="F402" s="4">
        <v>2</v>
      </c>
      <c r="G402" s="19">
        <v>0.75</v>
      </c>
      <c r="H402" s="19"/>
      <c r="I402" s="19">
        <v>1</v>
      </c>
      <c r="J402" s="28">
        <f t="shared" si="9"/>
        <v>1.5</v>
      </c>
      <c r="K402" s="8"/>
      <c r="L402" s="8"/>
      <c r="M402" s="8"/>
      <c r="N402" s="8"/>
    </row>
    <row r="403" spans="1:14" ht="15.2" customHeight="1" thickBot="1" x14ac:dyDescent="0.25">
      <c r="A403" s="8"/>
      <c r="B403" s="8"/>
      <c r="C403" s="8"/>
      <c r="D403" s="24"/>
      <c r="E403" s="6" t="s">
        <v>748</v>
      </c>
      <c r="F403" s="4">
        <v>1</v>
      </c>
      <c r="G403" s="19">
        <v>3.5</v>
      </c>
      <c r="H403" s="19"/>
      <c r="I403" s="19">
        <v>1</v>
      </c>
      <c r="J403" s="28">
        <f t="shared" si="9"/>
        <v>3.5</v>
      </c>
      <c r="K403" s="8"/>
      <c r="L403" s="8"/>
      <c r="M403" s="8"/>
      <c r="N403" s="8"/>
    </row>
    <row r="404" spans="1:14" ht="15.2" customHeight="1" thickBot="1" x14ac:dyDescent="0.25">
      <c r="A404" s="8"/>
      <c r="B404" s="8"/>
      <c r="C404" s="8"/>
      <c r="D404" s="24"/>
      <c r="E404" s="6" t="s">
        <v>749</v>
      </c>
      <c r="F404" s="4">
        <v>1</v>
      </c>
      <c r="G404" s="19">
        <v>0.9</v>
      </c>
      <c r="H404" s="19"/>
      <c r="I404" s="19">
        <v>1</v>
      </c>
      <c r="J404" s="28">
        <f t="shared" si="9"/>
        <v>0.9</v>
      </c>
      <c r="K404" s="8"/>
      <c r="L404" s="8"/>
      <c r="M404" s="8"/>
      <c r="N404" s="8"/>
    </row>
    <row r="405" spans="1:14" ht="15.2" customHeight="1" thickBot="1" x14ac:dyDescent="0.25">
      <c r="A405" s="8"/>
      <c r="B405" s="8"/>
      <c r="C405" s="8"/>
      <c r="D405" s="24"/>
      <c r="E405" s="6" t="s">
        <v>750</v>
      </c>
      <c r="F405" s="4">
        <v>1</v>
      </c>
      <c r="G405" s="19">
        <v>2.1</v>
      </c>
      <c r="H405" s="19"/>
      <c r="I405" s="19">
        <v>1</v>
      </c>
      <c r="J405" s="28">
        <f t="shared" si="9"/>
        <v>2.1</v>
      </c>
      <c r="K405" s="8"/>
      <c r="L405" s="8"/>
      <c r="M405" s="8"/>
      <c r="N405" s="8"/>
    </row>
    <row r="406" spans="1:14" ht="15.2" customHeight="1" thickBot="1" x14ac:dyDescent="0.25">
      <c r="A406" s="8"/>
      <c r="B406" s="8"/>
      <c r="C406" s="8"/>
      <c r="D406" s="24"/>
      <c r="E406" s="6"/>
      <c r="F406" s="4">
        <v>2</v>
      </c>
      <c r="G406" s="19"/>
      <c r="H406" s="19"/>
      <c r="I406" s="19"/>
      <c r="J406" s="28">
        <f>SUM(J380:J405)</f>
        <v>87.09999999999998</v>
      </c>
      <c r="K406" s="19">
        <f>ROUND(F406*J406,3)</f>
        <v>174.2</v>
      </c>
      <c r="L406" s="8"/>
      <c r="M406" s="8"/>
      <c r="N406" s="8"/>
    </row>
    <row r="407" spans="1:14" ht="15.2" customHeight="1" thickBot="1" x14ac:dyDescent="0.25">
      <c r="A407" s="8"/>
      <c r="B407" s="8"/>
      <c r="C407" s="8"/>
      <c r="D407" s="8"/>
      <c r="E407" s="21"/>
      <c r="F407" s="23" t="s">
        <v>751</v>
      </c>
      <c r="G407" s="23" t="s">
        <v>752</v>
      </c>
      <c r="H407" s="23" t="s">
        <v>753</v>
      </c>
      <c r="I407" s="23" t="s">
        <v>754</v>
      </c>
      <c r="J407" s="23" t="s">
        <v>755</v>
      </c>
      <c r="K407" s="23" t="s">
        <v>756</v>
      </c>
      <c r="L407" s="8"/>
      <c r="M407" s="8"/>
      <c r="N407" s="8"/>
    </row>
    <row r="408" spans="1:14" ht="15.2" customHeight="1" thickBot="1" x14ac:dyDescent="0.25">
      <c r="A408" s="8"/>
      <c r="B408" s="8"/>
      <c r="C408" s="8"/>
      <c r="D408" s="24"/>
      <c r="E408" s="25" t="s">
        <v>757</v>
      </c>
      <c r="F408" s="26">
        <v>1</v>
      </c>
      <c r="G408" s="27">
        <v>1</v>
      </c>
      <c r="H408" s="27"/>
      <c r="I408" s="27">
        <v>1.1499999999999999</v>
      </c>
      <c r="J408" s="29">
        <f t="shared" ref="J408:J432" si="10">ROUND(F408*G408*I408,3)</f>
        <v>1.1499999999999999</v>
      </c>
      <c r="K408" s="39"/>
      <c r="L408" s="8"/>
      <c r="M408" s="8"/>
      <c r="N408" s="8"/>
    </row>
    <row r="409" spans="1:14" ht="15.2" customHeight="1" thickBot="1" x14ac:dyDescent="0.25">
      <c r="A409" s="8"/>
      <c r="B409" s="8"/>
      <c r="C409" s="8"/>
      <c r="D409" s="24"/>
      <c r="E409" s="6" t="s">
        <v>758</v>
      </c>
      <c r="F409" s="4">
        <v>2</v>
      </c>
      <c r="G409" s="19">
        <v>1</v>
      </c>
      <c r="H409" s="19"/>
      <c r="I409" s="19">
        <v>1.1499999999999999</v>
      </c>
      <c r="J409" s="28">
        <f t="shared" si="10"/>
        <v>2.2999999999999998</v>
      </c>
      <c r="K409" s="8"/>
      <c r="L409" s="8"/>
      <c r="M409" s="8"/>
      <c r="N409" s="8"/>
    </row>
    <row r="410" spans="1:14" ht="15.2" customHeight="1" thickBot="1" x14ac:dyDescent="0.25">
      <c r="A410" s="8"/>
      <c r="B410" s="8"/>
      <c r="C410" s="8"/>
      <c r="D410" s="24"/>
      <c r="E410" s="6" t="s">
        <v>759</v>
      </c>
      <c r="F410" s="4">
        <v>1</v>
      </c>
      <c r="G410" s="19">
        <v>1</v>
      </c>
      <c r="H410" s="19"/>
      <c r="I410" s="19">
        <v>1.1499999999999999</v>
      </c>
      <c r="J410" s="28">
        <f t="shared" si="10"/>
        <v>1.1499999999999999</v>
      </c>
      <c r="K410" s="8"/>
      <c r="L410" s="8"/>
      <c r="M410" s="8"/>
      <c r="N410" s="8"/>
    </row>
    <row r="411" spans="1:14" ht="15.2" customHeight="1" thickBot="1" x14ac:dyDescent="0.25">
      <c r="A411" s="8"/>
      <c r="B411" s="8"/>
      <c r="C411" s="8"/>
      <c r="D411" s="24"/>
      <c r="E411" s="6" t="s">
        <v>760</v>
      </c>
      <c r="F411" s="4">
        <v>2</v>
      </c>
      <c r="G411" s="19">
        <v>1</v>
      </c>
      <c r="H411" s="19"/>
      <c r="I411" s="19">
        <v>1.2</v>
      </c>
      <c r="J411" s="28">
        <f t="shared" si="10"/>
        <v>2.4</v>
      </c>
      <c r="K411" s="8"/>
      <c r="L411" s="8"/>
      <c r="M411" s="8"/>
      <c r="N411" s="8"/>
    </row>
    <row r="412" spans="1:14" ht="15.2" customHeight="1" thickBot="1" x14ac:dyDescent="0.25">
      <c r="A412" s="8"/>
      <c r="B412" s="8"/>
      <c r="C412" s="8"/>
      <c r="D412" s="24"/>
      <c r="E412" s="6" t="s">
        <v>761</v>
      </c>
      <c r="F412" s="4">
        <v>1</v>
      </c>
      <c r="G412" s="19">
        <v>1</v>
      </c>
      <c r="H412" s="19"/>
      <c r="I412" s="19">
        <v>1.2</v>
      </c>
      <c r="J412" s="28">
        <f t="shared" si="10"/>
        <v>1.2</v>
      </c>
      <c r="K412" s="8"/>
      <c r="L412" s="8"/>
      <c r="M412" s="8"/>
      <c r="N412" s="8"/>
    </row>
    <row r="413" spans="1:14" ht="15.2" customHeight="1" thickBot="1" x14ac:dyDescent="0.25">
      <c r="A413" s="8"/>
      <c r="B413" s="8"/>
      <c r="C413" s="8"/>
      <c r="D413" s="24"/>
      <c r="E413" s="6" t="s">
        <v>762</v>
      </c>
      <c r="F413" s="4">
        <v>2</v>
      </c>
      <c r="G413" s="19">
        <v>1</v>
      </c>
      <c r="H413" s="19"/>
      <c r="I413" s="19">
        <v>1.2</v>
      </c>
      <c r="J413" s="28">
        <f t="shared" si="10"/>
        <v>2.4</v>
      </c>
      <c r="K413" s="8"/>
      <c r="L413" s="8"/>
      <c r="M413" s="8"/>
      <c r="N413" s="8"/>
    </row>
    <row r="414" spans="1:14" ht="15.2" customHeight="1" thickBot="1" x14ac:dyDescent="0.25">
      <c r="A414" s="8"/>
      <c r="B414" s="8"/>
      <c r="C414" s="8"/>
      <c r="D414" s="24"/>
      <c r="E414" s="6" t="s">
        <v>763</v>
      </c>
      <c r="F414" s="4">
        <v>2</v>
      </c>
      <c r="G414" s="19">
        <v>1</v>
      </c>
      <c r="H414" s="19"/>
      <c r="I414" s="19">
        <v>1.2</v>
      </c>
      <c r="J414" s="28">
        <f t="shared" si="10"/>
        <v>2.4</v>
      </c>
      <c r="K414" s="8"/>
      <c r="L414" s="8"/>
      <c r="M414" s="8"/>
      <c r="N414" s="8"/>
    </row>
    <row r="415" spans="1:14" ht="15.2" customHeight="1" thickBot="1" x14ac:dyDescent="0.25">
      <c r="A415" s="8"/>
      <c r="B415" s="8"/>
      <c r="C415" s="8"/>
      <c r="D415" s="24"/>
      <c r="E415" s="6" t="s">
        <v>764</v>
      </c>
      <c r="F415" s="4">
        <v>1</v>
      </c>
      <c r="G415" s="19">
        <v>1</v>
      </c>
      <c r="H415" s="19"/>
      <c r="I415" s="19">
        <v>1.2</v>
      </c>
      <c r="J415" s="28">
        <f t="shared" si="10"/>
        <v>1.2</v>
      </c>
      <c r="K415" s="8"/>
      <c r="L415" s="8"/>
      <c r="M415" s="8"/>
      <c r="N415" s="8"/>
    </row>
    <row r="416" spans="1:14" ht="15.2" customHeight="1" thickBot="1" x14ac:dyDescent="0.25">
      <c r="A416" s="8"/>
      <c r="B416" s="8"/>
      <c r="C416" s="8"/>
      <c r="D416" s="24"/>
      <c r="E416" s="6" t="s">
        <v>765</v>
      </c>
      <c r="F416" s="4">
        <v>1</v>
      </c>
      <c r="G416" s="19">
        <v>1</v>
      </c>
      <c r="H416" s="19"/>
      <c r="I416" s="19">
        <v>1.2</v>
      </c>
      <c r="J416" s="28">
        <f t="shared" si="10"/>
        <v>1.2</v>
      </c>
      <c r="K416" s="8"/>
      <c r="L416" s="8"/>
      <c r="M416" s="8"/>
      <c r="N416" s="8"/>
    </row>
    <row r="417" spans="1:14" ht="15.2" customHeight="1" thickBot="1" x14ac:dyDescent="0.25">
      <c r="A417" s="8"/>
      <c r="B417" s="8"/>
      <c r="C417" s="8"/>
      <c r="D417" s="24"/>
      <c r="E417" s="6" t="s">
        <v>766</v>
      </c>
      <c r="F417" s="4">
        <v>4</v>
      </c>
      <c r="G417" s="19">
        <v>1</v>
      </c>
      <c r="H417" s="19"/>
      <c r="I417" s="19">
        <v>1.2</v>
      </c>
      <c r="J417" s="28">
        <f t="shared" si="10"/>
        <v>4.8</v>
      </c>
      <c r="K417" s="8"/>
      <c r="L417" s="8"/>
      <c r="M417" s="8"/>
      <c r="N417" s="8"/>
    </row>
    <row r="418" spans="1:14" ht="15.2" customHeight="1" thickBot="1" x14ac:dyDescent="0.25">
      <c r="A418" s="8"/>
      <c r="B418" s="8"/>
      <c r="C418" s="8"/>
      <c r="D418" s="24"/>
      <c r="E418" s="6" t="s">
        <v>767</v>
      </c>
      <c r="F418" s="4">
        <v>1</v>
      </c>
      <c r="G418" s="19">
        <v>1</v>
      </c>
      <c r="H418" s="19"/>
      <c r="I418" s="19">
        <v>1.6</v>
      </c>
      <c r="J418" s="28">
        <f t="shared" si="10"/>
        <v>1.6</v>
      </c>
      <c r="K418" s="8"/>
      <c r="L418" s="8"/>
      <c r="M418" s="8"/>
      <c r="N418" s="8"/>
    </row>
    <row r="419" spans="1:14" ht="15.2" customHeight="1" thickBot="1" x14ac:dyDescent="0.25">
      <c r="A419" s="8"/>
      <c r="B419" s="8"/>
      <c r="C419" s="8"/>
      <c r="D419" s="24"/>
      <c r="E419" s="6" t="s">
        <v>768</v>
      </c>
      <c r="F419" s="4">
        <v>1</v>
      </c>
      <c r="G419" s="19">
        <v>1</v>
      </c>
      <c r="H419" s="19"/>
      <c r="I419" s="19">
        <v>1.2</v>
      </c>
      <c r="J419" s="28">
        <f t="shared" si="10"/>
        <v>1.2</v>
      </c>
      <c r="K419" s="8"/>
      <c r="L419" s="8"/>
      <c r="M419" s="8"/>
      <c r="N419" s="8"/>
    </row>
    <row r="420" spans="1:14" ht="15.2" customHeight="1" thickBot="1" x14ac:dyDescent="0.25">
      <c r="A420" s="8"/>
      <c r="B420" s="8"/>
      <c r="C420" s="8"/>
      <c r="D420" s="24"/>
      <c r="E420" s="6" t="s">
        <v>769</v>
      </c>
      <c r="F420" s="4">
        <v>1</v>
      </c>
      <c r="G420" s="19">
        <v>1</v>
      </c>
      <c r="H420" s="19"/>
      <c r="I420" s="19">
        <v>1.2</v>
      </c>
      <c r="J420" s="28">
        <f t="shared" si="10"/>
        <v>1.2</v>
      </c>
      <c r="K420" s="8"/>
      <c r="L420" s="8"/>
      <c r="M420" s="8"/>
      <c r="N420" s="8"/>
    </row>
    <row r="421" spans="1:14" ht="15.2" customHeight="1" thickBot="1" x14ac:dyDescent="0.25">
      <c r="A421" s="8"/>
      <c r="B421" s="8"/>
      <c r="C421" s="8"/>
      <c r="D421" s="24"/>
      <c r="E421" s="6" t="s">
        <v>770</v>
      </c>
      <c r="F421" s="4">
        <v>11</v>
      </c>
      <c r="G421" s="19">
        <v>1</v>
      </c>
      <c r="H421" s="19"/>
      <c r="I421" s="19">
        <v>1.1000000000000001</v>
      </c>
      <c r="J421" s="28">
        <f t="shared" si="10"/>
        <v>12.1</v>
      </c>
      <c r="K421" s="8"/>
      <c r="L421" s="8"/>
      <c r="M421" s="8"/>
      <c r="N421" s="8"/>
    </row>
    <row r="422" spans="1:14" ht="15.2" customHeight="1" thickBot="1" x14ac:dyDescent="0.25">
      <c r="A422" s="8"/>
      <c r="B422" s="8"/>
      <c r="C422" s="8"/>
      <c r="D422" s="24"/>
      <c r="E422" s="6" t="s">
        <v>771</v>
      </c>
      <c r="F422" s="4">
        <v>1</v>
      </c>
      <c r="G422" s="19">
        <v>1</v>
      </c>
      <c r="H422" s="19"/>
      <c r="I422" s="19">
        <v>1.1000000000000001</v>
      </c>
      <c r="J422" s="28">
        <f t="shared" si="10"/>
        <v>1.1000000000000001</v>
      </c>
      <c r="K422" s="8"/>
      <c r="L422" s="8"/>
      <c r="M422" s="8"/>
      <c r="N422" s="8"/>
    </row>
    <row r="423" spans="1:14" ht="15.2" customHeight="1" thickBot="1" x14ac:dyDescent="0.25">
      <c r="A423" s="8"/>
      <c r="B423" s="8"/>
      <c r="C423" s="8"/>
      <c r="D423" s="24"/>
      <c r="E423" s="6" t="s">
        <v>772</v>
      </c>
      <c r="F423" s="4">
        <v>6</v>
      </c>
      <c r="G423" s="19">
        <v>1</v>
      </c>
      <c r="H423" s="19"/>
      <c r="I423" s="19">
        <v>0.7</v>
      </c>
      <c r="J423" s="28">
        <f t="shared" si="10"/>
        <v>4.2</v>
      </c>
      <c r="K423" s="8"/>
      <c r="L423" s="8"/>
      <c r="M423" s="8"/>
      <c r="N423" s="8"/>
    </row>
    <row r="424" spans="1:14" ht="15.2" customHeight="1" thickBot="1" x14ac:dyDescent="0.25">
      <c r="A424" s="8"/>
      <c r="B424" s="8"/>
      <c r="C424" s="8"/>
      <c r="D424" s="24"/>
      <c r="E424" s="6" t="s">
        <v>773</v>
      </c>
      <c r="F424" s="4">
        <v>1</v>
      </c>
      <c r="G424" s="19">
        <v>1</v>
      </c>
      <c r="H424" s="19"/>
      <c r="I424" s="19">
        <v>1.2</v>
      </c>
      <c r="J424" s="28">
        <f t="shared" si="10"/>
        <v>1.2</v>
      </c>
      <c r="K424" s="8"/>
      <c r="L424" s="8"/>
      <c r="M424" s="8"/>
      <c r="N424" s="8"/>
    </row>
    <row r="425" spans="1:14" ht="15.2" customHeight="1" thickBot="1" x14ac:dyDescent="0.25">
      <c r="A425" s="8"/>
      <c r="B425" s="8"/>
      <c r="C425" s="8"/>
      <c r="D425" s="24"/>
      <c r="E425" s="6" t="s">
        <v>774</v>
      </c>
      <c r="F425" s="4">
        <v>1</v>
      </c>
      <c r="G425" s="19">
        <v>1</v>
      </c>
      <c r="H425" s="19"/>
      <c r="I425" s="19">
        <v>1.2</v>
      </c>
      <c r="J425" s="28">
        <f t="shared" si="10"/>
        <v>1.2</v>
      </c>
      <c r="K425" s="8"/>
      <c r="L425" s="8"/>
      <c r="M425" s="8"/>
      <c r="N425" s="8"/>
    </row>
    <row r="426" spans="1:14" ht="15.2" customHeight="1" thickBot="1" x14ac:dyDescent="0.25">
      <c r="A426" s="8"/>
      <c r="B426" s="8"/>
      <c r="C426" s="8"/>
      <c r="D426" s="24"/>
      <c r="E426" s="6" t="s">
        <v>775</v>
      </c>
      <c r="F426" s="4">
        <v>2</v>
      </c>
      <c r="G426" s="19">
        <v>1</v>
      </c>
      <c r="H426" s="19"/>
      <c r="I426" s="19">
        <v>0.5</v>
      </c>
      <c r="J426" s="28">
        <f t="shared" si="10"/>
        <v>1</v>
      </c>
      <c r="K426" s="8"/>
      <c r="L426" s="8"/>
      <c r="M426" s="8"/>
      <c r="N426" s="8"/>
    </row>
    <row r="427" spans="1:14" ht="15.2" customHeight="1" thickBot="1" x14ac:dyDescent="0.25">
      <c r="A427" s="8"/>
      <c r="B427" s="8"/>
      <c r="C427" s="8"/>
      <c r="D427" s="24"/>
      <c r="E427" s="6" t="s">
        <v>776</v>
      </c>
      <c r="F427" s="4">
        <v>1</v>
      </c>
      <c r="G427" s="19">
        <v>1</v>
      </c>
      <c r="H427" s="19"/>
      <c r="I427" s="19">
        <v>0.5</v>
      </c>
      <c r="J427" s="28">
        <f t="shared" si="10"/>
        <v>0.5</v>
      </c>
      <c r="K427" s="8"/>
      <c r="L427" s="8"/>
      <c r="M427" s="8"/>
      <c r="N427" s="8"/>
    </row>
    <row r="428" spans="1:14" ht="15.2" customHeight="1" thickBot="1" x14ac:dyDescent="0.25">
      <c r="A428" s="8"/>
      <c r="B428" s="8"/>
      <c r="C428" s="8"/>
      <c r="D428" s="24"/>
      <c r="E428" s="6" t="s">
        <v>777</v>
      </c>
      <c r="F428" s="4">
        <v>1</v>
      </c>
      <c r="G428" s="19">
        <v>1</v>
      </c>
      <c r="H428" s="19"/>
      <c r="I428" s="19">
        <v>0.5</v>
      </c>
      <c r="J428" s="28">
        <f t="shared" si="10"/>
        <v>0.5</v>
      </c>
      <c r="K428" s="8"/>
      <c r="L428" s="8"/>
      <c r="M428" s="8"/>
      <c r="N428" s="8"/>
    </row>
    <row r="429" spans="1:14" ht="15.2" customHeight="1" thickBot="1" x14ac:dyDescent="0.25">
      <c r="A429" s="8"/>
      <c r="B429" s="8"/>
      <c r="C429" s="8"/>
      <c r="D429" s="24"/>
      <c r="E429" s="6" t="s">
        <v>778</v>
      </c>
      <c r="F429" s="4">
        <v>2</v>
      </c>
      <c r="G429" s="19">
        <v>1</v>
      </c>
      <c r="H429" s="19"/>
      <c r="I429" s="19">
        <v>1.1499999999999999</v>
      </c>
      <c r="J429" s="28">
        <f t="shared" si="10"/>
        <v>2.2999999999999998</v>
      </c>
      <c r="K429" s="8"/>
      <c r="L429" s="8"/>
      <c r="M429" s="8"/>
      <c r="N429" s="8"/>
    </row>
    <row r="430" spans="1:14" ht="15.2" customHeight="1" thickBot="1" x14ac:dyDescent="0.25">
      <c r="A430" s="8"/>
      <c r="B430" s="8"/>
      <c r="C430" s="8"/>
      <c r="D430" s="24"/>
      <c r="E430" s="6" t="s">
        <v>779</v>
      </c>
      <c r="F430" s="4">
        <v>1</v>
      </c>
      <c r="G430" s="19">
        <v>1</v>
      </c>
      <c r="H430" s="19"/>
      <c r="I430" s="19">
        <v>2.5</v>
      </c>
      <c r="J430" s="28">
        <f t="shared" si="10"/>
        <v>2.5</v>
      </c>
      <c r="K430" s="8"/>
      <c r="L430" s="8"/>
      <c r="M430" s="8"/>
      <c r="N430" s="8"/>
    </row>
    <row r="431" spans="1:14" ht="15.2" customHeight="1" thickBot="1" x14ac:dyDescent="0.25">
      <c r="A431" s="8"/>
      <c r="B431" s="8"/>
      <c r="C431" s="8"/>
      <c r="D431" s="24"/>
      <c r="E431" s="6" t="s">
        <v>780</v>
      </c>
      <c r="F431" s="4">
        <v>1</v>
      </c>
      <c r="G431" s="19">
        <v>1</v>
      </c>
      <c r="H431" s="19"/>
      <c r="I431" s="19">
        <v>2.5</v>
      </c>
      <c r="J431" s="28">
        <f t="shared" si="10"/>
        <v>2.5</v>
      </c>
      <c r="K431" s="8"/>
      <c r="L431" s="8"/>
      <c r="M431" s="8"/>
      <c r="N431" s="8"/>
    </row>
    <row r="432" spans="1:14" ht="15.2" customHeight="1" thickBot="1" x14ac:dyDescent="0.25">
      <c r="A432" s="8"/>
      <c r="B432" s="8"/>
      <c r="C432" s="8"/>
      <c r="D432" s="24"/>
      <c r="E432" s="6" t="s">
        <v>781</v>
      </c>
      <c r="F432" s="4">
        <v>1</v>
      </c>
      <c r="G432" s="19">
        <v>1</v>
      </c>
      <c r="H432" s="19"/>
      <c r="I432" s="19">
        <v>2.1</v>
      </c>
      <c r="J432" s="28">
        <f t="shared" si="10"/>
        <v>2.1</v>
      </c>
      <c r="K432" s="8"/>
      <c r="L432" s="8"/>
      <c r="M432" s="8"/>
      <c r="N432" s="8"/>
    </row>
    <row r="433" spans="1:14" ht="15.2" customHeight="1" thickBot="1" x14ac:dyDescent="0.25">
      <c r="A433" s="8"/>
      <c r="B433" s="8"/>
      <c r="C433" s="8"/>
      <c r="D433" s="24"/>
      <c r="E433" s="6"/>
      <c r="F433" s="4">
        <v>2</v>
      </c>
      <c r="G433" s="19"/>
      <c r="H433" s="19"/>
      <c r="I433" s="19"/>
      <c r="J433" s="28">
        <f>SUM(J408:J432)</f>
        <v>55.400000000000006</v>
      </c>
      <c r="K433" s="19">
        <f>ROUND(F433*J433,3)</f>
        <v>110.8</v>
      </c>
      <c r="L433" s="8"/>
      <c r="M433" s="8"/>
      <c r="N433" s="8"/>
    </row>
    <row r="434" spans="1:14" ht="15.4" customHeight="1" thickBot="1" x14ac:dyDescent="0.25">
      <c r="A434" s="32"/>
      <c r="B434" s="32"/>
      <c r="C434" s="32"/>
      <c r="D434" s="33" t="s">
        <v>782</v>
      </c>
      <c r="E434" s="34"/>
      <c r="F434" s="34"/>
      <c r="G434" s="34"/>
      <c r="H434" s="34"/>
      <c r="I434" s="34"/>
      <c r="J434" s="34"/>
      <c r="K434" s="34"/>
      <c r="L434" s="35">
        <f>M224+M229+M254+M258+M262+M320+M377</f>
        <v>17274.55</v>
      </c>
      <c r="M434" s="35">
        <f>ROUND(L434,2)</f>
        <v>17274.55</v>
      </c>
      <c r="N434" s="8"/>
    </row>
    <row r="435" spans="1:14" ht="15.4" customHeight="1" thickBot="1" x14ac:dyDescent="0.25">
      <c r="A435" s="36" t="s">
        <v>783</v>
      </c>
      <c r="B435" s="36" t="s">
        <v>784</v>
      </c>
      <c r="C435" s="37"/>
      <c r="D435" s="49" t="s">
        <v>785</v>
      </c>
      <c r="E435" s="49"/>
      <c r="F435" s="49"/>
      <c r="G435" s="49"/>
      <c r="H435" s="49"/>
      <c r="I435" s="49"/>
      <c r="J435" s="49"/>
      <c r="K435" s="37"/>
      <c r="L435" s="38">
        <f>L466</f>
        <v>5422.03</v>
      </c>
      <c r="M435" s="38">
        <f>ROUND(L435,2)</f>
        <v>5422.03</v>
      </c>
      <c r="N435" s="8"/>
    </row>
    <row r="436" spans="1:14" ht="15.4" customHeight="1" thickBot="1" x14ac:dyDescent="0.25">
      <c r="A436" s="12" t="s">
        <v>786</v>
      </c>
      <c r="B436" s="6" t="s">
        <v>787</v>
      </c>
      <c r="C436" s="6" t="s">
        <v>788</v>
      </c>
      <c r="D436" s="48" t="s">
        <v>789</v>
      </c>
      <c r="E436" s="48"/>
      <c r="F436" s="48"/>
      <c r="G436" s="48"/>
      <c r="H436" s="48"/>
      <c r="I436" s="48"/>
      <c r="J436" s="48"/>
      <c r="K436" s="19">
        <f>SUM(K439:K439)</f>
        <v>8</v>
      </c>
      <c r="L436" s="20">
        <f>ROUND(139.64*(1+M2/100),2)</f>
        <v>143.83000000000001</v>
      </c>
      <c r="M436" s="20">
        <f>ROUND(K436*L436,2)</f>
        <v>1150.6400000000001</v>
      </c>
      <c r="N436" s="8"/>
    </row>
    <row r="437" spans="1:14" ht="58.35" customHeight="1" thickBot="1" x14ac:dyDescent="0.25">
      <c r="A437" s="8"/>
      <c r="B437" s="8"/>
      <c r="C437" s="8"/>
      <c r="D437" s="48" t="s">
        <v>790</v>
      </c>
      <c r="E437" s="48"/>
      <c r="F437" s="48"/>
      <c r="G437" s="48"/>
      <c r="H437" s="48"/>
      <c r="I437" s="48"/>
      <c r="J437" s="48"/>
      <c r="K437" s="48"/>
      <c r="L437" s="48"/>
      <c r="M437" s="48"/>
      <c r="N437" s="8"/>
    </row>
    <row r="438" spans="1:14" ht="15.2" customHeight="1" thickBot="1" x14ac:dyDescent="0.25">
      <c r="A438" s="8"/>
      <c r="B438" s="8"/>
      <c r="C438" s="8"/>
      <c r="D438" s="8"/>
      <c r="E438" s="21"/>
      <c r="F438" s="23" t="s">
        <v>791</v>
      </c>
      <c r="G438" s="23" t="s">
        <v>792</v>
      </c>
      <c r="H438" s="23" t="s">
        <v>793</v>
      </c>
      <c r="I438" s="23" t="s">
        <v>794</v>
      </c>
      <c r="J438" s="23" t="s">
        <v>795</v>
      </c>
      <c r="K438" s="23" t="s">
        <v>796</v>
      </c>
      <c r="L438" s="8"/>
      <c r="M438" s="8"/>
      <c r="N438" s="8"/>
    </row>
    <row r="439" spans="1:14" ht="21.4" customHeight="1" thickBot="1" x14ac:dyDescent="0.25">
      <c r="A439" s="8"/>
      <c r="B439" s="8"/>
      <c r="C439" s="8"/>
      <c r="D439" s="24"/>
      <c r="E439" s="25" t="s">
        <v>797</v>
      </c>
      <c r="F439" s="26">
        <v>2</v>
      </c>
      <c r="G439" s="27">
        <v>4</v>
      </c>
      <c r="H439" s="27"/>
      <c r="I439" s="27"/>
      <c r="J439" s="29">
        <f>ROUND(F439*G439,3)</f>
        <v>8</v>
      </c>
      <c r="K439" s="31">
        <f>SUM(J439:J439)</f>
        <v>8</v>
      </c>
      <c r="L439" s="8"/>
      <c r="M439" s="8"/>
      <c r="N439" s="8"/>
    </row>
    <row r="440" spans="1:14" ht="15.4" customHeight="1" thickBot="1" x14ac:dyDescent="0.25">
      <c r="A440" s="12" t="s">
        <v>798</v>
      </c>
      <c r="B440" s="6" t="s">
        <v>799</v>
      </c>
      <c r="C440" s="6" t="s">
        <v>800</v>
      </c>
      <c r="D440" s="48" t="s">
        <v>801</v>
      </c>
      <c r="E440" s="48"/>
      <c r="F440" s="48"/>
      <c r="G440" s="48"/>
      <c r="H440" s="48"/>
      <c r="I440" s="48"/>
      <c r="J440" s="48"/>
      <c r="K440" s="19">
        <f>SUM(K443:K443)</f>
        <v>2</v>
      </c>
      <c r="L440" s="20">
        <f>ROUND(54.9*(1+M2/100),2)</f>
        <v>56.55</v>
      </c>
      <c r="M440" s="20">
        <f>ROUND(K440*L440,2)</f>
        <v>113.1</v>
      </c>
      <c r="N440" s="8"/>
    </row>
    <row r="441" spans="1:14" ht="21.4" customHeight="1" thickBot="1" x14ac:dyDescent="0.25">
      <c r="A441" s="8"/>
      <c r="B441" s="8"/>
      <c r="C441" s="8"/>
      <c r="D441" s="48" t="s">
        <v>802</v>
      </c>
      <c r="E441" s="48"/>
      <c r="F441" s="48"/>
      <c r="G441" s="48"/>
      <c r="H441" s="48"/>
      <c r="I441" s="48"/>
      <c r="J441" s="48"/>
      <c r="K441" s="48"/>
      <c r="L441" s="48"/>
      <c r="M441" s="48"/>
      <c r="N441" s="8"/>
    </row>
    <row r="442" spans="1:14" ht="15.2" customHeight="1" thickBot="1" x14ac:dyDescent="0.25">
      <c r="A442" s="8"/>
      <c r="B442" s="8"/>
      <c r="C442" s="8"/>
      <c r="D442" s="8"/>
      <c r="E442" s="21"/>
      <c r="F442" s="23" t="s">
        <v>803</v>
      </c>
      <c r="G442" s="23" t="s">
        <v>804</v>
      </c>
      <c r="H442" s="23" t="s">
        <v>805</v>
      </c>
      <c r="I442" s="23" t="s">
        <v>806</v>
      </c>
      <c r="J442" s="23" t="s">
        <v>807</v>
      </c>
      <c r="K442" s="23" t="s">
        <v>808</v>
      </c>
      <c r="L442" s="8"/>
      <c r="M442" s="8"/>
      <c r="N442" s="8"/>
    </row>
    <row r="443" spans="1:14" ht="21.4" customHeight="1" thickBot="1" x14ac:dyDescent="0.25">
      <c r="A443" s="8"/>
      <c r="B443" s="8"/>
      <c r="C443" s="8"/>
      <c r="D443" s="24"/>
      <c r="E443" s="25" t="s">
        <v>809</v>
      </c>
      <c r="F443" s="26">
        <v>2</v>
      </c>
      <c r="G443" s="27"/>
      <c r="H443" s="27"/>
      <c r="I443" s="27"/>
      <c r="J443" s="29">
        <f>ROUND(F443,3)</f>
        <v>2</v>
      </c>
      <c r="K443" s="31">
        <f>SUM(J443:J443)</f>
        <v>2</v>
      </c>
      <c r="L443" s="8"/>
      <c r="M443" s="8"/>
      <c r="N443" s="8"/>
    </row>
    <row r="444" spans="1:14" ht="15.4" customHeight="1" thickBot="1" x14ac:dyDescent="0.25">
      <c r="A444" s="12" t="s">
        <v>810</v>
      </c>
      <c r="B444" s="6" t="s">
        <v>811</v>
      </c>
      <c r="C444" s="6" t="s">
        <v>812</v>
      </c>
      <c r="D444" s="48" t="s">
        <v>813</v>
      </c>
      <c r="E444" s="48"/>
      <c r="F444" s="48"/>
      <c r="G444" s="48"/>
      <c r="H444" s="48"/>
      <c r="I444" s="48"/>
      <c r="J444" s="48"/>
      <c r="K444" s="19">
        <f>SUM(K447:K447)</f>
        <v>1</v>
      </c>
      <c r="L444" s="20">
        <f>ROUND(504.34*(1+M2/100),2)</f>
        <v>519.47</v>
      </c>
      <c r="M444" s="20">
        <f>ROUND(K444*L444,2)</f>
        <v>519.47</v>
      </c>
      <c r="N444" s="8"/>
    </row>
    <row r="445" spans="1:14" ht="21.4" customHeight="1" thickBot="1" x14ac:dyDescent="0.25">
      <c r="A445" s="8"/>
      <c r="B445" s="8"/>
      <c r="C445" s="8"/>
      <c r="D445" s="48" t="s">
        <v>814</v>
      </c>
      <c r="E445" s="48"/>
      <c r="F445" s="48"/>
      <c r="G445" s="48"/>
      <c r="H445" s="48"/>
      <c r="I445" s="48"/>
      <c r="J445" s="48"/>
      <c r="K445" s="48"/>
      <c r="L445" s="48"/>
      <c r="M445" s="48"/>
      <c r="N445" s="8"/>
    </row>
    <row r="446" spans="1:14" ht="15.2" customHeight="1" thickBot="1" x14ac:dyDescent="0.25">
      <c r="A446" s="8"/>
      <c r="B446" s="8"/>
      <c r="C446" s="8"/>
      <c r="D446" s="8"/>
      <c r="E446" s="21"/>
      <c r="F446" s="23" t="s">
        <v>815</v>
      </c>
      <c r="G446" s="23" t="s">
        <v>816</v>
      </c>
      <c r="H446" s="23" t="s">
        <v>817</v>
      </c>
      <c r="I446" s="23" t="s">
        <v>818</v>
      </c>
      <c r="J446" s="23" t="s">
        <v>819</v>
      </c>
      <c r="K446" s="23" t="s">
        <v>820</v>
      </c>
      <c r="L446" s="8"/>
      <c r="M446" s="8"/>
      <c r="N446" s="8"/>
    </row>
    <row r="447" spans="1:14" ht="30.6" customHeight="1" thickBot="1" x14ac:dyDescent="0.25">
      <c r="A447" s="8"/>
      <c r="B447" s="8"/>
      <c r="C447" s="8"/>
      <c r="D447" s="24"/>
      <c r="E447" s="25" t="s">
        <v>821</v>
      </c>
      <c r="F447" s="26">
        <v>1</v>
      </c>
      <c r="G447" s="27"/>
      <c r="H447" s="27"/>
      <c r="I447" s="27"/>
      <c r="J447" s="29">
        <f>ROUND(F447,3)</f>
        <v>1</v>
      </c>
      <c r="K447" s="31">
        <f>SUM(J447:J447)</f>
        <v>1</v>
      </c>
      <c r="L447" s="8"/>
      <c r="M447" s="8"/>
      <c r="N447" s="8"/>
    </row>
    <row r="448" spans="1:14" ht="15.4" customHeight="1" thickBot="1" x14ac:dyDescent="0.25">
      <c r="A448" s="12" t="s">
        <v>822</v>
      </c>
      <c r="B448" s="6" t="s">
        <v>823</v>
      </c>
      <c r="C448" s="6" t="s">
        <v>824</v>
      </c>
      <c r="D448" s="48" t="s">
        <v>825</v>
      </c>
      <c r="E448" s="48"/>
      <c r="F448" s="48"/>
      <c r="G448" s="48"/>
      <c r="H448" s="48"/>
      <c r="I448" s="48"/>
      <c r="J448" s="48"/>
      <c r="K448" s="19">
        <f>SUM(K451:K451)</f>
        <v>1</v>
      </c>
      <c r="L448" s="20">
        <f>ROUND(1860.98*(1+M2/100),2)</f>
        <v>1916.81</v>
      </c>
      <c r="M448" s="20">
        <f>ROUND(K448*L448,2)</f>
        <v>1916.81</v>
      </c>
      <c r="N448" s="8"/>
    </row>
    <row r="449" spans="1:14" ht="178.35" customHeight="1" thickBot="1" x14ac:dyDescent="0.25">
      <c r="A449" s="8"/>
      <c r="B449" s="8"/>
      <c r="C449" s="8"/>
      <c r="D449" s="48" t="s">
        <v>826</v>
      </c>
      <c r="E449" s="48"/>
      <c r="F449" s="48"/>
      <c r="G449" s="48"/>
      <c r="H449" s="48"/>
      <c r="I449" s="48"/>
      <c r="J449" s="48"/>
      <c r="K449" s="48"/>
      <c r="L449" s="48"/>
      <c r="M449" s="48"/>
      <c r="N449" s="8"/>
    </row>
    <row r="450" spans="1:14" ht="15.2" customHeight="1" thickBot="1" x14ac:dyDescent="0.25">
      <c r="A450" s="8"/>
      <c r="B450" s="8"/>
      <c r="C450" s="8"/>
      <c r="D450" s="8"/>
      <c r="E450" s="21"/>
      <c r="F450" s="23" t="s">
        <v>827</v>
      </c>
      <c r="G450" s="23" t="s">
        <v>828</v>
      </c>
      <c r="H450" s="23" t="s">
        <v>829</v>
      </c>
      <c r="I450" s="23" t="s">
        <v>830</v>
      </c>
      <c r="J450" s="23" t="s">
        <v>831</v>
      </c>
      <c r="K450" s="23" t="s">
        <v>832</v>
      </c>
      <c r="L450" s="8"/>
      <c r="M450" s="8"/>
      <c r="N450" s="8"/>
    </row>
    <row r="451" spans="1:14" ht="21.4" customHeight="1" thickBot="1" x14ac:dyDescent="0.25">
      <c r="A451" s="8"/>
      <c r="B451" s="8"/>
      <c r="C451" s="8"/>
      <c r="D451" s="24"/>
      <c r="E451" s="25" t="s">
        <v>833</v>
      </c>
      <c r="F451" s="26">
        <v>1</v>
      </c>
      <c r="G451" s="27"/>
      <c r="H451" s="27"/>
      <c r="I451" s="27"/>
      <c r="J451" s="29">
        <f>ROUND(F451,3)</f>
        <v>1</v>
      </c>
      <c r="K451" s="31">
        <f>SUM(J451:J451)</f>
        <v>1</v>
      </c>
      <c r="L451" s="8"/>
      <c r="M451" s="8"/>
      <c r="N451" s="8"/>
    </row>
    <row r="452" spans="1:14" ht="15.4" customHeight="1" thickBot="1" x14ac:dyDescent="0.25">
      <c r="A452" s="12" t="s">
        <v>834</v>
      </c>
      <c r="B452" s="6" t="s">
        <v>835</v>
      </c>
      <c r="C452" s="6" t="s">
        <v>836</v>
      </c>
      <c r="D452" s="48" t="s">
        <v>837</v>
      </c>
      <c r="E452" s="48"/>
      <c r="F452" s="48"/>
      <c r="G452" s="48"/>
      <c r="H452" s="48"/>
      <c r="I452" s="48"/>
      <c r="J452" s="48"/>
      <c r="K452" s="19">
        <f>SUM(K455:K455)</f>
        <v>8</v>
      </c>
      <c r="L452" s="20">
        <f>ROUND(139.64*(1+M2/100),2)</f>
        <v>143.83000000000001</v>
      </c>
      <c r="M452" s="20">
        <f>ROUND(K452*L452,2)</f>
        <v>1150.6400000000001</v>
      </c>
      <c r="N452" s="8"/>
    </row>
    <row r="453" spans="1:14" ht="58.35" customHeight="1" thickBot="1" x14ac:dyDescent="0.25">
      <c r="A453" s="8"/>
      <c r="B453" s="8"/>
      <c r="C453" s="8"/>
      <c r="D453" s="48" t="s">
        <v>838</v>
      </c>
      <c r="E453" s="48"/>
      <c r="F453" s="48"/>
      <c r="G453" s="48"/>
      <c r="H453" s="48"/>
      <c r="I453" s="48"/>
      <c r="J453" s="48"/>
      <c r="K453" s="48"/>
      <c r="L453" s="48"/>
      <c r="M453" s="48"/>
      <c r="N453" s="8"/>
    </row>
    <row r="454" spans="1:14" ht="15.2" customHeight="1" thickBot="1" x14ac:dyDescent="0.25">
      <c r="A454" s="8"/>
      <c r="B454" s="8"/>
      <c r="C454" s="8"/>
      <c r="D454" s="8"/>
      <c r="E454" s="21"/>
      <c r="F454" s="23" t="s">
        <v>839</v>
      </c>
      <c r="G454" s="23" t="s">
        <v>840</v>
      </c>
      <c r="H454" s="23" t="s">
        <v>841</v>
      </c>
      <c r="I454" s="23" t="s">
        <v>842</v>
      </c>
      <c r="J454" s="23" t="s">
        <v>843</v>
      </c>
      <c r="K454" s="23" t="s">
        <v>844</v>
      </c>
      <c r="L454" s="8"/>
      <c r="M454" s="8"/>
      <c r="N454" s="8"/>
    </row>
    <row r="455" spans="1:14" ht="15.2" customHeight="1" thickBot="1" x14ac:dyDescent="0.25">
      <c r="A455" s="8"/>
      <c r="B455" s="8"/>
      <c r="C455" s="8"/>
      <c r="D455" s="24"/>
      <c r="E455" s="25" t="s">
        <v>845</v>
      </c>
      <c r="F455" s="26">
        <v>1</v>
      </c>
      <c r="G455" s="27">
        <v>8</v>
      </c>
      <c r="H455" s="27"/>
      <c r="I455" s="27"/>
      <c r="J455" s="29">
        <f>ROUND(F455*G455,3)</f>
        <v>8</v>
      </c>
      <c r="K455" s="31">
        <f>SUM(J455:J455)</f>
        <v>8</v>
      </c>
      <c r="L455" s="8"/>
      <c r="M455" s="8"/>
      <c r="N455" s="8"/>
    </row>
    <row r="456" spans="1:14" ht="15.4" customHeight="1" thickBot="1" x14ac:dyDescent="0.25">
      <c r="A456" s="12" t="s">
        <v>846</v>
      </c>
      <c r="B456" s="6" t="s">
        <v>847</v>
      </c>
      <c r="C456" s="6" t="s">
        <v>848</v>
      </c>
      <c r="D456" s="48" t="s">
        <v>849</v>
      </c>
      <c r="E456" s="48"/>
      <c r="F456" s="48"/>
      <c r="G456" s="48"/>
      <c r="H456" s="48"/>
      <c r="I456" s="48"/>
      <c r="J456" s="48"/>
      <c r="K456" s="19">
        <f>SUM(K459:K461)</f>
        <v>16</v>
      </c>
      <c r="L456" s="20">
        <f>ROUND(27.18*(1+M2/100),2)</f>
        <v>28</v>
      </c>
      <c r="M456" s="20">
        <f>ROUND(K456*L456,2)</f>
        <v>448</v>
      </c>
      <c r="N456" s="8"/>
    </row>
    <row r="457" spans="1:14" ht="76.900000000000006" customHeight="1" thickBot="1" x14ac:dyDescent="0.25">
      <c r="A457" s="8"/>
      <c r="B457" s="8"/>
      <c r="C457" s="8"/>
      <c r="D457" s="48" t="s">
        <v>850</v>
      </c>
      <c r="E457" s="48"/>
      <c r="F457" s="48"/>
      <c r="G457" s="48"/>
      <c r="H457" s="48"/>
      <c r="I457" s="48"/>
      <c r="J457" s="48"/>
      <c r="K457" s="48"/>
      <c r="L457" s="48"/>
      <c r="M457" s="48"/>
      <c r="N457" s="8"/>
    </row>
    <row r="458" spans="1:14" ht="15.2" customHeight="1" thickBot="1" x14ac:dyDescent="0.25">
      <c r="A458" s="8"/>
      <c r="B458" s="8"/>
      <c r="C458" s="8"/>
      <c r="D458" s="8"/>
      <c r="E458" s="21"/>
      <c r="F458" s="23" t="s">
        <v>851</v>
      </c>
      <c r="G458" s="23" t="s">
        <v>852</v>
      </c>
      <c r="H458" s="23" t="s">
        <v>853</v>
      </c>
      <c r="I458" s="23" t="s">
        <v>854</v>
      </c>
      <c r="J458" s="23" t="s">
        <v>855</v>
      </c>
      <c r="K458" s="23" t="s">
        <v>856</v>
      </c>
      <c r="L458" s="8"/>
      <c r="M458" s="8"/>
      <c r="N458" s="8"/>
    </row>
    <row r="459" spans="1:14" ht="21.4" customHeight="1" thickBot="1" x14ac:dyDescent="0.25">
      <c r="A459" s="8"/>
      <c r="B459" s="8"/>
      <c r="C459" s="8"/>
      <c r="D459" s="24"/>
      <c r="E459" s="25" t="s">
        <v>857</v>
      </c>
      <c r="F459" s="26">
        <v>2</v>
      </c>
      <c r="G459" s="27">
        <v>4</v>
      </c>
      <c r="H459" s="27"/>
      <c r="I459" s="27"/>
      <c r="J459" s="29">
        <f>ROUND(F459*G459,3)</f>
        <v>8</v>
      </c>
      <c r="K459" s="31">
        <f>SUM(J459:J459)</f>
        <v>8</v>
      </c>
      <c r="L459" s="8"/>
      <c r="M459" s="8"/>
      <c r="N459" s="8"/>
    </row>
    <row r="460" spans="1:14" ht="15.2" customHeight="1" thickBot="1" x14ac:dyDescent="0.25">
      <c r="A460" s="8"/>
      <c r="B460" s="8"/>
      <c r="C460" s="8"/>
      <c r="D460" s="8"/>
      <c r="E460" s="21"/>
      <c r="F460" s="23" t="s">
        <v>858</v>
      </c>
      <c r="G460" s="23" t="s">
        <v>859</v>
      </c>
      <c r="H460" s="23" t="s">
        <v>860</v>
      </c>
      <c r="I460" s="23" t="s">
        <v>861</v>
      </c>
      <c r="J460" s="23" t="s">
        <v>862</v>
      </c>
      <c r="K460" s="23" t="s">
        <v>863</v>
      </c>
      <c r="L460" s="8"/>
      <c r="M460" s="8"/>
      <c r="N460" s="8"/>
    </row>
    <row r="461" spans="1:14" ht="15.2" customHeight="1" thickBot="1" x14ac:dyDescent="0.25">
      <c r="A461" s="8"/>
      <c r="B461" s="8"/>
      <c r="C461" s="8"/>
      <c r="D461" s="24"/>
      <c r="E461" s="25" t="s">
        <v>864</v>
      </c>
      <c r="F461" s="26">
        <v>1</v>
      </c>
      <c r="G461" s="27">
        <v>8</v>
      </c>
      <c r="H461" s="27"/>
      <c r="I461" s="27"/>
      <c r="J461" s="29">
        <f>ROUND(F461*G461,3)</f>
        <v>8</v>
      </c>
      <c r="K461" s="31">
        <f>SUM(J461:J461)</f>
        <v>8</v>
      </c>
      <c r="L461" s="8"/>
      <c r="M461" s="8"/>
      <c r="N461" s="8"/>
    </row>
    <row r="462" spans="1:14" ht="15.4" customHeight="1" thickBot="1" x14ac:dyDescent="0.25">
      <c r="A462" s="12" t="s">
        <v>865</v>
      </c>
      <c r="B462" s="6" t="s">
        <v>866</v>
      </c>
      <c r="C462" s="6" t="s">
        <v>867</v>
      </c>
      <c r="D462" s="48" t="s">
        <v>868</v>
      </c>
      <c r="E462" s="48"/>
      <c r="F462" s="48"/>
      <c r="G462" s="48"/>
      <c r="H462" s="48"/>
      <c r="I462" s="48"/>
      <c r="J462" s="48"/>
      <c r="K462" s="19">
        <f>SUM(K465:K465)</f>
        <v>1</v>
      </c>
      <c r="L462" s="20">
        <f>ROUND(119.78*(1+M2/100),2)</f>
        <v>123.37</v>
      </c>
      <c r="M462" s="20">
        <f>ROUND(K462*L462,2)</f>
        <v>123.37</v>
      </c>
      <c r="N462" s="8"/>
    </row>
    <row r="463" spans="1:14" ht="12.2" customHeight="1" thickBot="1" x14ac:dyDescent="0.25">
      <c r="A463" s="8"/>
      <c r="B463" s="8"/>
      <c r="C463" s="8"/>
      <c r="D463" s="48" t="s">
        <v>869</v>
      </c>
      <c r="E463" s="48"/>
      <c r="F463" s="48"/>
      <c r="G463" s="48"/>
      <c r="H463" s="48"/>
      <c r="I463" s="48"/>
      <c r="J463" s="48"/>
      <c r="K463" s="48"/>
      <c r="L463" s="48"/>
      <c r="M463" s="48"/>
      <c r="N463" s="8"/>
    </row>
    <row r="464" spans="1:14" ht="15.2" customHeight="1" thickBot="1" x14ac:dyDescent="0.25">
      <c r="A464" s="8"/>
      <c r="B464" s="8"/>
      <c r="C464" s="8"/>
      <c r="D464" s="8"/>
      <c r="E464" s="21"/>
      <c r="F464" s="23" t="s">
        <v>870</v>
      </c>
      <c r="G464" s="23" t="s">
        <v>871</v>
      </c>
      <c r="H464" s="23" t="s">
        <v>872</v>
      </c>
      <c r="I464" s="23" t="s">
        <v>873</v>
      </c>
      <c r="J464" s="23" t="s">
        <v>874</v>
      </c>
      <c r="K464" s="23" t="s">
        <v>875</v>
      </c>
      <c r="L464" s="8"/>
      <c r="M464" s="8"/>
      <c r="N464" s="8"/>
    </row>
    <row r="465" spans="1:14" ht="15.2" customHeight="1" thickBot="1" x14ac:dyDescent="0.25">
      <c r="A465" s="8"/>
      <c r="B465" s="8"/>
      <c r="C465" s="8"/>
      <c r="D465" s="24"/>
      <c r="E465" s="25" t="s">
        <v>876</v>
      </c>
      <c r="F465" s="26">
        <v>1</v>
      </c>
      <c r="G465" s="27"/>
      <c r="H465" s="27"/>
      <c r="I465" s="27"/>
      <c r="J465" s="29">
        <f>ROUND(F465,3)</f>
        <v>1</v>
      </c>
      <c r="K465" s="31">
        <f>SUM(J465:J465)</f>
        <v>1</v>
      </c>
      <c r="L465" s="8"/>
      <c r="M465" s="8"/>
      <c r="N465" s="8"/>
    </row>
    <row r="466" spans="1:14" ht="15.4" customHeight="1" thickBot="1" x14ac:dyDescent="0.25">
      <c r="A466" s="32"/>
      <c r="B466" s="32"/>
      <c r="C466" s="32"/>
      <c r="D466" s="33" t="s">
        <v>877</v>
      </c>
      <c r="E466" s="34"/>
      <c r="F466" s="34"/>
      <c r="G466" s="34"/>
      <c r="H466" s="34"/>
      <c r="I466" s="34"/>
      <c r="J466" s="34"/>
      <c r="K466" s="34"/>
      <c r="L466" s="35">
        <f>M436+M440+M444+M448+M452+M456+M462</f>
        <v>5422.03</v>
      </c>
      <c r="M466" s="35">
        <f>ROUND(L466,2)</f>
        <v>5422.03</v>
      </c>
      <c r="N466" s="8"/>
    </row>
    <row r="467" spans="1:14" ht="15.4" customHeight="1" thickBot="1" x14ac:dyDescent="0.25">
      <c r="A467" s="36" t="s">
        <v>878</v>
      </c>
      <c r="B467" s="36" t="s">
        <v>879</v>
      </c>
      <c r="C467" s="37"/>
      <c r="D467" s="49" t="s">
        <v>880</v>
      </c>
      <c r="E467" s="49"/>
      <c r="F467" s="49"/>
      <c r="G467" s="49"/>
      <c r="H467" s="49"/>
      <c r="I467" s="49"/>
      <c r="J467" s="49"/>
      <c r="K467" s="37"/>
      <c r="L467" s="38">
        <f>L480</f>
        <v>1320.16</v>
      </c>
      <c r="M467" s="38">
        <f>ROUND(L467,2)</f>
        <v>1320.16</v>
      </c>
      <c r="N467" s="8"/>
    </row>
    <row r="468" spans="1:14" ht="15.4" customHeight="1" thickBot="1" x14ac:dyDescent="0.25">
      <c r="A468" s="12" t="s">
        <v>881</v>
      </c>
      <c r="B468" s="6" t="s">
        <v>882</v>
      </c>
      <c r="C468" s="6" t="s">
        <v>883</v>
      </c>
      <c r="D468" s="48" t="s">
        <v>884</v>
      </c>
      <c r="E468" s="48"/>
      <c r="F468" s="48"/>
      <c r="G468" s="48"/>
      <c r="H468" s="48"/>
      <c r="I468" s="48"/>
      <c r="J468" s="48"/>
      <c r="K468" s="19">
        <f>SUM(K471:K475)</f>
        <v>34.5</v>
      </c>
      <c r="L468" s="20">
        <f>ROUND(33.14*(1+M2/100),2)</f>
        <v>34.130000000000003</v>
      </c>
      <c r="M468" s="20">
        <f>ROUND(K468*L468,2)</f>
        <v>1177.49</v>
      </c>
      <c r="N468" s="8"/>
    </row>
    <row r="469" spans="1:14" ht="132.19999999999999" customHeight="1" thickBot="1" x14ac:dyDescent="0.25">
      <c r="A469" s="8"/>
      <c r="B469" s="8"/>
      <c r="C469" s="8"/>
      <c r="D469" s="48" t="s">
        <v>885</v>
      </c>
      <c r="E469" s="48"/>
      <c r="F469" s="48"/>
      <c r="G469" s="48"/>
      <c r="H469" s="48"/>
      <c r="I469" s="48"/>
      <c r="J469" s="48"/>
      <c r="K469" s="48"/>
      <c r="L469" s="48"/>
      <c r="M469" s="48"/>
      <c r="N469" s="8"/>
    </row>
    <row r="470" spans="1:14" ht="15.2" customHeight="1" thickBot="1" x14ac:dyDescent="0.25">
      <c r="A470" s="8"/>
      <c r="B470" s="8"/>
      <c r="C470" s="8"/>
      <c r="D470" s="8"/>
      <c r="E470" s="21"/>
      <c r="F470" s="23" t="s">
        <v>886</v>
      </c>
      <c r="G470" s="23" t="s">
        <v>887</v>
      </c>
      <c r="H470" s="23" t="s">
        <v>888</v>
      </c>
      <c r="I470" s="23" t="s">
        <v>889</v>
      </c>
      <c r="J470" s="23" t="s">
        <v>890</v>
      </c>
      <c r="K470" s="23" t="s">
        <v>891</v>
      </c>
      <c r="L470" s="8"/>
      <c r="M470" s="8"/>
      <c r="N470" s="8"/>
    </row>
    <row r="471" spans="1:14" ht="15.2" customHeight="1" thickBot="1" x14ac:dyDescent="0.25">
      <c r="A471" s="8"/>
      <c r="B471" s="8"/>
      <c r="C471" s="8"/>
      <c r="D471" s="24"/>
      <c r="E471" s="25"/>
      <c r="F471" s="26"/>
      <c r="G471" s="27"/>
      <c r="H471" s="27"/>
      <c r="I471" s="27"/>
      <c r="J471" s="40" t="s">
        <v>892</v>
      </c>
      <c r="K471" s="39"/>
      <c r="L471" s="8"/>
      <c r="M471" s="8"/>
      <c r="N471" s="8"/>
    </row>
    <row r="472" spans="1:14" ht="21.4" customHeight="1" thickBot="1" x14ac:dyDescent="0.25">
      <c r="A472" s="8"/>
      <c r="B472" s="8"/>
      <c r="C472" s="8"/>
      <c r="D472" s="24"/>
      <c r="E472" s="6" t="s">
        <v>893</v>
      </c>
      <c r="F472" s="4">
        <v>1</v>
      </c>
      <c r="G472" s="19">
        <v>6</v>
      </c>
      <c r="H472" s="19"/>
      <c r="I472" s="19"/>
      <c r="J472" s="28">
        <f>ROUND(F472*G472,3)</f>
        <v>6</v>
      </c>
      <c r="K472" s="8"/>
      <c r="L472" s="8"/>
      <c r="M472" s="8"/>
      <c r="N472" s="8"/>
    </row>
    <row r="473" spans="1:14" ht="30.6" customHeight="1" thickBot="1" x14ac:dyDescent="0.25">
      <c r="A473" s="8"/>
      <c r="B473" s="8"/>
      <c r="C473" s="8"/>
      <c r="D473" s="24"/>
      <c r="E473" s="6" t="s">
        <v>894</v>
      </c>
      <c r="F473" s="4">
        <v>1</v>
      </c>
      <c r="G473" s="19">
        <v>9</v>
      </c>
      <c r="H473" s="19"/>
      <c r="I473" s="19"/>
      <c r="J473" s="28">
        <f>ROUND(F473*G473,3)</f>
        <v>9</v>
      </c>
      <c r="K473" s="8"/>
      <c r="L473" s="8"/>
      <c r="M473" s="8"/>
      <c r="N473" s="8"/>
    </row>
    <row r="474" spans="1:14" ht="21.4" customHeight="1" thickBot="1" x14ac:dyDescent="0.25">
      <c r="A474" s="8"/>
      <c r="B474" s="8"/>
      <c r="C474" s="8"/>
      <c r="D474" s="24"/>
      <c r="E474" s="6" t="s">
        <v>895</v>
      </c>
      <c r="F474" s="4">
        <v>1</v>
      </c>
      <c r="G474" s="19">
        <v>14</v>
      </c>
      <c r="H474" s="19"/>
      <c r="I474" s="19"/>
      <c r="J474" s="28">
        <f>ROUND(F474*G474,3)</f>
        <v>14</v>
      </c>
      <c r="K474" s="8"/>
      <c r="L474" s="8"/>
      <c r="M474" s="8"/>
      <c r="N474" s="8"/>
    </row>
    <row r="475" spans="1:14" ht="21.4" customHeight="1" thickBot="1" x14ac:dyDescent="0.25">
      <c r="A475" s="8"/>
      <c r="B475" s="8"/>
      <c r="C475" s="8"/>
      <c r="D475" s="24"/>
      <c r="E475" s="6" t="s">
        <v>896</v>
      </c>
      <c r="F475" s="4">
        <v>1</v>
      </c>
      <c r="G475" s="19">
        <v>5.5</v>
      </c>
      <c r="H475" s="19"/>
      <c r="I475" s="19"/>
      <c r="J475" s="28">
        <f>ROUND(F475*G475,3)</f>
        <v>5.5</v>
      </c>
      <c r="K475" s="30">
        <f>SUM(J471:J475)</f>
        <v>34.5</v>
      </c>
      <c r="L475" s="8"/>
      <c r="M475" s="8"/>
      <c r="N475" s="8"/>
    </row>
    <row r="476" spans="1:14" ht="15.4" customHeight="1" thickBot="1" x14ac:dyDescent="0.25">
      <c r="A476" s="12" t="s">
        <v>897</v>
      </c>
      <c r="B476" s="6" t="s">
        <v>898</v>
      </c>
      <c r="C476" s="6" t="s">
        <v>899</v>
      </c>
      <c r="D476" s="48" t="s">
        <v>900</v>
      </c>
      <c r="E476" s="48"/>
      <c r="F476" s="48"/>
      <c r="G476" s="48"/>
      <c r="H476" s="48"/>
      <c r="I476" s="48"/>
      <c r="J476" s="48"/>
      <c r="K476" s="19">
        <f>SUM(K479:K479)</f>
        <v>5.5</v>
      </c>
      <c r="L476" s="20">
        <f>ROUND(25.18*(1+M2/100),2)</f>
        <v>25.94</v>
      </c>
      <c r="M476" s="20">
        <f>ROUND(K476*L476,2)</f>
        <v>142.66999999999999</v>
      </c>
      <c r="N476" s="8"/>
    </row>
    <row r="477" spans="1:14" ht="113.85" customHeight="1" thickBot="1" x14ac:dyDescent="0.25">
      <c r="A477" s="8"/>
      <c r="B477" s="8"/>
      <c r="C477" s="8"/>
      <c r="D477" s="48" t="s">
        <v>901</v>
      </c>
      <c r="E477" s="48"/>
      <c r="F477" s="48"/>
      <c r="G477" s="48"/>
      <c r="H477" s="48"/>
      <c r="I477" s="48"/>
      <c r="J477" s="48"/>
      <c r="K477" s="48"/>
      <c r="L477" s="48"/>
      <c r="M477" s="48"/>
      <c r="N477" s="8"/>
    </row>
    <row r="478" spans="1:14" ht="15.2" customHeight="1" thickBot="1" x14ac:dyDescent="0.25">
      <c r="A478" s="8"/>
      <c r="B478" s="8"/>
      <c r="C478" s="8"/>
      <c r="D478" s="8"/>
      <c r="E478" s="21"/>
      <c r="F478" s="23" t="s">
        <v>902</v>
      </c>
      <c r="G478" s="23" t="s">
        <v>903</v>
      </c>
      <c r="H478" s="23" t="s">
        <v>904</v>
      </c>
      <c r="I478" s="23" t="s">
        <v>905</v>
      </c>
      <c r="J478" s="23" t="s">
        <v>906</v>
      </c>
      <c r="K478" s="23" t="s">
        <v>907</v>
      </c>
      <c r="L478" s="8"/>
      <c r="M478" s="8"/>
      <c r="N478" s="8"/>
    </row>
    <row r="479" spans="1:14" ht="21.4" customHeight="1" thickBot="1" x14ac:dyDescent="0.25">
      <c r="A479" s="8"/>
      <c r="B479" s="8"/>
      <c r="C479" s="8"/>
      <c r="D479" s="24"/>
      <c r="E479" s="25" t="s">
        <v>908</v>
      </c>
      <c r="F479" s="26">
        <v>1</v>
      </c>
      <c r="G479" s="27">
        <v>5.5</v>
      </c>
      <c r="H479" s="27"/>
      <c r="I479" s="27"/>
      <c r="J479" s="29">
        <f>ROUND(F479*G479,3)</f>
        <v>5.5</v>
      </c>
      <c r="K479" s="31">
        <f>SUM(J479:J479)</f>
        <v>5.5</v>
      </c>
      <c r="L479" s="8"/>
      <c r="M479" s="8"/>
      <c r="N479" s="8"/>
    </row>
    <row r="480" spans="1:14" ht="15.4" customHeight="1" thickBot="1" x14ac:dyDescent="0.25">
      <c r="A480" s="32"/>
      <c r="B480" s="32"/>
      <c r="C480" s="32"/>
      <c r="D480" s="33" t="s">
        <v>909</v>
      </c>
      <c r="E480" s="34"/>
      <c r="F480" s="34"/>
      <c r="G480" s="34"/>
      <c r="H480" s="34"/>
      <c r="I480" s="34"/>
      <c r="J480" s="34"/>
      <c r="K480" s="34"/>
      <c r="L480" s="35">
        <f>M468+M476</f>
        <v>1320.16</v>
      </c>
      <c r="M480" s="35">
        <f>ROUND(L480,2)</f>
        <v>1320.16</v>
      </c>
      <c r="N480" s="8"/>
    </row>
    <row r="481" spans="1:14" ht="15.4" customHeight="1" thickBot="1" x14ac:dyDescent="0.25">
      <c r="A481" s="36" t="s">
        <v>910</v>
      </c>
      <c r="B481" s="36" t="s">
        <v>911</v>
      </c>
      <c r="C481" s="37"/>
      <c r="D481" s="49" t="s">
        <v>912</v>
      </c>
      <c r="E481" s="49"/>
      <c r="F481" s="49"/>
      <c r="G481" s="49"/>
      <c r="H481" s="49"/>
      <c r="I481" s="49"/>
      <c r="J481" s="49"/>
      <c r="K481" s="37"/>
      <c r="L481" s="38">
        <f>L546</f>
        <v>66725.179999999993</v>
      </c>
      <c r="M481" s="38">
        <f>ROUND(L481,2)</f>
        <v>66725.179999999993</v>
      </c>
      <c r="N481" s="8"/>
    </row>
    <row r="482" spans="1:14" ht="15.4" customHeight="1" thickBot="1" x14ac:dyDescent="0.25">
      <c r="A482" s="12" t="s">
        <v>913</v>
      </c>
      <c r="B482" s="6" t="s">
        <v>914</v>
      </c>
      <c r="C482" s="6" t="s">
        <v>915</v>
      </c>
      <c r="D482" s="48" t="s">
        <v>916</v>
      </c>
      <c r="E482" s="48"/>
      <c r="F482" s="48"/>
      <c r="G482" s="48"/>
      <c r="H482" s="48"/>
      <c r="I482" s="48"/>
      <c r="J482" s="48"/>
      <c r="K482" s="19">
        <f>SUM(K485:K509)</f>
        <v>101.50800000000002</v>
      </c>
      <c r="L482" s="20">
        <f>ROUND(329.89*(1+M2/100),2)</f>
        <v>339.79</v>
      </c>
      <c r="M482" s="20">
        <f>ROUND(K482*L482,2)</f>
        <v>34491.4</v>
      </c>
      <c r="N482" s="8"/>
    </row>
    <row r="483" spans="1:14" ht="86.1" customHeight="1" thickBot="1" x14ac:dyDescent="0.25">
      <c r="A483" s="8"/>
      <c r="B483" s="8"/>
      <c r="C483" s="8"/>
      <c r="D483" s="48" t="s">
        <v>917</v>
      </c>
      <c r="E483" s="48"/>
      <c r="F483" s="48"/>
      <c r="G483" s="48"/>
      <c r="H483" s="48"/>
      <c r="I483" s="48"/>
      <c r="J483" s="48"/>
      <c r="K483" s="48"/>
      <c r="L483" s="48"/>
      <c r="M483" s="48"/>
      <c r="N483" s="8"/>
    </row>
    <row r="484" spans="1:14" ht="15.2" customHeight="1" thickBot="1" x14ac:dyDescent="0.25">
      <c r="A484" s="8"/>
      <c r="B484" s="8"/>
      <c r="C484" s="8"/>
      <c r="D484" s="8"/>
      <c r="E484" s="21"/>
      <c r="F484" s="23" t="s">
        <v>918</v>
      </c>
      <c r="G484" s="23" t="s">
        <v>919</v>
      </c>
      <c r="H484" s="23" t="s">
        <v>920</v>
      </c>
      <c r="I484" s="23" t="s">
        <v>921</v>
      </c>
      <c r="J484" s="23" t="s">
        <v>922</v>
      </c>
      <c r="K484" s="23" t="s">
        <v>923</v>
      </c>
      <c r="L484" s="8"/>
      <c r="M484" s="8"/>
      <c r="N484" s="8"/>
    </row>
    <row r="485" spans="1:14" ht="15.2" customHeight="1" thickBot="1" x14ac:dyDescent="0.25">
      <c r="A485" s="8"/>
      <c r="B485" s="8"/>
      <c r="C485" s="8"/>
      <c r="D485" s="24"/>
      <c r="E485" s="25" t="s">
        <v>924</v>
      </c>
      <c r="F485" s="26">
        <v>1</v>
      </c>
      <c r="G485" s="27">
        <v>1.4</v>
      </c>
      <c r="H485" s="27"/>
      <c r="I485" s="27">
        <v>1.1499999999999999</v>
      </c>
      <c r="J485" s="29">
        <f t="shared" ref="J485:J509" si="11">ROUND(F485*G485*I485,3)</f>
        <v>1.61</v>
      </c>
      <c r="K485" s="39"/>
      <c r="L485" s="8"/>
      <c r="M485" s="8"/>
      <c r="N485" s="8"/>
    </row>
    <row r="486" spans="1:14" ht="15.2" customHeight="1" thickBot="1" x14ac:dyDescent="0.25">
      <c r="A486" s="8"/>
      <c r="B486" s="8"/>
      <c r="C486" s="8"/>
      <c r="D486" s="24"/>
      <c r="E486" s="6" t="s">
        <v>925</v>
      </c>
      <c r="F486" s="4">
        <v>2</v>
      </c>
      <c r="G486" s="19">
        <v>1.2</v>
      </c>
      <c r="H486" s="19"/>
      <c r="I486" s="19">
        <v>1.1499999999999999</v>
      </c>
      <c r="J486" s="28">
        <f t="shared" si="11"/>
        <v>2.76</v>
      </c>
      <c r="K486" s="8"/>
      <c r="L486" s="8"/>
      <c r="M486" s="8"/>
      <c r="N486" s="8"/>
    </row>
    <row r="487" spans="1:14" ht="15.2" customHeight="1" thickBot="1" x14ac:dyDescent="0.25">
      <c r="A487" s="8"/>
      <c r="B487" s="8"/>
      <c r="C487" s="8"/>
      <c r="D487" s="24"/>
      <c r="E487" s="6" t="s">
        <v>926</v>
      </c>
      <c r="F487" s="4">
        <v>1</v>
      </c>
      <c r="G487" s="19">
        <v>1.55</v>
      </c>
      <c r="H487" s="19"/>
      <c r="I487" s="19">
        <v>1.1499999999999999</v>
      </c>
      <c r="J487" s="28">
        <f t="shared" si="11"/>
        <v>1.7829999999999999</v>
      </c>
      <c r="K487" s="8"/>
      <c r="L487" s="8"/>
      <c r="M487" s="8"/>
      <c r="N487" s="8"/>
    </row>
    <row r="488" spans="1:14" ht="15.2" customHeight="1" thickBot="1" x14ac:dyDescent="0.25">
      <c r="A488" s="8"/>
      <c r="B488" s="8"/>
      <c r="C488" s="8"/>
      <c r="D488" s="24"/>
      <c r="E488" s="6" t="s">
        <v>927</v>
      </c>
      <c r="F488" s="4">
        <v>2</v>
      </c>
      <c r="G488" s="19">
        <v>2.4</v>
      </c>
      <c r="H488" s="19"/>
      <c r="I488" s="19">
        <v>1.2</v>
      </c>
      <c r="J488" s="28">
        <f t="shared" si="11"/>
        <v>5.76</v>
      </c>
      <c r="K488" s="8"/>
      <c r="L488" s="8"/>
      <c r="M488" s="8"/>
      <c r="N488" s="8"/>
    </row>
    <row r="489" spans="1:14" ht="15.2" customHeight="1" thickBot="1" x14ac:dyDescent="0.25">
      <c r="A489" s="8"/>
      <c r="B489" s="8"/>
      <c r="C489" s="8"/>
      <c r="D489" s="24"/>
      <c r="E489" s="6" t="s">
        <v>928</v>
      </c>
      <c r="F489" s="4">
        <v>1</v>
      </c>
      <c r="G489" s="19">
        <v>2.4</v>
      </c>
      <c r="H489" s="19"/>
      <c r="I489" s="19">
        <v>1.2</v>
      </c>
      <c r="J489" s="28">
        <f t="shared" si="11"/>
        <v>2.88</v>
      </c>
      <c r="K489" s="8"/>
      <c r="L489" s="8"/>
      <c r="M489" s="8"/>
      <c r="N489" s="8"/>
    </row>
    <row r="490" spans="1:14" ht="15.2" customHeight="1" thickBot="1" x14ac:dyDescent="0.25">
      <c r="A490" s="8"/>
      <c r="B490" s="8"/>
      <c r="C490" s="8"/>
      <c r="D490" s="24"/>
      <c r="E490" s="6" t="s">
        <v>929</v>
      </c>
      <c r="F490" s="4">
        <v>2</v>
      </c>
      <c r="G490" s="19">
        <v>1</v>
      </c>
      <c r="H490" s="19"/>
      <c r="I490" s="19">
        <v>1.2</v>
      </c>
      <c r="J490" s="28">
        <f t="shared" si="11"/>
        <v>2.4</v>
      </c>
      <c r="K490" s="8"/>
      <c r="L490" s="8"/>
      <c r="M490" s="8"/>
      <c r="N490" s="8"/>
    </row>
    <row r="491" spans="1:14" ht="15.2" customHeight="1" thickBot="1" x14ac:dyDescent="0.25">
      <c r="A491" s="8"/>
      <c r="B491" s="8"/>
      <c r="C491" s="8"/>
      <c r="D491" s="24"/>
      <c r="E491" s="6" t="s">
        <v>930</v>
      </c>
      <c r="F491" s="4">
        <v>2</v>
      </c>
      <c r="G491" s="19">
        <v>1.7</v>
      </c>
      <c r="H491" s="19"/>
      <c r="I491" s="19">
        <v>1.2</v>
      </c>
      <c r="J491" s="28">
        <f t="shared" si="11"/>
        <v>4.08</v>
      </c>
      <c r="K491" s="8"/>
      <c r="L491" s="8"/>
      <c r="M491" s="8"/>
      <c r="N491" s="8"/>
    </row>
    <row r="492" spans="1:14" ht="15.2" customHeight="1" thickBot="1" x14ac:dyDescent="0.25">
      <c r="A492" s="8"/>
      <c r="B492" s="8"/>
      <c r="C492" s="8"/>
      <c r="D492" s="24"/>
      <c r="E492" s="6" t="s">
        <v>931</v>
      </c>
      <c r="F492" s="4">
        <v>1</v>
      </c>
      <c r="G492" s="19">
        <v>1.7</v>
      </c>
      <c r="H492" s="19"/>
      <c r="I492" s="19">
        <v>1.2</v>
      </c>
      <c r="J492" s="28">
        <f t="shared" si="11"/>
        <v>2.04</v>
      </c>
      <c r="K492" s="8"/>
      <c r="L492" s="8"/>
      <c r="M492" s="8"/>
      <c r="N492" s="8"/>
    </row>
    <row r="493" spans="1:14" ht="15.2" customHeight="1" thickBot="1" x14ac:dyDescent="0.25">
      <c r="A493" s="8"/>
      <c r="B493" s="8"/>
      <c r="C493" s="8"/>
      <c r="D493" s="24"/>
      <c r="E493" s="6" t="s">
        <v>932</v>
      </c>
      <c r="F493" s="4">
        <v>1</v>
      </c>
      <c r="G493" s="19">
        <v>1.7</v>
      </c>
      <c r="H493" s="19"/>
      <c r="I493" s="19">
        <v>1.2</v>
      </c>
      <c r="J493" s="28">
        <f t="shared" si="11"/>
        <v>2.04</v>
      </c>
      <c r="K493" s="8"/>
      <c r="L493" s="8"/>
      <c r="M493" s="8"/>
      <c r="N493" s="8"/>
    </row>
    <row r="494" spans="1:14" ht="15.2" customHeight="1" thickBot="1" x14ac:dyDescent="0.25">
      <c r="A494" s="8"/>
      <c r="B494" s="8"/>
      <c r="C494" s="8"/>
      <c r="D494" s="24"/>
      <c r="E494" s="6" t="s">
        <v>933</v>
      </c>
      <c r="F494" s="4">
        <v>4</v>
      </c>
      <c r="G494" s="19">
        <v>0.8</v>
      </c>
      <c r="H494" s="19"/>
      <c r="I494" s="19">
        <v>1.2</v>
      </c>
      <c r="J494" s="28">
        <f t="shared" si="11"/>
        <v>3.84</v>
      </c>
      <c r="K494" s="8"/>
      <c r="L494" s="8"/>
      <c r="M494" s="8"/>
      <c r="N494" s="8"/>
    </row>
    <row r="495" spans="1:14" ht="15.2" customHeight="1" thickBot="1" x14ac:dyDescent="0.25">
      <c r="A495" s="8"/>
      <c r="B495" s="8"/>
      <c r="C495" s="8"/>
      <c r="D495" s="24"/>
      <c r="E495" s="6" t="s">
        <v>934</v>
      </c>
      <c r="F495" s="4">
        <v>1</v>
      </c>
      <c r="G495" s="19">
        <v>6.5</v>
      </c>
      <c r="H495" s="19"/>
      <c r="I495" s="19">
        <v>1.6</v>
      </c>
      <c r="J495" s="28">
        <f t="shared" si="11"/>
        <v>10.4</v>
      </c>
      <c r="K495" s="8"/>
      <c r="L495" s="8"/>
      <c r="M495" s="8"/>
      <c r="N495" s="8"/>
    </row>
    <row r="496" spans="1:14" ht="15.2" customHeight="1" thickBot="1" x14ac:dyDescent="0.25">
      <c r="A496" s="8"/>
      <c r="B496" s="8"/>
      <c r="C496" s="8"/>
      <c r="D496" s="24"/>
      <c r="E496" s="6" t="s">
        <v>935</v>
      </c>
      <c r="F496" s="4">
        <v>1</v>
      </c>
      <c r="G496" s="19">
        <v>2.5</v>
      </c>
      <c r="H496" s="19"/>
      <c r="I496" s="19">
        <v>1.2</v>
      </c>
      <c r="J496" s="28">
        <f t="shared" si="11"/>
        <v>3</v>
      </c>
      <c r="K496" s="8"/>
      <c r="L496" s="8"/>
      <c r="M496" s="8"/>
      <c r="N496" s="8"/>
    </row>
    <row r="497" spans="1:14" ht="15.2" customHeight="1" thickBot="1" x14ac:dyDescent="0.25">
      <c r="A497" s="8"/>
      <c r="B497" s="8"/>
      <c r="C497" s="8"/>
      <c r="D497" s="24"/>
      <c r="E497" s="6" t="s">
        <v>936</v>
      </c>
      <c r="F497" s="4">
        <v>1</v>
      </c>
      <c r="G497" s="19">
        <v>1.65</v>
      </c>
      <c r="H497" s="19"/>
      <c r="I497" s="19">
        <v>1.2</v>
      </c>
      <c r="J497" s="28">
        <f t="shared" si="11"/>
        <v>1.98</v>
      </c>
      <c r="K497" s="8"/>
      <c r="L497" s="8"/>
      <c r="M497" s="8"/>
      <c r="N497" s="8"/>
    </row>
    <row r="498" spans="1:14" ht="15.2" customHeight="1" thickBot="1" x14ac:dyDescent="0.25">
      <c r="A498" s="8"/>
      <c r="B498" s="8"/>
      <c r="C498" s="8"/>
      <c r="D498" s="24"/>
      <c r="E498" s="6" t="s">
        <v>937</v>
      </c>
      <c r="F498" s="4">
        <v>11</v>
      </c>
      <c r="G498" s="19">
        <v>2</v>
      </c>
      <c r="H498" s="19"/>
      <c r="I498" s="19">
        <v>1.1000000000000001</v>
      </c>
      <c r="J498" s="28">
        <f t="shared" si="11"/>
        <v>24.2</v>
      </c>
      <c r="K498" s="8"/>
      <c r="L498" s="8"/>
      <c r="M498" s="8"/>
      <c r="N498" s="8"/>
    </row>
    <row r="499" spans="1:14" ht="15.2" customHeight="1" thickBot="1" x14ac:dyDescent="0.25">
      <c r="A499" s="8"/>
      <c r="B499" s="8"/>
      <c r="C499" s="8"/>
      <c r="D499" s="24"/>
      <c r="E499" s="6" t="s">
        <v>938</v>
      </c>
      <c r="F499" s="4">
        <v>1</v>
      </c>
      <c r="G499" s="19">
        <v>2</v>
      </c>
      <c r="H499" s="19"/>
      <c r="I499" s="19">
        <v>1.1000000000000001</v>
      </c>
      <c r="J499" s="28">
        <f t="shared" si="11"/>
        <v>2.2000000000000002</v>
      </c>
      <c r="K499" s="8"/>
      <c r="L499" s="8"/>
      <c r="M499" s="8"/>
      <c r="N499" s="8"/>
    </row>
    <row r="500" spans="1:14" ht="15.2" customHeight="1" thickBot="1" x14ac:dyDescent="0.25">
      <c r="A500" s="8"/>
      <c r="B500" s="8"/>
      <c r="C500" s="8"/>
      <c r="D500" s="24"/>
      <c r="E500" s="6" t="s">
        <v>939</v>
      </c>
      <c r="F500" s="4">
        <v>6</v>
      </c>
      <c r="G500" s="19">
        <v>2</v>
      </c>
      <c r="H500" s="19"/>
      <c r="I500" s="19">
        <v>0.7</v>
      </c>
      <c r="J500" s="28">
        <f t="shared" si="11"/>
        <v>8.4</v>
      </c>
      <c r="K500" s="8"/>
      <c r="L500" s="8"/>
      <c r="M500" s="8"/>
      <c r="N500" s="8"/>
    </row>
    <row r="501" spans="1:14" ht="15.2" customHeight="1" thickBot="1" x14ac:dyDescent="0.25">
      <c r="A501" s="8"/>
      <c r="B501" s="8"/>
      <c r="C501" s="8"/>
      <c r="D501" s="24"/>
      <c r="E501" s="6" t="s">
        <v>940</v>
      </c>
      <c r="F501" s="4">
        <v>1</v>
      </c>
      <c r="G501" s="19">
        <v>0.75</v>
      </c>
      <c r="H501" s="19"/>
      <c r="I501" s="19">
        <v>1.2</v>
      </c>
      <c r="J501" s="28">
        <f t="shared" si="11"/>
        <v>0.9</v>
      </c>
      <c r="K501" s="8"/>
      <c r="L501" s="8"/>
      <c r="M501" s="8"/>
      <c r="N501" s="8"/>
    </row>
    <row r="502" spans="1:14" ht="15.2" customHeight="1" thickBot="1" x14ac:dyDescent="0.25">
      <c r="A502" s="8"/>
      <c r="B502" s="8"/>
      <c r="C502" s="8"/>
      <c r="D502" s="24"/>
      <c r="E502" s="6" t="s">
        <v>941</v>
      </c>
      <c r="F502" s="4">
        <v>1</v>
      </c>
      <c r="G502" s="19">
        <v>0.75</v>
      </c>
      <c r="H502" s="19"/>
      <c r="I502" s="19">
        <v>1.2</v>
      </c>
      <c r="J502" s="28">
        <f t="shared" si="11"/>
        <v>0.9</v>
      </c>
      <c r="K502" s="8"/>
      <c r="L502" s="8"/>
      <c r="M502" s="8"/>
      <c r="N502" s="8"/>
    </row>
    <row r="503" spans="1:14" ht="15.2" customHeight="1" thickBot="1" x14ac:dyDescent="0.25">
      <c r="A503" s="8"/>
      <c r="B503" s="8"/>
      <c r="C503" s="8"/>
      <c r="D503" s="24"/>
      <c r="E503" s="6" t="s">
        <v>942</v>
      </c>
      <c r="F503" s="4">
        <v>2</v>
      </c>
      <c r="G503" s="19">
        <v>2.4</v>
      </c>
      <c r="H503" s="19"/>
      <c r="I503" s="19">
        <v>0.5</v>
      </c>
      <c r="J503" s="28">
        <f t="shared" si="11"/>
        <v>2.4</v>
      </c>
      <c r="K503" s="8"/>
      <c r="L503" s="8"/>
      <c r="M503" s="8"/>
      <c r="N503" s="8"/>
    </row>
    <row r="504" spans="1:14" ht="15.2" customHeight="1" thickBot="1" x14ac:dyDescent="0.25">
      <c r="A504" s="8"/>
      <c r="B504" s="8"/>
      <c r="C504" s="8"/>
      <c r="D504" s="24"/>
      <c r="E504" s="6" t="s">
        <v>943</v>
      </c>
      <c r="F504" s="4">
        <v>1</v>
      </c>
      <c r="G504" s="19">
        <v>0.8</v>
      </c>
      <c r="H504" s="19"/>
      <c r="I504" s="19">
        <v>0.5</v>
      </c>
      <c r="J504" s="28">
        <f t="shared" si="11"/>
        <v>0.4</v>
      </c>
      <c r="K504" s="8"/>
      <c r="L504" s="8"/>
      <c r="M504" s="8"/>
      <c r="N504" s="8"/>
    </row>
    <row r="505" spans="1:14" ht="15.2" customHeight="1" thickBot="1" x14ac:dyDescent="0.25">
      <c r="A505" s="8"/>
      <c r="B505" s="8"/>
      <c r="C505" s="8"/>
      <c r="D505" s="24"/>
      <c r="E505" s="6" t="s">
        <v>944</v>
      </c>
      <c r="F505" s="4">
        <v>1</v>
      </c>
      <c r="G505" s="19">
        <v>0.8</v>
      </c>
      <c r="H505" s="19"/>
      <c r="I505" s="19">
        <v>0.5</v>
      </c>
      <c r="J505" s="28">
        <f t="shared" si="11"/>
        <v>0.4</v>
      </c>
      <c r="K505" s="8"/>
      <c r="L505" s="8"/>
      <c r="M505" s="8"/>
      <c r="N505" s="8"/>
    </row>
    <row r="506" spans="1:14" ht="15.2" customHeight="1" thickBot="1" x14ac:dyDescent="0.25">
      <c r="A506" s="8"/>
      <c r="B506" s="8"/>
      <c r="C506" s="8"/>
      <c r="D506" s="24"/>
      <c r="E506" s="6" t="s">
        <v>945</v>
      </c>
      <c r="F506" s="4">
        <v>2</v>
      </c>
      <c r="G506" s="19">
        <v>0.75</v>
      </c>
      <c r="H506" s="19"/>
      <c r="I506" s="19">
        <v>1.1499999999999999</v>
      </c>
      <c r="J506" s="28">
        <f t="shared" si="11"/>
        <v>1.7250000000000001</v>
      </c>
      <c r="K506" s="8"/>
      <c r="L506" s="8"/>
      <c r="M506" s="8"/>
      <c r="N506" s="8"/>
    </row>
    <row r="507" spans="1:14" ht="15.2" customHeight="1" thickBot="1" x14ac:dyDescent="0.25">
      <c r="A507" s="8"/>
      <c r="B507" s="8"/>
      <c r="C507" s="8"/>
      <c r="D507" s="24"/>
      <c r="E507" s="6" t="s">
        <v>946</v>
      </c>
      <c r="F507" s="4">
        <v>1</v>
      </c>
      <c r="G507" s="19">
        <v>3.5</v>
      </c>
      <c r="H507" s="19"/>
      <c r="I507" s="19">
        <v>2.5</v>
      </c>
      <c r="J507" s="28">
        <f t="shared" si="11"/>
        <v>8.75</v>
      </c>
      <c r="K507" s="8"/>
      <c r="L507" s="8"/>
      <c r="M507" s="8"/>
      <c r="N507" s="8"/>
    </row>
    <row r="508" spans="1:14" ht="15.2" customHeight="1" thickBot="1" x14ac:dyDescent="0.25">
      <c r="A508" s="8"/>
      <c r="B508" s="8"/>
      <c r="C508" s="8"/>
      <c r="D508" s="24"/>
      <c r="E508" s="6" t="s">
        <v>947</v>
      </c>
      <c r="F508" s="4">
        <v>1</v>
      </c>
      <c r="G508" s="19">
        <v>0.9</v>
      </c>
      <c r="H508" s="19"/>
      <c r="I508" s="19">
        <v>2.5</v>
      </c>
      <c r="J508" s="28">
        <f t="shared" si="11"/>
        <v>2.25</v>
      </c>
      <c r="K508" s="8"/>
      <c r="L508" s="8"/>
      <c r="M508" s="8"/>
      <c r="N508" s="8"/>
    </row>
    <row r="509" spans="1:14" ht="15.2" customHeight="1" thickBot="1" x14ac:dyDescent="0.25">
      <c r="A509" s="8"/>
      <c r="B509" s="8"/>
      <c r="C509" s="8"/>
      <c r="D509" s="24"/>
      <c r="E509" s="6" t="s">
        <v>948</v>
      </c>
      <c r="F509" s="4">
        <v>1</v>
      </c>
      <c r="G509" s="19">
        <v>2.1</v>
      </c>
      <c r="H509" s="19"/>
      <c r="I509" s="19">
        <v>2.1</v>
      </c>
      <c r="J509" s="28">
        <f t="shared" si="11"/>
        <v>4.41</v>
      </c>
      <c r="K509" s="30">
        <f>SUM(J485:J509)</f>
        <v>101.50800000000002</v>
      </c>
      <c r="L509" s="8"/>
      <c r="M509" s="8"/>
      <c r="N509" s="8"/>
    </row>
    <row r="510" spans="1:14" ht="15.4" customHeight="1" thickBot="1" x14ac:dyDescent="0.25">
      <c r="A510" s="12" t="s">
        <v>949</v>
      </c>
      <c r="B510" s="6" t="s">
        <v>950</v>
      </c>
      <c r="C510" s="6" t="s">
        <v>951</v>
      </c>
      <c r="D510" s="48" t="s">
        <v>952</v>
      </c>
      <c r="E510" s="48"/>
      <c r="F510" s="48"/>
      <c r="G510" s="48"/>
      <c r="H510" s="48"/>
      <c r="I510" s="48"/>
      <c r="J510" s="48"/>
      <c r="K510" s="19">
        <f>SUM(K513:K537)</f>
        <v>101.50800000000002</v>
      </c>
      <c r="L510" s="20">
        <f>ROUND(166.85*(1+M2/100),2)</f>
        <v>171.86</v>
      </c>
      <c r="M510" s="20">
        <f>ROUND(K510*L510,2)</f>
        <v>17445.16</v>
      </c>
      <c r="N510" s="8"/>
    </row>
    <row r="511" spans="1:14" ht="86.1" customHeight="1" thickBot="1" x14ac:dyDescent="0.25">
      <c r="A511" s="8"/>
      <c r="B511" s="8"/>
      <c r="C511" s="8"/>
      <c r="D511" s="48" t="s">
        <v>953</v>
      </c>
      <c r="E511" s="48"/>
      <c r="F511" s="48"/>
      <c r="G511" s="48"/>
      <c r="H511" s="48"/>
      <c r="I511" s="48"/>
      <c r="J511" s="48"/>
      <c r="K511" s="48"/>
      <c r="L511" s="48"/>
      <c r="M511" s="48"/>
      <c r="N511" s="8"/>
    </row>
    <row r="512" spans="1:14" ht="15.2" customHeight="1" thickBot="1" x14ac:dyDescent="0.25">
      <c r="A512" s="8"/>
      <c r="B512" s="8"/>
      <c r="C512" s="8"/>
      <c r="D512" s="8"/>
      <c r="E512" s="21"/>
      <c r="F512" s="23" t="s">
        <v>954</v>
      </c>
      <c r="G512" s="23" t="s">
        <v>955</v>
      </c>
      <c r="H512" s="23" t="s">
        <v>956</v>
      </c>
      <c r="I512" s="23" t="s">
        <v>957</v>
      </c>
      <c r="J512" s="23" t="s">
        <v>958</v>
      </c>
      <c r="K512" s="23" t="s">
        <v>959</v>
      </c>
      <c r="L512" s="8"/>
      <c r="M512" s="8"/>
      <c r="N512" s="8"/>
    </row>
    <row r="513" spans="1:14" ht="15.2" customHeight="1" thickBot="1" x14ac:dyDescent="0.25">
      <c r="A513" s="8"/>
      <c r="B513" s="8"/>
      <c r="C513" s="8"/>
      <c r="D513" s="24"/>
      <c r="E513" s="25" t="s">
        <v>960</v>
      </c>
      <c r="F513" s="26">
        <v>1</v>
      </c>
      <c r="G513" s="27">
        <v>1.4</v>
      </c>
      <c r="H513" s="27"/>
      <c r="I513" s="27">
        <v>1.1499999999999999</v>
      </c>
      <c r="J513" s="29">
        <f t="shared" ref="J513:J537" si="12">ROUND(F513*G513*I513,3)</f>
        <v>1.61</v>
      </c>
      <c r="K513" s="39"/>
      <c r="L513" s="8"/>
      <c r="M513" s="8"/>
      <c r="N513" s="8"/>
    </row>
    <row r="514" spans="1:14" ht="15.2" customHeight="1" thickBot="1" x14ac:dyDescent="0.25">
      <c r="A514" s="8"/>
      <c r="B514" s="8"/>
      <c r="C514" s="8"/>
      <c r="D514" s="24"/>
      <c r="E514" s="6" t="s">
        <v>961</v>
      </c>
      <c r="F514" s="4">
        <v>2</v>
      </c>
      <c r="G514" s="19">
        <v>1.2</v>
      </c>
      <c r="H514" s="19"/>
      <c r="I514" s="19">
        <v>1.1499999999999999</v>
      </c>
      <c r="J514" s="28">
        <f t="shared" si="12"/>
        <v>2.76</v>
      </c>
      <c r="K514" s="8"/>
      <c r="L514" s="8"/>
      <c r="M514" s="8"/>
      <c r="N514" s="8"/>
    </row>
    <row r="515" spans="1:14" ht="15.2" customHeight="1" thickBot="1" x14ac:dyDescent="0.25">
      <c r="A515" s="8"/>
      <c r="B515" s="8"/>
      <c r="C515" s="8"/>
      <c r="D515" s="24"/>
      <c r="E515" s="6" t="s">
        <v>962</v>
      </c>
      <c r="F515" s="4">
        <v>1</v>
      </c>
      <c r="G515" s="19">
        <v>1.55</v>
      </c>
      <c r="H515" s="19"/>
      <c r="I515" s="19">
        <v>1.1499999999999999</v>
      </c>
      <c r="J515" s="28">
        <f t="shared" si="12"/>
        <v>1.7829999999999999</v>
      </c>
      <c r="K515" s="8"/>
      <c r="L515" s="8"/>
      <c r="M515" s="8"/>
      <c r="N515" s="8"/>
    </row>
    <row r="516" spans="1:14" ht="15.2" customHeight="1" thickBot="1" x14ac:dyDescent="0.25">
      <c r="A516" s="8"/>
      <c r="B516" s="8"/>
      <c r="C516" s="8"/>
      <c r="D516" s="24"/>
      <c r="E516" s="6" t="s">
        <v>963</v>
      </c>
      <c r="F516" s="4">
        <v>2</v>
      </c>
      <c r="G516" s="19">
        <v>2.4</v>
      </c>
      <c r="H516" s="19"/>
      <c r="I516" s="19">
        <v>1.2</v>
      </c>
      <c r="J516" s="28">
        <f t="shared" si="12"/>
        <v>5.76</v>
      </c>
      <c r="K516" s="8"/>
      <c r="L516" s="8"/>
      <c r="M516" s="8"/>
      <c r="N516" s="8"/>
    </row>
    <row r="517" spans="1:14" ht="15.2" customHeight="1" thickBot="1" x14ac:dyDescent="0.25">
      <c r="A517" s="8"/>
      <c r="B517" s="8"/>
      <c r="C517" s="8"/>
      <c r="D517" s="24"/>
      <c r="E517" s="6" t="s">
        <v>964</v>
      </c>
      <c r="F517" s="4">
        <v>1</v>
      </c>
      <c r="G517" s="19">
        <v>2.4</v>
      </c>
      <c r="H517" s="19"/>
      <c r="I517" s="19">
        <v>1.2</v>
      </c>
      <c r="J517" s="28">
        <f t="shared" si="12"/>
        <v>2.88</v>
      </c>
      <c r="K517" s="8"/>
      <c r="L517" s="8"/>
      <c r="M517" s="8"/>
      <c r="N517" s="8"/>
    </row>
    <row r="518" spans="1:14" ht="15.2" customHeight="1" thickBot="1" x14ac:dyDescent="0.25">
      <c r="A518" s="8"/>
      <c r="B518" s="8"/>
      <c r="C518" s="8"/>
      <c r="D518" s="24"/>
      <c r="E518" s="6" t="s">
        <v>965</v>
      </c>
      <c r="F518" s="4">
        <v>2</v>
      </c>
      <c r="G518" s="19">
        <v>1</v>
      </c>
      <c r="H518" s="19"/>
      <c r="I518" s="19">
        <v>1.2</v>
      </c>
      <c r="J518" s="28">
        <f t="shared" si="12"/>
        <v>2.4</v>
      </c>
      <c r="K518" s="8"/>
      <c r="L518" s="8"/>
      <c r="M518" s="8"/>
      <c r="N518" s="8"/>
    </row>
    <row r="519" spans="1:14" ht="15.2" customHeight="1" thickBot="1" x14ac:dyDescent="0.25">
      <c r="A519" s="8"/>
      <c r="B519" s="8"/>
      <c r="C519" s="8"/>
      <c r="D519" s="24"/>
      <c r="E519" s="6" t="s">
        <v>966</v>
      </c>
      <c r="F519" s="4">
        <v>2</v>
      </c>
      <c r="G519" s="19">
        <v>1.7</v>
      </c>
      <c r="H519" s="19"/>
      <c r="I519" s="19">
        <v>1.2</v>
      </c>
      <c r="J519" s="28">
        <f t="shared" si="12"/>
        <v>4.08</v>
      </c>
      <c r="K519" s="8"/>
      <c r="L519" s="8"/>
      <c r="M519" s="8"/>
      <c r="N519" s="8"/>
    </row>
    <row r="520" spans="1:14" ht="15.2" customHeight="1" thickBot="1" x14ac:dyDescent="0.25">
      <c r="A520" s="8"/>
      <c r="B520" s="8"/>
      <c r="C520" s="8"/>
      <c r="D520" s="24"/>
      <c r="E520" s="6" t="s">
        <v>967</v>
      </c>
      <c r="F520" s="4">
        <v>1</v>
      </c>
      <c r="G520" s="19">
        <v>1.7</v>
      </c>
      <c r="H520" s="19"/>
      <c r="I520" s="19">
        <v>1.2</v>
      </c>
      <c r="J520" s="28">
        <f t="shared" si="12"/>
        <v>2.04</v>
      </c>
      <c r="K520" s="8"/>
      <c r="L520" s="8"/>
      <c r="M520" s="8"/>
      <c r="N520" s="8"/>
    </row>
    <row r="521" spans="1:14" ht="15.2" customHeight="1" thickBot="1" x14ac:dyDescent="0.25">
      <c r="A521" s="8"/>
      <c r="B521" s="8"/>
      <c r="C521" s="8"/>
      <c r="D521" s="24"/>
      <c r="E521" s="6" t="s">
        <v>968</v>
      </c>
      <c r="F521" s="4">
        <v>1</v>
      </c>
      <c r="G521" s="19">
        <v>1.7</v>
      </c>
      <c r="H521" s="19"/>
      <c r="I521" s="19">
        <v>1.2</v>
      </c>
      <c r="J521" s="28">
        <f t="shared" si="12"/>
        <v>2.04</v>
      </c>
      <c r="K521" s="8"/>
      <c r="L521" s="8"/>
      <c r="M521" s="8"/>
      <c r="N521" s="8"/>
    </row>
    <row r="522" spans="1:14" ht="15.2" customHeight="1" thickBot="1" x14ac:dyDescent="0.25">
      <c r="A522" s="8"/>
      <c r="B522" s="8"/>
      <c r="C522" s="8"/>
      <c r="D522" s="24"/>
      <c r="E522" s="6" t="s">
        <v>969</v>
      </c>
      <c r="F522" s="4">
        <v>4</v>
      </c>
      <c r="G522" s="19">
        <v>0.8</v>
      </c>
      <c r="H522" s="19"/>
      <c r="I522" s="19">
        <v>1.2</v>
      </c>
      <c r="J522" s="28">
        <f t="shared" si="12"/>
        <v>3.84</v>
      </c>
      <c r="K522" s="8"/>
      <c r="L522" s="8"/>
      <c r="M522" s="8"/>
      <c r="N522" s="8"/>
    </row>
    <row r="523" spans="1:14" ht="15.2" customHeight="1" thickBot="1" x14ac:dyDescent="0.25">
      <c r="A523" s="8"/>
      <c r="B523" s="8"/>
      <c r="C523" s="8"/>
      <c r="D523" s="24"/>
      <c r="E523" s="6" t="s">
        <v>970</v>
      </c>
      <c r="F523" s="4">
        <v>1</v>
      </c>
      <c r="G523" s="19">
        <v>6.5</v>
      </c>
      <c r="H523" s="19"/>
      <c r="I523" s="19">
        <v>1.6</v>
      </c>
      <c r="J523" s="28">
        <f t="shared" si="12"/>
        <v>10.4</v>
      </c>
      <c r="K523" s="8"/>
      <c r="L523" s="8"/>
      <c r="M523" s="8"/>
      <c r="N523" s="8"/>
    </row>
    <row r="524" spans="1:14" ht="15.2" customHeight="1" thickBot="1" x14ac:dyDescent="0.25">
      <c r="A524" s="8"/>
      <c r="B524" s="8"/>
      <c r="C524" s="8"/>
      <c r="D524" s="24"/>
      <c r="E524" s="6" t="s">
        <v>971</v>
      </c>
      <c r="F524" s="4">
        <v>1</v>
      </c>
      <c r="G524" s="19">
        <v>2.5</v>
      </c>
      <c r="H524" s="19"/>
      <c r="I524" s="19">
        <v>1.2</v>
      </c>
      <c r="J524" s="28">
        <f t="shared" si="12"/>
        <v>3</v>
      </c>
      <c r="K524" s="8"/>
      <c r="L524" s="8"/>
      <c r="M524" s="8"/>
      <c r="N524" s="8"/>
    </row>
    <row r="525" spans="1:14" ht="15.2" customHeight="1" thickBot="1" x14ac:dyDescent="0.25">
      <c r="A525" s="8"/>
      <c r="B525" s="8"/>
      <c r="C525" s="8"/>
      <c r="D525" s="24"/>
      <c r="E525" s="6" t="s">
        <v>972</v>
      </c>
      <c r="F525" s="4">
        <v>1</v>
      </c>
      <c r="G525" s="19">
        <v>1.65</v>
      </c>
      <c r="H525" s="19"/>
      <c r="I525" s="19">
        <v>1.2</v>
      </c>
      <c r="J525" s="28">
        <f t="shared" si="12"/>
        <v>1.98</v>
      </c>
      <c r="K525" s="8"/>
      <c r="L525" s="8"/>
      <c r="M525" s="8"/>
      <c r="N525" s="8"/>
    </row>
    <row r="526" spans="1:14" ht="15.2" customHeight="1" thickBot="1" x14ac:dyDescent="0.25">
      <c r="A526" s="8"/>
      <c r="B526" s="8"/>
      <c r="C526" s="8"/>
      <c r="D526" s="24"/>
      <c r="E526" s="6" t="s">
        <v>973</v>
      </c>
      <c r="F526" s="4">
        <v>11</v>
      </c>
      <c r="G526" s="19">
        <v>2</v>
      </c>
      <c r="H526" s="19"/>
      <c r="I526" s="19">
        <v>1.1000000000000001</v>
      </c>
      <c r="J526" s="28">
        <f t="shared" si="12"/>
        <v>24.2</v>
      </c>
      <c r="K526" s="8"/>
      <c r="L526" s="8"/>
      <c r="M526" s="8"/>
      <c r="N526" s="8"/>
    </row>
    <row r="527" spans="1:14" ht="15.2" customHeight="1" thickBot="1" x14ac:dyDescent="0.25">
      <c r="A527" s="8"/>
      <c r="B527" s="8"/>
      <c r="C527" s="8"/>
      <c r="D527" s="24"/>
      <c r="E527" s="6" t="s">
        <v>974</v>
      </c>
      <c r="F527" s="4">
        <v>1</v>
      </c>
      <c r="G527" s="19">
        <v>2</v>
      </c>
      <c r="H527" s="19"/>
      <c r="I527" s="19">
        <v>1.1000000000000001</v>
      </c>
      <c r="J527" s="28">
        <f t="shared" si="12"/>
        <v>2.2000000000000002</v>
      </c>
      <c r="K527" s="8"/>
      <c r="L527" s="8"/>
      <c r="M527" s="8"/>
      <c r="N527" s="8"/>
    </row>
    <row r="528" spans="1:14" ht="15.2" customHeight="1" thickBot="1" x14ac:dyDescent="0.25">
      <c r="A528" s="8"/>
      <c r="B528" s="8"/>
      <c r="C528" s="8"/>
      <c r="D528" s="24"/>
      <c r="E528" s="6" t="s">
        <v>975</v>
      </c>
      <c r="F528" s="4">
        <v>6</v>
      </c>
      <c r="G528" s="19">
        <v>2</v>
      </c>
      <c r="H528" s="19"/>
      <c r="I528" s="19">
        <v>0.7</v>
      </c>
      <c r="J528" s="28">
        <f t="shared" si="12"/>
        <v>8.4</v>
      </c>
      <c r="K528" s="8"/>
      <c r="L528" s="8"/>
      <c r="M528" s="8"/>
      <c r="N528" s="8"/>
    </row>
    <row r="529" spans="1:14" ht="15.2" customHeight="1" thickBot="1" x14ac:dyDescent="0.25">
      <c r="A529" s="8"/>
      <c r="B529" s="8"/>
      <c r="C529" s="8"/>
      <c r="D529" s="24"/>
      <c r="E529" s="6" t="s">
        <v>976</v>
      </c>
      <c r="F529" s="4">
        <v>1</v>
      </c>
      <c r="G529" s="19">
        <v>0.75</v>
      </c>
      <c r="H529" s="19"/>
      <c r="I529" s="19">
        <v>1.2</v>
      </c>
      <c r="J529" s="28">
        <f t="shared" si="12"/>
        <v>0.9</v>
      </c>
      <c r="K529" s="8"/>
      <c r="L529" s="8"/>
      <c r="M529" s="8"/>
      <c r="N529" s="8"/>
    </row>
    <row r="530" spans="1:14" ht="15.2" customHeight="1" thickBot="1" x14ac:dyDescent="0.25">
      <c r="A530" s="8"/>
      <c r="B530" s="8"/>
      <c r="C530" s="8"/>
      <c r="D530" s="24"/>
      <c r="E530" s="6" t="s">
        <v>977</v>
      </c>
      <c r="F530" s="4">
        <v>1</v>
      </c>
      <c r="G530" s="19">
        <v>0.75</v>
      </c>
      <c r="H530" s="19"/>
      <c r="I530" s="19">
        <v>1.2</v>
      </c>
      <c r="J530" s="28">
        <f t="shared" si="12"/>
        <v>0.9</v>
      </c>
      <c r="K530" s="8"/>
      <c r="L530" s="8"/>
      <c r="M530" s="8"/>
      <c r="N530" s="8"/>
    </row>
    <row r="531" spans="1:14" ht="15.2" customHeight="1" thickBot="1" x14ac:dyDescent="0.25">
      <c r="A531" s="8"/>
      <c r="B531" s="8"/>
      <c r="C531" s="8"/>
      <c r="D531" s="24"/>
      <c r="E531" s="6" t="s">
        <v>978</v>
      </c>
      <c r="F531" s="4">
        <v>2</v>
      </c>
      <c r="G531" s="19">
        <v>2.4</v>
      </c>
      <c r="H531" s="19"/>
      <c r="I531" s="19">
        <v>0.5</v>
      </c>
      <c r="J531" s="28">
        <f t="shared" si="12"/>
        <v>2.4</v>
      </c>
      <c r="K531" s="8"/>
      <c r="L531" s="8"/>
      <c r="M531" s="8"/>
      <c r="N531" s="8"/>
    </row>
    <row r="532" spans="1:14" ht="15.2" customHeight="1" thickBot="1" x14ac:dyDescent="0.25">
      <c r="A532" s="8"/>
      <c r="B532" s="8"/>
      <c r="C532" s="8"/>
      <c r="D532" s="24"/>
      <c r="E532" s="6" t="s">
        <v>979</v>
      </c>
      <c r="F532" s="4">
        <v>1</v>
      </c>
      <c r="G532" s="19">
        <v>0.8</v>
      </c>
      <c r="H532" s="19"/>
      <c r="I532" s="19">
        <v>0.5</v>
      </c>
      <c r="J532" s="28">
        <f t="shared" si="12"/>
        <v>0.4</v>
      </c>
      <c r="K532" s="8"/>
      <c r="L532" s="8"/>
      <c r="M532" s="8"/>
      <c r="N532" s="8"/>
    </row>
    <row r="533" spans="1:14" ht="15.2" customHeight="1" thickBot="1" x14ac:dyDescent="0.25">
      <c r="A533" s="8"/>
      <c r="B533" s="8"/>
      <c r="C533" s="8"/>
      <c r="D533" s="24"/>
      <c r="E533" s="6" t="s">
        <v>980</v>
      </c>
      <c r="F533" s="4">
        <v>1</v>
      </c>
      <c r="G533" s="19">
        <v>0.8</v>
      </c>
      <c r="H533" s="19"/>
      <c r="I533" s="19">
        <v>0.5</v>
      </c>
      <c r="J533" s="28">
        <f t="shared" si="12"/>
        <v>0.4</v>
      </c>
      <c r="K533" s="8"/>
      <c r="L533" s="8"/>
      <c r="M533" s="8"/>
      <c r="N533" s="8"/>
    </row>
    <row r="534" spans="1:14" ht="15.2" customHeight="1" thickBot="1" x14ac:dyDescent="0.25">
      <c r="A534" s="8"/>
      <c r="B534" s="8"/>
      <c r="C534" s="8"/>
      <c r="D534" s="24"/>
      <c r="E534" s="6" t="s">
        <v>981</v>
      </c>
      <c r="F534" s="4">
        <v>2</v>
      </c>
      <c r="G534" s="19">
        <v>0.75</v>
      </c>
      <c r="H534" s="19"/>
      <c r="I534" s="19">
        <v>1.1499999999999999</v>
      </c>
      <c r="J534" s="28">
        <f t="shared" si="12"/>
        <v>1.7250000000000001</v>
      </c>
      <c r="K534" s="8"/>
      <c r="L534" s="8"/>
      <c r="M534" s="8"/>
      <c r="N534" s="8"/>
    </row>
    <row r="535" spans="1:14" ht="15.2" customHeight="1" thickBot="1" x14ac:dyDescent="0.25">
      <c r="A535" s="8"/>
      <c r="B535" s="8"/>
      <c r="C535" s="8"/>
      <c r="D535" s="24"/>
      <c r="E535" s="6" t="s">
        <v>982</v>
      </c>
      <c r="F535" s="4">
        <v>1</v>
      </c>
      <c r="G535" s="19">
        <v>3.5</v>
      </c>
      <c r="H535" s="19"/>
      <c r="I535" s="19">
        <v>2.5</v>
      </c>
      <c r="J535" s="28">
        <f t="shared" si="12"/>
        <v>8.75</v>
      </c>
      <c r="K535" s="8"/>
      <c r="L535" s="8"/>
      <c r="M535" s="8"/>
      <c r="N535" s="8"/>
    </row>
    <row r="536" spans="1:14" ht="15.2" customHeight="1" thickBot="1" x14ac:dyDescent="0.25">
      <c r="A536" s="8"/>
      <c r="B536" s="8"/>
      <c r="C536" s="8"/>
      <c r="D536" s="24"/>
      <c r="E536" s="6" t="s">
        <v>983</v>
      </c>
      <c r="F536" s="4">
        <v>1</v>
      </c>
      <c r="G536" s="19">
        <v>0.9</v>
      </c>
      <c r="H536" s="19"/>
      <c r="I536" s="19">
        <v>2.5</v>
      </c>
      <c r="J536" s="28">
        <f t="shared" si="12"/>
        <v>2.25</v>
      </c>
      <c r="K536" s="8"/>
      <c r="L536" s="8"/>
      <c r="M536" s="8"/>
      <c r="N536" s="8"/>
    </row>
    <row r="537" spans="1:14" ht="15.2" customHeight="1" thickBot="1" x14ac:dyDescent="0.25">
      <c r="A537" s="8"/>
      <c r="B537" s="8"/>
      <c r="C537" s="8"/>
      <c r="D537" s="24"/>
      <c r="E537" s="6" t="s">
        <v>984</v>
      </c>
      <c r="F537" s="4">
        <v>1</v>
      </c>
      <c r="G537" s="19">
        <v>2.1</v>
      </c>
      <c r="H537" s="19"/>
      <c r="I537" s="19">
        <v>2.1</v>
      </c>
      <c r="J537" s="28">
        <f t="shared" si="12"/>
        <v>4.41</v>
      </c>
      <c r="K537" s="30">
        <f>SUM(J513:J537)</f>
        <v>101.50800000000002</v>
      </c>
      <c r="L537" s="8"/>
      <c r="M537" s="8"/>
      <c r="N537" s="8"/>
    </row>
    <row r="538" spans="1:14" ht="15.4" customHeight="1" thickBot="1" x14ac:dyDescent="0.25">
      <c r="A538" s="12" t="s">
        <v>985</v>
      </c>
      <c r="B538" s="6" t="s">
        <v>986</v>
      </c>
      <c r="C538" s="6" t="s">
        <v>987</v>
      </c>
      <c r="D538" s="48" t="s">
        <v>988</v>
      </c>
      <c r="E538" s="48"/>
      <c r="F538" s="48"/>
      <c r="G538" s="48"/>
      <c r="H538" s="48"/>
      <c r="I538" s="48"/>
      <c r="J538" s="48"/>
      <c r="K538" s="19">
        <f>SUM(K541:K545)</f>
        <v>32.950000000000003</v>
      </c>
      <c r="L538" s="20">
        <f>ROUND(435.75*(1+M2/100),2)</f>
        <v>448.82</v>
      </c>
      <c r="M538" s="20">
        <f>ROUND(K538*L538,2)</f>
        <v>14788.62</v>
      </c>
      <c r="N538" s="8"/>
    </row>
    <row r="539" spans="1:14" ht="58.35" customHeight="1" thickBot="1" x14ac:dyDescent="0.25">
      <c r="A539" s="8"/>
      <c r="B539" s="8"/>
      <c r="C539" s="8"/>
      <c r="D539" s="48" t="s">
        <v>989</v>
      </c>
      <c r="E539" s="48"/>
      <c r="F539" s="48"/>
      <c r="G539" s="48"/>
      <c r="H539" s="48"/>
      <c r="I539" s="48"/>
      <c r="J539" s="48"/>
      <c r="K539" s="48"/>
      <c r="L539" s="48"/>
      <c r="M539" s="48"/>
      <c r="N539" s="8"/>
    </row>
    <row r="540" spans="1:14" ht="15.2" customHeight="1" thickBot="1" x14ac:dyDescent="0.25">
      <c r="A540" s="8"/>
      <c r="B540" s="8"/>
      <c r="C540" s="8"/>
      <c r="D540" s="8"/>
      <c r="E540" s="21"/>
      <c r="F540" s="23" t="s">
        <v>990</v>
      </c>
      <c r="G540" s="23" t="s">
        <v>991</v>
      </c>
      <c r="H540" s="23" t="s">
        <v>992</v>
      </c>
      <c r="I540" s="23" t="s">
        <v>993</v>
      </c>
      <c r="J540" s="23" t="s">
        <v>994</v>
      </c>
      <c r="K540" s="23" t="s">
        <v>995</v>
      </c>
      <c r="L540" s="8"/>
      <c r="M540" s="8"/>
      <c r="N540" s="8"/>
    </row>
    <row r="541" spans="1:14" ht="15.2" customHeight="1" thickBot="1" x14ac:dyDescent="0.25">
      <c r="A541" s="8"/>
      <c r="B541" s="8"/>
      <c r="C541" s="8"/>
      <c r="D541" s="24"/>
      <c r="E541" s="25" t="s">
        <v>996</v>
      </c>
      <c r="F541" s="26">
        <v>2</v>
      </c>
      <c r="G541" s="27">
        <v>2.4</v>
      </c>
      <c r="H541" s="27"/>
      <c r="I541" s="27"/>
      <c r="J541" s="29">
        <f>ROUND(F541*G541,3)</f>
        <v>4.8</v>
      </c>
      <c r="K541" s="39"/>
      <c r="L541" s="8"/>
      <c r="M541" s="8"/>
      <c r="N541" s="8"/>
    </row>
    <row r="542" spans="1:14" ht="15.2" customHeight="1" thickBot="1" x14ac:dyDescent="0.25">
      <c r="A542" s="8"/>
      <c r="B542" s="8"/>
      <c r="C542" s="8"/>
      <c r="D542" s="24"/>
      <c r="E542" s="6" t="s">
        <v>997</v>
      </c>
      <c r="F542" s="4">
        <v>1</v>
      </c>
      <c r="G542" s="19">
        <v>2.5</v>
      </c>
      <c r="H542" s="19"/>
      <c r="I542" s="19"/>
      <c r="J542" s="28">
        <f>ROUND(F542*G542,3)</f>
        <v>2.5</v>
      </c>
      <c r="K542" s="8"/>
      <c r="L542" s="8"/>
      <c r="M542" s="8"/>
      <c r="N542" s="8"/>
    </row>
    <row r="543" spans="1:14" ht="15.2" customHeight="1" thickBot="1" x14ac:dyDescent="0.25">
      <c r="A543" s="8"/>
      <c r="B543" s="8"/>
      <c r="C543" s="8"/>
      <c r="D543" s="24"/>
      <c r="E543" s="6" t="s">
        <v>998</v>
      </c>
      <c r="F543" s="4">
        <v>1</v>
      </c>
      <c r="G543" s="19">
        <v>1.65</v>
      </c>
      <c r="H543" s="19"/>
      <c r="I543" s="19"/>
      <c r="J543" s="28">
        <f>ROUND(F543*G543,3)</f>
        <v>1.65</v>
      </c>
      <c r="K543" s="8"/>
      <c r="L543" s="8"/>
      <c r="M543" s="8"/>
      <c r="N543" s="8"/>
    </row>
    <row r="544" spans="1:14" ht="15.2" customHeight="1" thickBot="1" x14ac:dyDescent="0.25">
      <c r="A544" s="8"/>
      <c r="B544" s="8"/>
      <c r="C544" s="8"/>
      <c r="D544" s="24"/>
      <c r="E544" s="6" t="s">
        <v>999</v>
      </c>
      <c r="F544" s="4">
        <v>11</v>
      </c>
      <c r="G544" s="19">
        <v>2</v>
      </c>
      <c r="H544" s="19"/>
      <c r="I544" s="19"/>
      <c r="J544" s="28">
        <f>ROUND(F544*G544,3)</f>
        <v>22</v>
      </c>
      <c r="K544" s="8"/>
      <c r="L544" s="8"/>
      <c r="M544" s="8"/>
      <c r="N544" s="8"/>
    </row>
    <row r="545" spans="1:14" ht="15.2" customHeight="1" thickBot="1" x14ac:dyDescent="0.25">
      <c r="A545" s="8"/>
      <c r="B545" s="8"/>
      <c r="C545" s="8"/>
      <c r="D545" s="24"/>
      <c r="E545" s="6" t="s">
        <v>1000</v>
      </c>
      <c r="F545" s="4">
        <v>1</v>
      </c>
      <c r="G545" s="19">
        <v>2</v>
      </c>
      <c r="H545" s="19"/>
      <c r="I545" s="19"/>
      <c r="J545" s="28">
        <f>ROUND(F545*G545,3)</f>
        <v>2</v>
      </c>
      <c r="K545" s="30">
        <f>SUM(J541:J545)</f>
        <v>32.950000000000003</v>
      </c>
      <c r="L545" s="8"/>
      <c r="M545" s="8"/>
      <c r="N545" s="8"/>
    </row>
    <row r="546" spans="1:14" ht="15.4" customHeight="1" thickBot="1" x14ac:dyDescent="0.25">
      <c r="A546" s="32"/>
      <c r="B546" s="32"/>
      <c r="C546" s="32"/>
      <c r="D546" s="33" t="s">
        <v>1001</v>
      </c>
      <c r="E546" s="34"/>
      <c r="F546" s="34"/>
      <c r="G546" s="34"/>
      <c r="H546" s="34"/>
      <c r="I546" s="34"/>
      <c r="J546" s="34"/>
      <c r="K546" s="34"/>
      <c r="L546" s="35">
        <f>M482+M510+M538</f>
        <v>66725.179999999993</v>
      </c>
      <c r="M546" s="35">
        <f>ROUND(L546,2)</f>
        <v>66725.179999999993</v>
      </c>
      <c r="N546" s="8"/>
    </row>
    <row r="547" spans="1:14" ht="15.4" customHeight="1" thickBot="1" x14ac:dyDescent="0.25">
      <c r="A547" s="36" t="s">
        <v>1002</v>
      </c>
      <c r="B547" s="36" t="s">
        <v>1003</v>
      </c>
      <c r="C547" s="37"/>
      <c r="D547" s="49" t="s">
        <v>1004</v>
      </c>
      <c r="E547" s="49"/>
      <c r="F547" s="49"/>
      <c r="G547" s="49"/>
      <c r="H547" s="49"/>
      <c r="I547" s="49"/>
      <c r="J547" s="49"/>
      <c r="K547" s="37"/>
      <c r="L547" s="38">
        <f>L575</f>
        <v>13718.279999999999</v>
      </c>
      <c r="M547" s="38">
        <f>ROUND(L547,2)</f>
        <v>13718.28</v>
      </c>
      <c r="N547" s="8"/>
    </row>
    <row r="548" spans="1:14" ht="15.4" customHeight="1" thickBot="1" x14ac:dyDescent="0.25">
      <c r="A548" s="12" t="s">
        <v>1005</v>
      </c>
      <c r="B548" s="6" t="s">
        <v>1006</v>
      </c>
      <c r="C548" s="6" t="s">
        <v>1007</v>
      </c>
      <c r="D548" s="48" t="s">
        <v>1008</v>
      </c>
      <c r="E548" s="48"/>
      <c r="F548" s="48"/>
      <c r="G548" s="48"/>
      <c r="H548" s="48"/>
      <c r="I548" s="48"/>
      <c r="J548" s="48"/>
      <c r="K548" s="19">
        <f>SUM(K551:K551)</f>
        <v>7</v>
      </c>
      <c r="L548" s="20">
        <f>ROUND(312.54*(1+M2/100),2)</f>
        <v>321.92</v>
      </c>
      <c r="M548" s="20">
        <f>ROUND(K548*L548,2)</f>
        <v>2253.44</v>
      </c>
      <c r="N548" s="8"/>
    </row>
    <row r="549" spans="1:14" ht="21.4" customHeight="1" thickBot="1" x14ac:dyDescent="0.25">
      <c r="A549" s="8"/>
      <c r="B549" s="8"/>
      <c r="C549" s="8"/>
      <c r="D549" s="48" t="s">
        <v>1009</v>
      </c>
      <c r="E549" s="48"/>
      <c r="F549" s="48"/>
      <c r="G549" s="48"/>
      <c r="H549" s="48"/>
      <c r="I549" s="48"/>
      <c r="J549" s="48"/>
      <c r="K549" s="48"/>
      <c r="L549" s="48"/>
      <c r="M549" s="48"/>
      <c r="N549" s="8"/>
    </row>
    <row r="550" spans="1:14" ht="15.2" customHeight="1" thickBot="1" x14ac:dyDescent="0.25">
      <c r="A550" s="8"/>
      <c r="B550" s="8"/>
      <c r="C550" s="8"/>
      <c r="D550" s="8"/>
      <c r="E550" s="21"/>
      <c r="F550" s="23" t="s">
        <v>1010</v>
      </c>
      <c r="G550" s="23" t="s">
        <v>1011</v>
      </c>
      <c r="H550" s="23" t="s">
        <v>1012</v>
      </c>
      <c r="I550" s="23" t="s">
        <v>1013</v>
      </c>
      <c r="J550" s="23" t="s">
        <v>1014</v>
      </c>
      <c r="K550" s="23" t="s">
        <v>1015</v>
      </c>
      <c r="L550" s="8"/>
      <c r="M550" s="8"/>
      <c r="N550" s="8"/>
    </row>
    <row r="551" spans="1:14" ht="15.2" customHeight="1" thickBot="1" x14ac:dyDescent="0.25">
      <c r="A551" s="8"/>
      <c r="B551" s="8"/>
      <c r="C551" s="8"/>
      <c r="D551" s="24"/>
      <c r="E551" s="25" t="s">
        <v>1016</v>
      </c>
      <c r="F551" s="26">
        <v>7</v>
      </c>
      <c r="G551" s="27"/>
      <c r="H551" s="27"/>
      <c r="I551" s="27"/>
      <c r="J551" s="29">
        <f>ROUND(F551,3)</f>
        <v>7</v>
      </c>
      <c r="K551" s="31">
        <f>SUM(J551:J551)</f>
        <v>7</v>
      </c>
      <c r="L551" s="8"/>
      <c r="M551" s="8"/>
      <c r="N551" s="8"/>
    </row>
    <row r="552" spans="1:14" ht="15.4" customHeight="1" thickBot="1" x14ac:dyDescent="0.25">
      <c r="A552" s="12" t="s">
        <v>1017</v>
      </c>
      <c r="B552" s="6" t="s">
        <v>1018</v>
      </c>
      <c r="C552" s="6" t="s">
        <v>1019</v>
      </c>
      <c r="D552" s="48" t="s">
        <v>1020</v>
      </c>
      <c r="E552" s="48"/>
      <c r="F552" s="48"/>
      <c r="G552" s="48"/>
      <c r="H552" s="48"/>
      <c r="I552" s="48"/>
      <c r="J552" s="48"/>
      <c r="K552" s="19">
        <f>SUM(K555:K562)</f>
        <v>77.5</v>
      </c>
      <c r="L552" s="20">
        <f>ROUND(63.9*(1+M2/100),2)</f>
        <v>65.819999999999993</v>
      </c>
      <c r="M552" s="20">
        <f>ROUND(K552*L552,2)</f>
        <v>5101.05</v>
      </c>
      <c r="N552" s="8"/>
    </row>
    <row r="553" spans="1:14" ht="49.15" customHeight="1" thickBot="1" x14ac:dyDescent="0.25">
      <c r="A553" s="8"/>
      <c r="B553" s="8"/>
      <c r="C553" s="8"/>
      <c r="D553" s="48" t="s">
        <v>1021</v>
      </c>
      <c r="E553" s="48"/>
      <c r="F553" s="48"/>
      <c r="G553" s="48"/>
      <c r="H553" s="48"/>
      <c r="I553" s="48"/>
      <c r="J553" s="48"/>
      <c r="K553" s="48"/>
      <c r="L553" s="48"/>
      <c r="M553" s="48"/>
      <c r="N553" s="8"/>
    </row>
    <row r="554" spans="1:14" ht="15.2" customHeight="1" thickBot="1" x14ac:dyDescent="0.25">
      <c r="A554" s="8"/>
      <c r="B554" s="8"/>
      <c r="C554" s="8"/>
      <c r="D554" s="8"/>
      <c r="E554" s="21"/>
      <c r="F554" s="23" t="s">
        <v>1022</v>
      </c>
      <c r="G554" s="23" t="s">
        <v>1023</v>
      </c>
      <c r="H554" s="23" t="s">
        <v>1024</v>
      </c>
      <c r="I554" s="23" t="s">
        <v>1025</v>
      </c>
      <c r="J554" s="23" t="s">
        <v>1026</v>
      </c>
      <c r="K554" s="23" t="s">
        <v>1027</v>
      </c>
      <c r="L554" s="8"/>
      <c r="M554" s="8"/>
      <c r="N554" s="8"/>
    </row>
    <row r="555" spans="1:14" ht="15.2" customHeight="1" thickBot="1" x14ac:dyDescent="0.25">
      <c r="A555" s="8"/>
      <c r="B555" s="8"/>
      <c r="C555" s="8"/>
      <c r="D555" s="24"/>
      <c r="E555" s="25" t="s">
        <v>1028</v>
      </c>
      <c r="F555" s="26">
        <v>2</v>
      </c>
      <c r="G555" s="27">
        <v>10</v>
      </c>
      <c r="H555" s="27"/>
      <c r="I555" s="27"/>
      <c r="J555" s="29">
        <f t="shared" ref="J555:J562" si="13">ROUND(F555*G555,3)</f>
        <v>20</v>
      </c>
      <c r="K555" s="39"/>
      <c r="L555" s="8"/>
      <c r="M555" s="8"/>
      <c r="N555" s="8"/>
    </row>
    <row r="556" spans="1:14" ht="15.2" customHeight="1" thickBot="1" x14ac:dyDescent="0.25">
      <c r="A556" s="8"/>
      <c r="B556" s="8"/>
      <c r="C556" s="8"/>
      <c r="D556" s="24"/>
      <c r="E556" s="6" t="s">
        <v>1029</v>
      </c>
      <c r="F556" s="4">
        <v>3</v>
      </c>
      <c r="G556" s="19">
        <v>8</v>
      </c>
      <c r="H556" s="19"/>
      <c r="I556" s="19"/>
      <c r="J556" s="28">
        <f t="shared" si="13"/>
        <v>24</v>
      </c>
      <c r="K556" s="8"/>
      <c r="L556" s="8"/>
      <c r="M556" s="8"/>
      <c r="N556" s="8"/>
    </row>
    <row r="557" spans="1:14" ht="15.2" customHeight="1" thickBot="1" x14ac:dyDescent="0.25">
      <c r="A557" s="8"/>
      <c r="B557" s="8"/>
      <c r="C557" s="8"/>
      <c r="D557" s="24"/>
      <c r="E557" s="6" t="s">
        <v>1030</v>
      </c>
      <c r="F557" s="4">
        <v>6</v>
      </c>
      <c r="G557" s="19">
        <v>2.5</v>
      </c>
      <c r="H557" s="19"/>
      <c r="I557" s="19"/>
      <c r="J557" s="28">
        <f t="shared" si="13"/>
        <v>15</v>
      </c>
      <c r="K557" s="8"/>
      <c r="L557" s="8"/>
      <c r="M557" s="8"/>
      <c r="N557" s="8"/>
    </row>
    <row r="558" spans="1:14" ht="15.2" customHeight="1" thickBot="1" x14ac:dyDescent="0.25">
      <c r="A558" s="8"/>
      <c r="B558" s="8"/>
      <c r="C558" s="8"/>
      <c r="D558" s="24"/>
      <c r="E558" s="6" t="s">
        <v>1031</v>
      </c>
      <c r="F558" s="4">
        <v>3</v>
      </c>
      <c r="G558" s="19">
        <v>2.5</v>
      </c>
      <c r="H558" s="19"/>
      <c r="I558" s="19"/>
      <c r="J558" s="28">
        <f t="shared" si="13"/>
        <v>7.5</v>
      </c>
      <c r="K558" s="8"/>
      <c r="L558" s="8"/>
      <c r="M558" s="8"/>
      <c r="N558" s="8"/>
    </row>
    <row r="559" spans="1:14" ht="15.2" customHeight="1" thickBot="1" x14ac:dyDescent="0.25">
      <c r="A559" s="8"/>
      <c r="B559" s="8"/>
      <c r="C559" s="8"/>
      <c r="D559" s="24"/>
      <c r="E559" s="6" t="s">
        <v>1032</v>
      </c>
      <c r="F559" s="4">
        <v>1</v>
      </c>
      <c r="G559" s="19">
        <v>1</v>
      </c>
      <c r="H559" s="19"/>
      <c r="I559" s="19"/>
      <c r="J559" s="28">
        <f t="shared" si="13"/>
        <v>1</v>
      </c>
      <c r="K559" s="8"/>
      <c r="L559" s="8"/>
      <c r="M559" s="8"/>
      <c r="N559" s="8"/>
    </row>
    <row r="560" spans="1:14" ht="15.2" customHeight="1" thickBot="1" x14ac:dyDescent="0.25">
      <c r="A560" s="8"/>
      <c r="B560" s="8"/>
      <c r="C560" s="8"/>
      <c r="D560" s="24"/>
      <c r="E560" s="6" t="s">
        <v>1033</v>
      </c>
      <c r="F560" s="4">
        <v>1</v>
      </c>
      <c r="G560" s="19">
        <v>4</v>
      </c>
      <c r="H560" s="19"/>
      <c r="I560" s="19"/>
      <c r="J560" s="28">
        <f t="shared" si="13"/>
        <v>4</v>
      </c>
      <c r="K560" s="8"/>
      <c r="L560" s="8"/>
      <c r="M560" s="8"/>
      <c r="N560" s="8"/>
    </row>
    <row r="561" spans="1:14" ht="15.2" customHeight="1" thickBot="1" x14ac:dyDescent="0.25">
      <c r="A561" s="8"/>
      <c r="B561" s="8"/>
      <c r="C561" s="8"/>
      <c r="D561" s="24"/>
      <c r="E561" s="6"/>
      <c r="F561" s="4">
        <v>1</v>
      </c>
      <c r="G561" s="19">
        <v>3</v>
      </c>
      <c r="H561" s="19"/>
      <c r="I561" s="19"/>
      <c r="J561" s="28">
        <f t="shared" si="13"/>
        <v>3</v>
      </c>
      <c r="K561" s="8"/>
      <c r="L561" s="8"/>
      <c r="M561" s="8"/>
      <c r="N561" s="8"/>
    </row>
    <row r="562" spans="1:14" ht="15.2" customHeight="1" thickBot="1" x14ac:dyDescent="0.25">
      <c r="A562" s="8"/>
      <c r="B562" s="8"/>
      <c r="C562" s="8"/>
      <c r="D562" s="24"/>
      <c r="E562" s="6" t="s">
        <v>1034</v>
      </c>
      <c r="F562" s="4">
        <v>1</v>
      </c>
      <c r="G562" s="19">
        <v>3</v>
      </c>
      <c r="H562" s="19"/>
      <c r="I562" s="19"/>
      <c r="J562" s="28">
        <f t="shared" si="13"/>
        <v>3</v>
      </c>
      <c r="K562" s="30">
        <f>SUM(J555:J562)</f>
        <v>77.5</v>
      </c>
      <c r="L562" s="8"/>
      <c r="M562" s="8"/>
      <c r="N562" s="8"/>
    </row>
    <row r="563" spans="1:14" ht="15.4" customHeight="1" thickBot="1" x14ac:dyDescent="0.25">
      <c r="A563" s="12" t="s">
        <v>1035</v>
      </c>
      <c r="B563" s="6" t="s">
        <v>1036</v>
      </c>
      <c r="C563" s="6" t="s">
        <v>1037</v>
      </c>
      <c r="D563" s="48" t="s">
        <v>1038</v>
      </c>
      <c r="E563" s="48"/>
      <c r="F563" s="48"/>
      <c r="G563" s="48"/>
      <c r="H563" s="48"/>
      <c r="I563" s="48"/>
      <c r="J563" s="48"/>
      <c r="K563" s="19">
        <f>SUM(K566:K570)</f>
        <v>2.8400000000000003</v>
      </c>
      <c r="L563" s="20">
        <f>ROUND(92.86*(1+M2/100),2)</f>
        <v>95.65</v>
      </c>
      <c r="M563" s="20">
        <f>ROUND(K563*L563,2)</f>
        <v>271.64999999999998</v>
      </c>
      <c r="N563" s="8"/>
    </row>
    <row r="564" spans="1:14" ht="39.75" customHeight="1" thickBot="1" x14ac:dyDescent="0.25">
      <c r="A564" s="8"/>
      <c r="B564" s="8"/>
      <c r="C564" s="8"/>
      <c r="D564" s="48" t="s">
        <v>1039</v>
      </c>
      <c r="E564" s="48"/>
      <c r="F564" s="48"/>
      <c r="G564" s="48"/>
      <c r="H564" s="48"/>
      <c r="I564" s="48"/>
      <c r="J564" s="48"/>
      <c r="K564" s="48"/>
      <c r="L564" s="48"/>
      <c r="M564" s="48"/>
      <c r="N564" s="8"/>
    </row>
    <row r="565" spans="1:14" ht="15.2" customHeight="1" thickBot="1" x14ac:dyDescent="0.25">
      <c r="A565" s="8"/>
      <c r="B565" s="8"/>
      <c r="C565" s="8"/>
      <c r="D565" s="8"/>
      <c r="E565" s="21"/>
      <c r="F565" s="23" t="s">
        <v>1040</v>
      </c>
      <c r="G565" s="23" t="s">
        <v>1041</v>
      </c>
      <c r="H565" s="23" t="s">
        <v>1042</v>
      </c>
      <c r="I565" s="23" t="s">
        <v>1043</v>
      </c>
      <c r="J565" s="23" t="s">
        <v>1044</v>
      </c>
      <c r="K565" s="23" t="s">
        <v>1045</v>
      </c>
      <c r="L565" s="8"/>
      <c r="M565" s="8"/>
      <c r="N565" s="8"/>
    </row>
    <row r="566" spans="1:14" ht="21.4" customHeight="1" thickBot="1" x14ac:dyDescent="0.25">
      <c r="A566" s="8"/>
      <c r="B566" s="8"/>
      <c r="C566" s="8"/>
      <c r="D566" s="24"/>
      <c r="E566" s="25" t="s">
        <v>1046</v>
      </c>
      <c r="F566" s="26">
        <v>1</v>
      </c>
      <c r="G566" s="27">
        <v>2</v>
      </c>
      <c r="H566" s="27"/>
      <c r="I566" s="27"/>
      <c r="J566" s="29">
        <f>ROUND(F566*G566,3)</f>
        <v>2</v>
      </c>
      <c r="K566" s="39"/>
      <c r="L566" s="8"/>
      <c r="M566" s="8"/>
      <c r="N566" s="8"/>
    </row>
    <row r="567" spans="1:14" ht="30.6" customHeight="1" thickBot="1" x14ac:dyDescent="0.25">
      <c r="A567" s="8"/>
      <c r="B567" s="8"/>
      <c r="C567" s="8"/>
      <c r="D567" s="24"/>
      <c r="E567" s="6" t="s">
        <v>1047</v>
      </c>
      <c r="F567" s="4">
        <v>5</v>
      </c>
      <c r="G567" s="19">
        <v>0.3</v>
      </c>
      <c r="H567" s="19">
        <v>0.3</v>
      </c>
      <c r="I567" s="19"/>
      <c r="J567" s="28">
        <f>ROUND(F567*G567*H567,3)</f>
        <v>0.45</v>
      </c>
      <c r="K567" s="8"/>
      <c r="L567" s="8"/>
      <c r="M567" s="8"/>
      <c r="N567" s="8"/>
    </row>
    <row r="568" spans="1:14" ht="21.4" customHeight="1" thickBot="1" x14ac:dyDescent="0.25">
      <c r="A568" s="8"/>
      <c r="B568" s="8"/>
      <c r="C568" s="8"/>
      <c r="D568" s="24"/>
      <c r="E568" s="6" t="s">
        <v>1048</v>
      </c>
      <c r="F568" s="4">
        <v>1</v>
      </c>
      <c r="G568" s="19">
        <v>0.3</v>
      </c>
      <c r="H568" s="19">
        <v>0.3</v>
      </c>
      <c r="I568" s="19"/>
      <c r="J568" s="28">
        <f>ROUND(F568*G568*H568,3)</f>
        <v>0.09</v>
      </c>
      <c r="K568" s="8"/>
      <c r="L568" s="8"/>
      <c r="M568" s="8"/>
      <c r="N568" s="8"/>
    </row>
    <row r="569" spans="1:14" ht="21.4" customHeight="1" thickBot="1" x14ac:dyDescent="0.25">
      <c r="A569" s="8"/>
      <c r="B569" s="8"/>
      <c r="C569" s="8"/>
      <c r="D569" s="24"/>
      <c r="E569" s="6" t="s">
        <v>1049</v>
      </c>
      <c r="F569" s="4">
        <v>2</v>
      </c>
      <c r="G569" s="19">
        <v>0.3</v>
      </c>
      <c r="H569" s="19">
        <v>0.3</v>
      </c>
      <c r="I569" s="19"/>
      <c r="J569" s="28">
        <f>ROUND(F569*G569*H569,3)</f>
        <v>0.18</v>
      </c>
      <c r="K569" s="8"/>
      <c r="L569" s="8"/>
      <c r="M569" s="8"/>
      <c r="N569" s="8"/>
    </row>
    <row r="570" spans="1:14" ht="21.4" customHeight="1" thickBot="1" x14ac:dyDescent="0.25">
      <c r="A570" s="8"/>
      <c r="B570" s="8"/>
      <c r="C570" s="8"/>
      <c r="D570" s="24"/>
      <c r="E570" s="6" t="s">
        <v>1050</v>
      </c>
      <c r="F570" s="4">
        <v>3</v>
      </c>
      <c r="G570" s="19">
        <v>0.2</v>
      </c>
      <c r="H570" s="19">
        <v>0.2</v>
      </c>
      <c r="I570" s="19"/>
      <c r="J570" s="28">
        <f>ROUND(F570*G570*H570,3)</f>
        <v>0.12</v>
      </c>
      <c r="K570" s="30">
        <f>SUM(J566:J570)</f>
        <v>2.8400000000000003</v>
      </c>
      <c r="L570" s="8"/>
      <c r="M570" s="8"/>
      <c r="N570" s="8"/>
    </row>
    <row r="571" spans="1:14" ht="15.4" customHeight="1" thickBot="1" x14ac:dyDescent="0.25">
      <c r="A571" s="12" t="s">
        <v>1051</v>
      </c>
      <c r="B571" s="6" t="s">
        <v>1052</v>
      </c>
      <c r="C571" s="6" t="s">
        <v>1053</v>
      </c>
      <c r="D571" s="48" t="s">
        <v>1054</v>
      </c>
      <c r="E571" s="48"/>
      <c r="F571" s="48"/>
      <c r="G571" s="48"/>
      <c r="H571" s="48"/>
      <c r="I571" s="48"/>
      <c r="J571" s="48"/>
      <c r="K571" s="19">
        <f>ROUND(2,2)</f>
        <v>2</v>
      </c>
      <c r="L571" s="20">
        <f>ROUND(1077.58*(1+M2/100),2)</f>
        <v>1109.9100000000001</v>
      </c>
      <c r="M571" s="20">
        <f>ROUND(K571*L571,2)</f>
        <v>2219.8200000000002</v>
      </c>
      <c r="N571" s="8"/>
    </row>
    <row r="572" spans="1:14" ht="39.75" customHeight="1" thickBot="1" x14ac:dyDescent="0.25">
      <c r="A572" s="8"/>
      <c r="B572" s="8"/>
      <c r="C572" s="8"/>
      <c r="D572" s="48" t="s">
        <v>1055</v>
      </c>
      <c r="E572" s="48"/>
      <c r="F572" s="48"/>
      <c r="G572" s="48"/>
      <c r="H572" s="48"/>
      <c r="I572" s="48"/>
      <c r="J572" s="48"/>
      <c r="K572" s="48"/>
      <c r="L572" s="48"/>
      <c r="M572" s="48"/>
      <c r="N572" s="8"/>
    </row>
    <row r="573" spans="1:14" ht="15.4" customHeight="1" thickBot="1" x14ac:dyDescent="0.25">
      <c r="A573" s="12" t="s">
        <v>1056</v>
      </c>
      <c r="B573" s="6" t="s">
        <v>1057</v>
      </c>
      <c r="C573" s="6" t="s">
        <v>1058</v>
      </c>
      <c r="D573" s="48" t="s">
        <v>1059</v>
      </c>
      <c r="E573" s="48"/>
      <c r="F573" s="48"/>
      <c r="G573" s="48"/>
      <c r="H573" s="48"/>
      <c r="I573" s="48"/>
      <c r="J573" s="48"/>
      <c r="K573" s="19">
        <f>ROUND(4,2)</f>
        <v>4</v>
      </c>
      <c r="L573" s="20">
        <f>ROUND(939.88*(1+M2/100),2)</f>
        <v>968.08</v>
      </c>
      <c r="M573" s="20">
        <f>ROUND(K573*L573,2)</f>
        <v>3872.32</v>
      </c>
      <c r="N573" s="8"/>
    </row>
    <row r="574" spans="1:14" ht="39.75" customHeight="1" thickBot="1" x14ac:dyDescent="0.25">
      <c r="A574" s="8"/>
      <c r="B574" s="8"/>
      <c r="C574" s="8"/>
      <c r="D574" s="48" t="s">
        <v>1060</v>
      </c>
      <c r="E574" s="48"/>
      <c r="F574" s="48"/>
      <c r="G574" s="48"/>
      <c r="H574" s="48"/>
      <c r="I574" s="48"/>
      <c r="J574" s="48"/>
      <c r="K574" s="48"/>
      <c r="L574" s="48"/>
      <c r="M574" s="48"/>
      <c r="N574" s="8"/>
    </row>
    <row r="575" spans="1:14" ht="15.4" customHeight="1" thickBot="1" x14ac:dyDescent="0.25">
      <c r="A575" s="32"/>
      <c r="B575" s="32"/>
      <c r="C575" s="32"/>
      <c r="D575" s="33" t="s">
        <v>1061</v>
      </c>
      <c r="E575" s="34"/>
      <c r="F575" s="34"/>
      <c r="G575" s="34"/>
      <c r="H575" s="34"/>
      <c r="I575" s="34"/>
      <c r="J575" s="34"/>
      <c r="K575" s="34"/>
      <c r="L575" s="35">
        <f>M548+M552+M563+M571+M573</f>
        <v>13718.279999999999</v>
      </c>
      <c r="M575" s="35">
        <f>ROUND(L575,2)</f>
        <v>13718.28</v>
      </c>
      <c r="N575" s="8"/>
    </row>
    <row r="576" spans="1:14" ht="15.4" customHeight="1" thickBot="1" x14ac:dyDescent="0.25">
      <c r="A576" s="36" t="s">
        <v>1062</v>
      </c>
      <c r="B576" s="36" t="s">
        <v>1063</v>
      </c>
      <c r="C576" s="37"/>
      <c r="D576" s="49" t="s">
        <v>1064</v>
      </c>
      <c r="E576" s="49"/>
      <c r="F576" s="49"/>
      <c r="G576" s="49"/>
      <c r="H576" s="49"/>
      <c r="I576" s="49"/>
      <c r="J576" s="49"/>
      <c r="K576" s="37"/>
      <c r="L576" s="38">
        <f>L627</f>
        <v>905.35000000000014</v>
      </c>
      <c r="M576" s="38">
        <f>ROUND(L576,2)</f>
        <v>905.35</v>
      </c>
      <c r="N576" s="8"/>
    </row>
    <row r="577" spans="1:14" ht="15.4" customHeight="1" thickBot="1" x14ac:dyDescent="0.25">
      <c r="A577" s="12" t="s">
        <v>1065</v>
      </c>
      <c r="B577" s="6" t="s">
        <v>1066</v>
      </c>
      <c r="C577" s="6" t="s">
        <v>1067</v>
      </c>
      <c r="D577" s="48" t="s">
        <v>1068</v>
      </c>
      <c r="E577" s="48"/>
      <c r="F577" s="48"/>
      <c r="G577" s="48"/>
      <c r="H577" s="48"/>
      <c r="I577" s="48"/>
      <c r="J577" s="48"/>
      <c r="K577" s="19">
        <f>SUM(K580:K588)</f>
        <v>12.472</v>
      </c>
      <c r="L577" s="20">
        <f>ROUND(7.27*(1+M2/100),2)</f>
        <v>7.49</v>
      </c>
      <c r="M577" s="20">
        <f>ROUND(K577*L577,2)</f>
        <v>93.42</v>
      </c>
      <c r="N577" s="8"/>
    </row>
    <row r="578" spans="1:14" ht="76.900000000000006" customHeight="1" thickBot="1" x14ac:dyDescent="0.25">
      <c r="A578" s="8"/>
      <c r="B578" s="8"/>
      <c r="C578" s="8"/>
      <c r="D578" s="48" t="s">
        <v>1069</v>
      </c>
      <c r="E578" s="48"/>
      <c r="F578" s="48"/>
      <c r="G578" s="48"/>
      <c r="H578" s="48"/>
      <c r="I578" s="48"/>
      <c r="J578" s="48"/>
      <c r="K578" s="48"/>
      <c r="L578" s="48"/>
      <c r="M578" s="48"/>
      <c r="N578" s="8"/>
    </row>
    <row r="579" spans="1:14" ht="15.2" customHeight="1" thickBot="1" x14ac:dyDescent="0.25">
      <c r="A579" s="8"/>
      <c r="B579" s="8"/>
      <c r="C579" s="8"/>
      <c r="D579" s="8"/>
      <c r="E579" s="21"/>
      <c r="F579" s="23" t="s">
        <v>1070</v>
      </c>
      <c r="G579" s="23" t="s">
        <v>1071</v>
      </c>
      <c r="H579" s="23" t="s">
        <v>1072</v>
      </c>
      <c r="I579" s="23" t="s">
        <v>1073</v>
      </c>
      <c r="J579" s="23" t="s">
        <v>1074</v>
      </c>
      <c r="K579" s="23" t="s">
        <v>1075</v>
      </c>
      <c r="L579" s="8"/>
      <c r="M579" s="8"/>
      <c r="N579" s="8"/>
    </row>
    <row r="580" spans="1:14" ht="15.2" customHeight="1" thickBot="1" x14ac:dyDescent="0.25">
      <c r="A580" s="8"/>
      <c r="B580" s="8"/>
      <c r="C580" s="8"/>
      <c r="D580" s="24"/>
      <c r="E580" s="25" t="s">
        <v>1076</v>
      </c>
      <c r="F580" s="26"/>
      <c r="G580" s="27"/>
      <c r="H580" s="27"/>
      <c r="I580" s="27"/>
      <c r="J580" s="40" t="s">
        <v>1077</v>
      </c>
      <c r="K580" s="39"/>
      <c r="L580" s="8"/>
      <c r="M580" s="8"/>
      <c r="N580" s="8"/>
    </row>
    <row r="581" spans="1:14" ht="15.2" customHeight="1" thickBot="1" x14ac:dyDescent="0.25">
      <c r="A581" s="8"/>
      <c r="B581" s="8"/>
      <c r="C581" s="8"/>
      <c r="D581" s="24"/>
      <c r="E581" s="6" t="s">
        <v>1078</v>
      </c>
      <c r="F581" s="4">
        <v>1</v>
      </c>
      <c r="G581" s="19">
        <v>6</v>
      </c>
      <c r="H581" s="19"/>
      <c r="I581" s="19">
        <v>0.12</v>
      </c>
      <c r="J581" s="28">
        <f>ROUND(F581*G581*I581,3)</f>
        <v>0.72</v>
      </c>
      <c r="K581" s="8"/>
      <c r="L581" s="8"/>
      <c r="M581" s="8"/>
      <c r="N581" s="8"/>
    </row>
    <row r="582" spans="1:14" ht="15.2" customHeight="1" thickBot="1" x14ac:dyDescent="0.25">
      <c r="A582" s="8"/>
      <c r="B582" s="8"/>
      <c r="C582" s="8"/>
      <c r="D582" s="24"/>
      <c r="E582" s="6" t="s">
        <v>1079</v>
      </c>
      <c r="F582" s="4">
        <v>1</v>
      </c>
      <c r="G582" s="19">
        <v>15</v>
      </c>
      <c r="H582" s="19"/>
      <c r="I582" s="19">
        <v>0.04</v>
      </c>
      <c r="J582" s="28">
        <f>ROUND(F582*G582*I582,3)</f>
        <v>0.6</v>
      </c>
      <c r="K582" s="8"/>
      <c r="L582" s="8"/>
      <c r="M582" s="8"/>
      <c r="N582" s="8"/>
    </row>
    <row r="583" spans="1:14" ht="15.2" customHeight="1" thickBot="1" x14ac:dyDescent="0.25">
      <c r="A583" s="8"/>
      <c r="B583" s="8"/>
      <c r="C583" s="8"/>
      <c r="D583" s="24"/>
      <c r="E583" s="6" t="s">
        <v>1080</v>
      </c>
      <c r="F583" s="4">
        <v>1</v>
      </c>
      <c r="G583" s="19">
        <v>24.5</v>
      </c>
      <c r="H583" s="19">
        <v>0.3</v>
      </c>
      <c r="I583" s="19">
        <v>0.04</v>
      </c>
      <c r="J583" s="28">
        <f>ROUND(F583*G583*H583*I583,3)</f>
        <v>0.29399999999999998</v>
      </c>
      <c r="K583" s="8"/>
      <c r="L583" s="8"/>
      <c r="M583" s="8"/>
      <c r="N583" s="8"/>
    </row>
    <row r="584" spans="1:14" ht="15.2" customHeight="1" thickBot="1" x14ac:dyDescent="0.25">
      <c r="A584" s="8"/>
      <c r="B584" s="8"/>
      <c r="C584" s="8"/>
      <c r="D584" s="24"/>
      <c r="E584" s="6"/>
      <c r="F584" s="4">
        <v>1</v>
      </c>
      <c r="G584" s="19">
        <v>24.5</v>
      </c>
      <c r="H584" s="19">
        <v>0.2</v>
      </c>
      <c r="I584" s="19">
        <v>0.04</v>
      </c>
      <c r="J584" s="28">
        <f>ROUND(F584*G584*H584*I584,3)</f>
        <v>0.19600000000000001</v>
      </c>
      <c r="K584" s="8"/>
      <c r="L584" s="8"/>
      <c r="M584" s="8"/>
      <c r="N584" s="8"/>
    </row>
    <row r="585" spans="1:14" ht="21.4" customHeight="1" thickBot="1" x14ac:dyDescent="0.25">
      <c r="A585" s="8"/>
      <c r="B585" s="8"/>
      <c r="C585" s="8"/>
      <c r="D585" s="24"/>
      <c r="E585" s="6" t="s">
        <v>1081</v>
      </c>
      <c r="F585" s="4">
        <v>1</v>
      </c>
      <c r="G585" s="19">
        <v>14</v>
      </c>
      <c r="H585" s="19"/>
      <c r="I585" s="19">
        <v>0.03</v>
      </c>
      <c r="J585" s="28">
        <f>ROUND(F585*G585*I585,3)</f>
        <v>0.42</v>
      </c>
      <c r="K585" s="8"/>
      <c r="L585" s="8"/>
      <c r="M585" s="8"/>
      <c r="N585" s="8"/>
    </row>
    <row r="586" spans="1:14" ht="15.2" customHeight="1" thickBot="1" x14ac:dyDescent="0.25">
      <c r="A586" s="8"/>
      <c r="B586" s="8"/>
      <c r="C586" s="8"/>
      <c r="D586" s="24"/>
      <c r="E586" s="6" t="s">
        <v>1082</v>
      </c>
      <c r="F586" s="4">
        <v>1</v>
      </c>
      <c r="G586" s="19">
        <v>5.5</v>
      </c>
      <c r="H586" s="19"/>
      <c r="I586" s="19">
        <v>0.02</v>
      </c>
      <c r="J586" s="28">
        <f>ROUND(F586*G586*I586,3)</f>
        <v>0.11</v>
      </c>
      <c r="K586" s="8"/>
      <c r="L586" s="8"/>
      <c r="M586" s="8"/>
      <c r="N586" s="8"/>
    </row>
    <row r="587" spans="1:14" ht="15.2" customHeight="1" thickBot="1" x14ac:dyDescent="0.25">
      <c r="A587" s="8"/>
      <c r="B587" s="8"/>
      <c r="C587" s="8"/>
      <c r="D587" s="24"/>
      <c r="E587" s="6" t="s">
        <v>1083</v>
      </c>
      <c r="F587" s="4">
        <v>1</v>
      </c>
      <c r="G587" s="19">
        <v>80.599999999999994</v>
      </c>
      <c r="H587" s="19">
        <v>0.3</v>
      </c>
      <c r="I587" s="19">
        <v>0.3</v>
      </c>
      <c r="J587" s="28">
        <f>ROUND(F587*G587*H587*I587,3)</f>
        <v>7.2539999999999996</v>
      </c>
      <c r="K587" s="8"/>
      <c r="L587" s="8"/>
      <c r="M587" s="8"/>
      <c r="N587" s="8"/>
    </row>
    <row r="588" spans="1:14" ht="15.2" customHeight="1" thickBot="1" x14ac:dyDescent="0.25">
      <c r="A588" s="8"/>
      <c r="B588" s="8"/>
      <c r="C588" s="8"/>
      <c r="D588" s="24"/>
      <c r="E588" s="6"/>
      <c r="F588" s="4">
        <v>1.3</v>
      </c>
      <c r="G588" s="19"/>
      <c r="H588" s="19"/>
      <c r="I588" s="19"/>
      <c r="J588" s="28">
        <f>SUM(J580:J587)</f>
        <v>9.5939999999999994</v>
      </c>
      <c r="K588" s="19">
        <f>ROUND(F588*J588,3)</f>
        <v>12.472</v>
      </c>
      <c r="L588" s="8"/>
      <c r="M588" s="8"/>
      <c r="N588" s="8"/>
    </row>
    <row r="589" spans="1:14" ht="15.4" customHeight="1" thickBot="1" x14ac:dyDescent="0.25">
      <c r="A589" s="12" t="s">
        <v>1084</v>
      </c>
      <c r="B589" s="6" t="s">
        <v>1085</v>
      </c>
      <c r="C589" s="6" t="s">
        <v>1086</v>
      </c>
      <c r="D589" s="48" t="s">
        <v>1087</v>
      </c>
      <c r="E589" s="48"/>
      <c r="F589" s="48"/>
      <c r="G589" s="48"/>
      <c r="H589" s="48"/>
      <c r="I589" s="48"/>
      <c r="J589" s="48"/>
      <c r="K589" s="19">
        <f>SUM(K592:K593)</f>
        <v>3.9590000000000001</v>
      </c>
      <c r="L589" s="20">
        <f>ROUND(9.24*(1+M2/100),2)</f>
        <v>9.52</v>
      </c>
      <c r="M589" s="20">
        <f>ROUND(K589*L589,2)</f>
        <v>37.69</v>
      </c>
      <c r="N589" s="8"/>
    </row>
    <row r="590" spans="1:14" ht="67.5" customHeight="1" thickBot="1" x14ac:dyDescent="0.25">
      <c r="A590" s="8"/>
      <c r="B590" s="8"/>
      <c r="C590" s="8"/>
      <c r="D590" s="48" t="s">
        <v>1088</v>
      </c>
      <c r="E590" s="48"/>
      <c r="F590" s="48"/>
      <c r="G590" s="48"/>
      <c r="H590" s="48"/>
      <c r="I590" s="48"/>
      <c r="J590" s="48"/>
      <c r="K590" s="48"/>
      <c r="L590" s="48"/>
      <c r="M590" s="48"/>
      <c r="N590" s="8"/>
    </row>
    <row r="591" spans="1:14" ht="15.2" customHeight="1" thickBot="1" x14ac:dyDescent="0.25">
      <c r="A591" s="8"/>
      <c r="B591" s="8"/>
      <c r="C591" s="8"/>
      <c r="D591" s="8"/>
      <c r="E591" s="21"/>
      <c r="F591" s="23" t="s">
        <v>1089</v>
      </c>
      <c r="G591" s="23" t="s">
        <v>1090</v>
      </c>
      <c r="H591" s="23" t="s">
        <v>1091</v>
      </c>
      <c r="I591" s="23" t="s">
        <v>1092</v>
      </c>
      <c r="J591" s="23" t="s">
        <v>1093</v>
      </c>
      <c r="K591" s="23" t="s">
        <v>1094</v>
      </c>
      <c r="L591" s="8"/>
      <c r="M591" s="8"/>
      <c r="N591" s="8"/>
    </row>
    <row r="592" spans="1:14" ht="15.2" customHeight="1" thickBot="1" x14ac:dyDescent="0.25">
      <c r="A592" s="8"/>
      <c r="B592" s="8"/>
      <c r="C592" s="8"/>
      <c r="D592" s="24"/>
      <c r="E592" s="25" t="s">
        <v>1095</v>
      </c>
      <c r="F592" s="26">
        <v>1</v>
      </c>
      <c r="G592" s="27">
        <v>101.508</v>
      </c>
      <c r="H592" s="27">
        <v>0.03</v>
      </c>
      <c r="I592" s="27"/>
      <c r="J592" s="29">
        <f>ROUND(F592*G592*H592,3)</f>
        <v>3.0449999999999999</v>
      </c>
      <c r="K592" s="39"/>
      <c r="L592" s="8"/>
      <c r="M592" s="8"/>
      <c r="N592" s="8"/>
    </row>
    <row r="593" spans="1:14" ht="15.2" customHeight="1" thickBot="1" x14ac:dyDescent="0.25">
      <c r="A593" s="8"/>
      <c r="B593" s="8"/>
      <c r="C593" s="8"/>
      <c r="D593" s="24"/>
      <c r="E593" s="6"/>
      <c r="F593" s="4">
        <v>1.3</v>
      </c>
      <c r="G593" s="19"/>
      <c r="H593" s="19"/>
      <c r="I593" s="19"/>
      <c r="J593" s="28">
        <f>SUM(J592:J592)</f>
        <v>3.0449999999999999</v>
      </c>
      <c r="K593" s="19">
        <f>ROUND(F593*J593,3)</f>
        <v>3.9590000000000001</v>
      </c>
      <c r="L593" s="8"/>
      <c r="M593" s="8"/>
      <c r="N593" s="8"/>
    </row>
    <row r="594" spans="1:14" ht="15.4" customHeight="1" thickBot="1" x14ac:dyDescent="0.25">
      <c r="A594" s="12" t="s">
        <v>1096</v>
      </c>
      <c r="B594" s="6" t="s">
        <v>1097</v>
      </c>
      <c r="C594" s="6" t="s">
        <v>1098</v>
      </c>
      <c r="D594" s="48" t="s">
        <v>1099</v>
      </c>
      <c r="E594" s="48"/>
      <c r="F594" s="48"/>
      <c r="G594" s="48"/>
      <c r="H594" s="48"/>
      <c r="I594" s="48"/>
      <c r="J594" s="48"/>
      <c r="K594" s="19">
        <f>SUM(K597:K601)</f>
        <v>13.632</v>
      </c>
      <c r="L594" s="20">
        <f>ROUND(25.77*(1+M2/100),2)</f>
        <v>26.54</v>
      </c>
      <c r="M594" s="20">
        <f>ROUND(K594*L594,2)</f>
        <v>361.79</v>
      </c>
      <c r="N594" s="8"/>
    </row>
    <row r="595" spans="1:14" ht="67.5" customHeight="1" thickBot="1" x14ac:dyDescent="0.25">
      <c r="A595" s="8"/>
      <c r="B595" s="8"/>
      <c r="C595" s="8"/>
      <c r="D595" s="48" t="s">
        <v>1100</v>
      </c>
      <c r="E595" s="48"/>
      <c r="F595" s="48"/>
      <c r="G595" s="48"/>
      <c r="H595" s="48"/>
      <c r="I595" s="48"/>
      <c r="J595" s="48"/>
      <c r="K595" s="48"/>
      <c r="L595" s="48"/>
      <c r="M595" s="48"/>
      <c r="N595" s="8"/>
    </row>
    <row r="596" spans="1:14" ht="15.2" customHeight="1" thickBot="1" x14ac:dyDescent="0.25">
      <c r="A596" s="8"/>
      <c r="B596" s="8"/>
      <c r="C596" s="8"/>
      <c r="D596" s="8"/>
      <c r="E596" s="21"/>
      <c r="F596" s="23" t="s">
        <v>1101</v>
      </c>
      <c r="G596" s="23" t="s">
        <v>1102</v>
      </c>
      <c r="H596" s="23" t="s">
        <v>1103</v>
      </c>
      <c r="I596" s="23" t="s">
        <v>1104</v>
      </c>
      <c r="J596" s="23" t="s">
        <v>1105</v>
      </c>
      <c r="K596" s="23" t="s">
        <v>1106</v>
      </c>
      <c r="L596" s="8"/>
      <c r="M596" s="8"/>
      <c r="N596" s="8"/>
    </row>
    <row r="597" spans="1:14" ht="15.2" customHeight="1" thickBot="1" x14ac:dyDescent="0.25">
      <c r="A597" s="8"/>
      <c r="B597" s="8"/>
      <c r="C597" s="8"/>
      <c r="D597" s="24"/>
      <c r="E597" s="25" t="s">
        <v>1107</v>
      </c>
      <c r="F597" s="26">
        <v>1</v>
      </c>
      <c r="G597" s="27">
        <v>101.508</v>
      </c>
      <c r="H597" s="27">
        <v>0.08</v>
      </c>
      <c r="I597" s="27"/>
      <c r="J597" s="29">
        <f>ROUND(F597*G597*H597,3)</f>
        <v>8.1210000000000004</v>
      </c>
      <c r="K597" s="39"/>
      <c r="L597" s="8"/>
      <c r="M597" s="8"/>
      <c r="N597" s="8"/>
    </row>
    <row r="598" spans="1:14" ht="15.2" customHeight="1" thickBot="1" x14ac:dyDescent="0.25">
      <c r="A598" s="8"/>
      <c r="B598" s="8"/>
      <c r="C598" s="8"/>
      <c r="D598" s="24"/>
      <c r="E598" s="6" t="s">
        <v>1108</v>
      </c>
      <c r="F598" s="4">
        <v>1</v>
      </c>
      <c r="G598" s="19">
        <v>28.545000000000002</v>
      </c>
      <c r="H598" s="19">
        <v>0.05</v>
      </c>
      <c r="I598" s="19"/>
      <c r="J598" s="28">
        <f>ROUND(F598*G598*H598,3)</f>
        <v>1.427</v>
      </c>
      <c r="K598" s="8"/>
      <c r="L598" s="8"/>
      <c r="M598" s="8"/>
      <c r="N598" s="8"/>
    </row>
    <row r="599" spans="1:14" ht="15.2" customHeight="1" thickBot="1" x14ac:dyDescent="0.25">
      <c r="A599" s="8"/>
      <c r="B599" s="8"/>
      <c r="C599" s="8"/>
      <c r="D599" s="24"/>
      <c r="E599" s="6" t="s">
        <v>1109</v>
      </c>
      <c r="F599" s="4">
        <v>1</v>
      </c>
      <c r="G599" s="19">
        <v>1.92</v>
      </c>
      <c r="H599" s="19">
        <v>0.02</v>
      </c>
      <c r="I599" s="19"/>
      <c r="J599" s="28">
        <f>ROUND(F599*G599*H599,3)</f>
        <v>3.7999999999999999E-2</v>
      </c>
      <c r="K599" s="8"/>
      <c r="L599" s="8"/>
      <c r="M599" s="8"/>
      <c r="N599" s="8"/>
    </row>
    <row r="600" spans="1:14" ht="15.2" customHeight="1" thickBot="1" x14ac:dyDescent="0.25">
      <c r="A600" s="8"/>
      <c r="B600" s="8"/>
      <c r="C600" s="8"/>
      <c r="D600" s="24"/>
      <c r="E600" s="6" t="s">
        <v>1110</v>
      </c>
      <c r="F600" s="4">
        <v>1</v>
      </c>
      <c r="G600" s="19">
        <v>90</v>
      </c>
      <c r="H600" s="19">
        <v>0.01</v>
      </c>
      <c r="I600" s="19"/>
      <c r="J600" s="28">
        <f>ROUND(F600*G600*H600,3)</f>
        <v>0.9</v>
      </c>
      <c r="K600" s="8"/>
      <c r="L600" s="8"/>
      <c r="M600" s="8"/>
      <c r="N600" s="8"/>
    </row>
    <row r="601" spans="1:14" ht="15.2" customHeight="1" thickBot="1" x14ac:dyDescent="0.25">
      <c r="A601" s="8"/>
      <c r="B601" s="8"/>
      <c r="C601" s="8"/>
      <c r="D601" s="24"/>
      <c r="E601" s="6"/>
      <c r="F601" s="4">
        <v>1.3</v>
      </c>
      <c r="G601" s="19"/>
      <c r="H601" s="19"/>
      <c r="I601" s="19"/>
      <c r="J601" s="28">
        <f>SUM(J597:J600)</f>
        <v>10.486000000000001</v>
      </c>
      <c r="K601" s="19">
        <f>ROUND(F601*J601,3)</f>
        <v>13.632</v>
      </c>
      <c r="L601" s="8"/>
      <c r="M601" s="8"/>
      <c r="N601" s="8"/>
    </row>
    <row r="602" spans="1:14" ht="15.4" customHeight="1" thickBot="1" x14ac:dyDescent="0.25">
      <c r="A602" s="12" t="s">
        <v>1111</v>
      </c>
      <c r="B602" s="6" t="s">
        <v>1112</v>
      </c>
      <c r="C602" s="6" t="s">
        <v>1113</v>
      </c>
      <c r="D602" s="48" t="s">
        <v>1114</v>
      </c>
      <c r="E602" s="48"/>
      <c r="F602" s="48"/>
      <c r="G602" s="48"/>
      <c r="H602" s="48"/>
      <c r="I602" s="48"/>
      <c r="J602" s="48"/>
      <c r="K602" s="19">
        <f>SUM(K605:K613)</f>
        <v>12.472</v>
      </c>
      <c r="L602" s="20">
        <f>ROUND(8.72*(1+M2/100),2)</f>
        <v>8.98</v>
      </c>
      <c r="M602" s="20">
        <f>ROUND(K602*L602,2)</f>
        <v>112</v>
      </c>
      <c r="N602" s="8"/>
    </row>
    <row r="603" spans="1:14" ht="58.35" customHeight="1" thickBot="1" x14ac:dyDescent="0.25">
      <c r="A603" s="8"/>
      <c r="B603" s="8"/>
      <c r="C603" s="8"/>
      <c r="D603" s="48" t="s">
        <v>1115</v>
      </c>
      <c r="E603" s="48"/>
      <c r="F603" s="48"/>
      <c r="G603" s="48"/>
      <c r="H603" s="48"/>
      <c r="I603" s="48"/>
      <c r="J603" s="48"/>
      <c r="K603" s="48"/>
      <c r="L603" s="48"/>
      <c r="M603" s="48"/>
      <c r="N603" s="8"/>
    </row>
    <row r="604" spans="1:14" ht="15.2" customHeight="1" thickBot="1" x14ac:dyDescent="0.25">
      <c r="A604" s="8"/>
      <c r="B604" s="8"/>
      <c r="C604" s="8"/>
      <c r="D604" s="8"/>
      <c r="E604" s="21"/>
      <c r="F604" s="23" t="s">
        <v>1116</v>
      </c>
      <c r="G604" s="23" t="s">
        <v>1117</v>
      </c>
      <c r="H604" s="23" t="s">
        <v>1118</v>
      </c>
      <c r="I604" s="23" t="s">
        <v>1119</v>
      </c>
      <c r="J604" s="23" t="s">
        <v>1120</v>
      </c>
      <c r="K604" s="23" t="s">
        <v>1121</v>
      </c>
      <c r="L604" s="8"/>
      <c r="M604" s="8"/>
      <c r="N604" s="8"/>
    </row>
    <row r="605" spans="1:14" ht="15.2" customHeight="1" thickBot="1" x14ac:dyDescent="0.25">
      <c r="A605" s="8"/>
      <c r="B605" s="8"/>
      <c r="C605" s="8"/>
      <c r="D605" s="24"/>
      <c r="E605" s="25" t="s">
        <v>1122</v>
      </c>
      <c r="F605" s="26"/>
      <c r="G605" s="27"/>
      <c r="H605" s="27"/>
      <c r="I605" s="27"/>
      <c r="J605" s="40" t="s">
        <v>1123</v>
      </c>
      <c r="K605" s="39"/>
      <c r="L605" s="8"/>
      <c r="M605" s="8"/>
      <c r="N605" s="8"/>
    </row>
    <row r="606" spans="1:14" ht="15.2" customHeight="1" thickBot="1" x14ac:dyDescent="0.25">
      <c r="A606" s="8"/>
      <c r="B606" s="8"/>
      <c r="C606" s="8"/>
      <c r="D606" s="24"/>
      <c r="E606" s="6" t="s">
        <v>1124</v>
      </c>
      <c r="F606" s="4">
        <v>1</v>
      </c>
      <c r="G606" s="19">
        <v>6</v>
      </c>
      <c r="H606" s="19"/>
      <c r="I606" s="19">
        <v>0.12</v>
      </c>
      <c r="J606" s="28">
        <f>ROUND(F606*G606*I606,3)</f>
        <v>0.72</v>
      </c>
      <c r="K606" s="8"/>
      <c r="L606" s="8"/>
      <c r="M606" s="8"/>
      <c r="N606" s="8"/>
    </row>
    <row r="607" spans="1:14" ht="15.2" customHeight="1" thickBot="1" x14ac:dyDescent="0.25">
      <c r="A607" s="8"/>
      <c r="B607" s="8"/>
      <c r="C607" s="8"/>
      <c r="D607" s="24"/>
      <c r="E607" s="6" t="s">
        <v>1125</v>
      </c>
      <c r="F607" s="4">
        <v>1</v>
      </c>
      <c r="G607" s="19">
        <v>15</v>
      </c>
      <c r="H607" s="19"/>
      <c r="I607" s="19">
        <v>0.04</v>
      </c>
      <c r="J607" s="28">
        <f>ROUND(F607*G607*I607,3)</f>
        <v>0.6</v>
      </c>
      <c r="K607" s="8"/>
      <c r="L607" s="8"/>
      <c r="M607" s="8"/>
      <c r="N607" s="8"/>
    </row>
    <row r="608" spans="1:14" ht="15.2" customHeight="1" thickBot="1" x14ac:dyDescent="0.25">
      <c r="A608" s="8"/>
      <c r="B608" s="8"/>
      <c r="C608" s="8"/>
      <c r="D608" s="24"/>
      <c r="E608" s="6" t="s">
        <v>1126</v>
      </c>
      <c r="F608" s="4">
        <v>1</v>
      </c>
      <c r="G608" s="19">
        <v>24.5</v>
      </c>
      <c r="H608" s="19">
        <v>0.3</v>
      </c>
      <c r="I608" s="19">
        <v>0.04</v>
      </c>
      <c r="J608" s="28">
        <f>ROUND(F608*G608*H608*I608,3)</f>
        <v>0.29399999999999998</v>
      </c>
      <c r="K608" s="8"/>
      <c r="L608" s="8"/>
      <c r="M608" s="8"/>
      <c r="N608" s="8"/>
    </row>
    <row r="609" spans="1:14" ht="15.2" customHeight="1" thickBot="1" x14ac:dyDescent="0.25">
      <c r="A609" s="8"/>
      <c r="B609" s="8"/>
      <c r="C609" s="8"/>
      <c r="D609" s="24"/>
      <c r="E609" s="6"/>
      <c r="F609" s="4">
        <v>1</v>
      </c>
      <c r="G609" s="19">
        <v>24.5</v>
      </c>
      <c r="H609" s="19">
        <v>0.2</v>
      </c>
      <c r="I609" s="19">
        <v>0.04</v>
      </c>
      <c r="J609" s="28">
        <f>ROUND(F609*G609*H609*I609,3)</f>
        <v>0.19600000000000001</v>
      </c>
      <c r="K609" s="8"/>
      <c r="L609" s="8"/>
      <c r="M609" s="8"/>
      <c r="N609" s="8"/>
    </row>
    <row r="610" spans="1:14" ht="21.4" customHeight="1" thickBot="1" x14ac:dyDescent="0.25">
      <c r="A610" s="8"/>
      <c r="B610" s="8"/>
      <c r="C610" s="8"/>
      <c r="D610" s="24"/>
      <c r="E610" s="6" t="s">
        <v>1127</v>
      </c>
      <c r="F610" s="4">
        <v>1</v>
      </c>
      <c r="G610" s="19">
        <v>14</v>
      </c>
      <c r="H610" s="19"/>
      <c r="I610" s="19">
        <v>0.03</v>
      </c>
      <c r="J610" s="28">
        <f>ROUND(F610*G610*I610,3)</f>
        <v>0.42</v>
      </c>
      <c r="K610" s="8"/>
      <c r="L610" s="8"/>
      <c r="M610" s="8"/>
      <c r="N610" s="8"/>
    </row>
    <row r="611" spans="1:14" ht="15.2" customHeight="1" thickBot="1" x14ac:dyDescent="0.25">
      <c r="A611" s="8"/>
      <c r="B611" s="8"/>
      <c r="C611" s="8"/>
      <c r="D611" s="24"/>
      <c r="E611" s="6" t="s">
        <v>1128</v>
      </c>
      <c r="F611" s="4">
        <v>1</v>
      </c>
      <c r="G611" s="19">
        <v>5.5</v>
      </c>
      <c r="H611" s="19"/>
      <c r="I611" s="19">
        <v>0.02</v>
      </c>
      <c r="J611" s="28">
        <f>ROUND(F611*G611*I611,3)</f>
        <v>0.11</v>
      </c>
      <c r="K611" s="8"/>
      <c r="L611" s="8"/>
      <c r="M611" s="8"/>
      <c r="N611" s="8"/>
    </row>
    <row r="612" spans="1:14" ht="15.2" customHeight="1" thickBot="1" x14ac:dyDescent="0.25">
      <c r="A612" s="8"/>
      <c r="B612" s="8"/>
      <c r="C612" s="8"/>
      <c r="D612" s="24"/>
      <c r="E612" s="6" t="s">
        <v>1129</v>
      </c>
      <c r="F612" s="4">
        <v>1</v>
      </c>
      <c r="G612" s="19">
        <v>80.599999999999994</v>
      </c>
      <c r="H612" s="19">
        <v>0.3</v>
      </c>
      <c r="I612" s="19">
        <v>0.3</v>
      </c>
      <c r="J612" s="28">
        <f>ROUND(F612*G612*H612*I612,3)</f>
        <v>7.2539999999999996</v>
      </c>
      <c r="K612" s="8"/>
      <c r="L612" s="8"/>
      <c r="M612" s="8"/>
      <c r="N612" s="8"/>
    </row>
    <row r="613" spans="1:14" ht="15.2" customHeight="1" thickBot="1" x14ac:dyDescent="0.25">
      <c r="A613" s="8"/>
      <c r="B613" s="8"/>
      <c r="C613" s="8"/>
      <c r="D613" s="24"/>
      <c r="E613" s="6"/>
      <c r="F613" s="4">
        <v>1.3</v>
      </c>
      <c r="G613" s="19"/>
      <c r="H613" s="19"/>
      <c r="I613" s="19"/>
      <c r="J613" s="28">
        <f>SUM(J605:J612)</f>
        <v>9.5939999999999994</v>
      </c>
      <c r="K613" s="19">
        <f>ROUND(F613*J613,3)</f>
        <v>12.472</v>
      </c>
      <c r="L613" s="8"/>
      <c r="M613" s="8"/>
      <c r="N613" s="8"/>
    </row>
    <row r="614" spans="1:14" ht="15.4" customHeight="1" thickBot="1" x14ac:dyDescent="0.25">
      <c r="A614" s="12" t="s">
        <v>1130</v>
      </c>
      <c r="B614" s="6" t="s">
        <v>1131</v>
      </c>
      <c r="C614" s="6" t="s">
        <v>1132</v>
      </c>
      <c r="D614" s="48" t="s">
        <v>1133</v>
      </c>
      <c r="E614" s="48"/>
      <c r="F614" s="48"/>
      <c r="G614" s="48"/>
      <c r="H614" s="48"/>
      <c r="I614" s="48"/>
      <c r="J614" s="48"/>
      <c r="K614" s="19">
        <f>SUM(K617:K618)</f>
        <v>3.9590000000000001</v>
      </c>
      <c r="L614" s="20">
        <f>ROUND(16.58*(1+M2/100),2)</f>
        <v>17.079999999999998</v>
      </c>
      <c r="M614" s="20">
        <f>ROUND(K614*L614,2)</f>
        <v>67.62</v>
      </c>
      <c r="N614" s="8"/>
    </row>
    <row r="615" spans="1:14" ht="58.35" customHeight="1" thickBot="1" x14ac:dyDescent="0.25">
      <c r="A615" s="8"/>
      <c r="B615" s="8"/>
      <c r="C615" s="8"/>
      <c r="D615" s="48" t="s">
        <v>1134</v>
      </c>
      <c r="E615" s="48"/>
      <c r="F615" s="48"/>
      <c r="G615" s="48"/>
      <c r="H615" s="48"/>
      <c r="I615" s="48"/>
      <c r="J615" s="48"/>
      <c r="K615" s="48"/>
      <c r="L615" s="48"/>
      <c r="M615" s="48"/>
      <c r="N615" s="8"/>
    </row>
    <row r="616" spans="1:14" ht="15.2" customHeight="1" thickBot="1" x14ac:dyDescent="0.25">
      <c r="A616" s="8"/>
      <c r="B616" s="8"/>
      <c r="C616" s="8"/>
      <c r="D616" s="8"/>
      <c r="E616" s="21"/>
      <c r="F616" s="23" t="s">
        <v>1135</v>
      </c>
      <c r="G616" s="23" t="s">
        <v>1136</v>
      </c>
      <c r="H616" s="23" t="s">
        <v>1137</v>
      </c>
      <c r="I616" s="23" t="s">
        <v>1138</v>
      </c>
      <c r="J616" s="23" t="s">
        <v>1139</v>
      </c>
      <c r="K616" s="23" t="s">
        <v>1140</v>
      </c>
      <c r="L616" s="8"/>
      <c r="M616" s="8"/>
      <c r="N616" s="8"/>
    </row>
    <row r="617" spans="1:14" ht="15.2" customHeight="1" thickBot="1" x14ac:dyDescent="0.25">
      <c r="A617" s="8"/>
      <c r="B617" s="8"/>
      <c r="C617" s="8"/>
      <c r="D617" s="24"/>
      <c r="E617" s="25" t="s">
        <v>1141</v>
      </c>
      <c r="F617" s="26">
        <v>1</v>
      </c>
      <c r="G617" s="27">
        <v>101.508</v>
      </c>
      <c r="H617" s="27">
        <v>0.03</v>
      </c>
      <c r="I617" s="27"/>
      <c r="J617" s="29">
        <f>ROUND(F617*G617*H617,3)</f>
        <v>3.0449999999999999</v>
      </c>
      <c r="K617" s="39"/>
      <c r="L617" s="8"/>
      <c r="M617" s="8"/>
      <c r="N617" s="8"/>
    </row>
    <row r="618" spans="1:14" ht="15.2" customHeight="1" thickBot="1" x14ac:dyDescent="0.25">
      <c r="A618" s="8"/>
      <c r="B618" s="8"/>
      <c r="C618" s="8"/>
      <c r="D618" s="24"/>
      <c r="E618" s="6"/>
      <c r="F618" s="4">
        <v>1.3</v>
      </c>
      <c r="G618" s="19"/>
      <c r="H618" s="19"/>
      <c r="I618" s="19"/>
      <c r="J618" s="28">
        <f>SUM(J617:J617)</f>
        <v>3.0449999999999999</v>
      </c>
      <c r="K618" s="19">
        <f>ROUND(F618*J618,3)</f>
        <v>3.9590000000000001</v>
      </c>
      <c r="L618" s="8"/>
      <c r="M618" s="8"/>
      <c r="N618" s="8"/>
    </row>
    <row r="619" spans="1:14" ht="15.4" customHeight="1" thickBot="1" x14ac:dyDescent="0.25">
      <c r="A619" s="12" t="s">
        <v>1142</v>
      </c>
      <c r="B619" s="6" t="s">
        <v>1143</v>
      </c>
      <c r="C619" s="6" t="s">
        <v>1144</v>
      </c>
      <c r="D619" s="48" t="s">
        <v>1145</v>
      </c>
      <c r="E619" s="48"/>
      <c r="F619" s="48"/>
      <c r="G619" s="48"/>
      <c r="H619" s="48"/>
      <c r="I619" s="48"/>
      <c r="J619" s="48"/>
      <c r="K619" s="19">
        <f>SUM(K622:K626)</f>
        <v>13.632</v>
      </c>
      <c r="L619" s="20">
        <f>ROUND(16.58*(1+M2/100),2)</f>
        <v>17.079999999999998</v>
      </c>
      <c r="M619" s="20">
        <f>ROUND(K619*L619,2)</f>
        <v>232.83</v>
      </c>
      <c r="N619" s="8"/>
    </row>
    <row r="620" spans="1:14" ht="58.35" customHeight="1" thickBot="1" x14ac:dyDescent="0.25">
      <c r="A620" s="8"/>
      <c r="B620" s="8"/>
      <c r="C620" s="8"/>
      <c r="D620" s="48" t="s">
        <v>1146</v>
      </c>
      <c r="E620" s="48"/>
      <c r="F620" s="48"/>
      <c r="G620" s="48"/>
      <c r="H620" s="48"/>
      <c r="I620" s="48"/>
      <c r="J620" s="48"/>
      <c r="K620" s="48"/>
      <c r="L620" s="48"/>
      <c r="M620" s="48"/>
      <c r="N620" s="8"/>
    </row>
    <row r="621" spans="1:14" ht="15.2" customHeight="1" thickBot="1" x14ac:dyDescent="0.25">
      <c r="A621" s="8"/>
      <c r="B621" s="8"/>
      <c r="C621" s="8"/>
      <c r="D621" s="8"/>
      <c r="E621" s="21"/>
      <c r="F621" s="23" t="s">
        <v>1147</v>
      </c>
      <c r="G621" s="23" t="s">
        <v>1148</v>
      </c>
      <c r="H621" s="23" t="s">
        <v>1149</v>
      </c>
      <c r="I621" s="23" t="s">
        <v>1150</v>
      </c>
      <c r="J621" s="23" t="s">
        <v>1151</v>
      </c>
      <c r="K621" s="23" t="s">
        <v>1152</v>
      </c>
      <c r="L621" s="8"/>
      <c r="M621" s="8"/>
      <c r="N621" s="8"/>
    </row>
    <row r="622" spans="1:14" ht="15.2" customHeight="1" thickBot="1" x14ac:dyDescent="0.25">
      <c r="A622" s="8"/>
      <c r="B622" s="8"/>
      <c r="C622" s="8"/>
      <c r="D622" s="24"/>
      <c r="E622" s="25" t="s">
        <v>1153</v>
      </c>
      <c r="F622" s="26">
        <v>1</v>
      </c>
      <c r="G622" s="27">
        <v>101.508</v>
      </c>
      <c r="H622" s="27">
        <v>0.08</v>
      </c>
      <c r="I622" s="27"/>
      <c r="J622" s="29">
        <f>ROUND(F622*G622*H622,3)</f>
        <v>8.1210000000000004</v>
      </c>
      <c r="K622" s="39"/>
      <c r="L622" s="8"/>
      <c r="M622" s="8"/>
      <c r="N622" s="8"/>
    </row>
    <row r="623" spans="1:14" ht="15.2" customHeight="1" thickBot="1" x14ac:dyDescent="0.25">
      <c r="A623" s="8"/>
      <c r="B623" s="8"/>
      <c r="C623" s="8"/>
      <c r="D623" s="24"/>
      <c r="E623" s="6" t="s">
        <v>1154</v>
      </c>
      <c r="F623" s="4">
        <v>1</v>
      </c>
      <c r="G623" s="19">
        <v>28.545000000000002</v>
      </c>
      <c r="H623" s="19">
        <v>0.05</v>
      </c>
      <c r="I623" s="19"/>
      <c r="J623" s="28">
        <f>ROUND(F623*G623*H623,3)</f>
        <v>1.427</v>
      </c>
      <c r="K623" s="8"/>
      <c r="L623" s="8"/>
      <c r="M623" s="8"/>
      <c r="N623" s="8"/>
    </row>
    <row r="624" spans="1:14" ht="15.2" customHeight="1" thickBot="1" x14ac:dyDescent="0.25">
      <c r="A624" s="8"/>
      <c r="B624" s="8"/>
      <c r="C624" s="8"/>
      <c r="D624" s="24"/>
      <c r="E624" s="6" t="s">
        <v>1155</v>
      </c>
      <c r="F624" s="4">
        <v>1</v>
      </c>
      <c r="G624" s="19">
        <v>1.92</v>
      </c>
      <c r="H624" s="19">
        <v>0.02</v>
      </c>
      <c r="I624" s="19"/>
      <c r="J624" s="28">
        <f>ROUND(F624*G624*H624,3)</f>
        <v>3.7999999999999999E-2</v>
      </c>
      <c r="K624" s="8"/>
      <c r="L624" s="8"/>
      <c r="M624" s="8"/>
      <c r="N624" s="8"/>
    </row>
    <row r="625" spans="1:14" ht="15.2" customHeight="1" thickBot="1" x14ac:dyDescent="0.25">
      <c r="A625" s="8"/>
      <c r="B625" s="8"/>
      <c r="C625" s="8"/>
      <c r="D625" s="24"/>
      <c r="E625" s="6" t="s">
        <v>1156</v>
      </c>
      <c r="F625" s="4">
        <v>1</v>
      </c>
      <c r="G625" s="19">
        <v>90</v>
      </c>
      <c r="H625" s="19">
        <v>0.01</v>
      </c>
      <c r="I625" s="19"/>
      <c r="J625" s="28">
        <f>ROUND(F625*G625*H625,3)</f>
        <v>0.9</v>
      </c>
      <c r="K625" s="8"/>
      <c r="L625" s="8"/>
      <c r="M625" s="8"/>
      <c r="N625" s="8"/>
    </row>
    <row r="626" spans="1:14" ht="15.2" customHeight="1" thickBot="1" x14ac:dyDescent="0.25">
      <c r="A626" s="8"/>
      <c r="B626" s="8"/>
      <c r="C626" s="8"/>
      <c r="D626" s="24"/>
      <c r="E626" s="6"/>
      <c r="F626" s="4">
        <v>1.3</v>
      </c>
      <c r="G626" s="19"/>
      <c r="H626" s="19"/>
      <c r="I626" s="19"/>
      <c r="J626" s="28">
        <f>SUM(J622:J625)</f>
        <v>10.486000000000001</v>
      </c>
      <c r="K626" s="19">
        <f>ROUND(F626*J626,3)</f>
        <v>13.632</v>
      </c>
      <c r="L626" s="8"/>
      <c r="M626" s="8"/>
      <c r="N626" s="8"/>
    </row>
    <row r="627" spans="1:14" ht="15.4" customHeight="1" thickBot="1" x14ac:dyDescent="0.25">
      <c r="A627" s="32"/>
      <c r="B627" s="32"/>
      <c r="C627" s="32"/>
      <c r="D627" s="33" t="s">
        <v>1157</v>
      </c>
      <c r="E627" s="34"/>
      <c r="F627" s="34"/>
      <c r="G627" s="34"/>
      <c r="H627" s="34"/>
      <c r="I627" s="34"/>
      <c r="J627" s="34"/>
      <c r="K627" s="34"/>
      <c r="L627" s="35">
        <f>M577+M589+M594+M602+M614+M619</f>
        <v>905.35000000000014</v>
      </c>
      <c r="M627" s="35">
        <f>ROUND(L627,2)</f>
        <v>905.35</v>
      </c>
      <c r="N627" s="8"/>
    </row>
    <row r="628" spans="1:14" ht="15.4" customHeight="1" thickBot="1" x14ac:dyDescent="0.25">
      <c r="A628" s="36" t="s">
        <v>1158</v>
      </c>
      <c r="B628" s="36" t="s">
        <v>1159</v>
      </c>
      <c r="C628" s="37"/>
      <c r="D628" s="49" t="s">
        <v>1160</v>
      </c>
      <c r="E628" s="49"/>
      <c r="F628" s="49"/>
      <c r="G628" s="49"/>
      <c r="H628" s="49"/>
      <c r="I628" s="49"/>
      <c r="J628" s="49"/>
      <c r="K628" s="37"/>
      <c r="L628" s="38">
        <f>L633</f>
        <v>366.88</v>
      </c>
      <c r="M628" s="38">
        <f>ROUND(L628,2)</f>
        <v>366.88</v>
      </c>
      <c r="N628" s="8"/>
    </row>
    <row r="629" spans="1:14" ht="15.4" customHeight="1" thickBot="1" x14ac:dyDescent="0.25">
      <c r="A629" s="12" t="s">
        <v>1161</v>
      </c>
      <c r="B629" s="6" t="s">
        <v>1162</v>
      </c>
      <c r="C629" s="6" t="s">
        <v>1163</v>
      </c>
      <c r="D629" s="48" t="s">
        <v>1164</v>
      </c>
      <c r="E629" s="48"/>
      <c r="F629" s="48"/>
      <c r="G629" s="48"/>
      <c r="H629" s="48"/>
      <c r="I629" s="48"/>
      <c r="J629" s="48"/>
      <c r="K629" s="19">
        <f>ROUND(1,2)</f>
        <v>1</v>
      </c>
      <c r="L629" s="20">
        <f>ROUND(178.1*(1+M2/100),2)</f>
        <v>183.44</v>
      </c>
      <c r="M629" s="20">
        <f>ROUND(K629*L629,2)</f>
        <v>183.44</v>
      </c>
      <c r="N629" s="8"/>
    </row>
    <row r="630" spans="1:14" ht="58.35" customHeight="1" thickBot="1" x14ac:dyDescent="0.25">
      <c r="A630" s="8"/>
      <c r="B630" s="8"/>
      <c r="C630" s="8"/>
      <c r="D630" s="48" t="s">
        <v>1165</v>
      </c>
      <c r="E630" s="48"/>
      <c r="F630" s="48"/>
      <c r="G630" s="48"/>
      <c r="H630" s="48"/>
      <c r="I630" s="48"/>
      <c r="J630" s="48"/>
      <c r="K630" s="48"/>
      <c r="L630" s="48"/>
      <c r="M630" s="48"/>
      <c r="N630" s="8"/>
    </row>
    <row r="631" spans="1:14" ht="15.4" customHeight="1" thickBot="1" x14ac:dyDescent="0.25">
      <c r="A631" s="12" t="s">
        <v>1166</v>
      </c>
      <c r="B631" s="6" t="s">
        <v>1167</v>
      </c>
      <c r="C631" s="6" t="s">
        <v>1168</v>
      </c>
      <c r="D631" s="48" t="s">
        <v>1169</v>
      </c>
      <c r="E631" s="48"/>
      <c r="F631" s="48"/>
      <c r="G631" s="48"/>
      <c r="H631" s="48"/>
      <c r="I631" s="48"/>
      <c r="J631" s="48"/>
      <c r="K631" s="19">
        <f>ROUND(1,2)</f>
        <v>1</v>
      </c>
      <c r="L631" s="20">
        <f>ROUND(178.1*(1+M2/100),2)</f>
        <v>183.44</v>
      </c>
      <c r="M631" s="20">
        <f>ROUND(K631*L631,2)</f>
        <v>183.44</v>
      </c>
      <c r="N631" s="8"/>
    </row>
    <row r="632" spans="1:14" ht="58.35" customHeight="1" thickBot="1" x14ac:dyDescent="0.25">
      <c r="A632" s="8"/>
      <c r="B632" s="8"/>
      <c r="C632" s="8"/>
      <c r="D632" s="48" t="s">
        <v>1170</v>
      </c>
      <c r="E632" s="48"/>
      <c r="F632" s="48"/>
      <c r="G632" s="48"/>
      <c r="H632" s="48"/>
      <c r="I632" s="48"/>
      <c r="J632" s="48"/>
      <c r="K632" s="48"/>
      <c r="L632" s="48"/>
      <c r="M632" s="48"/>
      <c r="N632" s="8"/>
    </row>
    <row r="633" spans="1:14" ht="15.4" customHeight="1" thickBot="1" x14ac:dyDescent="0.25">
      <c r="A633" s="32"/>
      <c r="B633" s="32"/>
      <c r="C633" s="32"/>
      <c r="D633" s="33" t="s">
        <v>1171</v>
      </c>
      <c r="E633" s="34"/>
      <c r="F633" s="34"/>
      <c r="G633" s="34"/>
      <c r="H633" s="34"/>
      <c r="I633" s="34"/>
      <c r="J633" s="34"/>
      <c r="K633" s="34"/>
      <c r="L633" s="35">
        <f>M629+M631</f>
        <v>366.88</v>
      </c>
      <c r="M633" s="35">
        <f>ROUND(L633,2)</f>
        <v>366.88</v>
      </c>
      <c r="N633" s="8"/>
    </row>
    <row r="634" spans="1:14" ht="15.4" customHeight="1" thickBot="1" x14ac:dyDescent="0.25">
      <c r="A634" s="36" t="s">
        <v>1172</v>
      </c>
      <c r="B634" s="36" t="s">
        <v>1173</v>
      </c>
      <c r="C634" s="37"/>
      <c r="D634" s="49" t="s">
        <v>1174</v>
      </c>
      <c r="E634" s="49"/>
      <c r="F634" s="49"/>
      <c r="G634" s="49"/>
      <c r="H634" s="49"/>
      <c r="I634" s="49"/>
      <c r="J634" s="49"/>
      <c r="K634" s="37"/>
      <c r="L634" s="38">
        <f>L637</f>
        <v>3711.78</v>
      </c>
      <c r="M634" s="38">
        <f>ROUND(L634,2)</f>
        <v>3711.78</v>
      </c>
      <c r="N634" s="8"/>
    </row>
    <row r="635" spans="1:14" ht="15.4" customHeight="1" thickBot="1" x14ac:dyDescent="0.25">
      <c r="A635" s="12" t="s">
        <v>1175</v>
      </c>
      <c r="B635" s="6" t="s">
        <v>1176</v>
      </c>
      <c r="C635" s="6" t="s">
        <v>1177</v>
      </c>
      <c r="D635" s="48" t="s">
        <v>1178</v>
      </c>
      <c r="E635" s="48"/>
      <c r="F635" s="48"/>
      <c r="G635" s="48"/>
      <c r="H635" s="48"/>
      <c r="I635" s="48"/>
      <c r="J635" s="48"/>
      <c r="K635" s="19">
        <f>ROUND(1,2)</f>
        <v>1</v>
      </c>
      <c r="L635" s="20">
        <f>ROUND(3603.67*(1+M2/100),2)</f>
        <v>3711.78</v>
      </c>
      <c r="M635" s="20">
        <f>ROUND(K635*L635,2)</f>
        <v>3711.78</v>
      </c>
      <c r="N635" s="8"/>
    </row>
    <row r="636" spans="1:14" ht="12.2" customHeight="1" thickBot="1" x14ac:dyDescent="0.25">
      <c r="A636" s="8"/>
      <c r="B636" s="8"/>
      <c r="C636" s="8"/>
      <c r="D636" s="48" t="s">
        <v>1179</v>
      </c>
      <c r="E636" s="48"/>
      <c r="F636" s="48"/>
      <c r="G636" s="48"/>
      <c r="H636" s="48"/>
      <c r="I636" s="48"/>
      <c r="J636" s="48"/>
      <c r="K636" s="48"/>
      <c r="L636" s="48"/>
      <c r="M636" s="48"/>
      <c r="N636" s="8"/>
    </row>
    <row r="637" spans="1:14" ht="15.4" customHeight="1" thickBot="1" x14ac:dyDescent="0.25">
      <c r="A637" s="32"/>
      <c r="B637" s="32"/>
      <c r="C637" s="32"/>
      <c r="D637" s="33" t="s">
        <v>1180</v>
      </c>
      <c r="E637" s="34"/>
      <c r="F637" s="34"/>
      <c r="G637" s="34"/>
      <c r="H637" s="34"/>
      <c r="I637" s="34"/>
      <c r="J637" s="34"/>
      <c r="K637" s="34"/>
      <c r="L637" s="35">
        <f>M635</f>
        <v>3711.78</v>
      </c>
      <c r="M637" s="35">
        <f>ROUND(L637,2)</f>
        <v>3711.78</v>
      </c>
      <c r="N637" s="8"/>
    </row>
    <row r="638" spans="1:14" ht="15.4" customHeight="1" thickBot="1" x14ac:dyDescent="0.25">
      <c r="A638" s="41"/>
      <c r="B638" s="41"/>
      <c r="C638" s="41"/>
      <c r="D638" s="42" t="s">
        <v>1181</v>
      </c>
      <c r="E638" s="43"/>
      <c r="F638" s="43"/>
      <c r="G638" s="43"/>
      <c r="H638" s="43"/>
      <c r="I638" s="43"/>
      <c r="J638" s="43"/>
      <c r="K638" s="43"/>
      <c r="L638" s="44">
        <f>M44+M173+M188+M222+M434+M466+M480+M546+M575+M627+M633+M637</f>
        <v>189301.28</v>
      </c>
      <c r="M638" s="44">
        <f>ROUND(L638,2)</f>
        <v>189301.28</v>
      </c>
      <c r="N638" s="8"/>
    </row>
  </sheetData>
  <mergeCells count="147">
    <mergeCell ref="D634:J634"/>
    <mergeCell ref="D635:J635"/>
    <mergeCell ref="D636:M636"/>
    <mergeCell ref="D614:J614"/>
    <mergeCell ref="D615:M615"/>
    <mergeCell ref="D619:J619"/>
    <mergeCell ref="D620:M620"/>
    <mergeCell ref="D628:J628"/>
    <mergeCell ref="D629:J629"/>
    <mergeCell ref="D630:M630"/>
    <mergeCell ref="D631:J631"/>
    <mergeCell ref="D632:M632"/>
    <mergeCell ref="D576:J576"/>
    <mergeCell ref="D577:J577"/>
    <mergeCell ref="D578:M578"/>
    <mergeCell ref="D589:J589"/>
    <mergeCell ref="D590:M590"/>
    <mergeCell ref="D594:J594"/>
    <mergeCell ref="D595:M595"/>
    <mergeCell ref="D602:J602"/>
    <mergeCell ref="D603:M603"/>
    <mergeCell ref="D549:M549"/>
    <mergeCell ref="D552:J552"/>
    <mergeCell ref="D553:M553"/>
    <mergeCell ref="D563:J563"/>
    <mergeCell ref="D564:M564"/>
    <mergeCell ref="D571:J571"/>
    <mergeCell ref="D572:M572"/>
    <mergeCell ref="D573:J573"/>
    <mergeCell ref="D574:M574"/>
    <mergeCell ref="D481:J481"/>
    <mergeCell ref="D482:J482"/>
    <mergeCell ref="D483:M483"/>
    <mergeCell ref="D510:J510"/>
    <mergeCell ref="D511:M511"/>
    <mergeCell ref="D538:J538"/>
    <mergeCell ref="D539:M539"/>
    <mergeCell ref="D547:J547"/>
    <mergeCell ref="D548:J548"/>
    <mergeCell ref="D456:J456"/>
    <mergeCell ref="D457:M457"/>
    <mergeCell ref="D462:J462"/>
    <mergeCell ref="D463:M463"/>
    <mergeCell ref="D467:J467"/>
    <mergeCell ref="D468:J468"/>
    <mergeCell ref="D469:M469"/>
    <mergeCell ref="D476:J476"/>
    <mergeCell ref="D477:M477"/>
    <mergeCell ref="D437:M437"/>
    <mergeCell ref="D440:J440"/>
    <mergeCell ref="D441:M441"/>
    <mergeCell ref="D444:J444"/>
    <mergeCell ref="D445:M445"/>
    <mergeCell ref="D448:J448"/>
    <mergeCell ref="D449:M449"/>
    <mergeCell ref="D452:J452"/>
    <mergeCell ref="D453:M453"/>
    <mergeCell ref="D259:M259"/>
    <mergeCell ref="D262:J262"/>
    <mergeCell ref="D263:M263"/>
    <mergeCell ref="D320:J320"/>
    <mergeCell ref="D321:M321"/>
    <mergeCell ref="D377:J377"/>
    <mergeCell ref="D378:M378"/>
    <mergeCell ref="D435:J435"/>
    <mergeCell ref="D436:J436"/>
    <mergeCell ref="D219:M219"/>
    <mergeCell ref="D223:J223"/>
    <mergeCell ref="D224:J224"/>
    <mergeCell ref="D225:M225"/>
    <mergeCell ref="D229:J229"/>
    <mergeCell ref="D230:M230"/>
    <mergeCell ref="D254:J254"/>
    <mergeCell ref="D255:M255"/>
    <mergeCell ref="D258:J258"/>
    <mergeCell ref="D181:M181"/>
    <mergeCell ref="D184:J184"/>
    <mergeCell ref="D185:M185"/>
    <mergeCell ref="D189:J189"/>
    <mergeCell ref="D190:J190"/>
    <mergeCell ref="D191:M191"/>
    <mergeCell ref="D212:J212"/>
    <mergeCell ref="D213:M213"/>
    <mergeCell ref="D218:J218"/>
    <mergeCell ref="D139:M139"/>
    <mergeCell ref="D144:J144"/>
    <mergeCell ref="D145:M145"/>
    <mergeCell ref="D148:J148"/>
    <mergeCell ref="D149:M149"/>
    <mergeCell ref="D174:J174"/>
    <mergeCell ref="D175:J175"/>
    <mergeCell ref="D176:M176"/>
    <mergeCell ref="D180:J180"/>
    <mergeCell ref="D122:J122"/>
    <mergeCell ref="D123:M123"/>
    <mergeCell ref="D126:J126"/>
    <mergeCell ref="D127:M127"/>
    <mergeCell ref="D130:J130"/>
    <mergeCell ref="D131:M131"/>
    <mergeCell ref="D134:J134"/>
    <mergeCell ref="D135:M135"/>
    <mergeCell ref="D138:J138"/>
    <mergeCell ref="D100:M100"/>
    <mergeCell ref="D103:J103"/>
    <mergeCell ref="D104:M104"/>
    <mergeCell ref="D109:J109"/>
    <mergeCell ref="D110:M110"/>
    <mergeCell ref="D113:J113"/>
    <mergeCell ref="D114:M114"/>
    <mergeCell ref="D118:J118"/>
    <mergeCell ref="D119:M119"/>
    <mergeCell ref="D50:J50"/>
    <mergeCell ref="D51:M51"/>
    <mergeCell ref="D78:J78"/>
    <mergeCell ref="D79:M79"/>
    <mergeCell ref="D91:J91"/>
    <mergeCell ref="D92:M92"/>
    <mergeCell ref="D95:J95"/>
    <mergeCell ref="D96:M96"/>
    <mergeCell ref="D99:J99"/>
    <mergeCell ref="D34:J34"/>
    <mergeCell ref="D35:M35"/>
    <mergeCell ref="D38:J38"/>
    <mergeCell ref="D39:M39"/>
    <mergeCell ref="D40:J40"/>
    <mergeCell ref="D41:M41"/>
    <mergeCell ref="D45:J45"/>
    <mergeCell ref="D46:J46"/>
    <mergeCell ref="D47:M47"/>
    <mergeCell ref="D15:M15"/>
    <mergeCell ref="D18:J18"/>
    <mergeCell ref="D19:M19"/>
    <mergeCell ref="D22:J22"/>
    <mergeCell ref="D23:M23"/>
    <mergeCell ref="D26:J26"/>
    <mergeCell ref="D27:M27"/>
    <mergeCell ref="D30:J30"/>
    <mergeCell ref="D31:M31"/>
    <mergeCell ref="B1:M1"/>
    <mergeCell ref="A2:C2"/>
    <mergeCell ref="D4:J4"/>
    <mergeCell ref="D5:J5"/>
    <mergeCell ref="D6:J6"/>
    <mergeCell ref="D7:M7"/>
    <mergeCell ref="D10:J10"/>
    <mergeCell ref="D11:M11"/>
    <mergeCell ref="D14:J14"/>
  </mergeCells>
  <pageMargins left="0.62007900000000005" right="0.472441" top="0.472441" bottom="0.472441" header="0" footer="0"/>
  <pageSetup paperSize="9" orientation="landscape" r:id="rId1"/>
  <rowBreaks count="2" manualBreakCount="2">
    <brk max="16383" man="1"/>
    <brk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Full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Amalia Jansa</cp:lastModifiedBy>
  <dcterms:modified xsi:type="dcterms:W3CDTF">2026-04-08T13:58:29Z</dcterms:modified>
</cp:coreProperties>
</file>