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toni\Desktop\"/>
    </mc:Choice>
  </mc:AlternateContent>
  <xr:revisionPtr revIDLastSave="0" documentId="8_{C4B801A3-1364-44AC-8A36-354B9E8CD1CA}" xr6:coauthVersionLast="36" xr6:coauthVersionMax="36" xr10:uidLastSave="{00000000-0000-0000-0000-000000000000}"/>
  <bookViews>
    <workbookView xWindow="32760" yWindow="32760" windowWidth="23040" windowHeight="8670" tabRatio="970" activeTab="10"/>
  </bookViews>
  <sheets>
    <sheet name="DADES DEL CONTRACTE " sheetId="23" r:id="rId1"/>
    <sheet name="PERSONAL A SUBROGAR " sheetId="20" r:id="rId2"/>
    <sheet name="NOU PERSONAL " sheetId="21" r:id="rId3"/>
    <sheet name="RESUM COSTOS PERSONAL" sheetId="3" r:id="rId4"/>
    <sheet name="VEHCILES " sheetId="19" r:id="rId5"/>
    <sheet name="MAQUINARIA " sheetId="17" r:id="rId6"/>
    <sheet name="VESTUARI I EINES" sheetId="7" r:id="rId7"/>
    <sheet name="LOCALS " sheetId="8" r:id="rId8"/>
    <sheet name="MATERIALS " sheetId="24" r:id="rId9"/>
    <sheet name="MILLORES " sheetId="25" r:id="rId10"/>
    <sheet name="RESUM INTERN" sheetId="14" r:id="rId11"/>
    <sheet name="SIMULACRE I SUPÒSITS " sheetId="22" r:id="rId12"/>
  </sheets>
  <definedNames>
    <definedName name="_xlnm.Print_Area" localSheetId="7">'LOCALS '!#REF!</definedName>
    <definedName name="_xlnm.Print_Area" localSheetId="8">'MATERIALS '!#REF!</definedName>
    <definedName name="_xlnm.Print_Area" localSheetId="9">'MILLORES '!#REF!</definedName>
    <definedName name="_xlnm.Print_Area" localSheetId="3">'RESUM COSTOS PERSONAL'!$A$7:$H$35</definedName>
    <definedName name="_xlnm.Print_Area" localSheetId="6">'VESTUARI I EINES'!$A$9:$H$37</definedName>
    <definedName name="_xlnm.Print_Titles" localSheetId="1">'PERSONAL A SUBROGAR '!$3:$5</definedName>
  </definedNames>
  <calcPr calcId="191029" fullCalcOnLoad="1"/>
</workbook>
</file>

<file path=xl/calcChain.xml><?xml version="1.0" encoding="utf-8"?>
<calcChain xmlns="http://schemas.openxmlformats.org/spreadsheetml/2006/main">
  <c r="C20" i="14" l="1"/>
  <c r="C19" i="14"/>
  <c r="C11" i="22"/>
  <c r="E18" i="21"/>
  <c r="F18" i="21"/>
  <c r="G11" i="20"/>
  <c r="H11" i="20"/>
  <c r="I11" i="20"/>
  <c r="F10" i="20"/>
  <c r="I32" i="19"/>
  <c r="I31" i="19"/>
  <c r="T23" i="19"/>
  <c r="F20" i="21"/>
  <c r="F16" i="21"/>
  <c r="F40" i="21"/>
  <c r="H11" i="3"/>
  <c r="I10" i="20"/>
  <c r="I7" i="20"/>
  <c r="A13" i="19"/>
  <c r="A14" i="19"/>
  <c r="A15" i="19"/>
  <c r="A16" i="19"/>
  <c r="A17" i="19"/>
  <c r="A18" i="19"/>
  <c r="A19" i="19"/>
  <c r="A20" i="19"/>
  <c r="A21" i="19"/>
  <c r="A12" i="19"/>
  <c r="K13" i="19"/>
  <c r="K14" i="19"/>
  <c r="K15" i="19"/>
  <c r="K16" i="19"/>
  <c r="K17" i="19"/>
  <c r="K18" i="19"/>
  <c r="K19" i="19"/>
  <c r="K20" i="19"/>
  <c r="K21" i="19"/>
  <c r="K12" i="19"/>
  <c r="J13" i="19"/>
  <c r="M13" i="19"/>
  <c r="J14" i="19"/>
  <c r="M14" i="19"/>
  <c r="J15" i="19"/>
  <c r="M15" i="19"/>
  <c r="J16" i="19"/>
  <c r="M16" i="19"/>
  <c r="J17" i="19"/>
  <c r="M17" i="19"/>
  <c r="J18" i="19"/>
  <c r="M18" i="19"/>
  <c r="J19" i="19"/>
  <c r="M19" i="19"/>
  <c r="J20" i="19"/>
  <c r="M20" i="19"/>
  <c r="J21" i="19"/>
  <c r="M21" i="19"/>
  <c r="J12" i="19"/>
  <c r="M12" i="19"/>
  <c r="I13" i="19"/>
  <c r="L13" i="19"/>
  <c r="I14" i="19"/>
  <c r="L14" i="19"/>
  <c r="I15" i="19"/>
  <c r="L15" i="19"/>
  <c r="I16" i="19"/>
  <c r="L16" i="19"/>
  <c r="I17" i="19"/>
  <c r="L17" i="19"/>
  <c r="I18" i="19"/>
  <c r="L18" i="19"/>
  <c r="I19" i="19"/>
  <c r="L19" i="19"/>
  <c r="I20" i="19"/>
  <c r="L20" i="19"/>
  <c r="I21" i="19"/>
  <c r="L21" i="19"/>
  <c r="I12" i="19"/>
  <c r="L12" i="19"/>
  <c r="F35" i="21"/>
  <c r="B34" i="21"/>
  <c r="F34" i="21"/>
  <c r="F10" i="21"/>
  <c r="E20" i="17"/>
  <c r="G20" i="17"/>
  <c r="E21" i="17"/>
  <c r="G21" i="17"/>
  <c r="E22" i="17"/>
  <c r="G22" i="17"/>
  <c r="F22" i="22"/>
  <c r="F7" i="22"/>
  <c r="H27" i="3"/>
  <c r="H28" i="3"/>
  <c r="J33" i="17"/>
  <c r="K33" i="17"/>
  <c r="F33" i="17"/>
  <c r="G7" i="24"/>
  <c r="G10" i="25"/>
  <c r="G8" i="25"/>
  <c r="N13" i="19"/>
  <c r="N14" i="19"/>
  <c r="N15" i="19"/>
  <c r="N16" i="19"/>
  <c r="N17" i="19"/>
  <c r="N18" i="19"/>
  <c r="N19" i="19"/>
  <c r="N20" i="19"/>
  <c r="N21" i="19"/>
  <c r="N12" i="19"/>
  <c r="F14" i="20"/>
  <c r="G10" i="20"/>
  <c r="H10" i="20"/>
  <c r="F27" i="22"/>
  <c r="C18" i="24"/>
  <c r="G18" i="24"/>
  <c r="G11" i="24"/>
  <c r="G12" i="24"/>
  <c r="G15" i="24"/>
  <c r="G16" i="24"/>
  <c r="G20" i="24"/>
  <c r="B12" i="14"/>
  <c r="G17" i="24"/>
  <c r="G9" i="24"/>
  <c r="G10" i="24"/>
  <c r="G13" i="24"/>
  <c r="F11" i="8"/>
  <c r="F12" i="8"/>
  <c r="F10" i="8"/>
  <c r="F9" i="8"/>
  <c r="F31" i="7"/>
  <c r="G31" i="7"/>
  <c r="H31" i="7"/>
  <c r="K13" i="17"/>
  <c r="K14" i="17"/>
  <c r="L14" i="17"/>
  <c r="K15" i="17"/>
  <c r="L15" i="17"/>
  <c r="K16" i="17"/>
  <c r="L16" i="17"/>
  <c r="K17" i="17"/>
  <c r="L17" i="17"/>
  <c r="K18" i="17"/>
  <c r="L18" i="17"/>
  <c r="K19" i="17"/>
  <c r="L19" i="17"/>
  <c r="L20" i="17"/>
  <c r="K21" i="17"/>
  <c r="L21" i="17"/>
  <c r="K22" i="17"/>
  <c r="L22" i="17"/>
  <c r="K23" i="17"/>
  <c r="L23" i="17"/>
  <c r="K12" i="17"/>
  <c r="U14" i="19"/>
  <c r="U15" i="19"/>
  <c r="U16" i="19"/>
  <c r="U17" i="19"/>
  <c r="U18" i="19"/>
  <c r="U19" i="19"/>
  <c r="U20" i="19"/>
  <c r="U21" i="19"/>
  <c r="R13" i="19"/>
  <c r="S13" i="19"/>
  <c r="R14" i="19"/>
  <c r="S14" i="19"/>
  <c r="R15" i="19"/>
  <c r="S15" i="19"/>
  <c r="R16" i="19"/>
  <c r="S16" i="19"/>
  <c r="R17" i="19"/>
  <c r="S17" i="19"/>
  <c r="R18" i="19"/>
  <c r="S18" i="19"/>
  <c r="R19" i="19"/>
  <c r="S19" i="19"/>
  <c r="R20" i="19"/>
  <c r="S20" i="19"/>
  <c r="R21" i="19"/>
  <c r="S21" i="19"/>
  <c r="F38" i="21"/>
  <c r="F31" i="21"/>
  <c r="F37" i="21"/>
  <c r="F36" i="21"/>
  <c r="F33" i="21"/>
  <c r="F27" i="21"/>
  <c r="F29" i="21"/>
  <c r="F25" i="21"/>
  <c r="F24" i="21"/>
  <c r="F19" i="21"/>
  <c r="F11" i="21"/>
  <c r="F12" i="21"/>
  <c r="F13" i="21"/>
  <c r="F14" i="21"/>
  <c r="F9" i="21"/>
  <c r="U12" i="19"/>
  <c r="E14" i="17"/>
  <c r="G14" i="17"/>
  <c r="E19" i="17"/>
  <c r="G19" i="17"/>
  <c r="E13" i="17"/>
  <c r="G13" i="17"/>
  <c r="E12" i="17"/>
  <c r="G12" i="17"/>
  <c r="E15" i="17"/>
  <c r="G15" i="17"/>
  <c r="E16" i="17"/>
  <c r="G16" i="17"/>
  <c r="E17" i="17"/>
  <c r="G17" i="17"/>
  <c r="E25" i="17"/>
  <c r="E18" i="17"/>
  <c r="G18" i="17"/>
  <c r="E23" i="17"/>
  <c r="G23" i="17"/>
  <c r="F31" i="17"/>
  <c r="F37" i="17"/>
  <c r="F44" i="17"/>
  <c r="F32" i="17"/>
  <c r="F34" i="17"/>
  <c r="F35" i="17"/>
  <c r="J31" i="17"/>
  <c r="K31" i="17"/>
  <c r="K37" i="17"/>
  <c r="F45" i="17"/>
  <c r="J32" i="17"/>
  <c r="K32" i="17"/>
  <c r="J34" i="17"/>
  <c r="K34" i="17"/>
  <c r="J35" i="17"/>
  <c r="K35" i="17"/>
  <c r="B23" i="19"/>
  <c r="P12" i="19"/>
  <c r="R12" i="19"/>
  <c r="S12" i="19"/>
  <c r="F11" i="7"/>
  <c r="G11" i="7"/>
  <c r="H11" i="7"/>
  <c r="F18" i="7"/>
  <c r="G18" i="7"/>
  <c r="H18" i="7"/>
  <c r="F19" i="7"/>
  <c r="G19" i="7"/>
  <c r="H19" i="7"/>
  <c r="F20" i="7"/>
  <c r="G20" i="7"/>
  <c r="H20" i="7"/>
  <c r="F21" i="7"/>
  <c r="G21" i="7"/>
  <c r="H21" i="7"/>
  <c r="F22" i="7"/>
  <c r="G22" i="7"/>
  <c r="H22" i="7"/>
  <c r="G22" i="3"/>
  <c r="G23" i="3"/>
  <c r="F12" i="7"/>
  <c r="G12" i="7"/>
  <c r="H12" i="7"/>
  <c r="F13" i="7"/>
  <c r="G13" i="7"/>
  <c r="H13" i="7"/>
  <c r="F14" i="7"/>
  <c r="G14" i="7"/>
  <c r="H14" i="7"/>
  <c r="F15" i="7"/>
  <c r="G15" i="7"/>
  <c r="H15" i="7"/>
  <c r="F16" i="7"/>
  <c r="G16" i="7"/>
  <c r="H16" i="7"/>
  <c r="F17" i="7"/>
  <c r="G17" i="7"/>
  <c r="H17" i="7"/>
  <c r="F23" i="7"/>
  <c r="G23" i="7"/>
  <c r="H23" i="7"/>
  <c r="F24" i="7"/>
  <c r="G24" i="7"/>
  <c r="H24" i="7"/>
  <c r="F25" i="7"/>
  <c r="G25" i="7"/>
  <c r="H25" i="7"/>
  <c r="F26" i="7"/>
  <c r="G26" i="7"/>
  <c r="H26" i="7"/>
  <c r="F27" i="7"/>
  <c r="G27" i="7"/>
  <c r="H27" i="7"/>
  <c r="F28" i="7"/>
  <c r="G28" i="7"/>
  <c r="H28" i="7"/>
  <c r="F29" i="7"/>
  <c r="G29" i="7"/>
  <c r="H29" i="7"/>
  <c r="F30" i="7"/>
  <c r="G30" i="7"/>
  <c r="H30" i="7"/>
  <c r="F32" i="7"/>
  <c r="G32" i="7"/>
  <c r="H32" i="7"/>
  <c r="F33" i="7"/>
  <c r="G33" i="7"/>
  <c r="H33" i="7"/>
  <c r="F34" i="7"/>
  <c r="G34" i="7"/>
  <c r="H34" i="7"/>
  <c r="F35" i="7"/>
  <c r="G35" i="7"/>
  <c r="H35" i="7"/>
  <c r="F36" i="7"/>
  <c r="G36" i="7"/>
  <c r="H36" i="7"/>
  <c r="F22" i="21"/>
  <c r="G8" i="24"/>
  <c r="B17" i="20"/>
  <c r="C21" i="3"/>
  <c r="G14" i="24"/>
  <c r="F15" i="8"/>
  <c r="B11" i="14"/>
  <c r="K23" i="19"/>
  <c r="E16" i="22"/>
  <c r="U23" i="19"/>
  <c r="N23" i="19"/>
  <c r="I30" i="19"/>
  <c r="G25" i="17"/>
  <c r="F42" i="17"/>
  <c r="S23" i="19"/>
  <c r="L25" i="17"/>
  <c r="F43" i="17"/>
  <c r="F46" i="17"/>
  <c r="F48" i="17"/>
  <c r="B9" i="14"/>
  <c r="I34" i="19"/>
  <c r="B8" i="14"/>
  <c r="F4" i="22"/>
  <c r="H39" i="7"/>
  <c r="B10" i="14"/>
  <c r="F7" i="21"/>
  <c r="H14" i="20"/>
  <c r="D17" i="20"/>
  <c r="C22" i="3"/>
  <c r="F22" i="3"/>
  <c r="H22" i="3"/>
  <c r="F21" i="3"/>
  <c r="H21" i="3"/>
  <c r="C23" i="3"/>
  <c r="F23" i="3"/>
  <c r="H23" i="3"/>
  <c r="H10" i="3"/>
  <c r="H25" i="3"/>
  <c r="I10" i="3"/>
  <c r="D8" i="14"/>
  <c r="F7" i="25"/>
  <c r="G7" i="25"/>
  <c r="G12" i="25"/>
  <c r="B13" i="14"/>
  <c r="D13" i="14"/>
  <c r="D10" i="14"/>
  <c r="D11" i="14"/>
  <c r="D9" i="14"/>
  <c r="D12" i="14"/>
  <c r="C30" i="14"/>
  <c r="C17" i="22"/>
  <c r="D14" i="22"/>
  <c r="F14" i="22"/>
  <c r="G14" i="22"/>
  <c r="C14" i="22"/>
  <c r="C16" i="22"/>
  <c r="C15" i="22"/>
  <c r="C27" i="14"/>
  <c r="H14" i="3"/>
  <c r="H17" i="3"/>
  <c r="H31" i="3"/>
  <c r="B7" i="14"/>
  <c r="I11" i="3"/>
  <c r="D17" i="22"/>
  <c r="F17" i="22"/>
  <c r="G17" i="22"/>
  <c r="D15" i="22"/>
  <c r="F15" i="22"/>
  <c r="G15" i="22"/>
  <c r="D16" i="22"/>
  <c r="F16" i="22"/>
  <c r="G16" i="22"/>
  <c r="D7" i="14"/>
  <c r="D15" i="14"/>
  <c r="B15" i="14"/>
  <c r="C7" i="14"/>
  <c r="C13" i="14"/>
  <c r="C8" i="14"/>
  <c r="C18" i="14"/>
  <c r="C11" i="14"/>
  <c r="C10" i="14"/>
  <c r="C12" i="14"/>
  <c r="C9" i="14"/>
  <c r="C15" i="14"/>
  <c r="C26" i="14"/>
  <c r="D19" i="14"/>
  <c r="C21" i="14"/>
  <c r="C23" i="14"/>
</calcChain>
</file>

<file path=xl/sharedStrings.xml><?xml version="1.0" encoding="utf-8"?>
<sst xmlns="http://schemas.openxmlformats.org/spreadsheetml/2006/main" count="373" uniqueCount="290">
  <si>
    <t>PERSONAL A SUBROGAR</t>
  </si>
  <si>
    <t xml:space="preserve"> </t>
  </si>
  <si>
    <t>Pala repicar</t>
  </si>
  <si>
    <t>Aspersores con tripode</t>
  </si>
  <si>
    <t>Manguera riego tricoflex 25 Ø. (ml)</t>
  </si>
  <si>
    <t xml:space="preserve">TOTAL </t>
  </si>
  <si>
    <t>PERSONAL</t>
  </si>
  <si>
    <t>Nº Ops</t>
  </si>
  <si>
    <t>Nº mes</t>
  </si>
  <si>
    <t>Nº días</t>
  </si>
  <si>
    <t>Total días</t>
  </si>
  <si>
    <t>Coste/día</t>
  </si>
  <si>
    <t>HORARIOS ESPECIALES</t>
  </si>
  <si>
    <t>Coste/hora</t>
  </si>
  <si>
    <t>Podadora telescópica alcance hasta 5,5m</t>
  </si>
  <si>
    <t>Abs mant.</t>
  </si>
  <si>
    <t>Abs. Limp</t>
  </si>
  <si>
    <t>CONCEPTE</t>
  </si>
  <si>
    <t>COST</t>
  </si>
  <si>
    <t>TOTAL SALARIS</t>
  </si>
  <si>
    <t>ABSENTISME</t>
  </si>
  <si>
    <t>PERILLOSITAT</t>
  </si>
  <si>
    <t>Treballs en alçada</t>
  </si>
  <si>
    <t>Tractaments fitos</t>
  </si>
  <si>
    <t>Treballs en mitjanes</t>
  </si>
  <si>
    <t>TOTAL PERILLOSITAT</t>
  </si>
  <si>
    <t>RESUM CANON ANNUAL</t>
  </si>
  <si>
    <t>IMPORT EUROS</t>
  </si>
  <si>
    <t>IVA</t>
  </si>
  <si>
    <t>TOTAL COSTOS SERVEI</t>
  </si>
  <si>
    <t>TOTAL COST PLANTILLA</t>
  </si>
  <si>
    <t>TOTAL HORARIS ESPECIALES</t>
  </si>
  <si>
    <t>ANYS</t>
  </si>
  <si>
    <t>COST ANY</t>
  </si>
  <si>
    <t>Vestuari estiu</t>
  </si>
  <si>
    <t>EPIS</t>
  </si>
  <si>
    <t>EP col·lectiva</t>
  </si>
  <si>
    <t>Guixetes</t>
  </si>
  <si>
    <t>Motxila sulfatar</t>
  </si>
  <si>
    <t>Escala tres trams</t>
  </si>
  <si>
    <t>Escala dos trams amb base</t>
  </si>
  <si>
    <t>Escala dos trams  15x2 m</t>
  </si>
  <si>
    <t>Escala dos trams  12x2 m</t>
  </si>
  <si>
    <t>Tissores poda</t>
  </si>
  <si>
    <t>Tissora poda dos mans</t>
  </si>
  <si>
    <t>Forca</t>
  </si>
  <si>
    <t>Pala rodona</t>
  </si>
  <si>
    <t>Pala quadrada</t>
  </si>
  <si>
    <t>Carretons</t>
  </si>
  <si>
    <t>Xerrac de mà</t>
  </si>
  <si>
    <t>Escombres metàl·liques</t>
  </si>
  <si>
    <t>Respall</t>
  </si>
  <si>
    <t>Rascle</t>
  </si>
  <si>
    <t>cost any</t>
  </si>
  <si>
    <t>VESTUARI I EINES</t>
  </si>
  <si>
    <t>LOCALS</t>
  </si>
  <si>
    <t xml:space="preserve">MATERIALS </t>
  </si>
  <si>
    <t>CONSUM</t>
  </si>
  <si>
    <t>MILLORES</t>
  </si>
  <si>
    <t xml:space="preserve">VEHICLES </t>
  </si>
  <si>
    <t>segons conveni</t>
  </si>
  <si>
    <t>hora/dia</t>
  </si>
  <si>
    <t>MAQUINARIA</t>
  </si>
  <si>
    <t>VEHICLE</t>
  </si>
  <si>
    <t>OFERTA</t>
  </si>
  <si>
    <t>pa</t>
  </si>
  <si>
    <t>ut</t>
  </si>
  <si>
    <t xml:space="preserve">MÀQUINA </t>
  </si>
  <si>
    <t>IMPORT ADQUISICIÓ</t>
  </si>
  <si>
    <t>AMORTITZACIÓ</t>
  </si>
  <si>
    <t xml:space="preserve">COST ANUAL </t>
  </si>
  <si>
    <t>Bufadores elèctriques tipus  Husqbarna</t>
  </si>
  <si>
    <t xml:space="preserve">retallatanques </t>
  </si>
  <si>
    <t>Tractor segador grans dimensions</t>
  </si>
  <si>
    <t>segadora honda o similar</t>
  </si>
  <si>
    <t>IMPORT TOTAL</t>
  </si>
  <si>
    <t xml:space="preserve">ADQUISICIÓ DE MAQUINARIA </t>
  </si>
  <si>
    <t>JORNADES</t>
  </si>
  <si>
    <t>€/lit</t>
  </si>
  <si>
    <t xml:space="preserve">COMBUSTIBLE </t>
  </si>
  <si>
    <t>maquina dedicació parcial</t>
  </si>
  <si>
    <t>IMPORT JORNADA</t>
  </si>
  <si>
    <t xml:space="preserve">JORNADES </t>
  </si>
  <si>
    <t>Plataforma esporga lloguer</t>
  </si>
  <si>
    <t>Tractor soques i eequip</t>
  </si>
  <si>
    <t>Moli trturador</t>
  </si>
  <si>
    <t>COMB</t>
  </si>
  <si>
    <t xml:space="preserve">QUADRE RESUM MAQUINARIA </t>
  </si>
  <si>
    <t xml:space="preserve">COST TOTAL ANY AMORTITZACIONS </t>
  </si>
  <si>
    <t>COST ANY COMBUSTIBLE</t>
  </si>
  <si>
    <t>COST ANY MAQUINARIA PUNTUAL</t>
  </si>
  <si>
    <t>COST COMBUSTIBLE PUNTUAL</t>
  </si>
  <si>
    <t xml:space="preserve">% REPARACIONS </t>
  </si>
  <si>
    <t>indirectes</t>
  </si>
  <si>
    <t xml:space="preserve">COST TOTAL </t>
  </si>
  <si>
    <t xml:space="preserve">COST DIRECTE </t>
  </si>
  <si>
    <t>MARGE NET</t>
  </si>
  <si>
    <t>%MARGE NET</t>
  </si>
  <si>
    <t>PROPOSTA DE BAIXA</t>
  </si>
  <si>
    <t xml:space="preserve">% SOBRE COSTOS </t>
  </si>
  <si>
    <t xml:space="preserve">% SOBRE OFERTA </t>
  </si>
  <si>
    <t xml:space="preserve">DIFERÈNCIA </t>
  </si>
  <si>
    <t xml:space="preserve">P SORTIDA </t>
  </si>
  <si>
    <t>REENT/LEAS</t>
  </si>
  <si>
    <t xml:space="preserve">Furgoneta tipus Nissa Cabsatr caixa Oberta </t>
  </si>
  <si>
    <t>Furgoneta G5 Goupil elèctrica</t>
  </si>
  <si>
    <t>Cotxe elèctric tipus Zoe</t>
  </si>
  <si>
    <t>biciceltes elèctriques</t>
  </si>
  <si>
    <t>Km/jor</t>
  </si>
  <si>
    <t>jor any</t>
  </si>
  <si>
    <t>conusm (l/km)</t>
  </si>
  <si>
    <t>assegu</t>
  </si>
  <si>
    <t>tot asse</t>
  </si>
  <si>
    <t>COST COMP</t>
  </si>
  <si>
    <t>COST REN/LE</t>
  </si>
  <si>
    <t>TOTAL ANY</t>
  </si>
  <si>
    <t>UT</t>
  </si>
  <si>
    <t>escardadora elètrica</t>
  </si>
  <si>
    <t xml:space="preserve">PERSONAL  A SUBROGAR </t>
  </si>
  <si>
    <t xml:space="preserve">Categoria </t>
  </si>
  <si>
    <t xml:space="preserve">COST TOTAL PERSONAL SUBROGAT </t>
  </si>
  <si>
    <t xml:space="preserve">SIMULACRE I CRITERIS DE PUNTUACIÓ </t>
  </si>
  <si>
    <t xml:space="preserve">CRITERIS OBJECTIUS </t>
  </si>
  <si>
    <t>OFERTA ECONOMICA</t>
  </si>
  <si>
    <t xml:space="preserve">CRITERIS SUBJECTIUS </t>
  </si>
  <si>
    <t>PREU SORTIDA ANNUAL   - sense iva</t>
  </si>
  <si>
    <t xml:space="preserve">cost total </t>
  </si>
  <si>
    <t xml:space="preserve">QUADRE RESUM VEHCILES </t>
  </si>
  <si>
    <t xml:space="preserve">DADES GENERALS DEL CONTRACTE </t>
  </si>
  <si>
    <t>CLIENT</t>
  </si>
  <si>
    <t>Nº EXPEDIENT</t>
  </si>
  <si>
    <t>DURADA DEL CONTRACTE ( SENSE PRÒRROGUES)</t>
  </si>
  <si>
    <t xml:space="preserve">PRÒROGUES </t>
  </si>
  <si>
    <t>DURADA PRÒRROGA</t>
  </si>
  <si>
    <t xml:space="preserve">GARANTIA PROVISIONAL </t>
  </si>
  <si>
    <t xml:space="preserve">GARANTIA DEFINITIVA </t>
  </si>
  <si>
    <t xml:space="preserve">DADA </t>
  </si>
  <si>
    <t xml:space="preserve">COMENTARI </t>
  </si>
  <si>
    <t>IMPORT ANTERIOR CONTRACTE</t>
  </si>
  <si>
    <t>ADJUDICATARI</t>
  </si>
  <si>
    <t>CONTACTE AMB EL CLIENT</t>
  </si>
  <si>
    <t>DATA ENTREGA</t>
  </si>
  <si>
    <t>SOBRE 1</t>
  </si>
  <si>
    <t>SOBRE 2</t>
  </si>
  <si>
    <t xml:space="preserve">SOBRE 3 </t>
  </si>
  <si>
    <t>SOLVÈNCIES ESPECIALS</t>
  </si>
  <si>
    <t>M2 DE GESPA</t>
  </si>
  <si>
    <t>M2 REG</t>
  </si>
  <si>
    <t>UT ARBUSTIVA</t>
  </si>
  <si>
    <t>UT ARBRAT</t>
  </si>
  <si>
    <t xml:space="preserve">ALTRES MILLORES DINS DE LA OFERTA TÈCNICA </t>
  </si>
  <si>
    <t xml:space="preserve">QUANTITAT </t>
  </si>
  <si>
    <t>cost empresa sortint</t>
  </si>
  <si>
    <t xml:space="preserve">antiguitat </t>
  </si>
  <si>
    <t xml:space="preserve">aug anitig </t>
  </si>
  <si>
    <t xml:space="preserve">NOU PERSONAL A INCOPORAR </t>
  </si>
  <si>
    <t xml:space="preserve">REFORÇ DE PERSONAL </t>
  </si>
  <si>
    <t>encarregat</t>
  </si>
  <si>
    <t>oficial jardiner</t>
  </si>
  <si>
    <t>jardiner</t>
  </si>
  <si>
    <t>auxiliar jardiner</t>
  </si>
  <si>
    <t>peó jaridner</t>
  </si>
  <si>
    <t xml:space="preserve">opeari cet </t>
  </si>
  <si>
    <t xml:space="preserve">tasca </t>
  </si>
  <si>
    <t>dedicació</t>
  </si>
  <si>
    <t xml:space="preserve">cost empresa </t>
  </si>
  <si>
    <t xml:space="preserve">EQUIP gip </t>
  </si>
  <si>
    <t xml:space="preserve">INSTAL·LADOR DE REG </t>
  </si>
  <si>
    <t>oficial jardiner instal·lador</t>
  </si>
  <si>
    <t xml:space="preserve">ALTRES </t>
  </si>
  <si>
    <t>HORES ESPECIALS ( CAPS DE SETMANA FESTIUS ETC)</t>
  </si>
  <si>
    <t>HORES EN DISSABTE</t>
  </si>
  <si>
    <t xml:space="preserve">HORES EN FESTIUS </t>
  </si>
  <si>
    <t xml:space="preserve">HORES EN DIUMENGE </t>
  </si>
  <si>
    <t>HORA EXTRE FESTIU</t>
  </si>
  <si>
    <t>PERSONAL EN DISSABTE ( EXTRA  O PLICA)</t>
  </si>
  <si>
    <t xml:space="preserve">PERSONAL EN DIUMENGE </t>
  </si>
  <si>
    <t>PERSONAL EN FESTIU</t>
  </si>
  <si>
    <t xml:space="preserve">RESUM COSTOS DE PERSONAL </t>
  </si>
  <si>
    <t>PERSONAL A CONTRACTAR</t>
  </si>
  <si>
    <t>ADQUISICIÓ DE VEHICLES</t>
  </si>
  <si>
    <t>Camió cistella  Movex 12 metres</t>
  </si>
  <si>
    <t xml:space="preserve">camio sevei &gt; 3500 </t>
  </si>
  <si>
    <t>COMPRA ( NOVA ADQUI)</t>
  </si>
  <si>
    <t>COMPRA ( 20NA MA)</t>
  </si>
  <si>
    <t>COMPRA ( SEGONA MÀ)</t>
  </si>
  <si>
    <t xml:space="preserve">Camió 3500 amb ploma volquet </t>
  </si>
  <si>
    <t>altres 2</t>
  </si>
  <si>
    <t>consum any</t>
  </si>
  <si>
    <t xml:space="preserve">VEHICLE  ADSCRITS AL SERVEI </t>
  </si>
  <si>
    <t xml:space="preserve">MAQUINARIA ADSCRITA AL SERVEI </t>
  </si>
  <si>
    <t>lit/hora</t>
  </si>
  <si>
    <t>hores jor</t>
  </si>
  <si>
    <t xml:space="preserve">VESTUARI EPIS EINES </t>
  </si>
  <si>
    <t>Vestuari Complet Hivern</t>
  </si>
  <si>
    <t xml:space="preserve">altres </t>
  </si>
  <si>
    <t xml:space="preserve">capassos </t>
  </si>
  <si>
    <t xml:space="preserve">UT </t>
  </si>
  <si>
    <t xml:space="preserve">CONCEPTE </t>
  </si>
  <si>
    <t>IMPORT UT.</t>
  </si>
  <si>
    <t>AMOR ANY</t>
  </si>
  <si>
    <t xml:space="preserve">COST TOTAL VESTUARI I EINES </t>
  </si>
  <si>
    <t xml:space="preserve">LOCALS I COSTOS ASSOCIATS </t>
  </si>
  <si>
    <t>Mesnsualitat de lloguer de Nau</t>
  </si>
  <si>
    <t xml:space="preserve">COST ANNUAL </t>
  </si>
  <si>
    <t xml:space="preserve">Rebuts aigua , llum, altres </t>
  </si>
  <si>
    <t xml:space="preserve">Gestió de llicencia activitats </t>
  </si>
  <si>
    <t>MATERIALS</t>
  </si>
  <si>
    <t>COST UT</t>
  </si>
  <si>
    <t>COST TOTAL ANY</t>
  </si>
  <si>
    <t>AMD</t>
  </si>
  <si>
    <t>material de construcció</t>
  </si>
  <si>
    <t>adob per arbustiva</t>
  </si>
  <si>
    <t xml:space="preserve">adob per arbrat </t>
  </si>
  <si>
    <t>material de jardineria</t>
  </si>
  <si>
    <t>kg</t>
  </si>
  <si>
    <t>terra vegetal</t>
  </si>
  <si>
    <t>m3</t>
  </si>
  <si>
    <t>UT  ARBUSTIVA</t>
  </si>
  <si>
    <t xml:space="preserve">Pagament anuncis </t>
  </si>
  <si>
    <t>COST TOTAL MATERIALS</t>
  </si>
  <si>
    <t xml:space="preserve">MILLORES </t>
  </si>
  <si>
    <t xml:space="preserve">QUADRE RESUM </t>
  </si>
  <si>
    <t>LOGO DEL CLIENT</t>
  </si>
  <si>
    <t>TOTAL PERSONAL A SUBROGAR</t>
  </si>
  <si>
    <t>NO</t>
  </si>
  <si>
    <t>VIVER</t>
  </si>
  <si>
    <t>ALTRES SERVEIS DE  VIVER  AMB CLIENT</t>
  </si>
  <si>
    <t>X</t>
  </si>
  <si>
    <t xml:space="preserve">OFERTA VIVER DE BELL LLOC </t>
  </si>
  <si>
    <t xml:space="preserve">vacances </t>
  </si>
  <si>
    <t xml:space="preserve">Iveco dayli 9 plaçes </t>
  </si>
  <si>
    <t>ORÍGEN</t>
  </si>
  <si>
    <t xml:space="preserve">COST COMPRA TOTAL </t>
  </si>
  <si>
    <t>com</t>
  </si>
  <si>
    <t>rent</t>
  </si>
  <si>
    <t xml:space="preserve">camió cistella feines alçada </t>
  </si>
  <si>
    <t>jor</t>
  </si>
  <si>
    <t>millora en maquinaria ( cost en ap maquinaria )</t>
  </si>
  <si>
    <t xml:space="preserve">comprar 30 tanques de tancaments provisionals </t>
  </si>
  <si>
    <t xml:space="preserve">bosses escombraries </t>
  </si>
  <si>
    <t xml:space="preserve">mitja de dos cops per setmana les 160 papereres que hi ha </t>
  </si>
  <si>
    <t>obser</t>
  </si>
  <si>
    <t>material any per reg( asper/ dif/ goter/,,)</t>
  </si>
  <si>
    <t xml:space="preserve">sauló per plaçes i altres </t>
  </si>
  <si>
    <t xml:space="preserve">flor de temporada +actes </t>
  </si>
  <si>
    <t xml:space="preserve">adobs orgànics per arbustiva </t>
  </si>
  <si>
    <t>Braç per fer xiprers cementiri+poda</t>
  </si>
  <si>
    <t xml:space="preserve">cost per reparacions+itv+altres nevara </t>
  </si>
  <si>
    <t>desborssadora 380 fs</t>
  </si>
  <si>
    <t>Desborssadora 460 fs</t>
  </si>
  <si>
    <t xml:space="preserve">Motoserres petita </t>
  </si>
  <si>
    <t>motoserra gran</t>
  </si>
  <si>
    <t xml:space="preserve">multiusos sthilk+2 aperos </t>
  </si>
  <si>
    <t xml:space="preserve">desborsadora 3 rodes </t>
  </si>
  <si>
    <t xml:space="preserve">CRITERI 1 tècnic </t>
  </si>
  <si>
    <t xml:space="preserve">AJ LLIÇA DE VALL </t>
  </si>
  <si>
    <t>CPV 77311000-3</t>
  </si>
  <si>
    <t xml:space="preserve">EQUIP retall </t>
  </si>
  <si>
    <t xml:space="preserve">operari cet </t>
  </si>
  <si>
    <t xml:space="preserve">8 anys ( 2 de contracte+ 6+ amortitzar) </t>
  </si>
  <si>
    <t xml:space="preserve">comp 2 </t>
  </si>
  <si>
    <t>REENT</t>
  </si>
  <si>
    <t xml:space="preserve">RENNT </t>
  </si>
  <si>
    <t xml:space="preserve">TOTALS </t>
  </si>
  <si>
    <t xml:space="preserve">TIOSRA DE MA </t>
  </si>
  <si>
    <t xml:space="preserve">kaliu (a acabanat) </t>
  </si>
  <si>
    <t xml:space="preserve">abel / toni </t>
  </si>
  <si>
    <t>17 de juliol</t>
  </si>
  <si>
    <t xml:space="preserve">peó jardiner </t>
  </si>
  <si>
    <t>pujada 2023</t>
  </si>
  <si>
    <t>pujada 2024</t>
  </si>
  <si>
    <t xml:space="preserve">ACTUAL </t>
  </si>
  <si>
    <t>COST ANY COMBUSTIBLE+ASEG</t>
  </si>
  <si>
    <t>% REPARACIONS  10%</t>
  </si>
  <si>
    <t xml:space="preserve">MILLORA 2 </t>
  </si>
  <si>
    <t xml:space="preserve">COST TOTAL MILLORES ( ANYS DE CONTRACTE) </t>
  </si>
  <si>
    <t>PM/MO</t>
  </si>
  <si>
    <t xml:space="preserve">BAIXA </t>
  </si>
  <si>
    <t>ANT/ OF</t>
  </si>
  <si>
    <t xml:space="preserve">INCREMENT USAURIES </t>
  </si>
  <si>
    <t>% DISCAPACITAT 70%</t>
  </si>
  <si>
    <t xml:space="preserve">MILLORES ESPAIS VERDS </t>
  </si>
  <si>
    <t>oficial primera</t>
  </si>
  <si>
    <t xml:space="preserve">millora 5 % licitació </t>
  </si>
  <si>
    <t>20% augment</t>
  </si>
  <si>
    <t>planta</t>
  </si>
  <si>
    <t xml:space="preserve">BOSSA VARIABLE </t>
  </si>
  <si>
    <t>( VARIABLE AMB PREU ITEC)</t>
  </si>
  <si>
    <t>Amb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</si>
</sst>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5" formatCode="#,##0\ &quot;€&quot;;\-#,##0\ &quot;€&quot;"/>
    <numFmt numFmtId="7" formatCode="#,##0.00\ &quot;€&quot;;\-#,##0.00\ &quot;€&quot;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175" formatCode="_-* #,##0.00\ _p_t_a_-;\-* #,##0.00\ _p_t_a_-;_-* &quot;-&quot;\ _p_t_a_-;_-@_-"/>
    <numFmt numFmtId="177" formatCode="_-* #,##0.00\ _€_-;\-* #,##0.00\ _€_-;_-* &quot;-&quot;\ _€_-;_-@_-"/>
    <numFmt numFmtId="178" formatCode="#,##0.00\ &quot;€&quot;;[Red]#,##0.00\ &quot;€&quot;"/>
    <numFmt numFmtId="179" formatCode="#,##0\ &quot;€&quot;"/>
    <numFmt numFmtId="180" formatCode="#,##0.00\ &quot;€&quot;"/>
    <numFmt numFmtId="184" formatCode="#,##0.0"/>
    <numFmt numFmtId="188" formatCode="0.0%"/>
  </numFmts>
  <fonts count="31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18"/>
      <name val="Arial"/>
      <family val="2"/>
    </font>
    <font>
      <sz val="9"/>
      <color indexed="9"/>
      <name val="Arial"/>
      <family val="2"/>
    </font>
    <font>
      <sz val="12"/>
      <color indexed="9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4"/>
      <color indexed="18"/>
      <name val="Calibri"/>
      <family val="2"/>
      <scheme val="minor"/>
    </font>
    <font>
      <b/>
      <sz val="14"/>
      <color indexed="61"/>
      <name val="Calibri"/>
      <family val="2"/>
      <scheme val="minor"/>
    </font>
    <font>
      <sz val="12"/>
      <color indexed="18"/>
      <name val="Calibri"/>
      <family val="2"/>
      <scheme val="minor"/>
    </font>
    <font>
      <i/>
      <sz val="10"/>
      <name val="Calibri"/>
      <family val="2"/>
      <scheme val="minor"/>
    </font>
    <font>
      <b/>
      <sz val="1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</fills>
  <borders count="37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uble">
        <color indexed="12"/>
      </bottom>
      <diagonal/>
    </border>
    <border>
      <left style="double">
        <color indexed="12"/>
      </left>
      <right/>
      <top style="double">
        <color indexed="12"/>
      </top>
      <bottom style="double">
        <color indexed="12"/>
      </bottom>
      <diagonal/>
    </border>
    <border>
      <left/>
      <right/>
      <top style="double">
        <color indexed="12"/>
      </top>
      <bottom style="double">
        <color indexed="12"/>
      </bottom>
      <diagonal/>
    </border>
    <border>
      <left/>
      <right style="double">
        <color indexed="12"/>
      </right>
      <top style="double">
        <color indexed="12"/>
      </top>
      <bottom style="double">
        <color indexed="12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12"/>
      </left>
      <right style="double">
        <color indexed="12"/>
      </right>
      <top style="double">
        <color indexed="12"/>
      </top>
      <bottom/>
      <diagonal/>
    </border>
    <border>
      <left style="double">
        <color indexed="12"/>
      </left>
      <right style="double">
        <color indexed="12"/>
      </right>
      <top/>
      <bottom style="double">
        <color indexed="1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300">
    <xf numFmtId="0" fontId="0" fillId="0" borderId="0" xfId="0"/>
    <xf numFmtId="0" fontId="6" fillId="0" borderId="0" xfId="0" applyFont="1"/>
    <xf numFmtId="0" fontId="4" fillId="0" borderId="0" xfId="0" applyFont="1"/>
    <xf numFmtId="177" fontId="4" fillId="0" borderId="0" xfId="2" applyNumberFormat="1" applyFont="1"/>
    <xf numFmtId="178" fontId="4" fillId="0" borderId="0" xfId="0" applyNumberFormat="1" applyFont="1"/>
    <xf numFmtId="180" fontId="4" fillId="0" borderId="0" xfId="0" applyNumberFormat="1" applyFont="1"/>
    <xf numFmtId="41" fontId="4" fillId="0" borderId="0" xfId="2" applyFont="1"/>
    <xf numFmtId="0" fontId="9" fillId="0" borderId="0" xfId="0" applyFont="1"/>
    <xf numFmtId="0" fontId="7" fillId="0" borderId="0" xfId="0" applyFont="1"/>
    <xf numFmtId="41" fontId="7" fillId="0" borderId="0" xfId="2" applyFont="1"/>
    <xf numFmtId="180" fontId="7" fillId="0" borderId="0" xfId="0" applyNumberFormat="1" applyFont="1"/>
    <xf numFmtId="177" fontId="7" fillId="0" borderId="0" xfId="2" applyNumberFormat="1" applyFont="1"/>
    <xf numFmtId="4" fontId="11" fillId="0" borderId="0" xfId="0" applyNumberFormat="1" applyFont="1"/>
    <xf numFmtId="0" fontId="12" fillId="0" borderId="0" xfId="0" applyFont="1"/>
    <xf numFmtId="0" fontId="18" fillId="0" borderId="0" xfId="0" applyFont="1"/>
    <xf numFmtId="0" fontId="18" fillId="0" borderId="1" xfId="0" applyFont="1" applyBorder="1"/>
    <xf numFmtId="0" fontId="19" fillId="0" borderId="1" xfId="0" applyFont="1" applyBorder="1"/>
    <xf numFmtId="1" fontId="19" fillId="0" borderId="1" xfId="0" applyNumberFormat="1" applyFont="1" applyBorder="1"/>
    <xf numFmtId="0" fontId="18" fillId="0" borderId="2" xfId="0" applyFont="1" applyBorder="1"/>
    <xf numFmtId="0" fontId="20" fillId="0" borderId="2" xfId="0" applyFont="1" applyBorder="1"/>
    <xf numFmtId="180" fontId="20" fillId="0" borderId="2" xfId="0" applyNumberFormat="1" applyFont="1" applyBorder="1"/>
    <xf numFmtId="1" fontId="20" fillId="0" borderId="2" xfId="0" applyNumberFormat="1" applyFont="1" applyBorder="1"/>
    <xf numFmtId="180" fontId="18" fillId="0" borderId="2" xfId="0" applyNumberFormat="1" applyFont="1" applyBorder="1"/>
    <xf numFmtId="0" fontId="18" fillId="0" borderId="3" xfId="0" applyFont="1" applyBorder="1"/>
    <xf numFmtId="0" fontId="20" fillId="0" borderId="3" xfId="0" applyFont="1" applyBorder="1"/>
    <xf numFmtId="180" fontId="20" fillId="0" borderId="3" xfId="0" applyNumberFormat="1" applyFont="1" applyBorder="1"/>
    <xf numFmtId="180" fontId="18" fillId="0" borderId="0" xfId="0" applyNumberFormat="1" applyFont="1"/>
    <xf numFmtId="1" fontId="18" fillId="0" borderId="0" xfId="0" applyNumberFormat="1" applyFont="1"/>
    <xf numFmtId="180" fontId="21" fillId="0" borderId="0" xfId="0" applyNumberFormat="1" applyFont="1"/>
    <xf numFmtId="3" fontId="20" fillId="0" borderId="2" xfId="0" applyNumberFormat="1" applyFont="1" applyBorder="1"/>
    <xf numFmtId="0" fontId="22" fillId="0" borderId="0" xfId="0" applyFont="1"/>
    <xf numFmtId="1" fontId="22" fillId="0" borderId="0" xfId="0" applyNumberFormat="1" applyFont="1"/>
    <xf numFmtId="0" fontId="19" fillId="5" borderId="4" xfId="0" applyFont="1" applyFill="1" applyBorder="1"/>
    <xf numFmtId="0" fontId="22" fillId="0" borderId="5" xfId="0" applyFont="1" applyBorder="1"/>
    <xf numFmtId="0" fontId="22" fillId="0" borderId="6" xfId="0" applyFont="1" applyBorder="1"/>
    <xf numFmtId="0" fontId="22" fillId="0" borderId="7" xfId="0" applyFont="1" applyBorder="1"/>
    <xf numFmtId="0" fontId="23" fillId="6" borderId="0" xfId="0" applyFont="1" applyFill="1"/>
    <xf numFmtId="180" fontId="22" fillId="0" borderId="5" xfId="0" applyNumberFormat="1" applyFont="1" applyBorder="1"/>
    <xf numFmtId="180" fontId="22" fillId="0" borderId="6" xfId="0" applyNumberFormat="1" applyFont="1" applyBorder="1"/>
    <xf numFmtId="180" fontId="22" fillId="0" borderId="7" xfId="0" applyNumberFormat="1" applyFont="1" applyBorder="1"/>
    <xf numFmtId="180" fontId="22" fillId="0" borderId="0" xfId="0" applyNumberFormat="1" applyFont="1"/>
    <xf numFmtId="180" fontId="23" fillId="6" borderId="0" xfId="0" applyNumberFormat="1" applyFont="1" applyFill="1"/>
    <xf numFmtId="0" fontId="23" fillId="0" borderId="0" xfId="0" applyFont="1" applyAlignment="1">
      <alignment horizontal="center"/>
    </xf>
    <xf numFmtId="0" fontId="24" fillId="0" borderId="0" xfId="0" applyFont="1"/>
    <xf numFmtId="0" fontId="25" fillId="2" borderId="8" xfId="0" applyFont="1" applyFill="1" applyBorder="1" applyAlignment="1">
      <alignment horizontal="center"/>
    </xf>
    <xf numFmtId="0" fontId="24" fillId="7" borderId="0" xfId="0" applyFont="1" applyFill="1"/>
    <xf numFmtId="177" fontId="24" fillId="7" borderId="0" xfId="0" applyNumberFormat="1" applyFont="1" applyFill="1" applyAlignment="1">
      <alignment horizontal="left"/>
    </xf>
    <xf numFmtId="10" fontId="24" fillId="7" borderId="0" xfId="4" applyNumberFormat="1" applyFont="1" applyFill="1" applyAlignment="1">
      <alignment horizontal="center"/>
    </xf>
    <xf numFmtId="0" fontId="26" fillId="3" borderId="8" xfId="0" applyFont="1" applyFill="1" applyBorder="1" applyAlignment="1">
      <alignment horizontal="center"/>
    </xf>
    <xf numFmtId="44" fontId="26" fillId="3" borderId="8" xfId="1" applyFont="1" applyFill="1" applyBorder="1"/>
    <xf numFmtId="9" fontId="24" fillId="0" borderId="0" xfId="0" applyNumberFormat="1" applyFont="1" applyAlignment="1">
      <alignment horizontal="center"/>
    </xf>
    <xf numFmtId="175" fontId="24" fillId="0" borderId="0" xfId="2" applyNumberFormat="1" applyFont="1" applyAlignment="1">
      <alignment horizontal="center"/>
    </xf>
    <xf numFmtId="10" fontId="24" fillId="0" borderId="0" xfId="4" applyNumberFormat="1" applyFont="1"/>
    <xf numFmtId="10" fontId="24" fillId="0" borderId="0" xfId="0" applyNumberFormat="1" applyFont="1"/>
    <xf numFmtId="9" fontId="26" fillId="0" borderId="8" xfId="0" applyNumberFormat="1" applyFont="1" applyBorder="1" applyAlignment="1">
      <alignment horizontal="center"/>
    </xf>
    <xf numFmtId="10" fontId="26" fillId="0" borderId="8" xfId="0" applyNumberFormat="1" applyFont="1" applyBorder="1" applyAlignment="1">
      <alignment horizontal="center"/>
    </xf>
    <xf numFmtId="44" fontId="26" fillId="0" borderId="8" xfId="1" applyFont="1" applyBorder="1"/>
    <xf numFmtId="10" fontId="26" fillId="0" borderId="0" xfId="4" applyNumberFormat="1" applyFont="1"/>
    <xf numFmtId="44" fontId="24" fillId="0" borderId="0" xfId="0" applyNumberFormat="1" applyFont="1"/>
    <xf numFmtId="44" fontId="26" fillId="2" borderId="8" xfId="1" applyFont="1" applyFill="1" applyBorder="1" applyAlignment="1">
      <alignment horizontal="center"/>
    </xf>
    <xf numFmtId="188" fontId="26" fillId="0" borderId="0" xfId="0" applyNumberFormat="1" applyFont="1" applyAlignment="1">
      <alignment horizontal="center"/>
    </xf>
    <xf numFmtId="9" fontId="26" fillId="0" borderId="0" xfId="0" applyNumberFormat="1" applyFont="1" applyAlignment="1">
      <alignment horizontal="center"/>
    </xf>
    <xf numFmtId="44" fontId="26" fillId="0" borderId="0" xfId="1" applyFont="1" applyAlignment="1">
      <alignment horizontal="center"/>
    </xf>
    <xf numFmtId="44" fontId="26" fillId="0" borderId="8" xfId="1" applyFont="1" applyBorder="1" applyAlignment="1">
      <alignment horizontal="center"/>
    </xf>
    <xf numFmtId="188" fontId="26" fillId="2" borderId="8" xfId="0" applyNumberFormat="1" applyFont="1" applyFill="1" applyBorder="1" applyAlignment="1">
      <alignment horizontal="center"/>
    </xf>
    <xf numFmtId="9" fontId="27" fillId="2" borderId="0" xfId="0" applyNumberFormat="1" applyFont="1" applyFill="1" applyAlignment="1">
      <alignment horizontal="center"/>
    </xf>
    <xf numFmtId="0" fontId="24" fillId="4" borderId="2" xfId="0" applyFont="1" applyFill="1" applyBorder="1" applyAlignment="1">
      <alignment horizontal="right"/>
    </xf>
    <xf numFmtId="10" fontId="24" fillId="4" borderId="2" xfId="4" applyNumberFormat="1" applyFont="1" applyFill="1" applyBorder="1" applyAlignment="1">
      <alignment horizontal="center"/>
    </xf>
    <xf numFmtId="0" fontId="24" fillId="4" borderId="3" xfId="0" applyFont="1" applyFill="1" applyBorder="1" applyAlignment="1">
      <alignment horizontal="right"/>
    </xf>
    <xf numFmtId="10" fontId="24" fillId="4" borderId="3" xfId="4" applyNumberFormat="1" applyFont="1" applyFill="1" applyBorder="1" applyAlignment="1">
      <alignment horizontal="center"/>
    </xf>
    <xf numFmtId="0" fontId="19" fillId="0" borderId="0" xfId="0" applyFont="1"/>
    <xf numFmtId="0" fontId="28" fillId="0" borderId="0" xfId="0" applyFont="1" applyAlignment="1">
      <alignment horizontal="center"/>
    </xf>
    <xf numFmtId="0" fontId="28" fillId="0" borderId="0" xfId="0" applyFont="1"/>
    <xf numFmtId="10" fontId="26" fillId="3" borderId="8" xfId="1" applyNumberFormat="1" applyFont="1" applyFill="1" applyBorder="1"/>
    <xf numFmtId="9" fontId="26" fillId="2" borderId="9" xfId="0" applyNumberFormat="1" applyFont="1" applyFill="1" applyBorder="1" applyAlignment="1">
      <alignment horizontal="center"/>
    </xf>
    <xf numFmtId="9" fontId="26" fillId="2" borderId="10" xfId="0" applyNumberFormat="1" applyFont="1" applyFill="1" applyBorder="1" applyAlignment="1">
      <alignment horizontal="center"/>
    </xf>
    <xf numFmtId="44" fontId="26" fillId="2" borderId="11" xfId="1" applyFont="1" applyFill="1" applyBorder="1" applyAlignment="1">
      <alignment horizontal="center"/>
    </xf>
    <xf numFmtId="0" fontId="19" fillId="6" borderId="4" xfId="0" applyFont="1" applyFill="1" applyBorder="1"/>
    <xf numFmtId="0" fontId="22" fillId="6" borderId="4" xfId="0" applyFont="1" applyFill="1" applyBorder="1"/>
    <xf numFmtId="180" fontId="19" fillId="6" borderId="4" xfId="0" applyNumberFormat="1" applyFont="1" applyFill="1" applyBorder="1"/>
    <xf numFmtId="1" fontId="22" fillId="6" borderId="4" xfId="0" applyNumberFormat="1" applyFont="1" applyFill="1" applyBorder="1"/>
    <xf numFmtId="0" fontId="23" fillId="6" borderId="4" xfId="0" applyFont="1" applyFill="1" applyBorder="1"/>
    <xf numFmtId="0" fontId="24" fillId="6" borderId="4" xfId="0" applyFont="1" applyFill="1" applyBorder="1"/>
    <xf numFmtId="180" fontId="23" fillId="6" borderId="4" xfId="0" applyNumberFormat="1" applyFont="1" applyFill="1" applyBorder="1"/>
    <xf numFmtId="0" fontId="18" fillId="0" borderId="12" xfId="0" applyFont="1" applyBorder="1"/>
    <xf numFmtId="0" fontId="19" fillId="6" borderId="1" xfId="0" applyFont="1" applyFill="1" applyBorder="1"/>
    <xf numFmtId="0" fontId="21" fillId="0" borderId="1" xfId="0" applyFont="1" applyBorder="1"/>
    <xf numFmtId="7" fontId="24" fillId="4" borderId="1" xfId="2" applyNumberFormat="1" applyFont="1" applyFill="1" applyBorder="1" applyAlignment="1">
      <alignment horizontal="center"/>
    </xf>
    <xf numFmtId="7" fontId="24" fillId="4" borderId="2" xfId="2" applyNumberFormat="1" applyFont="1" applyFill="1" applyBorder="1" applyAlignment="1">
      <alignment horizontal="center"/>
    </xf>
    <xf numFmtId="7" fontId="24" fillId="4" borderId="2" xfId="4" applyNumberFormat="1" applyFont="1" applyFill="1" applyBorder="1" applyAlignment="1">
      <alignment horizontal="center"/>
    </xf>
    <xf numFmtId="0" fontId="20" fillId="0" borderId="12" xfId="0" applyFont="1" applyBorder="1"/>
    <xf numFmtId="180" fontId="20" fillId="0" borderId="12" xfId="0" applyNumberFormat="1" applyFont="1" applyBorder="1"/>
    <xf numFmtId="0" fontId="24" fillId="4" borderId="1" xfId="0" applyFont="1" applyFill="1" applyBorder="1" applyAlignment="1">
      <alignment horizontal="right"/>
    </xf>
    <xf numFmtId="0" fontId="18" fillId="0" borderId="0" xfId="0" applyFont="1"/>
    <xf numFmtId="0" fontId="20" fillId="0" borderId="0" xfId="0" applyFont="1"/>
    <xf numFmtId="180" fontId="20" fillId="0" borderId="0" xfId="0" applyNumberFormat="1" applyFont="1"/>
    <xf numFmtId="179" fontId="20" fillId="0" borderId="0" xfId="0" applyNumberFormat="1" applyFont="1"/>
    <xf numFmtId="10" fontId="18" fillId="0" borderId="0" xfId="0" applyNumberFormat="1" applyFont="1"/>
    <xf numFmtId="0" fontId="22" fillId="0" borderId="4" xfId="0" applyFont="1" applyBorder="1"/>
    <xf numFmtId="180" fontId="22" fillId="0" borderId="4" xfId="0" applyNumberFormat="1" applyFont="1" applyBorder="1"/>
    <xf numFmtId="0" fontId="19" fillId="0" borderId="0" xfId="0" applyFont="1"/>
    <xf numFmtId="4" fontId="22" fillId="0" borderId="0" xfId="0" applyNumberFormat="1" applyFont="1"/>
    <xf numFmtId="10" fontId="22" fillId="0" borderId="0" xfId="0" applyNumberFormat="1" applyFont="1"/>
    <xf numFmtId="0" fontId="19" fillId="5" borderId="4" xfId="0" applyFont="1" applyFill="1" applyBorder="1" applyAlignment="1">
      <alignment horizontal="center"/>
    </xf>
    <xf numFmtId="1" fontId="19" fillId="5" borderId="4" xfId="0" applyNumberFormat="1" applyFont="1" applyFill="1" applyBorder="1" applyAlignment="1">
      <alignment horizontal="center"/>
    </xf>
    <xf numFmtId="1" fontId="23" fillId="6" borderId="4" xfId="0" applyNumberFormat="1" applyFont="1" applyFill="1" applyBorder="1"/>
    <xf numFmtId="1" fontId="23" fillId="6" borderId="4" xfId="0" applyNumberFormat="1" applyFont="1" applyFill="1" applyBorder="1" applyAlignment="1">
      <alignment horizontal="center"/>
    </xf>
    <xf numFmtId="0" fontId="22" fillId="5" borderId="4" xfId="0" applyFont="1" applyFill="1" applyBorder="1"/>
    <xf numFmtId="1" fontId="19" fillId="5" borderId="4" xfId="0" applyNumberFormat="1" applyFont="1" applyFill="1" applyBorder="1"/>
    <xf numFmtId="4" fontId="20" fillId="0" borderId="2" xfId="0" applyNumberFormat="1" applyFont="1" applyBorder="1"/>
    <xf numFmtId="10" fontId="20" fillId="0" borderId="2" xfId="0" applyNumberFormat="1" applyFont="1" applyBorder="1"/>
    <xf numFmtId="180" fontId="22" fillId="0" borderId="0" xfId="0" applyNumberFormat="1" applyFont="1" applyAlignment="1">
      <alignment horizontal="right"/>
    </xf>
    <xf numFmtId="0" fontId="18" fillId="0" borderId="4" xfId="0" applyFont="1" applyBorder="1"/>
    <xf numFmtId="0" fontId="18" fillId="0" borderId="5" xfId="0" applyFont="1" applyBorder="1"/>
    <xf numFmtId="0" fontId="18" fillId="0" borderId="6" xfId="0" applyFont="1" applyBorder="1"/>
    <xf numFmtId="0" fontId="18" fillId="0" borderId="7" xfId="0" applyFont="1" applyBorder="1"/>
    <xf numFmtId="0" fontId="21" fillId="6" borderId="4" xfId="0" applyFont="1" applyFill="1" applyBorder="1"/>
    <xf numFmtId="0" fontId="19" fillId="6" borderId="4" xfId="0" applyFont="1" applyFill="1" applyBorder="1" applyAlignment="1">
      <alignment horizontal="center"/>
    </xf>
    <xf numFmtId="0" fontId="19" fillId="6" borderId="4" xfId="0" applyFont="1" applyFill="1" applyBorder="1"/>
    <xf numFmtId="0" fontId="29" fillId="0" borderId="6" xfId="0" applyFont="1" applyBorder="1" applyAlignment="1">
      <alignment horizontal="right"/>
    </xf>
    <xf numFmtId="0" fontId="18" fillId="7" borderId="0" xfId="0" applyFont="1" applyFill="1"/>
    <xf numFmtId="0" fontId="18" fillId="7" borderId="0" xfId="0" applyFont="1" applyFill="1"/>
    <xf numFmtId="0" fontId="8" fillId="7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179" fontId="9" fillId="0" borderId="0" xfId="2" applyNumberFormat="1" applyFont="1"/>
    <xf numFmtId="0" fontId="8" fillId="6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4" fillId="7" borderId="0" xfId="0" applyFont="1" applyFill="1"/>
    <xf numFmtId="0" fontId="2" fillId="7" borderId="0" xfId="0" applyFont="1" applyFill="1"/>
    <xf numFmtId="0" fontId="3" fillId="7" borderId="0" xfId="0" applyFont="1" applyFill="1"/>
    <xf numFmtId="0" fontId="15" fillId="7" borderId="0" xfId="0" applyFont="1" applyFill="1"/>
    <xf numFmtId="177" fontId="3" fillId="7" borderId="0" xfId="2" applyNumberFormat="1" applyFont="1" applyFill="1" applyAlignment="1">
      <alignment horizontal="center"/>
    </xf>
    <xf numFmtId="0" fontId="3" fillId="7" borderId="0" xfId="0" applyFont="1" applyFill="1" applyAlignment="1">
      <alignment horizontal="right"/>
    </xf>
    <xf numFmtId="0" fontId="4" fillId="7" borderId="0" xfId="0" applyFont="1" applyFill="1" applyAlignment="1">
      <alignment horizontal="right"/>
    </xf>
    <xf numFmtId="180" fontId="16" fillId="7" borderId="0" xfId="2" applyNumberFormat="1" applyFont="1" applyFill="1"/>
    <xf numFmtId="0" fontId="7" fillId="7" borderId="0" xfId="0" applyFont="1" applyFill="1"/>
    <xf numFmtId="0" fontId="3" fillId="6" borderId="0" xfId="0" applyFont="1" applyFill="1" applyAlignment="1">
      <alignment horizontal="right"/>
    </xf>
    <xf numFmtId="0" fontId="4" fillId="6" borderId="0" xfId="0" applyFont="1" applyFill="1" applyAlignment="1">
      <alignment horizontal="right"/>
    </xf>
    <xf numFmtId="180" fontId="3" fillId="6" borderId="0" xfId="2" applyNumberFormat="1" applyFont="1" applyFill="1" applyAlignment="1">
      <alignment horizontal="right"/>
    </xf>
    <xf numFmtId="0" fontId="3" fillId="7" borderId="0" xfId="0" applyFont="1" applyFill="1" applyAlignment="1">
      <alignment horizontal="right" indent="2"/>
    </xf>
    <xf numFmtId="0" fontId="4" fillId="6" borderId="0" xfId="0" applyFont="1" applyFill="1"/>
    <xf numFmtId="10" fontId="3" fillId="6" borderId="0" xfId="4" applyNumberFormat="1" applyFont="1" applyFill="1" applyAlignment="1">
      <alignment horizontal="center"/>
    </xf>
    <xf numFmtId="0" fontId="3" fillId="6" borderId="0" xfId="0" applyFont="1" applyFill="1" applyAlignment="1">
      <alignment horizontal="right" indent="2"/>
    </xf>
    <xf numFmtId="0" fontId="3" fillId="6" borderId="0" xfId="0" applyFont="1" applyFill="1"/>
    <xf numFmtId="180" fontId="3" fillId="6" borderId="0" xfId="2" applyNumberFormat="1" applyFont="1" applyFill="1"/>
    <xf numFmtId="0" fontId="16" fillId="7" borderId="0" xfId="0" applyFont="1" applyFill="1"/>
    <xf numFmtId="0" fontId="17" fillId="7" borderId="0" xfId="0" applyFont="1" applyFill="1"/>
    <xf numFmtId="180" fontId="16" fillId="7" borderId="0" xfId="2" applyNumberFormat="1" applyFont="1" applyFill="1"/>
    <xf numFmtId="0" fontId="7" fillId="7" borderId="0" xfId="0" applyFont="1" applyFill="1"/>
    <xf numFmtId="177" fontId="16" fillId="7" borderId="0" xfId="2" applyNumberFormat="1" applyFont="1" applyFill="1"/>
    <xf numFmtId="0" fontId="4" fillId="7" borderId="0" xfId="0" applyFont="1" applyFill="1" applyAlignment="1">
      <alignment horizontal="left"/>
    </xf>
    <xf numFmtId="180" fontId="16" fillId="7" borderId="0" xfId="2" applyNumberFormat="1" applyFont="1" applyFill="1" applyAlignment="1">
      <alignment horizontal="left"/>
    </xf>
    <xf numFmtId="0" fontId="16" fillId="7" borderId="0" xfId="0" applyFont="1" applyFill="1" applyAlignment="1">
      <alignment horizontal="left"/>
    </xf>
    <xf numFmtId="0" fontId="19" fillId="0" borderId="1" xfId="0" applyFont="1" applyBorder="1"/>
    <xf numFmtId="180" fontId="22" fillId="6" borderId="4" xfId="0" applyNumberFormat="1" applyFont="1" applyFill="1" applyBorder="1"/>
    <xf numFmtId="184" fontId="18" fillId="0" borderId="5" xfId="3" applyNumberFormat="1" applyFont="1" applyBorder="1" applyAlignment="1">
      <alignment horizontal="center" vertical="center"/>
    </xf>
    <xf numFmtId="3" fontId="18" fillId="0" borderId="5" xfId="3" applyNumberFormat="1" applyFont="1" applyBorder="1" applyAlignment="1">
      <alignment horizontal="left" vertical="center"/>
    </xf>
    <xf numFmtId="44" fontId="18" fillId="0" borderId="5" xfId="1" applyFont="1" applyBorder="1" applyAlignment="1">
      <alignment horizontal="center" vertical="center"/>
    </xf>
    <xf numFmtId="41" fontId="18" fillId="0" borderId="5" xfId="2" applyFont="1" applyBorder="1" applyAlignment="1">
      <alignment horizontal="center"/>
    </xf>
    <xf numFmtId="180" fontId="18" fillId="0" borderId="5" xfId="0" applyNumberFormat="1" applyFont="1" applyBorder="1"/>
    <xf numFmtId="184" fontId="18" fillId="0" borderId="6" xfId="3" applyNumberFormat="1" applyFont="1" applyBorder="1" applyAlignment="1">
      <alignment horizontal="center" vertical="center"/>
    </xf>
    <xf numFmtId="3" fontId="18" fillId="0" borderId="6" xfId="3" applyNumberFormat="1" applyFont="1" applyBorder="1" applyAlignment="1">
      <alignment horizontal="left" vertical="center"/>
    </xf>
    <xf numFmtId="44" fontId="18" fillId="0" borderId="6" xfId="1" applyFont="1" applyBorder="1" applyAlignment="1">
      <alignment horizontal="center" vertical="center"/>
    </xf>
    <xf numFmtId="41" fontId="18" fillId="0" borderId="6" xfId="2" applyFont="1" applyBorder="1" applyAlignment="1">
      <alignment horizontal="center"/>
    </xf>
    <xf numFmtId="180" fontId="18" fillId="0" borderId="6" xfId="0" applyNumberFormat="1" applyFont="1" applyBorder="1"/>
    <xf numFmtId="0" fontId="18" fillId="0" borderId="6" xfId="0" applyFont="1" applyBorder="1"/>
    <xf numFmtId="3" fontId="18" fillId="0" borderId="6" xfId="3" applyNumberFormat="1" applyFont="1" applyBorder="1" applyAlignment="1">
      <alignment horizontal="center" vertical="center"/>
    </xf>
    <xf numFmtId="184" fontId="18" fillId="0" borderId="7" xfId="3" applyNumberFormat="1" applyFont="1" applyBorder="1" applyAlignment="1">
      <alignment horizontal="center" vertical="center"/>
    </xf>
    <xf numFmtId="0" fontId="18" fillId="0" borderId="7" xfId="0" applyFont="1" applyBorder="1"/>
    <xf numFmtId="41" fontId="18" fillId="0" borderId="7" xfId="2" applyFont="1" applyBorder="1" applyAlignment="1">
      <alignment horizontal="center"/>
    </xf>
    <xf numFmtId="180" fontId="18" fillId="0" borderId="7" xfId="0" applyNumberFormat="1" applyFont="1" applyBorder="1"/>
    <xf numFmtId="177" fontId="7" fillId="0" borderId="0" xfId="2" applyNumberFormat="1" applyFont="1" applyAlignment="1">
      <alignment horizontal="center"/>
    </xf>
    <xf numFmtId="177" fontId="4" fillId="0" borderId="0" xfId="2" applyNumberFormat="1" applyFont="1" applyAlignment="1">
      <alignment horizontal="center"/>
    </xf>
    <xf numFmtId="44" fontId="18" fillId="0" borderId="7" xfId="1" applyFont="1" applyBorder="1" applyAlignment="1">
      <alignment horizontal="center" vertical="center"/>
    </xf>
    <xf numFmtId="0" fontId="19" fillId="6" borderId="1" xfId="0" applyFont="1" applyFill="1" applyBorder="1" applyAlignment="1">
      <alignment horizontal="center"/>
    </xf>
    <xf numFmtId="1" fontId="19" fillId="6" borderId="1" xfId="0" applyNumberFormat="1" applyFont="1" applyFill="1" applyBorder="1"/>
    <xf numFmtId="0" fontId="19" fillId="7" borderId="13" xfId="0" applyFont="1" applyFill="1" applyBorder="1"/>
    <xf numFmtId="0" fontId="19" fillId="7" borderId="13" xfId="0" applyFont="1" applyFill="1" applyBorder="1" applyAlignment="1">
      <alignment horizontal="center"/>
    </xf>
    <xf numFmtId="1" fontId="19" fillId="7" borderId="13" xfId="0" applyNumberFormat="1" applyFont="1" applyFill="1" applyBorder="1"/>
    <xf numFmtId="180" fontId="19" fillId="7" borderId="0" xfId="0" applyNumberFormat="1" applyFont="1" applyFill="1"/>
    <xf numFmtId="184" fontId="18" fillId="0" borderId="5" xfId="3" applyNumberFormat="1" applyFont="1" applyBorder="1" applyAlignment="1">
      <alignment horizontal="center" vertical="center"/>
    </xf>
    <xf numFmtId="3" fontId="18" fillId="0" borderId="5" xfId="3" applyNumberFormat="1" applyFont="1" applyBorder="1" applyAlignment="1">
      <alignment horizontal="left" vertical="center"/>
    </xf>
    <xf numFmtId="44" fontId="18" fillId="0" borderId="5" xfId="1" applyFont="1" applyBorder="1" applyAlignment="1">
      <alignment horizontal="center" vertical="center"/>
    </xf>
    <xf numFmtId="3" fontId="18" fillId="0" borderId="7" xfId="3" applyNumberFormat="1" applyFont="1" applyBorder="1" applyAlignment="1">
      <alignment horizontal="left" vertical="center"/>
    </xf>
    <xf numFmtId="177" fontId="4" fillId="0" borderId="7" xfId="2" applyNumberFormat="1" applyFont="1" applyBorder="1"/>
    <xf numFmtId="0" fontId="24" fillId="0" borderId="14" xfId="0" applyFont="1" applyBorder="1"/>
    <xf numFmtId="0" fontId="24" fillId="0" borderId="15" xfId="0" applyFont="1" applyBorder="1"/>
    <xf numFmtId="44" fontId="24" fillId="0" borderId="15" xfId="1" applyFont="1" applyBorder="1"/>
    <xf numFmtId="0" fontId="24" fillId="7" borderId="16" xfId="0" applyFont="1" applyFill="1" applyBorder="1"/>
    <xf numFmtId="44" fontId="24" fillId="7" borderId="16" xfId="1" applyFont="1" applyFill="1" applyBorder="1"/>
    <xf numFmtId="10" fontId="24" fillId="7" borderId="16" xfId="1" applyNumberFormat="1" applyFont="1" applyFill="1" applyBorder="1" applyAlignment="1">
      <alignment horizontal="center"/>
    </xf>
    <xf numFmtId="0" fontId="20" fillId="0" borderId="17" xfId="0" applyFont="1" applyBorder="1"/>
    <xf numFmtId="180" fontId="20" fillId="0" borderId="17" xfId="0" applyNumberFormat="1" applyFont="1" applyBorder="1"/>
    <xf numFmtId="9" fontId="18" fillId="0" borderId="7" xfId="0" applyNumberFormat="1" applyFont="1" applyBorder="1"/>
    <xf numFmtId="0" fontId="18" fillId="0" borderId="7" xfId="0" applyFont="1" applyBorder="1" applyAlignment="1">
      <alignment shrinkToFit="1"/>
    </xf>
    <xf numFmtId="16" fontId="18" fillId="0" borderId="5" xfId="0" applyNumberFormat="1" applyFont="1" applyBorder="1"/>
    <xf numFmtId="5" fontId="18" fillId="0" borderId="18" xfId="2" applyNumberFormat="1" applyFont="1" applyBorder="1" applyAlignment="1">
      <alignment horizontal="center"/>
    </xf>
    <xf numFmtId="5" fontId="18" fillId="0" borderId="19" xfId="2" applyNumberFormat="1" applyFont="1" applyBorder="1" applyAlignment="1">
      <alignment horizontal="center"/>
    </xf>
    <xf numFmtId="5" fontId="18" fillId="0" borderId="20" xfId="2" applyNumberFormat="1" applyFont="1" applyBorder="1" applyAlignment="1">
      <alignment horizontal="center"/>
    </xf>
    <xf numFmtId="184" fontId="18" fillId="0" borderId="18" xfId="3" applyNumberFormat="1" applyFont="1" applyBorder="1" applyAlignment="1">
      <alignment horizontal="center" vertical="center"/>
    </xf>
    <xf numFmtId="3" fontId="18" fillId="0" borderId="18" xfId="3" applyNumberFormat="1" applyFont="1" applyBorder="1" applyAlignment="1">
      <alignment horizontal="left" vertical="center"/>
    </xf>
    <xf numFmtId="184" fontId="18" fillId="0" borderId="19" xfId="3" applyNumberFormat="1" applyFont="1" applyBorder="1" applyAlignment="1">
      <alignment horizontal="center" vertical="center"/>
    </xf>
    <xf numFmtId="3" fontId="18" fillId="0" borderId="19" xfId="3" applyNumberFormat="1" applyFont="1" applyBorder="1" applyAlignment="1">
      <alignment horizontal="left" vertical="center"/>
    </xf>
    <xf numFmtId="184" fontId="18" fillId="0" borderId="20" xfId="3" applyNumberFormat="1" applyFont="1" applyBorder="1" applyAlignment="1">
      <alignment horizontal="center" vertical="center"/>
    </xf>
    <xf numFmtId="3" fontId="18" fillId="0" borderId="20" xfId="3" applyNumberFormat="1" applyFont="1" applyBorder="1" applyAlignment="1">
      <alignment horizontal="left" vertical="center"/>
    </xf>
    <xf numFmtId="0" fontId="23" fillId="0" borderId="13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1" fontId="18" fillId="0" borderId="0" xfId="0" applyNumberFormat="1" applyFont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180" fontId="20" fillId="0" borderId="24" xfId="0" applyNumberFormat="1" applyFont="1" applyBorder="1" applyAlignment="1">
      <alignment horizontal="center"/>
    </xf>
    <xf numFmtId="180" fontId="20" fillId="0" borderId="2" xfId="0" applyNumberFormat="1" applyFont="1" applyBorder="1" applyAlignment="1">
      <alignment horizontal="center"/>
    </xf>
    <xf numFmtId="179" fontId="20" fillId="0" borderId="24" xfId="0" applyNumberFormat="1" applyFont="1" applyBorder="1" applyAlignment="1">
      <alignment horizontal="center"/>
    </xf>
    <xf numFmtId="179" fontId="20" fillId="0" borderId="2" xfId="0" applyNumberFormat="1" applyFont="1" applyBorder="1" applyAlignment="1">
      <alignment horizontal="center"/>
    </xf>
    <xf numFmtId="179" fontId="20" fillId="0" borderId="25" xfId="0" applyNumberFormat="1" applyFont="1" applyBorder="1" applyAlignment="1">
      <alignment horizontal="center"/>
    </xf>
    <xf numFmtId="179" fontId="20" fillId="6" borderId="2" xfId="0" applyNumberFormat="1" applyFont="1" applyFill="1" applyBorder="1" applyAlignment="1">
      <alignment horizontal="center"/>
    </xf>
    <xf numFmtId="180" fontId="20" fillId="6" borderId="2" xfId="0" applyNumberFormat="1" applyFont="1" applyFill="1" applyBorder="1" applyAlignment="1">
      <alignment horizontal="center"/>
    </xf>
    <xf numFmtId="180" fontId="18" fillId="6" borderId="2" xfId="0" applyNumberFormat="1" applyFont="1" applyFill="1" applyBorder="1" applyAlignment="1">
      <alignment horizontal="center"/>
    </xf>
    <xf numFmtId="180" fontId="18" fillId="0" borderId="2" xfId="0" applyNumberFormat="1" applyFont="1" applyBorder="1" applyAlignment="1">
      <alignment horizontal="center"/>
    </xf>
    <xf numFmtId="180" fontId="20" fillId="0" borderId="26" xfId="0" applyNumberFormat="1" applyFont="1" applyBorder="1" applyAlignment="1">
      <alignment horizontal="center"/>
    </xf>
    <xf numFmtId="180" fontId="20" fillId="0" borderId="3" xfId="0" applyNumberFormat="1" applyFont="1" applyBorder="1" applyAlignment="1">
      <alignment horizontal="center"/>
    </xf>
    <xf numFmtId="179" fontId="20" fillId="0" borderId="26" xfId="0" applyNumberFormat="1" applyFont="1" applyBorder="1" applyAlignment="1">
      <alignment horizontal="center"/>
    </xf>
    <xf numFmtId="179" fontId="20" fillId="0" borderId="3" xfId="0" applyNumberFormat="1" applyFont="1" applyBorder="1" applyAlignment="1">
      <alignment horizontal="center"/>
    </xf>
    <xf numFmtId="179" fontId="20" fillId="0" borderId="27" xfId="0" applyNumberFormat="1" applyFont="1" applyBorder="1" applyAlignment="1">
      <alignment horizontal="center"/>
    </xf>
    <xf numFmtId="0" fontId="18" fillId="7" borderId="0" xfId="0" applyFont="1" applyFill="1" applyAlignment="1">
      <alignment horizontal="center"/>
    </xf>
    <xf numFmtId="180" fontId="18" fillId="7" borderId="0" xfId="0" applyNumberFormat="1" applyFont="1" applyFill="1" applyAlignment="1">
      <alignment horizontal="center"/>
    </xf>
    <xf numFmtId="1" fontId="18" fillId="7" borderId="0" xfId="0" applyNumberFormat="1" applyFont="1" applyFill="1" applyAlignment="1">
      <alignment horizontal="center"/>
    </xf>
    <xf numFmtId="0" fontId="22" fillId="6" borderId="4" xfId="0" applyFont="1" applyFill="1" applyBorder="1" applyAlignment="1">
      <alignment horizontal="center"/>
    </xf>
    <xf numFmtId="1" fontId="22" fillId="6" borderId="4" xfId="0" applyNumberFormat="1" applyFont="1" applyFill="1" applyBorder="1" applyAlignment="1">
      <alignment horizontal="center"/>
    </xf>
    <xf numFmtId="180" fontId="19" fillId="6" borderId="4" xfId="0" applyNumberFormat="1" applyFont="1" applyFill="1" applyBorder="1" applyAlignment="1">
      <alignment horizontal="center"/>
    </xf>
    <xf numFmtId="0" fontId="22" fillId="7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1" fontId="22" fillId="0" borderId="0" xfId="0" applyNumberFormat="1" applyFont="1" applyAlignment="1">
      <alignment horizontal="center"/>
    </xf>
    <xf numFmtId="0" fontId="22" fillId="0" borderId="5" xfId="0" applyFont="1" applyBorder="1" applyAlignment="1">
      <alignment horizontal="center"/>
    </xf>
    <xf numFmtId="180" fontId="22" fillId="0" borderId="5" xfId="0" applyNumberFormat="1" applyFont="1" applyBorder="1" applyAlignment="1">
      <alignment horizontal="center"/>
    </xf>
    <xf numFmtId="180" fontId="22" fillId="0" borderId="0" xfId="0" applyNumberFormat="1" applyFont="1" applyAlignment="1">
      <alignment horizontal="center"/>
    </xf>
    <xf numFmtId="0" fontId="22" fillId="0" borderId="6" xfId="0" applyFont="1" applyBorder="1" applyAlignment="1">
      <alignment horizontal="center"/>
    </xf>
    <xf numFmtId="180" fontId="22" fillId="0" borderId="6" xfId="0" applyNumberFormat="1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180" fontId="22" fillId="0" borderId="7" xfId="0" applyNumberFormat="1" applyFont="1" applyBorder="1" applyAlignment="1">
      <alignment horizontal="center"/>
    </xf>
    <xf numFmtId="0" fontId="23" fillId="6" borderId="0" xfId="0" applyFont="1" applyFill="1" applyAlignment="1">
      <alignment horizontal="center"/>
    </xf>
    <xf numFmtId="180" fontId="23" fillId="6" borderId="0" xfId="0" applyNumberFormat="1" applyFont="1" applyFill="1" applyAlignment="1">
      <alignment horizontal="center"/>
    </xf>
    <xf numFmtId="180" fontId="23" fillId="7" borderId="0" xfId="0" applyNumberFormat="1" applyFont="1" applyFill="1" applyAlignment="1">
      <alignment horizontal="center"/>
    </xf>
    <xf numFmtId="10" fontId="22" fillId="7" borderId="0" xfId="0" applyNumberFormat="1" applyFont="1" applyFill="1"/>
    <xf numFmtId="180" fontId="22" fillId="9" borderId="0" xfId="0" applyNumberFormat="1" applyFont="1" applyFill="1"/>
    <xf numFmtId="4" fontId="22" fillId="9" borderId="0" xfId="0" applyNumberFormat="1" applyFont="1" applyFill="1"/>
    <xf numFmtId="10" fontId="22" fillId="9" borderId="0" xfId="0" applyNumberFormat="1" applyFont="1" applyFill="1"/>
    <xf numFmtId="2" fontId="24" fillId="0" borderId="0" xfId="0" applyNumberFormat="1" applyFont="1"/>
    <xf numFmtId="14" fontId="20" fillId="0" borderId="17" xfId="0" applyNumberFormat="1" applyFont="1" applyBorder="1"/>
    <xf numFmtId="14" fontId="18" fillId="0" borderId="0" xfId="0" applyNumberFormat="1" applyFont="1"/>
    <xf numFmtId="180" fontId="19" fillId="6" borderId="0" xfId="0" applyNumberFormat="1" applyFont="1" applyFill="1" applyBorder="1"/>
    <xf numFmtId="2" fontId="22" fillId="0" borderId="0" xfId="0" applyNumberFormat="1" applyFont="1"/>
    <xf numFmtId="2" fontId="22" fillId="9" borderId="0" xfId="0" applyNumberFormat="1" applyFont="1" applyFill="1"/>
    <xf numFmtId="0" fontId="18" fillId="0" borderId="0" xfId="0" applyFont="1" applyBorder="1"/>
    <xf numFmtId="0" fontId="20" fillId="0" borderId="0" xfId="0" applyFont="1" applyBorder="1"/>
    <xf numFmtId="14" fontId="20" fillId="0" borderId="0" xfId="0" applyNumberFormat="1" applyFont="1" applyBorder="1"/>
    <xf numFmtId="180" fontId="20" fillId="0" borderId="0" xfId="0" applyNumberFormat="1" applyFont="1" applyBorder="1"/>
    <xf numFmtId="0" fontId="24" fillId="4" borderId="28" xfId="0" applyFont="1" applyFill="1" applyBorder="1" applyAlignment="1">
      <alignment horizontal="right"/>
    </xf>
    <xf numFmtId="7" fontId="24" fillId="4" borderId="28" xfId="2" applyNumberFormat="1" applyFont="1" applyFill="1" applyBorder="1" applyAlignment="1">
      <alignment horizontal="center"/>
    </xf>
    <xf numFmtId="0" fontId="23" fillId="6" borderId="13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1" fontId="23" fillId="0" borderId="13" xfId="0" applyNumberFormat="1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1" fontId="23" fillId="0" borderId="21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21" xfId="0" applyBorder="1" applyAlignment="1">
      <alignment horizontal="center"/>
    </xf>
    <xf numFmtId="0" fontId="24" fillId="6" borderId="13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21" xfId="0" applyFont="1" applyFill="1" applyBorder="1" applyAlignment="1">
      <alignment horizontal="center" vertical="center"/>
    </xf>
    <xf numFmtId="0" fontId="19" fillId="10" borderId="4" xfId="0" applyFont="1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1" fontId="19" fillId="8" borderId="35" xfId="0" applyNumberFormat="1" applyFont="1" applyFill="1" applyBorder="1" applyAlignment="1">
      <alignment horizontal="center"/>
    </xf>
    <xf numFmtId="0" fontId="3" fillId="8" borderId="36" xfId="0" applyFont="1" applyFill="1" applyBorder="1" applyAlignment="1">
      <alignment horizontal="center"/>
    </xf>
    <xf numFmtId="0" fontId="30" fillId="6" borderId="13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14" fillId="6" borderId="21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right"/>
    </xf>
    <xf numFmtId="0" fontId="19" fillId="6" borderId="13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19" fillId="6" borderId="21" xfId="0" applyFont="1" applyFill="1" applyBorder="1" applyAlignment="1">
      <alignment horizontal="center" vertical="center"/>
    </xf>
  </cellXfs>
  <cellStyles count="6">
    <cellStyle name="Euro" xfId="1"/>
    <cellStyle name="Millares [0]" xfId="2" builtinId="6"/>
    <cellStyle name="Moneda" xfId="3" builtinId="4"/>
    <cellStyle name="Normal" xfId="0" builtinId="0"/>
    <cellStyle name="Porcentaje" xfId="4" builtinId="5"/>
    <cellStyle name="Porcentual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36</xdr:row>
      <xdr:rowOff>0</xdr:rowOff>
    </xdr:from>
    <xdr:to>
      <xdr:col>2</xdr:col>
      <xdr:colOff>2450679</xdr:colOff>
      <xdr:row>36</xdr:row>
      <xdr:rowOff>0</xdr:rowOff>
    </xdr:to>
    <xdr:sp macro="" textlink="">
      <xdr:nvSpPr>
        <xdr:cNvPr id="6145" name="Texto 2">
          <a:extLst>
            <a:ext uri="{FF2B5EF4-FFF2-40B4-BE49-F238E27FC236}">
              <a16:creationId xmlns:a16="http://schemas.microsoft.com/office/drawing/2014/main" id="{71D1DFB2-884E-436C-A59E-12890FEFE32E}"/>
            </a:ext>
          </a:extLst>
        </xdr:cNvPr>
        <xdr:cNvSpPr txBox="1">
          <a:spLocks noChangeArrowheads="1"/>
        </xdr:cNvSpPr>
      </xdr:nvSpPr>
      <xdr:spPr bwMode="auto">
        <a:xfrm>
          <a:off x="781050" y="7981950"/>
          <a:ext cx="2381250" cy="0"/>
        </a:xfrm>
        <a:prstGeom prst="rect">
          <a:avLst/>
        </a:prstGeom>
        <a:solidFill>
          <a:srgbClr val="000080"/>
        </a:solidFill>
        <a:ln w="1">
          <a:noFill/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a-ES" sz="1100" b="1" i="0" strike="noStrike">
              <a:solidFill>
                <a:srgbClr val="FFFFFF"/>
              </a:solidFill>
              <a:latin typeface="Arial"/>
              <a:cs typeface="Arial"/>
            </a:rPr>
            <a:t>MAQUINARIA DE MOBILIARIO URBANO Y JUEGOS INFANTILES</a:t>
          </a:r>
        </a:p>
        <a:p>
          <a:pPr algn="ctr" rtl="0">
            <a:defRPr sz="1000"/>
          </a:pPr>
          <a:endParaRPr lang="ca-ES" sz="1100" b="1" i="0" strike="noStrike">
            <a:solidFill>
              <a:srgbClr val="FFFFFF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ca-ES" sz="1100" b="1" i="0" strike="noStrike">
              <a:solidFill>
                <a:srgbClr val="FFFFFF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2</xdr:col>
      <xdr:colOff>66675</xdr:colOff>
      <xdr:row>35</xdr:row>
      <xdr:rowOff>0</xdr:rowOff>
    </xdr:from>
    <xdr:to>
      <xdr:col>2</xdr:col>
      <xdr:colOff>2450679</xdr:colOff>
      <xdr:row>35</xdr:row>
      <xdr:rowOff>0</xdr:rowOff>
    </xdr:to>
    <xdr:sp macro="" textlink="">
      <xdr:nvSpPr>
        <xdr:cNvPr id="6146" name="Texto 2">
          <a:extLst>
            <a:ext uri="{FF2B5EF4-FFF2-40B4-BE49-F238E27FC236}">
              <a16:creationId xmlns:a16="http://schemas.microsoft.com/office/drawing/2014/main" id="{D58A8775-4B18-4EC7-996C-536B5BF82BCF}"/>
            </a:ext>
          </a:extLst>
        </xdr:cNvPr>
        <xdr:cNvSpPr txBox="1">
          <a:spLocks noChangeArrowheads="1"/>
        </xdr:cNvSpPr>
      </xdr:nvSpPr>
      <xdr:spPr bwMode="auto">
        <a:xfrm>
          <a:off x="781050" y="7734300"/>
          <a:ext cx="2381250" cy="0"/>
        </a:xfrm>
        <a:prstGeom prst="rect">
          <a:avLst/>
        </a:prstGeom>
        <a:solidFill>
          <a:srgbClr val="000080"/>
        </a:solidFill>
        <a:ln w="1">
          <a:noFill/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a-ES" sz="1100" b="1" i="0" strike="noStrike">
              <a:solidFill>
                <a:srgbClr val="FFFFFF"/>
              </a:solidFill>
              <a:latin typeface="Arial"/>
              <a:cs typeface="Arial"/>
            </a:rPr>
            <a:t>MAQUINARIA DE MOBILIARIO URBANO Y JUEGOS INFANTILES</a:t>
          </a:r>
        </a:p>
        <a:p>
          <a:pPr algn="ctr" rtl="0">
            <a:defRPr sz="1000"/>
          </a:pPr>
          <a:endParaRPr lang="ca-ES" sz="1100" b="1" i="0" strike="noStrike">
            <a:solidFill>
              <a:srgbClr val="FFFFFF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ca-ES" sz="1100" b="1" i="0" strike="noStrike">
              <a:solidFill>
                <a:srgbClr val="FFFFFF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2</xdr:col>
      <xdr:colOff>66675</xdr:colOff>
      <xdr:row>36</xdr:row>
      <xdr:rowOff>0</xdr:rowOff>
    </xdr:from>
    <xdr:to>
      <xdr:col>2</xdr:col>
      <xdr:colOff>2450679</xdr:colOff>
      <xdr:row>36</xdr:row>
      <xdr:rowOff>0</xdr:rowOff>
    </xdr:to>
    <xdr:sp macro="" textlink="">
      <xdr:nvSpPr>
        <xdr:cNvPr id="6147" name="Texto 2">
          <a:extLst>
            <a:ext uri="{FF2B5EF4-FFF2-40B4-BE49-F238E27FC236}">
              <a16:creationId xmlns:a16="http://schemas.microsoft.com/office/drawing/2014/main" id="{2B1B1673-4A9B-45BA-83A5-273938B2674E}"/>
            </a:ext>
          </a:extLst>
        </xdr:cNvPr>
        <xdr:cNvSpPr txBox="1">
          <a:spLocks noChangeArrowheads="1"/>
        </xdr:cNvSpPr>
      </xdr:nvSpPr>
      <xdr:spPr bwMode="auto">
        <a:xfrm>
          <a:off x="781050" y="7981950"/>
          <a:ext cx="2381250" cy="0"/>
        </a:xfrm>
        <a:prstGeom prst="rect">
          <a:avLst/>
        </a:prstGeom>
        <a:solidFill>
          <a:srgbClr val="000080"/>
        </a:solidFill>
        <a:ln w="1">
          <a:noFill/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a-ES" sz="1100" b="1" i="0" strike="noStrike">
              <a:solidFill>
                <a:srgbClr val="FFFFFF"/>
              </a:solidFill>
              <a:latin typeface="Arial"/>
              <a:cs typeface="Arial"/>
            </a:rPr>
            <a:t>MAQUINARIA DE MOBILIARIO URBANO Y JUEGOS INFANTILES</a:t>
          </a:r>
        </a:p>
        <a:p>
          <a:pPr algn="ctr" rtl="0">
            <a:defRPr sz="1000"/>
          </a:pPr>
          <a:endParaRPr lang="ca-ES" sz="1100" b="1" i="0" strike="noStrike">
            <a:solidFill>
              <a:srgbClr val="FFFFFF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ca-ES" sz="1100" b="1" i="0" strike="noStrike">
              <a:solidFill>
                <a:srgbClr val="FFFFFF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2</xdr:col>
      <xdr:colOff>66675</xdr:colOff>
      <xdr:row>35</xdr:row>
      <xdr:rowOff>0</xdr:rowOff>
    </xdr:from>
    <xdr:to>
      <xdr:col>2</xdr:col>
      <xdr:colOff>2450679</xdr:colOff>
      <xdr:row>35</xdr:row>
      <xdr:rowOff>0</xdr:rowOff>
    </xdr:to>
    <xdr:sp macro="" textlink="">
      <xdr:nvSpPr>
        <xdr:cNvPr id="6148" name="Texto 2">
          <a:extLst>
            <a:ext uri="{FF2B5EF4-FFF2-40B4-BE49-F238E27FC236}">
              <a16:creationId xmlns:a16="http://schemas.microsoft.com/office/drawing/2014/main" id="{456BBF16-5092-494C-BB14-E75021169B99}"/>
            </a:ext>
          </a:extLst>
        </xdr:cNvPr>
        <xdr:cNvSpPr txBox="1">
          <a:spLocks noChangeArrowheads="1"/>
        </xdr:cNvSpPr>
      </xdr:nvSpPr>
      <xdr:spPr bwMode="auto">
        <a:xfrm>
          <a:off x="781050" y="7734300"/>
          <a:ext cx="2381250" cy="0"/>
        </a:xfrm>
        <a:prstGeom prst="rect">
          <a:avLst/>
        </a:prstGeom>
        <a:solidFill>
          <a:srgbClr val="000080"/>
        </a:solidFill>
        <a:ln w="1">
          <a:noFill/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a-ES" sz="1100" b="1" i="0" strike="noStrike">
              <a:solidFill>
                <a:srgbClr val="FFFFFF"/>
              </a:solidFill>
              <a:latin typeface="Arial"/>
              <a:cs typeface="Arial"/>
            </a:rPr>
            <a:t>MAQUINARIA DE MOBILIARIO URBANO Y JUEGOS INFANTILES</a:t>
          </a:r>
        </a:p>
        <a:p>
          <a:pPr algn="ctr" rtl="0">
            <a:defRPr sz="1000"/>
          </a:pPr>
          <a:endParaRPr lang="ca-ES" sz="1100" b="1" i="0" strike="noStrike">
            <a:solidFill>
              <a:srgbClr val="FFFFFF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ca-ES" sz="1100" b="1" i="0" strike="noStrike">
              <a:solidFill>
                <a:srgbClr val="FFFFFF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2</xdr:col>
      <xdr:colOff>66675</xdr:colOff>
      <xdr:row>36</xdr:row>
      <xdr:rowOff>0</xdr:rowOff>
    </xdr:from>
    <xdr:to>
      <xdr:col>2</xdr:col>
      <xdr:colOff>2450679</xdr:colOff>
      <xdr:row>36</xdr:row>
      <xdr:rowOff>0</xdr:rowOff>
    </xdr:to>
    <xdr:sp macro="" textlink="">
      <xdr:nvSpPr>
        <xdr:cNvPr id="6149" name="Texto 2">
          <a:extLst>
            <a:ext uri="{FF2B5EF4-FFF2-40B4-BE49-F238E27FC236}">
              <a16:creationId xmlns:a16="http://schemas.microsoft.com/office/drawing/2014/main" id="{A61BB536-3250-4E27-B3A2-EB41C9DBA562}"/>
            </a:ext>
          </a:extLst>
        </xdr:cNvPr>
        <xdr:cNvSpPr txBox="1">
          <a:spLocks noChangeArrowheads="1"/>
        </xdr:cNvSpPr>
      </xdr:nvSpPr>
      <xdr:spPr bwMode="auto">
        <a:xfrm>
          <a:off x="781050" y="7981950"/>
          <a:ext cx="2381250" cy="0"/>
        </a:xfrm>
        <a:prstGeom prst="rect">
          <a:avLst/>
        </a:prstGeom>
        <a:solidFill>
          <a:srgbClr val="000080"/>
        </a:solidFill>
        <a:ln w="1">
          <a:noFill/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a-ES" sz="1100" b="1" i="0" strike="noStrike">
              <a:solidFill>
                <a:srgbClr val="FFFFFF"/>
              </a:solidFill>
              <a:latin typeface="Arial"/>
              <a:cs typeface="Arial"/>
            </a:rPr>
            <a:t>MAQUINARIA DE MOBILIARIO URBANO Y JUEGOS INFANTILES</a:t>
          </a:r>
        </a:p>
        <a:p>
          <a:pPr algn="ctr" rtl="0">
            <a:defRPr sz="1000"/>
          </a:pPr>
          <a:endParaRPr lang="ca-ES" sz="1100" b="1" i="0" strike="noStrike">
            <a:solidFill>
              <a:srgbClr val="FFFFFF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ca-ES" sz="1100" b="1" i="0" strike="noStrike">
              <a:solidFill>
                <a:srgbClr val="FFFFFF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2</xdr:col>
      <xdr:colOff>66675</xdr:colOff>
      <xdr:row>36</xdr:row>
      <xdr:rowOff>0</xdr:rowOff>
    </xdr:from>
    <xdr:to>
      <xdr:col>2</xdr:col>
      <xdr:colOff>2450679</xdr:colOff>
      <xdr:row>36</xdr:row>
      <xdr:rowOff>0</xdr:rowOff>
    </xdr:to>
    <xdr:sp macro="" textlink="">
      <xdr:nvSpPr>
        <xdr:cNvPr id="6151" name="Texto 2">
          <a:extLst>
            <a:ext uri="{FF2B5EF4-FFF2-40B4-BE49-F238E27FC236}">
              <a16:creationId xmlns:a16="http://schemas.microsoft.com/office/drawing/2014/main" id="{1417754A-227D-4A59-A991-666430E7D913}"/>
            </a:ext>
          </a:extLst>
        </xdr:cNvPr>
        <xdr:cNvSpPr txBox="1">
          <a:spLocks noChangeArrowheads="1"/>
        </xdr:cNvSpPr>
      </xdr:nvSpPr>
      <xdr:spPr bwMode="auto">
        <a:xfrm>
          <a:off x="781050" y="7981950"/>
          <a:ext cx="2381250" cy="0"/>
        </a:xfrm>
        <a:prstGeom prst="rect">
          <a:avLst/>
        </a:prstGeom>
        <a:solidFill>
          <a:srgbClr val="000080"/>
        </a:solidFill>
        <a:ln w="1">
          <a:noFill/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a-ES" sz="1100" b="1" i="0" strike="noStrike">
              <a:solidFill>
                <a:srgbClr val="FFFFFF"/>
              </a:solidFill>
              <a:latin typeface="Arial"/>
              <a:cs typeface="Arial"/>
            </a:rPr>
            <a:t>MAQUINARIA DE MOBILIARIO URBANO Y JUEGOS INFANTILES</a:t>
          </a:r>
        </a:p>
        <a:p>
          <a:pPr algn="ctr" rtl="0">
            <a:defRPr sz="1000"/>
          </a:pPr>
          <a:endParaRPr lang="ca-ES" sz="1100" b="1" i="0" strike="noStrike">
            <a:solidFill>
              <a:srgbClr val="FFFFFF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ca-ES" sz="1100" b="1" i="0" strike="noStrike">
              <a:solidFill>
                <a:srgbClr val="FFFFFF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2</xdr:col>
      <xdr:colOff>66675</xdr:colOff>
      <xdr:row>35</xdr:row>
      <xdr:rowOff>0</xdr:rowOff>
    </xdr:from>
    <xdr:to>
      <xdr:col>2</xdr:col>
      <xdr:colOff>2450679</xdr:colOff>
      <xdr:row>35</xdr:row>
      <xdr:rowOff>0</xdr:rowOff>
    </xdr:to>
    <xdr:sp macro="" textlink="">
      <xdr:nvSpPr>
        <xdr:cNvPr id="6152" name="Texto 2">
          <a:extLst>
            <a:ext uri="{FF2B5EF4-FFF2-40B4-BE49-F238E27FC236}">
              <a16:creationId xmlns:a16="http://schemas.microsoft.com/office/drawing/2014/main" id="{BC56823D-358D-431E-92A9-2CBABC330BD5}"/>
            </a:ext>
          </a:extLst>
        </xdr:cNvPr>
        <xdr:cNvSpPr txBox="1">
          <a:spLocks noChangeArrowheads="1"/>
        </xdr:cNvSpPr>
      </xdr:nvSpPr>
      <xdr:spPr bwMode="auto">
        <a:xfrm>
          <a:off x="781050" y="7734300"/>
          <a:ext cx="2381250" cy="0"/>
        </a:xfrm>
        <a:prstGeom prst="rect">
          <a:avLst/>
        </a:prstGeom>
        <a:solidFill>
          <a:srgbClr val="000080"/>
        </a:solidFill>
        <a:ln w="1">
          <a:noFill/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a-ES" sz="1100" b="1" i="0" strike="noStrike">
              <a:solidFill>
                <a:srgbClr val="FFFFFF"/>
              </a:solidFill>
              <a:latin typeface="Arial"/>
              <a:cs typeface="Arial"/>
            </a:rPr>
            <a:t>MAQUINARIA DE MOBILIARIO URBANO Y JUEGOS INFANTILES</a:t>
          </a:r>
        </a:p>
        <a:p>
          <a:pPr algn="ctr" rtl="0">
            <a:defRPr sz="1000"/>
          </a:pPr>
          <a:endParaRPr lang="ca-ES" sz="1100" b="1" i="0" strike="noStrike">
            <a:solidFill>
              <a:srgbClr val="FFFFFF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ca-ES" sz="1100" b="1" i="0" strike="noStrike">
              <a:solidFill>
                <a:srgbClr val="FFFFFF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2</xdr:col>
      <xdr:colOff>66675</xdr:colOff>
      <xdr:row>36</xdr:row>
      <xdr:rowOff>0</xdr:rowOff>
    </xdr:from>
    <xdr:to>
      <xdr:col>2</xdr:col>
      <xdr:colOff>2450679</xdr:colOff>
      <xdr:row>36</xdr:row>
      <xdr:rowOff>0</xdr:rowOff>
    </xdr:to>
    <xdr:sp macro="" textlink="">
      <xdr:nvSpPr>
        <xdr:cNvPr id="6153" name="Texto 2">
          <a:extLst>
            <a:ext uri="{FF2B5EF4-FFF2-40B4-BE49-F238E27FC236}">
              <a16:creationId xmlns:a16="http://schemas.microsoft.com/office/drawing/2014/main" id="{1AFA1B47-FFF6-4070-8D8E-4E1E5264A188}"/>
            </a:ext>
          </a:extLst>
        </xdr:cNvPr>
        <xdr:cNvSpPr txBox="1">
          <a:spLocks noChangeArrowheads="1"/>
        </xdr:cNvSpPr>
      </xdr:nvSpPr>
      <xdr:spPr bwMode="auto">
        <a:xfrm>
          <a:off x="781050" y="7981950"/>
          <a:ext cx="2381250" cy="0"/>
        </a:xfrm>
        <a:prstGeom prst="rect">
          <a:avLst/>
        </a:prstGeom>
        <a:solidFill>
          <a:srgbClr val="000080"/>
        </a:solidFill>
        <a:ln w="1">
          <a:noFill/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a-ES" sz="1100" b="1" i="0" strike="noStrike">
              <a:solidFill>
                <a:srgbClr val="FFFFFF"/>
              </a:solidFill>
              <a:latin typeface="Arial"/>
              <a:cs typeface="Arial"/>
            </a:rPr>
            <a:t>MAQUINARIA DE MOBILIARIO URBANO Y JUEGOS INFANTILES</a:t>
          </a:r>
        </a:p>
        <a:p>
          <a:pPr algn="ctr" rtl="0">
            <a:defRPr sz="1000"/>
          </a:pPr>
          <a:endParaRPr lang="ca-ES" sz="1100" b="1" i="0" strike="noStrike">
            <a:solidFill>
              <a:srgbClr val="FFFFFF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ca-ES" sz="1100" b="1" i="0" strike="noStrike">
              <a:solidFill>
                <a:srgbClr val="FFFFFF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2</xdr:col>
      <xdr:colOff>66675</xdr:colOff>
      <xdr:row>35</xdr:row>
      <xdr:rowOff>0</xdr:rowOff>
    </xdr:from>
    <xdr:to>
      <xdr:col>2</xdr:col>
      <xdr:colOff>2450679</xdr:colOff>
      <xdr:row>35</xdr:row>
      <xdr:rowOff>0</xdr:rowOff>
    </xdr:to>
    <xdr:sp macro="" textlink="">
      <xdr:nvSpPr>
        <xdr:cNvPr id="6154" name="Texto 2">
          <a:extLst>
            <a:ext uri="{FF2B5EF4-FFF2-40B4-BE49-F238E27FC236}">
              <a16:creationId xmlns:a16="http://schemas.microsoft.com/office/drawing/2014/main" id="{386F88F0-5D9B-46BC-A748-7F3AA440EF3D}"/>
            </a:ext>
          </a:extLst>
        </xdr:cNvPr>
        <xdr:cNvSpPr txBox="1">
          <a:spLocks noChangeArrowheads="1"/>
        </xdr:cNvSpPr>
      </xdr:nvSpPr>
      <xdr:spPr bwMode="auto">
        <a:xfrm>
          <a:off x="781050" y="7734300"/>
          <a:ext cx="2381250" cy="0"/>
        </a:xfrm>
        <a:prstGeom prst="rect">
          <a:avLst/>
        </a:prstGeom>
        <a:solidFill>
          <a:srgbClr val="000080"/>
        </a:solidFill>
        <a:ln w="1">
          <a:noFill/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a-ES" sz="1100" b="1" i="0" strike="noStrike">
              <a:solidFill>
                <a:srgbClr val="FFFFFF"/>
              </a:solidFill>
              <a:latin typeface="Arial"/>
              <a:cs typeface="Arial"/>
            </a:rPr>
            <a:t>MAQUINARIA DE MOBILIARIO URBANO Y JUEGOS INFANTILES</a:t>
          </a:r>
        </a:p>
        <a:p>
          <a:pPr algn="ctr" rtl="0">
            <a:defRPr sz="1000"/>
          </a:pPr>
          <a:endParaRPr lang="ca-ES" sz="1100" b="1" i="0" strike="noStrike">
            <a:solidFill>
              <a:srgbClr val="FFFFFF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ca-ES" sz="1100" b="1" i="0" strike="noStrike">
              <a:solidFill>
                <a:srgbClr val="FFFFFF"/>
              </a:solidFill>
              <a:latin typeface="Arial"/>
              <a:cs typeface="Arial"/>
            </a:rPr>
            <a:t> </a:t>
          </a:r>
        </a:p>
      </xdr:txBody>
    </xdr:sp>
    <xdr:clientData/>
  </xdr:twoCellAnchor>
  <xdr:twoCellAnchor>
    <xdr:from>
      <xdr:col>2</xdr:col>
      <xdr:colOff>66675</xdr:colOff>
      <xdr:row>36</xdr:row>
      <xdr:rowOff>0</xdr:rowOff>
    </xdr:from>
    <xdr:to>
      <xdr:col>2</xdr:col>
      <xdr:colOff>2450679</xdr:colOff>
      <xdr:row>36</xdr:row>
      <xdr:rowOff>0</xdr:rowOff>
    </xdr:to>
    <xdr:sp macro="" textlink="">
      <xdr:nvSpPr>
        <xdr:cNvPr id="6155" name="Texto 2">
          <a:extLst>
            <a:ext uri="{FF2B5EF4-FFF2-40B4-BE49-F238E27FC236}">
              <a16:creationId xmlns:a16="http://schemas.microsoft.com/office/drawing/2014/main" id="{FF2BD5B8-54B7-42EA-9E7B-6427BDBF1312}"/>
            </a:ext>
          </a:extLst>
        </xdr:cNvPr>
        <xdr:cNvSpPr txBox="1">
          <a:spLocks noChangeArrowheads="1"/>
        </xdr:cNvSpPr>
      </xdr:nvSpPr>
      <xdr:spPr bwMode="auto">
        <a:xfrm>
          <a:off x="781050" y="7981950"/>
          <a:ext cx="2381250" cy="0"/>
        </a:xfrm>
        <a:prstGeom prst="rect">
          <a:avLst/>
        </a:prstGeom>
        <a:solidFill>
          <a:srgbClr val="000080"/>
        </a:solidFill>
        <a:ln w="1">
          <a:noFill/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ca-ES" sz="1100" b="1" i="0" strike="noStrike">
              <a:solidFill>
                <a:srgbClr val="FFFFFF"/>
              </a:solidFill>
              <a:latin typeface="Arial"/>
              <a:cs typeface="Arial"/>
            </a:rPr>
            <a:t>MAQUINARIA DE MOBILIARIO URBANO Y JUEGOS INFANTILES</a:t>
          </a:r>
        </a:p>
        <a:p>
          <a:pPr algn="ctr" rtl="0">
            <a:defRPr sz="1000"/>
          </a:pPr>
          <a:endParaRPr lang="ca-ES" sz="1100" b="1" i="0" strike="noStrike">
            <a:solidFill>
              <a:srgbClr val="FFFFFF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ca-ES" sz="1100" b="1" i="0" strike="noStrike">
              <a:solidFill>
                <a:srgbClr val="FFFFFF"/>
              </a:solidFill>
              <a:latin typeface="Arial"/>
              <a:cs typeface="Arial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I30"/>
  <sheetViews>
    <sheetView topLeftCell="A2" workbookViewId="0">
      <selection activeCell="D30" sqref="D30"/>
    </sheetView>
  </sheetViews>
  <sheetFormatPr baseColWidth="10" defaultColWidth="9.140625" defaultRowHeight="12.75" x14ac:dyDescent="0.2"/>
  <cols>
    <col min="1" max="1" width="9.140625" style="14" customWidth="1"/>
    <col min="2" max="2" width="3" style="14" bestFit="1" customWidth="1"/>
    <col min="3" max="3" width="39.85546875" style="14" bestFit="1" customWidth="1"/>
    <col min="4" max="5" width="21.140625" style="14" bestFit="1" customWidth="1"/>
    <col min="6" max="6" width="40.5703125" style="27" bestFit="1" customWidth="1"/>
    <col min="7" max="7" width="10.7109375" style="14" bestFit="1" customWidth="1"/>
    <col min="8" max="16384" width="9.140625" style="14"/>
  </cols>
  <sheetData>
    <row r="2" spans="3:7" ht="13.5" thickBot="1" x14ac:dyDescent="0.25"/>
    <row r="3" spans="3:7" ht="13.5" customHeight="1" thickTop="1" x14ac:dyDescent="0.2">
      <c r="C3" s="267" t="s">
        <v>128</v>
      </c>
      <c r="D3" s="268"/>
      <c r="E3" s="268"/>
      <c r="F3" s="268"/>
    </row>
    <row r="4" spans="3:7" ht="12.75" customHeight="1" x14ac:dyDescent="0.2">
      <c r="C4" s="269"/>
      <c r="D4" s="269"/>
      <c r="E4" s="269"/>
      <c r="F4" s="269"/>
    </row>
    <row r="5" spans="3:7" ht="13.5" customHeight="1" thickBot="1" x14ac:dyDescent="0.25">
      <c r="C5" s="270"/>
      <c r="D5" s="270"/>
      <c r="E5" s="270"/>
      <c r="F5" s="270"/>
    </row>
    <row r="6" spans="3:7" ht="13.5" thickTop="1" x14ac:dyDescent="0.2"/>
    <row r="7" spans="3:7" x14ac:dyDescent="0.2">
      <c r="F7" s="14"/>
    </row>
    <row r="8" spans="3:7" ht="13.5" thickBot="1" x14ac:dyDescent="0.25">
      <c r="E8" s="97"/>
      <c r="F8" s="14"/>
    </row>
    <row r="9" spans="3:7" ht="17.25" thickTop="1" thickBot="1" x14ac:dyDescent="0.3">
      <c r="C9" s="117" t="s">
        <v>136</v>
      </c>
      <c r="D9" s="117" t="s">
        <v>137</v>
      </c>
      <c r="F9" s="116" t="s">
        <v>136</v>
      </c>
      <c r="G9" s="116" t="s">
        <v>151</v>
      </c>
    </row>
    <row r="10" spans="3:7" ht="13.5" thickTop="1" x14ac:dyDescent="0.2">
      <c r="C10" s="113" t="s">
        <v>129</v>
      </c>
      <c r="D10" s="113" t="s">
        <v>256</v>
      </c>
      <c r="F10" s="113" t="s">
        <v>146</v>
      </c>
      <c r="G10" s="113"/>
    </row>
    <row r="11" spans="3:7" x14ac:dyDescent="0.2">
      <c r="C11" s="114" t="s">
        <v>130</v>
      </c>
      <c r="D11" s="114" t="s">
        <v>257</v>
      </c>
      <c r="F11" s="114" t="s">
        <v>218</v>
      </c>
      <c r="G11" s="114"/>
    </row>
    <row r="12" spans="3:7" x14ac:dyDescent="0.2">
      <c r="C12" s="114" t="s">
        <v>131</v>
      </c>
      <c r="D12" s="114">
        <v>2</v>
      </c>
      <c r="F12" s="114" t="s">
        <v>149</v>
      </c>
      <c r="G12" s="114"/>
    </row>
    <row r="13" spans="3:7" x14ac:dyDescent="0.2">
      <c r="C13" s="114" t="s">
        <v>132</v>
      </c>
      <c r="D13" s="114">
        <v>0</v>
      </c>
      <c r="F13" s="114" t="s">
        <v>147</v>
      </c>
      <c r="G13" s="114"/>
    </row>
    <row r="14" spans="3:7" x14ac:dyDescent="0.2">
      <c r="C14" s="114" t="s">
        <v>133</v>
      </c>
      <c r="D14" s="114">
        <v>0</v>
      </c>
      <c r="F14" s="114" t="s">
        <v>148</v>
      </c>
      <c r="G14" s="114"/>
    </row>
    <row r="15" spans="3:7" x14ac:dyDescent="0.2">
      <c r="C15" s="114" t="s">
        <v>134</v>
      </c>
      <c r="D15" s="114" t="s">
        <v>225</v>
      </c>
      <c r="F15" s="114" t="s">
        <v>149</v>
      </c>
      <c r="G15" s="114"/>
    </row>
    <row r="16" spans="3:7" ht="13.5" thickBot="1" x14ac:dyDescent="0.25">
      <c r="C16" s="115" t="s">
        <v>135</v>
      </c>
      <c r="D16" s="193">
        <v>0.05</v>
      </c>
      <c r="F16" s="114" t="s">
        <v>150</v>
      </c>
      <c r="G16" s="114"/>
    </row>
    <row r="17" spans="3:9" ht="14.25" thickTop="1" thickBot="1" x14ac:dyDescent="0.25">
      <c r="F17" s="114" t="s">
        <v>170</v>
      </c>
      <c r="G17" s="114"/>
    </row>
    <row r="18" spans="3:9" ht="13.5" thickTop="1" x14ac:dyDescent="0.2">
      <c r="C18" s="113" t="s">
        <v>138</v>
      </c>
      <c r="D18" s="113">
        <v>82256.77</v>
      </c>
      <c r="F18" s="119" t="s">
        <v>171</v>
      </c>
      <c r="G18" s="114"/>
    </row>
    <row r="19" spans="3:9" x14ac:dyDescent="0.2">
      <c r="C19" s="114" t="s">
        <v>139</v>
      </c>
      <c r="D19" s="114" t="s">
        <v>226</v>
      </c>
      <c r="F19" s="119" t="s">
        <v>172</v>
      </c>
      <c r="G19" s="114"/>
    </row>
    <row r="20" spans="3:9" x14ac:dyDescent="0.2">
      <c r="C20" s="114" t="s">
        <v>227</v>
      </c>
      <c r="D20" s="114" t="s">
        <v>266</v>
      </c>
      <c r="F20" s="119" t="s">
        <v>173</v>
      </c>
      <c r="G20" s="114"/>
    </row>
    <row r="21" spans="3:9" ht="13.5" thickBot="1" x14ac:dyDescent="0.25">
      <c r="C21" s="115" t="s">
        <v>140</v>
      </c>
      <c r="D21" s="194" t="s">
        <v>267</v>
      </c>
      <c r="F21" s="93"/>
      <c r="G21" s="93"/>
    </row>
    <row r="22" spans="3:9" ht="13.5" thickTop="1" x14ac:dyDescent="0.2">
      <c r="F22" s="119" t="s">
        <v>175</v>
      </c>
      <c r="G22" s="114"/>
    </row>
    <row r="23" spans="3:9" ht="13.5" thickBot="1" x14ac:dyDescent="0.25">
      <c r="F23" s="119" t="s">
        <v>177</v>
      </c>
      <c r="G23" s="114"/>
    </row>
    <row r="24" spans="3:9" ht="13.5" thickTop="1" x14ac:dyDescent="0.2">
      <c r="C24" s="113" t="s">
        <v>141</v>
      </c>
      <c r="D24" s="195" t="s">
        <v>268</v>
      </c>
      <c r="F24" s="119" t="s">
        <v>176</v>
      </c>
      <c r="G24" s="114"/>
    </row>
    <row r="25" spans="3:9" x14ac:dyDescent="0.2">
      <c r="C25" s="114" t="s">
        <v>142</v>
      </c>
      <c r="D25" s="114" t="s">
        <v>228</v>
      </c>
      <c r="F25" s="93"/>
      <c r="G25" s="93"/>
    </row>
    <row r="26" spans="3:9" x14ac:dyDescent="0.2">
      <c r="C26" s="114" t="s">
        <v>143</v>
      </c>
      <c r="D26" s="114" t="s">
        <v>228</v>
      </c>
      <c r="F26" s="93"/>
      <c r="G26" s="93"/>
      <c r="I26"/>
    </row>
    <row r="27" spans="3:9" ht="13.5" thickBot="1" x14ac:dyDescent="0.25">
      <c r="C27" s="115" t="s">
        <v>144</v>
      </c>
      <c r="D27" s="115" t="s">
        <v>228</v>
      </c>
      <c r="F27" s="271" t="s">
        <v>223</v>
      </c>
      <c r="G27" s="272"/>
    </row>
    <row r="28" spans="3:9" ht="14.25" thickTop="1" thickBot="1" x14ac:dyDescent="0.25">
      <c r="F28" s="273"/>
      <c r="G28" s="274"/>
    </row>
    <row r="29" spans="3:9" ht="14.25" thickTop="1" thickBot="1" x14ac:dyDescent="0.25">
      <c r="C29" s="112" t="s">
        <v>145</v>
      </c>
      <c r="D29" s="112" t="s">
        <v>225</v>
      </c>
      <c r="F29" s="273"/>
      <c r="G29" s="274"/>
    </row>
    <row r="30" spans="3:9" ht="13.5" thickTop="1" x14ac:dyDescent="0.2">
      <c r="F30" s="275"/>
      <c r="G30" s="276"/>
    </row>
  </sheetData>
  <mergeCells count="2">
    <mergeCell ref="C3:F5"/>
    <mergeCell ref="F27:G30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G44"/>
  <sheetViews>
    <sheetView zoomScale="95" zoomScaleNormal="95" workbookViewId="0">
      <selection activeCell="F7" sqref="F7"/>
    </sheetView>
  </sheetViews>
  <sheetFormatPr baseColWidth="10" defaultColWidth="14.7109375" defaultRowHeight="15" x14ac:dyDescent="0.2"/>
  <cols>
    <col min="1" max="1" width="3" style="2" customWidth="1"/>
    <col min="2" max="2" width="6.140625" style="2" bestFit="1" customWidth="1"/>
    <col min="3" max="3" width="22.28515625" style="2" bestFit="1" customWidth="1"/>
    <col min="4" max="4" width="5.85546875" style="6" bestFit="1" customWidth="1"/>
    <col min="5" max="5" width="38.140625" style="3" bestFit="1" customWidth="1"/>
    <col min="6" max="6" width="13.140625" style="2" bestFit="1" customWidth="1"/>
    <col min="7" max="7" width="17.7109375" style="2" bestFit="1" customWidth="1"/>
    <col min="8" max="8" width="17.85546875" style="2" bestFit="1" customWidth="1"/>
    <col min="9" max="16384" width="14.7109375" style="2"/>
  </cols>
  <sheetData>
    <row r="1" spans="3:7" s="14" customFormat="1" ht="13.5" customHeight="1" thickTop="1" x14ac:dyDescent="0.2">
      <c r="C1" s="267" t="s">
        <v>221</v>
      </c>
      <c r="D1" s="267"/>
      <c r="E1" s="268"/>
      <c r="F1" s="268"/>
      <c r="G1" s="268"/>
    </row>
    <row r="2" spans="3:7" s="14" customFormat="1" ht="12.75" customHeight="1" x14ac:dyDescent="0.2">
      <c r="C2" s="269"/>
      <c r="D2" s="269"/>
      <c r="E2" s="269"/>
      <c r="F2" s="269"/>
      <c r="G2" s="269"/>
    </row>
    <row r="3" spans="3:7" s="14" customFormat="1" ht="13.5" customHeight="1" thickBot="1" x14ac:dyDescent="0.25">
      <c r="C3" s="270"/>
      <c r="D3" s="270"/>
      <c r="E3" s="270"/>
      <c r="F3" s="270"/>
      <c r="G3" s="270"/>
    </row>
    <row r="4" spans="3:7" ht="16.5" thickTop="1" thickBot="1" x14ac:dyDescent="0.25">
      <c r="C4" s="8"/>
      <c r="D4" s="9"/>
      <c r="E4" s="11"/>
      <c r="F4" s="8"/>
    </row>
    <row r="5" spans="3:7" ht="17.25" thickTop="1" thickBot="1" x14ac:dyDescent="0.3">
      <c r="C5" s="85" t="s">
        <v>197</v>
      </c>
      <c r="D5" s="85" t="s">
        <v>210</v>
      </c>
      <c r="E5" s="85" t="s">
        <v>198</v>
      </c>
      <c r="F5" s="174" t="s">
        <v>208</v>
      </c>
      <c r="G5" s="85" t="s">
        <v>209</v>
      </c>
    </row>
    <row r="6" spans="3:7" ht="17.25" thickTop="1" thickBot="1" x14ac:dyDescent="0.3">
      <c r="C6" s="176"/>
      <c r="D6" s="2"/>
      <c r="E6" s="176"/>
      <c r="F6" s="177"/>
      <c r="G6" s="176"/>
    </row>
    <row r="7" spans="3:7" ht="15.75" thickTop="1" x14ac:dyDescent="0.2">
      <c r="C7" s="199">
        <v>1</v>
      </c>
      <c r="D7" s="200" t="s">
        <v>66</v>
      </c>
      <c r="E7" s="200" t="s">
        <v>284</v>
      </c>
      <c r="F7" s="196">
        <f>'RESUM INTERN'!C25*0.75*0.05</f>
        <v>4875</v>
      </c>
      <c r="G7" s="197">
        <f>C7*F7</f>
        <v>4875</v>
      </c>
    </row>
    <row r="8" spans="3:7" x14ac:dyDescent="0.2">
      <c r="C8" s="201">
        <v>1</v>
      </c>
      <c r="D8" s="202" t="s">
        <v>237</v>
      </c>
      <c r="E8" s="202" t="s">
        <v>275</v>
      </c>
      <c r="F8" s="197">
        <v>0</v>
      </c>
      <c r="G8" s="197">
        <f>C8*F8</f>
        <v>0</v>
      </c>
    </row>
    <row r="9" spans="3:7" x14ac:dyDescent="0.2">
      <c r="C9" s="201"/>
      <c r="D9" s="202" t="s">
        <v>66</v>
      </c>
      <c r="E9" s="202" t="s">
        <v>238</v>
      </c>
      <c r="F9" s="197"/>
      <c r="G9" s="197">
        <v>0</v>
      </c>
    </row>
    <row r="10" spans="3:7" x14ac:dyDescent="0.2">
      <c r="C10" s="203"/>
      <c r="D10" s="204" t="s">
        <v>66</v>
      </c>
      <c r="E10" s="204" t="s">
        <v>239</v>
      </c>
      <c r="F10" s="197"/>
      <c r="G10" s="198">
        <f>(C10*F10)/3</f>
        <v>0</v>
      </c>
    </row>
    <row r="11" spans="3:7" ht="15.75" thickBot="1" x14ac:dyDescent="0.25">
      <c r="C11" s="1"/>
      <c r="D11" s="2"/>
      <c r="E11" s="6"/>
      <c r="F11" s="3"/>
    </row>
    <row r="12" spans="3:7" ht="17.25" thickTop="1" thickBot="1" x14ac:dyDescent="0.3">
      <c r="C12" s="77" t="s">
        <v>276</v>
      </c>
      <c r="D12" s="77"/>
      <c r="E12" s="77"/>
      <c r="F12" s="79"/>
      <c r="G12" s="79">
        <f>SUM(G7:G11)/2</f>
        <v>2437.5</v>
      </c>
    </row>
    <row r="13" spans="3:7" ht="15.75" thickTop="1" x14ac:dyDescent="0.2">
      <c r="C13" s="1"/>
    </row>
    <row r="14" spans="3:7" x14ac:dyDescent="0.2">
      <c r="C14" s="1"/>
    </row>
    <row r="15" spans="3:7" x14ac:dyDescent="0.2">
      <c r="C15" s="1"/>
    </row>
    <row r="16" spans="3:7" x14ac:dyDescent="0.2">
      <c r="C16" s="1"/>
    </row>
    <row r="17" spans="3:3" x14ac:dyDescent="0.2">
      <c r="C17" s="1"/>
    </row>
    <row r="18" spans="3:3" x14ac:dyDescent="0.2">
      <c r="C18" s="1"/>
    </row>
    <row r="19" spans="3:3" x14ac:dyDescent="0.2">
      <c r="C19" s="1"/>
    </row>
    <row r="20" spans="3:3" x14ac:dyDescent="0.2">
      <c r="C20" s="1"/>
    </row>
    <row r="21" spans="3:3" x14ac:dyDescent="0.2">
      <c r="C21" s="1"/>
    </row>
    <row r="22" spans="3:3" x14ac:dyDescent="0.2">
      <c r="C22" s="1"/>
    </row>
    <row r="23" spans="3:3" x14ac:dyDescent="0.2">
      <c r="C23" s="1"/>
    </row>
    <row r="24" spans="3:3" x14ac:dyDescent="0.2">
      <c r="C24" s="1"/>
    </row>
    <row r="25" spans="3:3" x14ac:dyDescent="0.2">
      <c r="C25" s="1"/>
    </row>
    <row r="26" spans="3:3" x14ac:dyDescent="0.2">
      <c r="C26" s="1"/>
    </row>
    <row r="27" spans="3:3" x14ac:dyDescent="0.2">
      <c r="C27" s="1"/>
    </row>
    <row r="28" spans="3:3" x14ac:dyDescent="0.2">
      <c r="C28" s="1"/>
    </row>
    <row r="29" spans="3:3" x14ac:dyDescent="0.2">
      <c r="C29" s="1"/>
    </row>
    <row r="30" spans="3:3" x14ac:dyDescent="0.2">
      <c r="C30" s="1"/>
    </row>
    <row r="31" spans="3:3" x14ac:dyDescent="0.2">
      <c r="C31" s="1"/>
    </row>
    <row r="32" spans="3:3" x14ac:dyDescent="0.2">
      <c r="C32" s="1"/>
    </row>
    <row r="33" spans="3:3" x14ac:dyDescent="0.2">
      <c r="C33" s="1"/>
    </row>
    <row r="34" spans="3:3" x14ac:dyDescent="0.2">
      <c r="C34" s="1"/>
    </row>
    <row r="35" spans="3:3" x14ac:dyDescent="0.2">
      <c r="C35" s="1"/>
    </row>
    <row r="36" spans="3:3" x14ac:dyDescent="0.2">
      <c r="C36" s="1"/>
    </row>
    <row r="37" spans="3:3" x14ac:dyDescent="0.2">
      <c r="C37" s="1"/>
    </row>
    <row r="38" spans="3:3" x14ac:dyDescent="0.2">
      <c r="C38" s="1"/>
    </row>
    <row r="39" spans="3:3" x14ac:dyDescent="0.2">
      <c r="C39" s="1"/>
    </row>
    <row r="40" spans="3:3" x14ac:dyDescent="0.2">
      <c r="C40" s="1"/>
    </row>
    <row r="41" spans="3:3" x14ac:dyDescent="0.2">
      <c r="C41" s="1"/>
    </row>
    <row r="42" spans="3:3" x14ac:dyDescent="0.2">
      <c r="C42" s="1"/>
    </row>
    <row r="43" spans="3:3" x14ac:dyDescent="0.2">
      <c r="C43" s="1"/>
    </row>
    <row r="44" spans="3:3" x14ac:dyDescent="0.2">
      <c r="C44" s="1"/>
    </row>
  </sheetData>
  <mergeCells count="1">
    <mergeCell ref="C1:G3"/>
  </mergeCells>
  <printOptions horizontalCentered="1" verticalCentered="1"/>
  <pageMargins left="0.74803149606299213" right="0.74803149606299213" top="1.3385826771653544" bottom="0.98425196850393704" header="0.94488188976377963" footer="0"/>
  <pageSetup paperSize="9" scale="92" orientation="landscape" r:id="rId1"/>
  <headerFooter alignWithMargins="0">
    <oddHeader>&amp;C&amp;"Comic Sans MS,Negrita"&amp;24COSTE EMPRESARIAL DE LOS LOCALES DEL SERVICIO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topLeftCell="A4" zoomScale="96" zoomScaleNormal="96" workbookViewId="0">
      <selection activeCell="B26" sqref="B26"/>
    </sheetView>
  </sheetViews>
  <sheetFormatPr baseColWidth="10" defaultColWidth="9.140625" defaultRowHeight="18.75" x14ac:dyDescent="0.3"/>
  <cols>
    <col min="1" max="1" width="67.140625" style="43" bestFit="1" customWidth="1"/>
    <col min="2" max="2" width="29.28515625" style="43" customWidth="1"/>
    <col min="3" max="3" width="29.85546875" style="43" customWidth="1"/>
    <col min="4" max="4" width="35" style="43" customWidth="1"/>
    <col min="5" max="5" width="19.85546875" style="43" bestFit="1" customWidth="1"/>
    <col min="6" max="6" width="15.7109375" style="43" bestFit="1" customWidth="1"/>
    <col min="7" max="7" width="15.42578125" style="43" bestFit="1" customWidth="1"/>
    <col min="8" max="16384" width="9.140625" style="43"/>
  </cols>
  <sheetData>
    <row r="1" spans="1:4" ht="19.5" thickTop="1" x14ac:dyDescent="0.3">
      <c r="A1" s="292" t="s">
        <v>222</v>
      </c>
      <c r="B1" s="293"/>
      <c r="C1" s="293"/>
    </row>
    <row r="2" spans="1:4" s="14" customFormat="1" ht="12.75" x14ac:dyDescent="0.2">
      <c r="A2" s="294"/>
      <c r="B2" s="294"/>
      <c r="C2" s="294"/>
    </row>
    <row r="3" spans="1:4" s="14" customFormat="1" ht="13.5" thickBot="1" x14ac:dyDescent="0.25">
      <c r="A3" s="295"/>
      <c r="B3" s="295"/>
      <c r="C3" s="295"/>
    </row>
    <row r="4" spans="1:4" s="14" customFormat="1" ht="14.25" thickTop="1" thickBot="1" x14ac:dyDescent="0.25"/>
    <row r="5" spans="1:4" ht="20.25" thickTop="1" thickBot="1" x14ac:dyDescent="0.35">
      <c r="A5" s="44" t="s">
        <v>26</v>
      </c>
      <c r="B5" s="44" t="s">
        <v>27</v>
      </c>
      <c r="C5" s="44" t="s">
        <v>99</v>
      </c>
      <c r="D5" s="44" t="s">
        <v>100</v>
      </c>
    </row>
    <row r="6" spans="1:4" ht="20.25" thickTop="1" thickBot="1" x14ac:dyDescent="0.35">
      <c r="A6" s="185"/>
      <c r="B6" s="185"/>
      <c r="C6" s="45"/>
      <c r="D6" s="46"/>
    </row>
    <row r="7" spans="1:4" ht="20.25" thickTop="1" thickBot="1" x14ac:dyDescent="0.35">
      <c r="A7" s="188" t="s">
        <v>6</v>
      </c>
      <c r="B7" s="189">
        <f>'RESUM COSTOS PERSONAL'!H31</f>
        <v>95993.139999999985</v>
      </c>
      <c r="C7" s="190">
        <f>B7/$B$15</f>
        <v>0.83406796385631832</v>
      </c>
      <c r="D7" s="190" t="e">
        <f>B7/$C$28</f>
        <v>#DIV/0!</v>
      </c>
    </row>
    <row r="8" spans="1:4" ht="20.25" thickTop="1" thickBot="1" x14ac:dyDescent="0.35">
      <c r="A8" s="188" t="s">
        <v>59</v>
      </c>
      <c r="B8" s="189">
        <f>'VEHCILES '!I34</f>
        <v>3996.1843749999998</v>
      </c>
      <c r="C8" s="190">
        <f t="shared" ref="C8:C13" si="0">B8/$B$15</f>
        <v>3.4722162071692673E-2</v>
      </c>
      <c r="D8" s="190" t="e">
        <f t="shared" ref="D8:D13" si="1">B8/$C$28</f>
        <v>#DIV/0!</v>
      </c>
    </row>
    <row r="9" spans="1:4" ht="20.25" thickTop="1" thickBot="1" x14ac:dyDescent="0.35">
      <c r="A9" s="188" t="s">
        <v>62</v>
      </c>
      <c r="B9" s="189">
        <f>'MAQUINARIA '!F48</f>
        <v>5732.5250000000005</v>
      </c>
      <c r="C9" s="190">
        <f t="shared" si="0"/>
        <v>4.9808928580786532E-2</v>
      </c>
      <c r="D9" s="190" t="e">
        <f t="shared" si="1"/>
        <v>#DIV/0!</v>
      </c>
    </row>
    <row r="10" spans="1:4" ht="20.25" thickTop="1" thickBot="1" x14ac:dyDescent="0.35">
      <c r="A10" s="188" t="s">
        <v>54</v>
      </c>
      <c r="B10" s="189">
        <f>'VESTUARI I EINES'!H39</f>
        <v>2053.4599999999996</v>
      </c>
      <c r="C10" s="190">
        <f t="shared" si="0"/>
        <v>1.784216248223983E-2</v>
      </c>
      <c r="D10" s="190" t="e">
        <f t="shared" si="1"/>
        <v>#DIV/0!</v>
      </c>
    </row>
    <row r="11" spans="1:4" ht="20.25" thickTop="1" thickBot="1" x14ac:dyDescent="0.35">
      <c r="A11" s="188" t="s">
        <v>55</v>
      </c>
      <c r="B11" s="189">
        <f>'LOCALS '!F15</f>
        <v>0</v>
      </c>
      <c r="C11" s="190">
        <f t="shared" si="0"/>
        <v>0</v>
      </c>
      <c r="D11" s="190" t="e">
        <f t="shared" si="1"/>
        <v>#DIV/0!</v>
      </c>
    </row>
    <row r="12" spans="1:4" ht="20.25" thickTop="1" thickBot="1" x14ac:dyDescent="0.35">
      <c r="A12" s="188" t="s">
        <v>56</v>
      </c>
      <c r="B12" s="189">
        <f>'MATERIALS '!G20</f>
        <v>4877.5</v>
      </c>
      <c r="C12" s="190">
        <f t="shared" si="0"/>
        <v>4.2379762696680132E-2</v>
      </c>
      <c r="D12" s="190" t="e">
        <f t="shared" si="1"/>
        <v>#DIV/0!</v>
      </c>
    </row>
    <row r="13" spans="1:4" ht="20.25" thickTop="1" thickBot="1" x14ac:dyDescent="0.35">
      <c r="A13" s="188" t="s">
        <v>58</v>
      </c>
      <c r="B13" s="189">
        <f>'MILLORES '!G12</f>
        <v>2437.5</v>
      </c>
      <c r="C13" s="190">
        <f t="shared" si="0"/>
        <v>2.1179020312282484E-2</v>
      </c>
      <c r="D13" s="190" t="e">
        <f t="shared" si="1"/>
        <v>#DIV/0!</v>
      </c>
    </row>
    <row r="14" spans="1:4" ht="20.25" thickTop="1" thickBot="1" x14ac:dyDescent="0.35">
      <c r="A14" s="186"/>
      <c r="B14" s="187"/>
      <c r="C14" s="47"/>
      <c r="D14" s="47"/>
    </row>
    <row r="15" spans="1:4" ht="20.25" thickTop="1" thickBot="1" x14ac:dyDescent="0.35">
      <c r="A15" s="48" t="s">
        <v>95</v>
      </c>
      <c r="B15" s="49">
        <f>SUM(B7:B13)</f>
        <v>115090.30937499998</v>
      </c>
      <c r="C15" s="73">
        <f>SUM(C7:C13)</f>
        <v>0.99999999999999989</v>
      </c>
      <c r="D15" s="73" t="e">
        <f>+D7+D8+D9+D10+D11+D12+D13</f>
        <v>#DIV/0!</v>
      </c>
    </row>
    <row r="16" spans="1:4" ht="19.5" thickTop="1" x14ac:dyDescent="0.3">
      <c r="C16" s="42"/>
      <c r="D16" s="42"/>
    </row>
    <row r="17" spans="1:7" ht="19.5" thickBot="1" x14ac:dyDescent="0.35">
      <c r="A17" s="50"/>
      <c r="B17" s="50"/>
      <c r="C17" s="51"/>
      <c r="D17" s="52"/>
      <c r="E17" s="53"/>
    </row>
    <row r="18" spans="1:7" ht="20.25" thickTop="1" thickBot="1" x14ac:dyDescent="0.35">
      <c r="A18" s="54" t="s">
        <v>93</v>
      </c>
      <c r="B18" s="55">
        <v>0.19</v>
      </c>
      <c r="C18" s="56">
        <f>+B15*B18</f>
        <v>21867.158781249997</v>
      </c>
      <c r="D18" s="57" t="s">
        <v>285</v>
      </c>
      <c r="G18" s="58"/>
    </row>
    <row r="19" spans="1:7" ht="20.25" thickTop="1" thickBot="1" x14ac:dyDescent="0.35">
      <c r="A19" s="74" t="s">
        <v>94</v>
      </c>
      <c r="B19" s="75"/>
      <c r="C19" s="76">
        <f>B15+C18</f>
        <v>136957.46815624999</v>
      </c>
      <c r="D19" s="58">
        <f>C19*0.2</f>
        <v>27391.493631249999</v>
      </c>
      <c r="F19" s="255"/>
    </row>
    <row r="20" spans="1:7" ht="19.5" thickTop="1" x14ac:dyDescent="0.3">
      <c r="A20" s="60"/>
      <c r="B20" s="61" t="s">
        <v>289</v>
      </c>
      <c r="C20" s="62">
        <f>C19*1.21</f>
        <v>165718.53646906247</v>
      </c>
      <c r="F20" s="255"/>
    </row>
    <row r="21" spans="1:7" ht="20.25" hidden="1" thickTop="1" thickBot="1" x14ac:dyDescent="0.35">
      <c r="A21" s="54" t="s">
        <v>28</v>
      </c>
      <c r="B21" s="54">
        <v>0.18</v>
      </c>
      <c r="C21" s="63">
        <f>$C$19*$B$21</f>
        <v>24652.344268124998</v>
      </c>
      <c r="F21" s="255"/>
    </row>
    <row r="22" spans="1:7" hidden="1" x14ac:dyDescent="0.3">
      <c r="A22" s="61"/>
      <c r="B22" s="61"/>
      <c r="C22" s="62"/>
      <c r="F22" s="255"/>
    </row>
    <row r="23" spans="1:7" ht="20.25" hidden="1" thickTop="1" thickBot="1" x14ac:dyDescent="0.35">
      <c r="A23" s="64" t="s">
        <v>29</v>
      </c>
      <c r="B23" s="65"/>
      <c r="C23" s="59">
        <f>C19+C21</f>
        <v>161609.81242437498</v>
      </c>
      <c r="F23" s="255"/>
    </row>
    <row r="24" spans="1:7" ht="19.5" thickBot="1" x14ac:dyDescent="0.35">
      <c r="F24" s="255"/>
    </row>
    <row r="25" spans="1:7" ht="19.5" thickTop="1" x14ac:dyDescent="0.3">
      <c r="A25" s="92" t="s">
        <v>125</v>
      </c>
      <c r="B25" s="92"/>
      <c r="C25" s="87">
        <v>130000</v>
      </c>
    </row>
    <row r="26" spans="1:7" x14ac:dyDescent="0.3">
      <c r="A26" s="265" t="s">
        <v>287</v>
      </c>
      <c r="B26" s="265"/>
      <c r="C26" s="266">
        <f>C19*0.05</f>
        <v>6847.8734078124999</v>
      </c>
      <c r="D26" s="43" t="s">
        <v>288</v>
      </c>
    </row>
    <row r="27" spans="1:7" x14ac:dyDescent="0.3">
      <c r="A27" s="66" t="s">
        <v>98</v>
      </c>
      <c r="B27" s="67"/>
      <c r="C27" s="88">
        <f>C25*B27</f>
        <v>0</v>
      </c>
    </row>
    <row r="28" spans="1:7" x14ac:dyDescent="0.3">
      <c r="A28" s="296" t="s">
        <v>229</v>
      </c>
      <c r="B28" s="296"/>
      <c r="C28" s="89"/>
    </row>
    <row r="29" spans="1:7" x14ac:dyDescent="0.3">
      <c r="A29" s="66"/>
      <c r="B29" s="66" t="s">
        <v>96</v>
      </c>
      <c r="C29" s="89"/>
    </row>
    <row r="30" spans="1:7" ht="19.5" thickBot="1" x14ac:dyDescent="0.35">
      <c r="A30" s="68"/>
      <c r="B30" s="68" t="s">
        <v>97</v>
      </c>
      <c r="C30" s="69" t="e">
        <f>C29/C28</f>
        <v>#DIV/0!</v>
      </c>
    </row>
    <row r="31" spans="1:7" ht="19.5" thickTop="1" x14ac:dyDescent="0.3"/>
    <row r="32" spans="1:7" x14ac:dyDescent="0.3">
      <c r="A32" s="70"/>
      <c r="B32" s="71"/>
    </row>
    <row r="33" spans="2:2" x14ac:dyDescent="0.3">
      <c r="B33" s="72"/>
    </row>
    <row r="34" spans="2:2" x14ac:dyDescent="0.3">
      <c r="B34" s="72"/>
    </row>
    <row r="35" spans="2:2" x14ac:dyDescent="0.3">
      <c r="B35" s="72"/>
    </row>
    <row r="36" spans="2:2" x14ac:dyDescent="0.3">
      <c r="B36" s="72"/>
    </row>
    <row r="37" spans="2:2" x14ac:dyDescent="0.3">
      <c r="B37" s="72"/>
    </row>
  </sheetData>
  <mergeCells count="2">
    <mergeCell ref="A28:B28"/>
    <mergeCell ref="A1:C3"/>
  </mergeCells>
  <phoneticPr fontId="0" type="noConversion"/>
  <pageMargins left="0.74803149606299213" right="0.74803149606299213" top="0.55118110236220474" bottom="0.62992125984251968" header="0" footer="0"/>
  <pageSetup paperSize="9" scale="7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G29"/>
  <sheetViews>
    <sheetView topLeftCell="B6" workbookViewId="0">
      <selection activeCell="I18" sqref="I18"/>
    </sheetView>
  </sheetViews>
  <sheetFormatPr baseColWidth="10" defaultColWidth="9.140625" defaultRowHeight="15.75" x14ac:dyDescent="0.25"/>
  <cols>
    <col min="1" max="1" width="9.140625" style="30" customWidth="1"/>
    <col min="2" max="2" width="3" style="30" bestFit="1" customWidth="1"/>
    <col min="3" max="3" width="39.85546875" style="30" bestFit="1" customWidth="1"/>
    <col min="4" max="5" width="21.140625" style="30" bestFit="1" customWidth="1"/>
    <col min="6" max="6" width="12.85546875" style="31" bestFit="1" customWidth="1"/>
    <col min="7" max="7" width="12.5703125" style="30" bestFit="1" customWidth="1"/>
    <col min="8" max="16384" width="9.140625" style="30"/>
  </cols>
  <sheetData>
    <row r="1" spans="3:7" ht="16.5" thickBot="1" x14ac:dyDescent="0.3"/>
    <row r="2" spans="3:7" ht="16.5" thickTop="1" x14ac:dyDescent="0.25">
      <c r="C2" s="297" t="s">
        <v>121</v>
      </c>
      <c r="D2" s="297"/>
      <c r="E2" s="297"/>
      <c r="F2" s="30"/>
    </row>
    <row r="3" spans="3:7" ht="16.5" thickBot="1" x14ac:dyDescent="0.3">
      <c r="C3" s="298"/>
      <c r="D3" s="298"/>
      <c r="E3" s="298"/>
      <c r="F3" s="30"/>
    </row>
    <row r="4" spans="3:7" ht="20.25" thickTop="1" thickBot="1" x14ac:dyDescent="0.35">
      <c r="C4" s="299"/>
      <c r="D4" s="299"/>
      <c r="E4" s="299"/>
      <c r="F4" s="105">
        <f>F7+F27</f>
        <v>100</v>
      </c>
    </row>
    <row r="5" spans="3:7" ht="16.5" thickTop="1" x14ac:dyDescent="0.25"/>
    <row r="6" spans="3:7" ht="16.5" thickBot="1" x14ac:dyDescent="0.3">
      <c r="F6" s="30"/>
    </row>
    <row r="7" spans="3:7" ht="20.25" thickTop="1" thickBot="1" x14ac:dyDescent="0.35">
      <c r="C7" s="81" t="s">
        <v>122</v>
      </c>
      <c r="D7" s="81"/>
      <c r="E7" s="81"/>
      <c r="F7" s="105">
        <f>F9+F22</f>
        <v>85</v>
      </c>
    </row>
    <row r="8" spans="3:7" ht="17.25" thickTop="1" thickBot="1" x14ac:dyDescent="0.3"/>
    <row r="9" spans="3:7" ht="17.25" thickTop="1" thickBot="1" x14ac:dyDescent="0.3">
      <c r="C9" s="32" t="s">
        <v>123</v>
      </c>
      <c r="D9" s="107"/>
      <c r="E9" s="107"/>
      <c r="F9" s="108">
        <v>30</v>
      </c>
    </row>
    <row r="10" spans="3:7" ht="17.25" thickTop="1" thickBot="1" x14ac:dyDescent="0.3"/>
    <row r="11" spans="3:7" ht="17.25" thickTop="1" thickBot="1" x14ac:dyDescent="0.3">
      <c r="C11" s="99">
        <f>'RESUM INTERN'!C25</f>
        <v>130000</v>
      </c>
      <c r="D11" s="98" t="s">
        <v>102</v>
      </c>
      <c r="F11" s="30"/>
    </row>
    <row r="12" spans="3:7" ht="17.25" thickTop="1" thickBot="1" x14ac:dyDescent="0.3">
      <c r="F12" s="30"/>
    </row>
    <row r="13" spans="3:7" ht="17.25" thickTop="1" thickBot="1" x14ac:dyDescent="0.3">
      <c r="C13" s="103" t="s">
        <v>64</v>
      </c>
      <c r="D13" s="103" t="s">
        <v>277</v>
      </c>
      <c r="E13" s="103" t="s">
        <v>278</v>
      </c>
      <c r="F13" s="103" t="s">
        <v>279</v>
      </c>
      <c r="G13" s="103" t="s">
        <v>101</v>
      </c>
    </row>
    <row r="14" spans="3:7" ht="16.5" thickTop="1" x14ac:dyDescent="0.25">
      <c r="C14" s="40">
        <f>$C$11-($C$11*E14)</f>
        <v>130000</v>
      </c>
      <c r="D14" s="101">
        <f>30*$C$17</f>
        <v>3120000</v>
      </c>
      <c r="E14" s="102">
        <v>0</v>
      </c>
      <c r="F14" s="259">
        <f>D14/C14</f>
        <v>24</v>
      </c>
      <c r="G14" s="259">
        <f>30-F14</f>
        <v>6</v>
      </c>
    </row>
    <row r="15" spans="3:7" x14ac:dyDescent="0.25">
      <c r="C15" s="40">
        <f>$C$11-($C$11*E15)</f>
        <v>128700</v>
      </c>
      <c r="D15" s="101">
        <f>30*$C$17</f>
        <v>3120000</v>
      </c>
      <c r="E15" s="102">
        <v>0.01</v>
      </c>
      <c r="F15" s="259">
        <f>D15/C15</f>
        <v>24.242424242424242</v>
      </c>
      <c r="G15" s="259">
        <f>30-F15</f>
        <v>5.7575757575757578</v>
      </c>
    </row>
    <row r="16" spans="3:7" x14ac:dyDescent="0.25">
      <c r="C16" s="252">
        <f>$C$11-($C$11*E16)</f>
        <v>130000</v>
      </c>
      <c r="D16" s="253">
        <f>30*$C$17</f>
        <v>3120000</v>
      </c>
      <c r="E16" s="254">
        <f>'RESUM INTERN'!B27</f>
        <v>0</v>
      </c>
      <c r="F16" s="260">
        <f>D16/C16</f>
        <v>24</v>
      </c>
      <c r="G16" s="260">
        <f>30-F16</f>
        <v>6</v>
      </c>
    </row>
    <row r="17" spans="3:7" x14ac:dyDescent="0.25">
      <c r="C17" s="40">
        <f>$C$11-($C$11*E17)</f>
        <v>104000</v>
      </c>
      <c r="D17" s="101">
        <f>30*$C$17</f>
        <v>3120000</v>
      </c>
      <c r="E17" s="251">
        <v>0.2</v>
      </c>
      <c r="F17" s="259">
        <f>D17/C17</f>
        <v>30</v>
      </c>
      <c r="G17" s="259">
        <f>30-F17</f>
        <v>0</v>
      </c>
    </row>
    <row r="21" spans="3:7" ht="16.5" thickBot="1" x14ac:dyDescent="0.3"/>
    <row r="22" spans="3:7" ht="17.25" thickTop="1" thickBot="1" x14ac:dyDescent="0.3">
      <c r="C22" s="103" t="s">
        <v>221</v>
      </c>
      <c r="D22" s="103"/>
      <c r="E22" s="103"/>
      <c r="F22" s="104">
        <f>F23+F24+F25+F26</f>
        <v>55</v>
      </c>
    </row>
    <row r="23" spans="3:7" ht="16.5" thickTop="1" x14ac:dyDescent="0.25">
      <c r="C23" s="30" t="s">
        <v>280</v>
      </c>
      <c r="E23" s="40"/>
      <c r="F23" s="31">
        <v>20</v>
      </c>
    </row>
    <row r="24" spans="3:7" x14ac:dyDescent="0.25">
      <c r="C24" s="30" t="s">
        <v>281</v>
      </c>
      <c r="E24" s="40"/>
      <c r="F24" s="31">
        <v>20</v>
      </c>
    </row>
    <row r="25" spans="3:7" x14ac:dyDescent="0.25">
      <c r="C25" s="30" t="s">
        <v>282</v>
      </c>
      <c r="E25" s="40"/>
      <c r="F25" s="31">
        <v>15</v>
      </c>
    </row>
    <row r="26" spans="3:7" ht="16.5" thickBot="1" x14ac:dyDescent="0.3">
      <c r="E26" s="111"/>
    </row>
    <row r="27" spans="3:7" s="100" customFormat="1" ht="20.25" thickTop="1" thickBot="1" x14ac:dyDescent="0.35">
      <c r="C27" s="77" t="s">
        <v>124</v>
      </c>
      <c r="D27" s="77"/>
      <c r="E27" s="77"/>
      <c r="F27" s="106">
        <f>SUM(F29:F30)</f>
        <v>15</v>
      </c>
    </row>
    <row r="28" spans="3:7" ht="16.5" thickTop="1" x14ac:dyDescent="0.25"/>
    <row r="29" spans="3:7" x14ac:dyDescent="0.25">
      <c r="C29" s="30" t="s">
        <v>255</v>
      </c>
      <c r="F29" s="31">
        <v>15</v>
      </c>
    </row>
  </sheetData>
  <mergeCells count="1">
    <mergeCell ref="C2:E4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8"/>
  <sheetViews>
    <sheetView zoomScale="81" zoomScaleNormal="81" workbookViewId="0">
      <selection activeCell="F10" sqref="F10:F11"/>
    </sheetView>
  </sheetViews>
  <sheetFormatPr baseColWidth="10" defaultColWidth="9.140625" defaultRowHeight="12.75" x14ac:dyDescent="0.2"/>
  <cols>
    <col min="1" max="1" width="9.140625" style="14" customWidth="1"/>
    <col min="2" max="2" width="4.42578125" style="14" bestFit="1" customWidth="1"/>
    <col min="3" max="3" width="39.85546875" style="14" bestFit="1" customWidth="1"/>
    <col min="4" max="4" width="39.85546875" style="93" customWidth="1"/>
    <col min="5" max="5" width="11.28515625" style="14" bestFit="1" customWidth="1"/>
    <col min="6" max="7" width="21.140625" style="14" bestFit="1" customWidth="1"/>
    <col min="8" max="8" width="14.85546875" style="27" bestFit="1" customWidth="1"/>
    <col min="9" max="9" width="13" style="14" bestFit="1" customWidth="1"/>
    <col min="10" max="10" width="11.28515625" style="14" bestFit="1" customWidth="1"/>
    <col min="11" max="16384" width="9.140625" style="14"/>
  </cols>
  <sheetData>
    <row r="2" spans="2:9" ht="13.5" thickBot="1" x14ac:dyDescent="0.25"/>
    <row r="3" spans="2:9" ht="13.5" customHeight="1" thickTop="1" x14ac:dyDescent="0.2">
      <c r="C3" s="267" t="s">
        <v>118</v>
      </c>
      <c r="D3" s="267"/>
      <c r="E3" s="267"/>
      <c r="F3" s="268"/>
      <c r="G3" s="268"/>
      <c r="H3" s="268"/>
    </row>
    <row r="4" spans="2:9" ht="12.75" customHeight="1" x14ac:dyDescent="0.2">
      <c r="C4" s="269"/>
      <c r="D4" s="269"/>
      <c r="E4" s="269"/>
      <c r="F4" s="269"/>
      <c r="G4" s="269"/>
      <c r="H4" s="269"/>
    </row>
    <row r="5" spans="2:9" ht="13.5" customHeight="1" thickBot="1" x14ac:dyDescent="0.25">
      <c r="C5" s="270"/>
      <c r="D5" s="270"/>
      <c r="E5" s="270"/>
      <c r="F5" s="270"/>
      <c r="G5" s="270"/>
      <c r="H5" s="270"/>
    </row>
    <row r="6" spans="2:9" ht="13.5" thickTop="1" x14ac:dyDescent="0.2"/>
    <row r="7" spans="2:9" x14ac:dyDescent="0.2">
      <c r="H7" s="14"/>
      <c r="I7" s="257">
        <f ca="1">TODAY()</f>
        <v>45870</v>
      </c>
    </row>
    <row r="8" spans="2:9" ht="13.5" thickBot="1" x14ac:dyDescent="0.25">
      <c r="G8" s="97">
        <v>0.02</v>
      </c>
      <c r="H8" s="97">
        <v>0.01</v>
      </c>
      <c r="I8" s="257"/>
    </row>
    <row r="9" spans="2:9" ht="16.5" thickTop="1" x14ac:dyDescent="0.25">
      <c r="B9" s="86" t="s">
        <v>116</v>
      </c>
      <c r="C9" s="16" t="s">
        <v>119</v>
      </c>
      <c r="D9" s="153" t="s">
        <v>272</v>
      </c>
      <c r="E9" s="16" t="s">
        <v>153</v>
      </c>
      <c r="F9" s="16" t="s">
        <v>152</v>
      </c>
      <c r="G9" s="16" t="s">
        <v>270</v>
      </c>
      <c r="H9" s="16" t="s">
        <v>271</v>
      </c>
      <c r="I9" s="16" t="s">
        <v>154</v>
      </c>
    </row>
    <row r="10" spans="2:9" ht="15" x14ac:dyDescent="0.25">
      <c r="B10" s="18">
        <v>3</v>
      </c>
      <c r="C10" s="191" t="s">
        <v>269</v>
      </c>
      <c r="D10" s="256">
        <v>45123</v>
      </c>
      <c r="E10" s="256">
        <v>43801</v>
      </c>
      <c r="F10" s="192">
        <f>16450*3</f>
        <v>49350</v>
      </c>
      <c r="G10" s="192">
        <f>F10*$G$8</f>
        <v>987</v>
      </c>
      <c r="H10" s="192">
        <f>(G10+F10)*$H$8</f>
        <v>503.37</v>
      </c>
      <c r="I10" s="192">
        <f>60</f>
        <v>60</v>
      </c>
    </row>
    <row r="11" spans="2:9" s="93" customFormat="1" ht="15" x14ac:dyDescent="0.25">
      <c r="B11" s="18">
        <v>1</v>
      </c>
      <c r="C11" s="191" t="s">
        <v>283</v>
      </c>
      <c r="D11" s="256"/>
      <c r="E11" s="256"/>
      <c r="F11" s="192">
        <v>32500</v>
      </c>
      <c r="G11" s="192">
        <f>F11*$G$8</f>
        <v>650</v>
      </c>
      <c r="H11" s="192">
        <f>(G11+F11)*$H$8</f>
        <v>331.5</v>
      </c>
      <c r="I11" s="192">
        <f>60</f>
        <v>60</v>
      </c>
    </row>
    <row r="12" spans="2:9" s="93" customFormat="1" ht="15" x14ac:dyDescent="0.25">
      <c r="B12" s="261"/>
      <c r="C12" s="262"/>
      <c r="D12" s="263"/>
      <c r="E12" s="263"/>
      <c r="F12" s="264"/>
      <c r="G12" s="264"/>
      <c r="H12" s="264"/>
      <c r="I12" s="264"/>
    </row>
    <row r="13" spans="2:9" ht="15.75" thickBot="1" x14ac:dyDescent="0.3">
      <c r="B13" s="93"/>
      <c r="C13" s="94"/>
      <c r="D13" s="94"/>
      <c r="E13" s="94"/>
      <c r="F13" s="95"/>
      <c r="G13" s="95"/>
      <c r="H13" s="96"/>
    </row>
    <row r="14" spans="2:9" s="30" customFormat="1" ht="17.25" thickTop="1" thickBot="1" x14ac:dyDescent="0.3">
      <c r="C14" s="77" t="s">
        <v>120</v>
      </c>
      <c r="D14" s="118"/>
      <c r="E14" s="77"/>
      <c r="F14" s="79">
        <f>SUM(F10:F13)</f>
        <v>81850</v>
      </c>
      <c r="G14" s="79"/>
      <c r="H14" s="79">
        <f>F14+((G10+H10+I10)/3)</f>
        <v>82366.789999999994</v>
      </c>
      <c r="I14" s="40"/>
    </row>
    <row r="15" spans="2:9" ht="13.5" thickTop="1" x14ac:dyDescent="0.2">
      <c r="H15" s="26"/>
    </row>
    <row r="16" spans="2:9" ht="13.5" thickBot="1" x14ac:dyDescent="0.25">
      <c r="H16" s="26"/>
    </row>
    <row r="17" spans="2:4" ht="17.25" thickTop="1" thickBot="1" x14ac:dyDescent="0.3">
      <c r="B17" s="100">
        <f>SUM(B10:B16)</f>
        <v>4</v>
      </c>
      <c r="C17" s="77" t="s">
        <v>224</v>
      </c>
      <c r="D17" s="258">
        <f>H14</f>
        <v>82366.789999999994</v>
      </c>
    </row>
    <row r="18" spans="2:4" ht="13.5" thickTop="1" x14ac:dyDescent="0.2"/>
  </sheetData>
  <mergeCells count="1">
    <mergeCell ref="C3:H5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41"/>
  <sheetViews>
    <sheetView topLeftCell="A4" workbookViewId="0">
      <selection activeCell="B21" sqref="B21"/>
    </sheetView>
  </sheetViews>
  <sheetFormatPr baseColWidth="10" defaultColWidth="9.140625" defaultRowHeight="12.75" x14ac:dyDescent="0.2"/>
  <cols>
    <col min="1" max="1" width="9.140625" style="14" customWidth="1"/>
    <col min="2" max="2" width="6.28515625" style="14" bestFit="1" customWidth="1"/>
    <col min="3" max="3" width="39.85546875" style="14" bestFit="1" customWidth="1"/>
    <col min="4" max="5" width="21.140625" style="14" bestFit="1" customWidth="1"/>
    <col min="6" max="6" width="14.85546875" style="27" bestFit="1" customWidth="1"/>
    <col min="7" max="16384" width="9.140625" style="14"/>
  </cols>
  <sheetData>
    <row r="2" spans="2:7" ht="13.5" thickBot="1" x14ac:dyDescent="0.25"/>
    <row r="3" spans="2:7" ht="13.5" customHeight="1" thickTop="1" x14ac:dyDescent="0.2">
      <c r="C3" s="267" t="s">
        <v>155</v>
      </c>
      <c r="D3" s="267"/>
      <c r="E3" s="268"/>
      <c r="F3" s="268"/>
      <c r="G3" s="268"/>
    </row>
    <row r="4" spans="2:7" ht="12.75" customHeight="1" x14ac:dyDescent="0.2">
      <c r="C4" s="269"/>
      <c r="D4" s="269"/>
      <c r="E4" s="269"/>
      <c r="F4" s="269"/>
      <c r="G4" s="269"/>
    </row>
    <row r="5" spans="2:7" ht="13.5" customHeight="1" thickBot="1" x14ac:dyDescent="0.25">
      <c r="C5" s="270"/>
      <c r="D5" s="270"/>
      <c r="E5" s="270"/>
      <c r="F5" s="270"/>
      <c r="G5" s="270"/>
    </row>
    <row r="6" spans="2:7" ht="14.25" thickTop="1" thickBot="1" x14ac:dyDescent="0.25"/>
    <row r="7" spans="2:7" ht="17.25" thickTop="1" thickBot="1" x14ac:dyDescent="0.3">
      <c r="B7" s="118" t="s">
        <v>156</v>
      </c>
      <c r="C7" s="118"/>
      <c r="D7" s="118"/>
      <c r="E7" s="118"/>
      <c r="F7" s="79">
        <f>SUM(F9:F14)</f>
        <v>0</v>
      </c>
    </row>
    <row r="8" spans="2:7" ht="16.5" thickTop="1" x14ac:dyDescent="0.25">
      <c r="B8" s="86" t="s">
        <v>116</v>
      </c>
      <c r="C8" s="16" t="s">
        <v>119</v>
      </c>
      <c r="D8" s="16" t="s">
        <v>165</v>
      </c>
      <c r="E8" s="17" t="s">
        <v>163</v>
      </c>
      <c r="F8" s="17" t="s">
        <v>126</v>
      </c>
    </row>
    <row r="9" spans="2:7" ht="15" x14ac:dyDescent="0.25">
      <c r="B9" s="18"/>
      <c r="C9" s="19"/>
      <c r="D9" s="20"/>
      <c r="E9" s="109"/>
      <c r="F9" s="20">
        <f t="shared" ref="F9:F14" si="0">B9*D9</f>
        <v>0</v>
      </c>
    </row>
    <row r="10" spans="2:7" ht="15" x14ac:dyDescent="0.25">
      <c r="B10" s="18"/>
      <c r="C10" s="19" t="s">
        <v>158</v>
      </c>
      <c r="D10" s="20">
        <v>29778.21</v>
      </c>
      <c r="E10" s="20"/>
      <c r="F10" s="20">
        <f>B10*D10</f>
        <v>0</v>
      </c>
    </row>
    <row r="11" spans="2:7" ht="15" x14ac:dyDescent="0.25">
      <c r="B11" s="18">
        <v>0</v>
      </c>
      <c r="C11" s="19" t="s">
        <v>159</v>
      </c>
      <c r="D11" s="20"/>
      <c r="E11" s="110"/>
      <c r="F11" s="20">
        <f t="shared" si="0"/>
        <v>0</v>
      </c>
    </row>
    <row r="12" spans="2:7" ht="15" x14ac:dyDescent="0.25">
      <c r="B12" s="18">
        <v>0</v>
      </c>
      <c r="C12" s="19" t="s">
        <v>160</v>
      </c>
      <c r="D12" s="20"/>
      <c r="E12" s="20"/>
      <c r="F12" s="20">
        <f t="shared" si="0"/>
        <v>0</v>
      </c>
    </row>
    <row r="13" spans="2:7" ht="15" x14ac:dyDescent="0.25">
      <c r="B13" s="18"/>
      <c r="C13" s="19" t="s">
        <v>161</v>
      </c>
      <c r="D13" s="20"/>
      <c r="E13" s="20"/>
      <c r="F13" s="20">
        <f t="shared" si="0"/>
        <v>0</v>
      </c>
    </row>
    <row r="14" spans="2:7" ht="15" x14ac:dyDescent="0.25">
      <c r="B14" s="18">
        <v>0</v>
      </c>
      <c r="C14" s="19" t="s">
        <v>162</v>
      </c>
      <c r="D14" s="20">
        <v>14500</v>
      </c>
      <c r="E14" s="20"/>
      <c r="F14" s="20">
        <f t="shared" si="0"/>
        <v>0</v>
      </c>
    </row>
    <row r="15" spans="2:7" ht="15.75" thickBot="1" x14ac:dyDescent="0.3">
      <c r="B15" s="93"/>
      <c r="C15" s="94"/>
      <c r="D15" s="95"/>
      <c r="E15" s="96"/>
      <c r="F15" s="96"/>
    </row>
    <row r="16" spans="2:7" ht="17.25" thickTop="1" thickBot="1" x14ac:dyDescent="0.3">
      <c r="B16" s="118" t="s">
        <v>258</v>
      </c>
      <c r="C16" s="118"/>
      <c r="D16" s="118"/>
      <c r="E16" s="118"/>
      <c r="F16" s="79">
        <f>SUM(F18:F20)</f>
        <v>11334.683333333332</v>
      </c>
    </row>
    <row r="17" spans="2:6" ht="16.5" thickTop="1" x14ac:dyDescent="0.25">
      <c r="B17" s="86" t="s">
        <v>116</v>
      </c>
      <c r="C17" s="16" t="s">
        <v>119</v>
      </c>
      <c r="D17" s="16" t="s">
        <v>165</v>
      </c>
      <c r="E17" s="17" t="s">
        <v>164</v>
      </c>
      <c r="F17" s="17" t="s">
        <v>126</v>
      </c>
    </row>
    <row r="18" spans="2:6" ht="15" x14ac:dyDescent="0.25">
      <c r="B18" s="18">
        <v>1</v>
      </c>
      <c r="C18" s="19" t="s">
        <v>158</v>
      </c>
      <c r="D18" s="20">
        <v>27500</v>
      </c>
      <c r="E18" s="110">
        <f>2/12</f>
        <v>0.16666666666666666</v>
      </c>
      <c r="F18" s="20">
        <f>B18*D18*E18</f>
        <v>4583.333333333333</v>
      </c>
    </row>
    <row r="19" spans="2:6" ht="15" x14ac:dyDescent="0.25">
      <c r="B19" s="18">
        <v>2</v>
      </c>
      <c r="C19" s="19" t="s">
        <v>159</v>
      </c>
      <c r="D19" s="20"/>
      <c r="E19" s="110"/>
      <c r="F19" s="20">
        <f>B19*D19*E19</f>
        <v>0</v>
      </c>
    </row>
    <row r="20" spans="2:6" ht="15" x14ac:dyDescent="0.25">
      <c r="B20" s="18">
        <v>3</v>
      </c>
      <c r="C20" s="19" t="s">
        <v>259</v>
      </c>
      <c r="D20" s="20">
        <v>13500</v>
      </c>
      <c r="E20" s="110">
        <v>0.16669999999999999</v>
      </c>
      <c r="F20" s="20">
        <f>B20*D20*E20</f>
        <v>6751.3499999999995</v>
      </c>
    </row>
    <row r="21" spans="2:6" ht="15.75" thickBot="1" x14ac:dyDescent="0.3">
      <c r="B21" s="93"/>
      <c r="C21" s="94"/>
      <c r="D21" s="95"/>
      <c r="E21" s="96"/>
      <c r="F21" s="96"/>
    </row>
    <row r="22" spans="2:6" ht="17.25" thickTop="1" thickBot="1" x14ac:dyDescent="0.3">
      <c r="B22" s="118" t="s">
        <v>166</v>
      </c>
      <c r="C22" s="118"/>
      <c r="D22" s="118"/>
      <c r="E22" s="118"/>
      <c r="F22" s="79">
        <f>SUM(F24:F25)</f>
        <v>0</v>
      </c>
    </row>
    <row r="23" spans="2:6" ht="16.5" thickTop="1" x14ac:dyDescent="0.25">
      <c r="B23" s="86" t="s">
        <v>116</v>
      </c>
      <c r="C23" s="16" t="s">
        <v>119</v>
      </c>
      <c r="D23" s="16" t="s">
        <v>165</v>
      </c>
      <c r="E23" s="17" t="s">
        <v>164</v>
      </c>
      <c r="F23" s="17" t="s">
        <v>126</v>
      </c>
    </row>
    <row r="24" spans="2:6" ht="15" x14ac:dyDescent="0.25">
      <c r="B24" s="18">
        <v>1</v>
      </c>
      <c r="C24" s="19" t="s">
        <v>158</v>
      </c>
      <c r="D24" s="20"/>
      <c r="E24" s="110"/>
      <c r="F24" s="20">
        <f>B24*D24*E24</f>
        <v>0</v>
      </c>
    </row>
    <row r="25" spans="2:6" ht="15" x14ac:dyDescent="0.25">
      <c r="B25" s="18">
        <v>1</v>
      </c>
      <c r="C25" s="19" t="s">
        <v>159</v>
      </c>
      <c r="D25" s="20"/>
      <c r="E25" s="110"/>
      <c r="F25" s="20">
        <f>B25*D25*E25</f>
        <v>0</v>
      </c>
    </row>
    <row r="26" spans="2:6" ht="15.75" thickBot="1" x14ac:dyDescent="0.3">
      <c r="B26" s="93"/>
      <c r="C26" s="94"/>
      <c r="D26" s="95"/>
      <c r="E26" s="96"/>
      <c r="F26" s="96"/>
    </row>
    <row r="27" spans="2:6" ht="17.25" thickTop="1" thickBot="1" x14ac:dyDescent="0.3">
      <c r="B27" s="118" t="s">
        <v>167</v>
      </c>
      <c r="C27" s="118"/>
      <c r="D27" s="118"/>
      <c r="E27" s="118"/>
      <c r="F27" s="79">
        <f>SUM(F29:F29)</f>
        <v>0</v>
      </c>
    </row>
    <row r="28" spans="2:6" ht="16.5" thickTop="1" x14ac:dyDescent="0.25">
      <c r="B28" s="86" t="s">
        <v>116</v>
      </c>
      <c r="C28" s="16" t="s">
        <v>119</v>
      </c>
      <c r="D28" s="16" t="s">
        <v>165</v>
      </c>
      <c r="E28" s="17" t="s">
        <v>164</v>
      </c>
      <c r="F28" s="17" t="s">
        <v>126</v>
      </c>
    </row>
    <row r="29" spans="2:6" ht="15" x14ac:dyDescent="0.25">
      <c r="B29" s="18">
        <v>1</v>
      </c>
      <c r="C29" s="19" t="s">
        <v>168</v>
      </c>
      <c r="D29" s="20"/>
      <c r="E29" s="110"/>
      <c r="F29" s="20">
        <f>B29*D29*E29</f>
        <v>0</v>
      </c>
    </row>
    <row r="30" spans="2:6" ht="15.75" thickBot="1" x14ac:dyDescent="0.3">
      <c r="B30" s="93"/>
      <c r="C30" s="94"/>
      <c r="D30" s="95"/>
      <c r="E30" s="96"/>
      <c r="F30" s="96"/>
    </row>
    <row r="31" spans="2:6" ht="17.25" thickTop="1" thickBot="1" x14ac:dyDescent="0.3">
      <c r="B31" s="118" t="s">
        <v>169</v>
      </c>
      <c r="C31" s="118"/>
      <c r="D31" s="118"/>
      <c r="E31" s="118"/>
      <c r="F31" s="79">
        <f>SUM(F33:F38)</f>
        <v>2291.6666666666665</v>
      </c>
    </row>
    <row r="32" spans="2:6" ht="16.5" thickTop="1" x14ac:dyDescent="0.25">
      <c r="B32" s="86" t="s">
        <v>116</v>
      </c>
      <c r="C32" s="16" t="s">
        <v>119</v>
      </c>
      <c r="D32" s="16" t="s">
        <v>165</v>
      </c>
      <c r="E32" s="17" t="s">
        <v>163</v>
      </c>
      <c r="F32" s="17" t="s">
        <v>126</v>
      </c>
    </row>
    <row r="33" spans="2:6" ht="15" x14ac:dyDescent="0.25">
      <c r="B33" s="18"/>
      <c r="C33" s="19" t="s">
        <v>157</v>
      </c>
      <c r="D33" s="20"/>
      <c r="E33" s="109"/>
      <c r="F33" s="20">
        <f t="shared" ref="F33:F38" si="1">B33*D33</f>
        <v>0</v>
      </c>
    </row>
    <row r="34" spans="2:6" ht="15" x14ac:dyDescent="0.25">
      <c r="B34" s="110">
        <f>1/12</f>
        <v>8.3333333333333329E-2</v>
      </c>
      <c r="C34" s="19" t="s">
        <v>158</v>
      </c>
      <c r="D34" s="20">
        <v>27500</v>
      </c>
      <c r="E34" s="20" t="s">
        <v>230</v>
      </c>
      <c r="F34" s="20">
        <f t="shared" si="1"/>
        <v>2291.6666666666665</v>
      </c>
    </row>
    <row r="35" spans="2:6" ht="15" x14ac:dyDescent="0.25">
      <c r="B35" s="18"/>
      <c r="C35" s="19" t="s">
        <v>159</v>
      </c>
      <c r="D35" s="20"/>
      <c r="E35" s="110"/>
      <c r="F35" s="20">
        <f t="shared" si="1"/>
        <v>0</v>
      </c>
    </row>
    <row r="36" spans="2:6" ht="15" x14ac:dyDescent="0.25">
      <c r="B36" s="18"/>
      <c r="C36" s="19" t="s">
        <v>160</v>
      </c>
      <c r="D36" s="20"/>
      <c r="E36" s="20"/>
      <c r="F36" s="20">
        <f t="shared" si="1"/>
        <v>0</v>
      </c>
    </row>
    <row r="37" spans="2:6" ht="15" x14ac:dyDescent="0.25">
      <c r="B37" s="18"/>
      <c r="C37" s="19" t="s">
        <v>161</v>
      </c>
      <c r="D37" s="20"/>
      <c r="E37" s="20"/>
      <c r="F37" s="20">
        <f t="shared" si="1"/>
        <v>0</v>
      </c>
    </row>
    <row r="38" spans="2:6" ht="15" x14ac:dyDescent="0.25">
      <c r="B38" s="18">
        <v>0</v>
      </c>
      <c r="C38" s="19" t="s">
        <v>162</v>
      </c>
      <c r="D38" s="20">
        <v>13500</v>
      </c>
      <c r="E38" s="20" t="s">
        <v>230</v>
      </c>
      <c r="F38" s="20">
        <f t="shared" si="1"/>
        <v>0</v>
      </c>
    </row>
    <row r="39" spans="2:6" ht="15.75" thickBot="1" x14ac:dyDescent="0.3">
      <c r="B39" s="93"/>
      <c r="C39" s="94"/>
      <c r="D39" s="95"/>
      <c r="E39" s="96"/>
      <c r="F39" s="96"/>
    </row>
    <row r="40" spans="2:6" s="30" customFormat="1" ht="17.25" thickTop="1" thickBot="1" x14ac:dyDescent="0.3">
      <c r="C40" s="77" t="s">
        <v>5</v>
      </c>
      <c r="D40" s="78"/>
      <c r="E40" s="79"/>
      <c r="F40" s="79">
        <f>F31+F27+F22+F16+F7</f>
        <v>13626.349999999999</v>
      </c>
    </row>
    <row r="41" spans="2:6" ht="13.5" thickTop="1" x14ac:dyDescent="0.2"/>
  </sheetData>
  <mergeCells count="1">
    <mergeCell ref="C3:G5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35"/>
  <sheetViews>
    <sheetView topLeftCell="D4" zoomScale="98" zoomScaleNormal="98" workbookViewId="0">
      <selection activeCell="L20" sqref="L20"/>
    </sheetView>
  </sheetViews>
  <sheetFormatPr baseColWidth="10" defaultColWidth="9.140625" defaultRowHeight="15" x14ac:dyDescent="0.2"/>
  <cols>
    <col min="1" max="1" width="3" style="2" customWidth="1"/>
    <col min="2" max="2" width="35.85546875" style="2" bestFit="1" customWidth="1"/>
    <col min="3" max="3" width="9.140625" style="2" customWidth="1"/>
    <col min="4" max="4" width="9.7109375" style="2" customWidth="1"/>
    <col min="5" max="5" width="9.5703125" style="2" customWidth="1"/>
    <col min="6" max="6" width="13.42578125" style="2" bestFit="1" customWidth="1"/>
    <col min="7" max="7" width="13.85546875" style="2" customWidth="1"/>
    <col min="8" max="8" width="20" style="3" bestFit="1" customWidth="1"/>
    <col min="9" max="9" width="12" style="2" bestFit="1" customWidth="1"/>
    <col min="10" max="16384" width="9.140625" style="2"/>
  </cols>
  <sheetData>
    <row r="2" spans="2:10" ht="15.75" thickBot="1" x14ac:dyDescent="0.25"/>
    <row r="3" spans="2:10" s="14" customFormat="1" ht="13.5" customHeight="1" thickTop="1" x14ac:dyDescent="0.2">
      <c r="B3" s="267" t="s">
        <v>178</v>
      </c>
      <c r="C3" s="268"/>
      <c r="D3" s="268"/>
      <c r="E3" s="268"/>
      <c r="F3" s="268"/>
      <c r="G3" s="268"/>
      <c r="H3" s="268"/>
    </row>
    <row r="4" spans="2:10" s="14" customFormat="1" ht="12.75" customHeight="1" x14ac:dyDescent="0.2">
      <c r="B4" s="269"/>
      <c r="C4" s="269"/>
      <c r="D4" s="269"/>
      <c r="E4" s="269"/>
      <c r="F4" s="269"/>
      <c r="G4" s="269"/>
      <c r="H4" s="269"/>
    </row>
    <row r="5" spans="2:10" s="14" customFormat="1" ht="13.5" customHeight="1" x14ac:dyDescent="0.2">
      <c r="B5" s="269"/>
      <c r="C5" s="269"/>
      <c r="D5" s="269"/>
      <c r="E5" s="269"/>
      <c r="F5" s="269"/>
      <c r="G5" s="269"/>
      <c r="H5" s="269"/>
    </row>
    <row r="6" spans="2:10" s="120" customFormat="1" ht="13.5" customHeight="1" x14ac:dyDescent="0.2">
      <c r="B6" s="121"/>
      <c r="C6" s="122"/>
      <c r="D6" s="122"/>
      <c r="E6" s="122"/>
      <c r="F6" s="122"/>
      <c r="G6" s="122"/>
      <c r="H6" s="121"/>
    </row>
    <row r="7" spans="2:10" ht="8.25" customHeight="1" thickBot="1" x14ac:dyDescent="0.3">
      <c r="B7" s="123"/>
      <c r="C7" s="123"/>
      <c r="D7" s="123"/>
      <c r="E7" s="123"/>
      <c r="F7" s="123"/>
      <c r="G7" s="123"/>
      <c r="H7" s="123"/>
    </row>
    <row r="8" spans="2:10" ht="19.5" thickTop="1" thickBot="1" x14ac:dyDescent="0.3">
      <c r="B8" s="125" t="s">
        <v>17</v>
      </c>
      <c r="C8" s="126"/>
      <c r="D8" s="126"/>
      <c r="E8" s="126"/>
      <c r="F8" s="126"/>
      <c r="G8" s="126"/>
      <c r="H8" s="125" t="s">
        <v>18</v>
      </c>
    </row>
    <row r="9" spans="2:10" ht="18.75" thickTop="1" x14ac:dyDescent="0.25">
      <c r="H9" s="124"/>
    </row>
    <row r="10" spans="2:10" x14ac:dyDescent="0.2">
      <c r="B10" s="152" t="s">
        <v>0</v>
      </c>
      <c r="C10" s="150"/>
      <c r="D10" s="150"/>
      <c r="E10" s="150"/>
      <c r="F10" s="150"/>
      <c r="G10" s="150"/>
      <c r="H10" s="151">
        <f>'PERSONAL A SUBROGAR '!H14</f>
        <v>82366.789999999994</v>
      </c>
      <c r="I10" s="12">
        <f>H10*G17</f>
        <v>0</v>
      </c>
      <c r="J10" s="13" t="s">
        <v>15</v>
      </c>
    </row>
    <row r="11" spans="2:10" x14ac:dyDescent="0.2">
      <c r="B11" s="152" t="s">
        <v>179</v>
      </c>
      <c r="C11" s="150"/>
      <c r="D11"/>
      <c r="E11" s="150"/>
      <c r="F11" s="150"/>
      <c r="G11" s="150"/>
      <c r="H11" s="151">
        <f>'NOU PERSONAL '!F40</f>
        <v>13626.349999999999</v>
      </c>
      <c r="I11" s="12">
        <f>H11*G17</f>
        <v>0</v>
      </c>
      <c r="J11" s="13" t="s">
        <v>16</v>
      </c>
    </row>
    <row r="12" spans="2:10" x14ac:dyDescent="0.2">
      <c r="B12" s="127"/>
      <c r="C12" s="127"/>
      <c r="D12" s="127"/>
      <c r="E12" s="127"/>
      <c r="F12" s="127"/>
      <c r="G12" s="127"/>
      <c r="H12" s="134"/>
    </row>
    <row r="13" spans="2:10" x14ac:dyDescent="0.2">
      <c r="B13" s="127"/>
      <c r="C13" s="127"/>
      <c r="D13" s="127"/>
      <c r="E13" s="127"/>
      <c r="F13" s="127"/>
      <c r="G13" s="127"/>
      <c r="H13" s="134"/>
    </row>
    <row r="14" spans="2:10" ht="15.75" x14ac:dyDescent="0.25">
      <c r="B14" s="136" t="s">
        <v>19</v>
      </c>
      <c r="C14" s="137"/>
      <c r="D14" s="137"/>
      <c r="E14" s="137"/>
      <c r="F14" s="137"/>
      <c r="G14" s="137"/>
      <c r="H14" s="138">
        <f>H10+H11</f>
        <v>95993.139999999985</v>
      </c>
    </row>
    <row r="15" spans="2:10" x14ac:dyDescent="0.2">
      <c r="B15" s="127"/>
      <c r="C15" s="127"/>
      <c r="D15" s="127"/>
      <c r="E15" s="127"/>
      <c r="F15" s="127"/>
      <c r="G15" s="127"/>
      <c r="H15" s="134"/>
    </row>
    <row r="16" spans="2:10" x14ac:dyDescent="0.2">
      <c r="B16" s="127"/>
      <c r="C16" s="127"/>
      <c r="D16" s="127"/>
      <c r="E16" s="127"/>
      <c r="F16" s="127"/>
      <c r="G16" s="127"/>
      <c r="H16" s="134"/>
    </row>
    <row r="17" spans="2:8" ht="15.75" x14ac:dyDescent="0.25">
      <c r="B17" s="136" t="s">
        <v>20</v>
      </c>
      <c r="C17" s="140"/>
      <c r="D17" s="140"/>
      <c r="E17" s="140"/>
      <c r="F17" s="140"/>
      <c r="G17" s="141">
        <v>0</v>
      </c>
      <c r="H17" s="144">
        <f>ROUND($H$14*G17,2)</f>
        <v>0</v>
      </c>
    </row>
    <row r="18" spans="2:8" x14ac:dyDescent="0.2">
      <c r="B18" s="133"/>
      <c r="C18" s="127"/>
      <c r="D18" s="127"/>
      <c r="E18" s="127"/>
      <c r="F18" s="127"/>
      <c r="G18" s="127"/>
      <c r="H18" s="134"/>
    </row>
    <row r="19" spans="2:8" x14ac:dyDescent="0.2">
      <c r="B19" s="145" t="s">
        <v>21</v>
      </c>
      <c r="C19" s="146" t="s">
        <v>7</v>
      </c>
      <c r="D19" s="146" t="s">
        <v>8</v>
      </c>
      <c r="E19" s="146" t="s">
        <v>9</v>
      </c>
      <c r="F19" s="146" t="s">
        <v>10</v>
      </c>
      <c r="G19" s="146" t="s">
        <v>11</v>
      </c>
      <c r="H19" s="147"/>
    </row>
    <row r="20" spans="2:8" x14ac:dyDescent="0.2">
      <c r="B20" s="148"/>
      <c r="C20" s="148"/>
      <c r="D20" s="148"/>
      <c r="E20" s="148"/>
      <c r="F20" s="148"/>
      <c r="G20" s="148"/>
      <c r="H20" s="147"/>
    </row>
    <row r="21" spans="2:8" x14ac:dyDescent="0.2">
      <c r="B21" s="145" t="s">
        <v>22</v>
      </c>
      <c r="C21" s="148">
        <f>'PERSONAL A SUBROGAR '!B17*0.1</f>
        <v>0.4</v>
      </c>
      <c r="D21" s="148">
        <v>12</v>
      </c>
      <c r="E21" s="148">
        <v>0</v>
      </c>
      <c r="F21" s="149">
        <f>C21*D21*E21</f>
        <v>0</v>
      </c>
      <c r="G21" s="148">
        <v>11.4</v>
      </c>
      <c r="H21" s="147">
        <f>ROUND(F21*G21,2)</f>
        <v>0</v>
      </c>
    </row>
    <row r="22" spans="2:8" x14ac:dyDescent="0.2">
      <c r="B22" s="145" t="s">
        <v>23</v>
      </c>
      <c r="C22" s="148">
        <f>C21</f>
        <v>0.4</v>
      </c>
      <c r="D22" s="148">
        <v>12</v>
      </c>
      <c r="E22" s="148">
        <v>0</v>
      </c>
      <c r="F22" s="149">
        <f>C22*D22*E22</f>
        <v>0</v>
      </c>
      <c r="G22" s="148">
        <f>G21</f>
        <v>11.4</v>
      </c>
      <c r="H22" s="147">
        <f>ROUND(F22*G22,2)</f>
        <v>0</v>
      </c>
    </row>
    <row r="23" spans="2:8" x14ac:dyDescent="0.2">
      <c r="B23" s="145" t="s">
        <v>24</v>
      </c>
      <c r="C23" s="148">
        <f>C22</f>
        <v>0.4</v>
      </c>
      <c r="D23" s="148">
        <v>12</v>
      </c>
      <c r="E23" s="148">
        <v>0</v>
      </c>
      <c r="F23" s="149">
        <f>C23*D23*E23</f>
        <v>0</v>
      </c>
      <c r="G23" s="148">
        <f>G22</f>
        <v>11.4</v>
      </c>
      <c r="H23" s="147">
        <f>ROUND(F23*G23,2)</f>
        <v>0</v>
      </c>
    </row>
    <row r="24" spans="2:8" ht="15.75" x14ac:dyDescent="0.25">
      <c r="B24" s="139"/>
      <c r="C24" s="127"/>
      <c r="D24" s="127"/>
      <c r="E24" s="127"/>
      <c r="F24" s="131"/>
      <c r="G24" s="127"/>
      <c r="H24" s="134"/>
    </row>
    <row r="25" spans="2:8" ht="15.75" x14ac:dyDescent="0.25">
      <c r="B25" s="142" t="s">
        <v>25</v>
      </c>
      <c r="C25" s="140"/>
      <c r="D25" s="140"/>
      <c r="E25" s="140"/>
      <c r="F25" s="140"/>
      <c r="G25" s="140"/>
      <c r="H25" s="144">
        <f>H21+H22+H23</f>
        <v>0</v>
      </c>
    </row>
    <row r="26" spans="2:8" ht="15.75" x14ac:dyDescent="0.25">
      <c r="B26" s="132" t="s">
        <v>12</v>
      </c>
      <c r="C26" s="130" t="s">
        <v>7</v>
      </c>
      <c r="D26" s="130" t="s">
        <v>9</v>
      </c>
      <c r="E26" s="130" t="s">
        <v>61</v>
      </c>
      <c r="F26" s="130"/>
      <c r="G26" s="130" t="s">
        <v>13</v>
      </c>
      <c r="H26" s="134"/>
    </row>
    <row r="27" spans="2:8" ht="15.75" x14ac:dyDescent="0.25">
      <c r="B27" s="139" t="s">
        <v>174</v>
      </c>
      <c r="C27" s="127">
        <v>1</v>
      </c>
      <c r="D27" s="127">
        <v>0</v>
      </c>
      <c r="E27" s="127">
        <v>0</v>
      </c>
      <c r="F27" s="128" t="s">
        <v>60</v>
      </c>
      <c r="G27" s="127">
        <v>11</v>
      </c>
      <c r="H27" s="134">
        <f>G27*E27*D27*C27</f>
        <v>0</v>
      </c>
    </row>
    <row r="28" spans="2:8" ht="15.75" x14ac:dyDescent="0.25">
      <c r="B28" s="136" t="s">
        <v>31</v>
      </c>
      <c r="C28" s="140"/>
      <c r="D28" s="140"/>
      <c r="E28" s="140"/>
      <c r="F28" s="140"/>
      <c r="G28" s="140"/>
      <c r="H28" s="144">
        <f>SUM(H27:H27)</f>
        <v>0</v>
      </c>
    </row>
    <row r="29" spans="2:8" x14ac:dyDescent="0.2">
      <c r="B29" s="127"/>
      <c r="C29" s="127"/>
      <c r="D29" s="127"/>
      <c r="E29" s="127"/>
      <c r="F29" s="127"/>
      <c r="G29" s="127"/>
      <c r="H29" s="135"/>
    </row>
    <row r="30" spans="2:8" ht="15.75" x14ac:dyDescent="0.25">
      <c r="B30" s="129"/>
      <c r="C30" s="127"/>
      <c r="D30" s="127"/>
      <c r="E30" s="127"/>
      <c r="F30" s="127"/>
      <c r="G30" s="127"/>
      <c r="H30" s="134"/>
    </row>
    <row r="31" spans="2:8" ht="15.75" x14ac:dyDescent="0.25">
      <c r="B31" s="143" t="s">
        <v>30</v>
      </c>
      <c r="C31" s="140"/>
      <c r="D31" s="140"/>
      <c r="E31" s="140"/>
      <c r="F31" s="140"/>
      <c r="G31" s="140"/>
      <c r="H31" s="144">
        <f>H28+H25+H17+H14</f>
        <v>95993.139999999985</v>
      </c>
    </row>
    <row r="32" spans="2:8" ht="10.5" customHeight="1" x14ac:dyDescent="0.2"/>
    <row r="35" spans="11:11" x14ac:dyDescent="0.2">
      <c r="K35" s="4"/>
    </row>
  </sheetData>
  <mergeCells count="1">
    <mergeCell ref="B3:H5"/>
  </mergeCells>
  <phoneticPr fontId="5" type="noConversion"/>
  <printOptions horizontalCentered="1" verticalCentered="1"/>
  <pageMargins left="0.74803149606299213" right="0.74803149606299213" top="0.98425196850393704" bottom="0.98425196850393704" header="0" footer="0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34"/>
  <sheetViews>
    <sheetView zoomScale="98" zoomScaleNormal="98" workbookViewId="0">
      <pane xSplit="5" topLeftCell="H1" activePane="topRight" state="frozen"/>
      <selection pane="topRight" activeCell="I33" sqref="I33"/>
    </sheetView>
  </sheetViews>
  <sheetFormatPr baseColWidth="10" defaultColWidth="9.140625" defaultRowHeight="12.75" x14ac:dyDescent="0.2"/>
  <cols>
    <col min="1" max="1" width="9.140625" style="207" customWidth="1"/>
    <col min="2" max="2" width="4.28515625" style="207" bestFit="1" customWidth="1"/>
    <col min="3" max="3" width="7.28515625" style="207" bestFit="1" customWidth="1"/>
    <col min="4" max="4" width="4.28515625" style="207" bestFit="1" customWidth="1"/>
    <col min="5" max="5" width="39.85546875" style="207" bestFit="1" customWidth="1"/>
    <col min="6" max="6" width="25.42578125" style="207" bestFit="1" customWidth="1"/>
    <col min="7" max="7" width="21.140625" style="207" customWidth="1"/>
    <col min="8" max="8" width="21.140625" style="207" bestFit="1" customWidth="1"/>
    <col min="9" max="9" width="25.42578125" style="208" bestFit="1" customWidth="1"/>
    <col min="10" max="11" width="25.42578125" style="208" customWidth="1"/>
    <col min="12" max="12" width="13.85546875" style="207" bestFit="1" customWidth="1"/>
    <col min="13" max="13" width="12.5703125" style="207" bestFit="1" customWidth="1"/>
    <col min="14" max="14" width="13.85546875" style="207" bestFit="1" customWidth="1"/>
    <col min="15" max="17" width="17" style="207" customWidth="1"/>
    <col min="18" max="18" width="12.140625" style="207" bestFit="1" customWidth="1"/>
    <col min="19" max="20" width="10.7109375" style="207" bestFit="1" customWidth="1"/>
    <col min="21" max="21" width="11.140625" style="207" bestFit="1" customWidth="1"/>
    <col min="22" max="16384" width="9.140625" style="207"/>
  </cols>
  <sheetData>
    <row r="2" spans="1:21" ht="13.5" thickBot="1" x14ac:dyDescent="0.25"/>
    <row r="3" spans="1:21" ht="13.5" customHeight="1" thickTop="1" x14ac:dyDescent="0.2">
      <c r="E3" s="284" t="s">
        <v>189</v>
      </c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</row>
    <row r="4" spans="1:21" ht="12.75" customHeight="1" x14ac:dyDescent="0.2"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</row>
    <row r="5" spans="1:21" ht="13.5" customHeight="1" thickBot="1" x14ac:dyDescent="0.25">
      <c r="E5" s="287"/>
      <c r="F5" s="287"/>
      <c r="G5" s="287"/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287"/>
      <c r="S5" s="287"/>
    </row>
    <row r="6" spans="1:21" ht="14.25" thickTop="1" thickBot="1" x14ac:dyDescent="0.25"/>
    <row r="7" spans="1:21" ht="19.5" thickTop="1" x14ac:dyDescent="0.2">
      <c r="F7" s="278" t="s">
        <v>180</v>
      </c>
      <c r="G7" s="278"/>
      <c r="H7" s="278"/>
      <c r="I7" s="279"/>
      <c r="J7" s="279"/>
      <c r="K7" s="279"/>
      <c r="L7" s="278"/>
      <c r="M7" s="205"/>
      <c r="N7" s="205"/>
      <c r="O7" s="209"/>
      <c r="P7" s="278" t="s">
        <v>79</v>
      </c>
      <c r="Q7" s="282"/>
      <c r="R7" s="282"/>
      <c r="S7" s="282"/>
      <c r="T7" s="282"/>
      <c r="U7" s="282"/>
    </row>
    <row r="8" spans="1:21" ht="19.5" thickBot="1" x14ac:dyDescent="0.25">
      <c r="F8" s="280"/>
      <c r="G8" s="280"/>
      <c r="H8" s="280"/>
      <c r="I8" s="281"/>
      <c r="J8" s="281"/>
      <c r="K8" s="281"/>
      <c r="L8" s="280"/>
      <c r="M8" s="206"/>
      <c r="N8" s="206"/>
      <c r="O8" s="210"/>
      <c r="P8" s="283"/>
      <c r="Q8" s="283"/>
      <c r="R8" s="283"/>
      <c r="S8" s="283"/>
      <c r="T8" s="283"/>
      <c r="U8" s="283"/>
    </row>
    <row r="9" spans="1:21" ht="14.25" thickTop="1" thickBot="1" x14ac:dyDescent="0.25">
      <c r="I9" s="207"/>
      <c r="J9" s="207"/>
      <c r="K9" s="207"/>
      <c r="S9" s="207" t="s">
        <v>78</v>
      </c>
    </row>
    <row r="10" spans="1:21" ht="17.25" thickTop="1" thickBot="1" x14ac:dyDescent="0.3">
      <c r="B10" s="277" t="s">
        <v>116</v>
      </c>
      <c r="C10" s="277"/>
      <c r="D10" s="277"/>
      <c r="F10" s="288" t="s">
        <v>232</v>
      </c>
      <c r="G10" s="288"/>
      <c r="H10" s="289"/>
      <c r="I10" s="290" t="s">
        <v>233</v>
      </c>
      <c r="J10" s="291"/>
      <c r="K10" s="211" t="s">
        <v>263</v>
      </c>
      <c r="L10" s="207">
        <v>8</v>
      </c>
      <c r="M10" s="207" t="s">
        <v>260</v>
      </c>
      <c r="S10" s="207">
        <v>1.6</v>
      </c>
    </row>
    <row r="11" spans="1:21" ht="16.5" thickTop="1" x14ac:dyDescent="0.25">
      <c r="A11" s="207" t="s">
        <v>264</v>
      </c>
      <c r="B11" s="212" t="s">
        <v>234</v>
      </c>
      <c r="C11" s="212" t="s">
        <v>261</v>
      </c>
      <c r="D11" s="212" t="s">
        <v>235</v>
      </c>
      <c r="E11" s="213" t="s">
        <v>63</v>
      </c>
      <c r="F11" s="214" t="s">
        <v>183</v>
      </c>
      <c r="G11" s="213" t="s">
        <v>184</v>
      </c>
      <c r="H11" s="213" t="s">
        <v>103</v>
      </c>
      <c r="I11" s="214" t="s">
        <v>183</v>
      </c>
      <c r="J11" s="213" t="s">
        <v>185</v>
      </c>
      <c r="K11" s="215" t="s">
        <v>262</v>
      </c>
      <c r="L11" s="174" t="s">
        <v>113</v>
      </c>
      <c r="M11" s="174" t="s">
        <v>113</v>
      </c>
      <c r="N11" s="174" t="s">
        <v>114</v>
      </c>
      <c r="O11" s="213" t="s">
        <v>108</v>
      </c>
      <c r="P11" s="213" t="s">
        <v>110</v>
      </c>
      <c r="Q11" s="213" t="s">
        <v>109</v>
      </c>
      <c r="R11" s="213" t="s">
        <v>188</v>
      </c>
      <c r="S11" s="174" t="s">
        <v>53</v>
      </c>
      <c r="T11" s="213" t="s">
        <v>111</v>
      </c>
      <c r="U11" s="213" t="s">
        <v>112</v>
      </c>
    </row>
    <row r="12" spans="1:21" ht="15" x14ac:dyDescent="0.25">
      <c r="A12" s="207">
        <f>SUM(B12:D12)</f>
        <v>1</v>
      </c>
      <c r="B12" s="216">
        <v>0</v>
      </c>
      <c r="C12" s="216">
        <v>1</v>
      </c>
      <c r="D12" s="216">
        <v>0</v>
      </c>
      <c r="E12" s="217" t="s">
        <v>104</v>
      </c>
      <c r="F12" s="218">
        <v>25525.360000000001</v>
      </c>
      <c r="G12" s="219">
        <v>15652.25</v>
      </c>
      <c r="H12" s="219">
        <v>480.25</v>
      </c>
      <c r="I12" s="220">
        <f>F12*B12</f>
        <v>0</v>
      </c>
      <c r="J12" s="221">
        <f>G12*C12</f>
        <v>15652.25</v>
      </c>
      <c r="K12" s="222">
        <f>H12*D12</f>
        <v>0</v>
      </c>
      <c r="L12" s="223">
        <f>(I12/$L$10)*B12</f>
        <v>0</v>
      </c>
      <c r="M12" s="223">
        <f>(J12/$L$10)*C12</f>
        <v>1956.53125</v>
      </c>
      <c r="N12" s="224">
        <f>H12*12*D12</f>
        <v>0</v>
      </c>
      <c r="O12" s="216">
        <v>50</v>
      </c>
      <c r="P12" s="216">
        <f>7/100</f>
        <v>7.0000000000000007E-2</v>
      </c>
      <c r="Q12" s="216">
        <v>240</v>
      </c>
      <c r="R12" s="216">
        <f>O12*Q12*A12*P12</f>
        <v>840.00000000000011</v>
      </c>
      <c r="S12" s="225">
        <f t="shared" ref="S12:S21" si="0">R12*$S$10</f>
        <v>1344.0000000000002</v>
      </c>
      <c r="T12" s="226">
        <v>500</v>
      </c>
      <c r="U12" s="226">
        <f>T12*B12</f>
        <v>0</v>
      </c>
    </row>
    <row r="13" spans="1:21" ht="15" x14ac:dyDescent="0.25">
      <c r="A13" s="207">
        <f t="shared" ref="A13:A21" si="1">SUM(B13:D13)</f>
        <v>0</v>
      </c>
      <c r="B13" s="216">
        <v>0</v>
      </c>
      <c r="C13" s="216">
        <v>0</v>
      </c>
      <c r="D13" s="216">
        <v>0</v>
      </c>
      <c r="E13" s="217" t="s">
        <v>105</v>
      </c>
      <c r="F13" s="218">
        <v>19500.25</v>
      </c>
      <c r="G13" s="219">
        <v>12500</v>
      </c>
      <c r="H13" s="219">
        <v>510</v>
      </c>
      <c r="I13" s="220">
        <f t="shared" ref="I13:I21" si="2">F13*B13</f>
        <v>0</v>
      </c>
      <c r="J13" s="221">
        <f t="shared" ref="J13:J21" si="3">G13*C13</f>
        <v>0</v>
      </c>
      <c r="K13" s="222">
        <f t="shared" ref="K13:K21" si="4">H13*D13</f>
        <v>0</v>
      </c>
      <c r="L13" s="223">
        <f t="shared" ref="L13:L21" si="5">(I13/$L$10)*B13</f>
        <v>0</v>
      </c>
      <c r="M13" s="223">
        <f t="shared" ref="M13:M21" si="6">(J13/$L$10)*C13</f>
        <v>0</v>
      </c>
      <c r="N13" s="224">
        <f t="shared" ref="N13:N21" si="7">H13*12*D13</f>
        <v>0</v>
      </c>
      <c r="O13" s="216"/>
      <c r="P13" s="216">
        <v>0</v>
      </c>
      <c r="Q13" s="216">
        <v>0</v>
      </c>
      <c r="R13" s="216">
        <f t="shared" ref="R13:R21" si="8">O13*Q13*B13*P13</f>
        <v>0</v>
      </c>
      <c r="S13" s="225">
        <f t="shared" si="0"/>
        <v>0</v>
      </c>
      <c r="T13" s="226">
        <v>0</v>
      </c>
      <c r="U13" s="226">
        <v>0</v>
      </c>
    </row>
    <row r="14" spans="1:21" ht="15" x14ac:dyDescent="0.25">
      <c r="A14" s="207">
        <f t="shared" si="1"/>
        <v>0</v>
      </c>
      <c r="B14" s="216">
        <v>0</v>
      </c>
      <c r="C14" s="216">
        <v>0</v>
      </c>
      <c r="D14" s="216">
        <v>0</v>
      </c>
      <c r="E14" s="217" t="s">
        <v>106</v>
      </c>
      <c r="F14" s="218">
        <v>16525.25</v>
      </c>
      <c r="G14" s="219">
        <v>275.25</v>
      </c>
      <c r="H14" s="219">
        <v>490</v>
      </c>
      <c r="I14" s="220">
        <f t="shared" si="2"/>
        <v>0</v>
      </c>
      <c r="J14" s="221">
        <f t="shared" si="3"/>
        <v>0</v>
      </c>
      <c r="K14" s="222">
        <f t="shared" si="4"/>
        <v>0</v>
      </c>
      <c r="L14" s="223">
        <f t="shared" si="5"/>
        <v>0</v>
      </c>
      <c r="M14" s="223">
        <f t="shared" si="6"/>
        <v>0</v>
      </c>
      <c r="N14" s="224">
        <f t="shared" si="7"/>
        <v>0</v>
      </c>
      <c r="O14" s="216"/>
      <c r="P14" s="216">
        <v>0</v>
      </c>
      <c r="Q14" s="216">
        <v>1</v>
      </c>
      <c r="R14" s="216">
        <f t="shared" si="8"/>
        <v>0</v>
      </c>
      <c r="S14" s="225">
        <f t="shared" si="0"/>
        <v>0</v>
      </c>
      <c r="T14" s="226">
        <v>0</v>
      </c>
      <c r="U14" s="226">
        <f t="shared" ref="U14:U21" si="9">T14*B14</f>
        <v>0</v>
      </c>
    </row>
    <row r="15" spans="1:21" ht="15" x14ac:dyDescent="0.25">
      <c r="A15" s="207">
        <f t="shared" si="1"/>
        <v>0</v>
      </c>
      <c r="B15" s="216">
        <v>0</v>
      </c>
      <c r="C15" s="216">
        <v>0</v>
      </c>
      <c r="D15" s="216">
        <v>0</v>
      </c>
      <c r="E15" s="217" t="s">
        <v>186</v>
      </c>
      <c r="F15" s="218">
        <v>35253.360000000001</v>
      </c>
      <c r="G15" s="219">
        <v>20536.330000000002</v>
      </c>
      <c r="H15" s="219">
        <v>510.25</v>
      </c>
      <c r="I15" s="220">
        <f t="shared" si="2"/>
        <v>0</v>
      </c>
      <c r="J15" s="221">
        <f t="shared" si="3"/>
        <v>0</v>
      </c>
      <c r="K15" s="222">
        <f t="shared" si="4"/>
        <v>0</v>
      </c>
      <c r="L15" s="223">
        <f t="shared" si="5"/>
        <v>0</v>
      </c>
      <c r="M15" s="223">
        <f t="shared" si="6"/>
        <v>0</v>
      </c>
      <c r="N15" s="224">
        <f t="shared" si="7"/>
        <v>0</v>
      </c>
      <c r="O15" s="216"/>
      <c r="P15" s="216">
        <v>7.0000000000000007E-2</v>
      </c>
      <c r="Q15" s="216">
        <v>140</v>
      </c>
      <c r="R15" s="216">
        <f t="shared" si="8"/>
        <v>0</v>
      </c>
      <c r="S15" s="225">
        <f t="shared" si="0"/>
        <v>0</v>
      </c>
      <c r="T15" s="226">
        <v>0</v>
      </c>
      <c r="U15" s="226">
        <f t="shared" si="9"/>
        <v>0</v>
      </c>
    </row>
    <row r="16" spans="1:21" ht="15" x14ac:dyDescent="0.25">
      <c r="A16" s="207">
        <f t="shared" si="1"/>
        <v>0</v>
      </c>
      <c r="B16" s="216">
        <v>0</v>
      </c>
      <c r="C16" s="216">
        <v>0</v>
      </c>
      <c r="D16" s="216">
        <v>0</v>
      </c>
      <c r="E16" s="217" t="s">
        <v>231</v>
      </c>
      <c r="F16" s="218">
        <v>24589.360000000001</v>
      </c>
      <c r="G16" s="219">
        <v>16353.26</v>
      </c>
      <c r="H16" s="219">
        <v>410</v>
      </c>
      <c r="I16" s="220">
        <f t="shared" si="2"/>
        <v>0</v>
      </c>
      <c r="J16" s="221">
        <f t="shared" si="3"/>
        <v>0</v>
      </c>
      <c r="K16" s="222">
        <f t="shared" si="4"/>
        <v>0</v>
      </c>
      <c r="L16" s="223">
        <f t="shared" si="5"/>
        <v>0</v>
      </c>
      <c r="M16" s="223">
        <f t="shared" si="6"/>
        <v>0</v>
      </c>
      <c r="N16" s="224">
        <f t="shared" si="7"/>
        <v>0</v>
      </c>
      <c r="O16" s="216"/>
      <c r="P16" s="216">
        <v>7.0000000000000007E-2</v>
      </c>
      <c r="Q16" s="216">
        <v>140</v>
      </c>
      <c r="R16" s="216">
        <f t="shared" si="8"/>
        <v>0</v>
      </c>
      <c r="S16" s="225">
        <f t="shared" si="0"/>
        <v>0</v>
      </c>
      <c r="T16" s="226">
        <v>0</v>
      </c>
      <c r="U16" s="226">
        <f t="shared" si="9"/>
        <v>0</v>
      </c>
    </row>
    <row r="17" spans="1:21" ht="15" x14ac:dyDescent="0.25">
      <c r="A17" s="207">
        <f t="shared" si="1"/>
        <v>0</v>
      </c>
      <c r="B17" s="216">
        <v>0</v>
      </c>
      <c r="C17" s="216">
        <v>0</v>
      </c>
      <c r="D17" s="216">
        <v>0</v>
      </c>
      <c r="E17" s="217" t="s">
        <v>107</v>
      </c>
      <c r="F17" s="218">
        <v>2100</v>
      </c>
      <c r="G17" s="219">
        <v>1200</v>
      </c>
      <c r="H17" s="219">
        <v>0</v>
      </c>
      <c r="I17" s="220">
        <f t="shared" si="2"/>
        <v>0</v>
      </c>
      <c r="J17" s="221">
        <f t="shared" si="3"/>
        <v>0</v>
      </c>
      <c r="K17" s="222">
        <f t="shared" si="4"/>
        <v>0</v>
      </c>
      <c r="L17" s="223">
        <f t="shared" si="5"/>
        <v>0</v>
      </c>
      <c r="M17" s="223">
        <f t="shared" si="6"/>
        <v>0</v>
      </c>
      <c r="N17" s="224">
        <f t="shared" si="7"/>
        <v>0</v>
      </c>
      <c r="O17" s="216"/>
      <c r="P17" s="216">
        <v>0</v>
      </c>
      <c r="Q17" s="216">
        <v>0</v>
      </c>
      <c r="R17" s="216">
        <f t="shared" si="8"/>
        <v>0</v>
      </c>
      <c r="S17" s="225">
        <f t="shared" si="0"/>
        <v>0</v>
      </c>
      <c r="T17" s="226">
        <v>0</v>
      </c>
      <c r="U17" s="226">
        <f t="shared" si="9"/>
        <v>0</v>
      </c>
    </row>
    <row r="18" spans="1:21" ht="15" x14ac:dyDescent="0.25">
      <c r="A18" s="207">
        <f t="shared" si="1"/>
        <v>0</v>
      </c>
      <c r="B18" s="216">
        <v>0</v>
      </c>
      <c r="C18" s="216">
        <v>0</v>
      </c>
      <c r="D18" s="216">
        <v>0</v>
      </c>
      <c r="E18" s="217" t="s">
        <v>181</v>
      </c>
      <c r="F18" s="218">
        <v>45500</v>
      </c>
      <c r="G18" s="219">
        <v>20256</v>
      </c>
      <c r="H18" s="219">
        <v>490</v>
      </c>
      <c r="I18" s="220">
        <f t="shared" si="2"/>
        <v>0</v>
      </c>
      <c r="J18" s="221">
        <f t="shared" si="3"/>
        <v>0</v>
      </c>
      <c r="K18" s="222">
        <f t="shared" si="4"/>
        <v>0</v>
      </c>
      <c r="L18" s="223">
        <f t="shared" si="5"/>
        <v>0</v>
      </c>
      <c r="M18" s="223">
        <f t="shared" si="6"/>
        <v>0</v>
      </c>
      <c r="N18" s="224">
        <f t="shared" si="7"/>
        <v>0</v>
      </c>
      <c r="O18" s="216"/>
      <c r="P18" s="216">
        <v>0.1</v>
      </c>
      <c r="Q18" s="216">
        <v>100</v>
      </c>
      <c r="R18" s="216">
        <f t="shared" si="8"/>
        <v>0</v>
      </c>
      <c r="S18" s="225">
        <f t="shared" si="0"/>
        <v>0</v>
      </c>
      <c r="T18" s="226">
        <v>0</v>
      </c>
      <c r="U18" s="226">
        <f t="shared" si="9"/>
        <v>0</v>
      </c>
    </row>
    <row r="19" spans="1:21" ht="15" x14ac:dyDescent="0.25">
      <c r="A19" s="207">
        <f t="shared" si="1"/>
        <v>0</v>
      </c>
      <c r="B19" s="216">
        <v>0</v>
      </c>
      <c r="C19" s="216">
        <v>0</v>
      </c>
      <c r="D19" s="216">
        <v>0</v>
      </c>
      <c r="E19" s="217" t="s">
        <v>182</v>
      </c>
      <c r="F19" s="218">
        <v>55265</v>
      </c>
      <c r="G19" s="219">
        <v>32565</v>
      </c>
      <c r="H19" s="219">
        <v>610</v>
      </c>
      <c r="I19" s="220">
        <f t="shared" si="2"/>
        <v>0</v>
      </c>
      <c r="J19" s="221">
        <f t="shared" si="3"/>
        <v>0</v>
      </c>
      <c r="K19" s="222">
        <f t="shared" si="4"/>
        <v>0</v>
      </c>
      <c r="L19" s="223">
        <f t="shared" si="5"/>
        <v>0</v>
      </c>
      <c r="M19" s="223">
        <f t="shared" si="6"/>
        <v>0</v>
      </c>
      <c r="N19" s="224">
        <f t="shared" si="7"/>
        <v>0</v>
      </c>
      <c r="O19" s="216"/>
      <c r="P19" s="216">
        <v>0.1</v>
      </c>
      <c r="Q19" s="216">
        <v>140</v>
      </c>
      <c r="R19" s="216">
        <f t="shared" si="8"/>
        <v>0</v>
      </c>
      <c r="S19" s="225">
        <f t="shared" si="0"/>
        <v>0</v>
      </c>
      <c r="T19" s="226">
        <v>0</v>
      </c>
      <c r="U19" s="226">
        <f t="shared" si="9"/>
        <v>0</v>
      </c>
    </row>
    <row r="20" spans="1:21" ht="15" x14ac:dyDescent="0.25">
      <c r="A20" s="207">
        <f t="shared" si="1"/>
        <v>0</v>
      </c>
      <c r="B20" s="216">
        <v>0</v>
      </c>
      <c r="C20" s="216">
        <v>0</v>
      </c>
      <c r="D20" s="216">
        <v>0</v>
      </c>
      <c r="E20" s="217" t="s">
        <v>248</v>
      </c>
      <c r="F20" s="218">
        <v>0</v>
      </c>
      <c r="G20" s="219">
        <v>5000</v>
      </c>
      <c r="H20" s="219">
        <v>0</v>
      </c>
      <c r="I20" s="220">
        <f t="shared" si="2"/>
        <v>0</v>
      </c>
      <c r="J20" s="221">
        <f t="shared" si="3"/>
        <v>0</v>
      </c>
      <c r="K20" s="222">
        <f t="shared" si="4"/>
        <v>0</v>
      </c>
      <c r="L20" s="223">
        <f t="shared" si="5"/>
        <v>0</v>
      </c>
      <c r="M20" s="223">
        <f t="shared" si="6"/>
        <v>0</v>
      </c>
      <c r="N20" s="224">
        <f t="shared" si="7"/>
        <v>0</v>
      </c>
      <c r="O20" s="216"/>
      <c r="P20" s="216">
        <v>7.0000000000000007E-2</v>
      </c>
      <c r="Q20" s="216">
        <v>140</v>
      </c>
      <c r="R20" s="216">
        <f t="shared" si="8"/>
        <v>0</v>
      </c>
      <c r="S20" s="225">
        <f t="shared" si="0"/>
        <v>0</v>
      </c>
      <c r="T20" s="226">
        <v>0</v>
      </c>
      <c r="U20" s="226">
        <f t="shared" si="9"/>
        <v>0</v>
      </c>
    </row>
    <row r="21" spans="1:21" ht="15.75" thickBot="1" x14ac:dyDescent="0.3">
      <c r="A21" s="207">
        <f t="shared" si="1"/>
        <v>0</v>
      </c>
      <c r="B21" s="216">
        <v>0</v>
      </c>
      <c r="C21" s="216">
        <v>0</v>
      </c>
      <c r="D21" s="216">
        <v>0</v>
      </c>
      <c r="E21" s="217" t="s">
        <v>187</v>
      </c>
      <c r="F21" s="227">
        <v>0</v>
      </c>
      <c r="G21" s="228">
        <v>0</v>
      </c>
      <c r="H21" s="228">
        <v>0</v>
      </c>
      <c r="I21" s="229">
        <f t="shared" si="2"/>
        <v>0</v>
      </c>
      <c r="J21" s="230">
        <f t="shared" si="3"/>
        <v>0</v>
      </c>
      <c r="K21" s="231">
        <f t="shared" si="4"/>
        <v>0</v>
      </c>
      <c r="L21" s="223">
        <f t="shared" si="5"/>
        <v>0</v>
      </c>
      <c r="M21" s="223">
        <f t="shared" si="6"/>
        <v>0</v>
      </c>
      <c r="N21" s="224">
        <f t="shared" si="7"/>
        <v>0</v>
      </c>
      <c r="O21" s="216"/>
      <c r="P21" s="216">
        <v>7.0000000000000007E-2</v>
      </c>
      <c r="Q21" s="216">
        <v>140</v>
      </c>
      <c r="R21" s="216">
        <f t="shared" si="8"/>
        <v>0</v>
      </c>
      <c r="S21" s="225">
        <f t="shared" si="0"/>
        <v>0</v>
      </c>
      <c r="T21" s="226">
        <v>0</v>
      </c>
      <c r="U21" s="226">
        <f t="shared" si="9"/>
        <v>0</v>
      </c>
    </row>
    <row r="22" spans="1:21" s="232" customFormat="1" ht="14.25" thickTop="1" thickBot="1" x14ac:dyDescent="0.25">
      <c r="F22" s="233"/>
      <c r="G22" s="233"/>
      <c r="H22" s="233"/>
      <c r="I22" s="234"/>
      <c r="J22" s="234"/>
      <c r="K22" s="234"/>
      <c r="L22" s="233"/>
      <c r="M22" s="233"/>
      <c r="N22" s="233"/>
    </row>
    <row r="23" spans="1:21" s="239" customFormat="1" ht="17.25" thickTop="1" thickBot="1" x14ac:dyDescent="0.3">
      <c r="B23" s="117">
        <f>SUM(B12:B22)</f>
        <v>0</v>
      </c>
      <c r="C23" s="117"/>
      <c r="D23" s="117"/>
      <c r="E23" s="117" t="s">
        <v>5</v>
      </c>
      <c r="F23" s="235"/>
      <c r="G23" s="235"/>
      <c r="H23" s="235"/>
      <c r="I23" s="236"/>
      <c r="J23" s="236"/>
      <c r="K23" s="237">
        <f>SUM(I12:K21)</f>
        <v>15652.25</v>
      </c>
      <c r="L23" s="237"/>
      <c r="M23" s="237"/>
      <c r="N23" s="237">
        <f>SUM(L12:N21)</f>
        <v>1956.53125</v>
      </c>
      <c r="O23" s="238"/>
      <c r="P23" s="117" t="s">
        <v>5</v>
      </c>
      <c r="Q23" s="235"/>
      <c r="R23" s="235"/>
      <c r="S23" s="237">
        <f>SUM(S12:S22)</f>
        <v>1344.0000000000002</v>
      </c>
      <c r="T23" s="237">
        <f>SUM(T12:T22)</f>
        <v>500</v>
      </c>
      <c r="U23" s="237">
        <f>SUM(U12:U22)</f>
        <v>0</v>
      </c>
    </row>
    <row r="24" spans="1:21" ht="13.5" thickTop="1" x14ac:dyDescent="0.2">
      <c r="B24" s="207" t="s">
        <v>1</v>
      </c>
      <c r="I24" s="207"/>
      <c r="J24" s="207"/>
      <c r="K24" s="207"/>
    </row>
    <row r="27" spans="1:21" ht="13.5" thickBot="1" x14ac:dyDescent="0.25"/>
    <row r="28" spans="1:21" ht="17.25" thickTop="1" thickBot="1" x14ac:dyDescent="0.3">
      <c r="E28" s="103" t="s">
        <v>127</v>
      </c>
      <c r="F28" s="239"/>
      <c r="G28" s="239"/>
      <c r="H28" s="239"/>
      <c r="I28" s="240"/>
      <c r="J28" s="240"/>
      <c r="K28" s="240"/>
    </row>
    <row r="29" spans="1:21" ht="17.25" thickTop="1" thickBot="1" x14ac:dyDescent="0.3">
      <c r="E29" s="239"/>
      <c r="F29" s="239"/>
      <c r="G29" s="239"/>
      <c r="H29" s="239"/>
      <c r="I29" s="240"/>
      <c r="J29" s="240"/>
      <c r="K29" s="240"/>
    </row>
    <row r="30" spans="1:21" ht="16.5" thickTop="1" x14ac:dyDescent="0.25">
      <c r="E30" s="241" t="s">
        <v>88</v>
      </c>
      <c r="F30" s="241"/>
      <c r="G30" s="241"/>
      <c r="H30" s="241"/>
      <c r="I30" s="242">
        <f>N23</f>
        <v>1956.53125</v>
      </c>
      <c r="J30" s="243"/>
      <c r="K30" s="243"/>
    </row>
    <row r="31" spans="1:21" ht="15.75" x14ac:dyDescent="0.25">
      <c r="E31" s="244" t="s">
        <v>273</v>
      </c>
      <c r="F31" s="244"/>
      <c r="G31" s="244"/>
      <c r="H31" s="244"/>
      <c r="I31" s="245">
        <f>S23+T23</f>
        <v>1844.0000000000002</v>
      </c>
      <c r="J31" s="243"/>
      <c r="K31" s="243"/>
    </row>
    <row r="32" spans="1:21" ht="16.5" thickBot="1" x14ac:dyDescent="0.3">
      <c r="E32" s="246" t="s">
        <v>274</v>
      </c>
      <c r="F32" s="246"/>
      <c r="G32" s="246"/>
      <c r="H32" s="246"/>
      <c r="I32" s="247">
        <f>I30*0.1</f>
        <v>195.65312500000002</v>
      </c>
      <c r="J32" s="243"/>
      <c r="K32" s="243"/>
    </row>
    <row r="33" spans="5:11" ht="16.5" thickTop="1" x14ac:dyDescent="0.25">
      <c r="E33" s="239"/>
      <c r="F33" s="239"/>
      <c r="G33" s="239"/>
      <c r="H33" s="239"/>
      <c r="I33" s="243"/>
      <c r="J33" s="243"/>
      <c r="K33" s="243"/>
    </row>
    <row r="34" spans="5:11" ht="18.75" x14ac:dyDescent="0.3">
      <c r="E34" s="248" t="s">
        <v>115</v>
      </c>
      <c r="F34" s="248"/>
      <c r="G34" s="248"/>
      <c r="H34" s="248"/>
      <c r="I34" s="249">
        <f>SUM(I30:I33)</f>
        <v>3996.1843749999998</v>
      </c>
      <c r="J34" s="250"/>
      <c r="K34" s="250"/>
    </row>
  </sheetData>
  <mergeCells count="6">
    <mergeCell ref="B10:D10"/>
    <mergeCell ref="F7:L8"/>
    <mergeCell ref="P7:U8"/>
    <mergeCell ref="E3:S5"/>
    <mergeCell ref="F10:H10"/>
    <mergeCell ref="I10:J10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48"/>
  <sheetViews>
    <sheetView zoomScale="92" zoomScaleNormal="92" workbookViewId="0">
      <pane xSplit="3" topLeftCell="D1" activePane="topRight" state="frozen"/>
      <selection pane="topRight" activeCell="G25" sqref="G25"/>
    </sheetView>
  </sheetViews>
  <sheetFormatPr baseColWidth="10" defaultColWidth="9.140625" defaultRowHeight="12.75" x14ac:dyDescent="0.2"/>
  <cols>
    <col min="1" max="1" width="9.140625" style="14" customWidth="1"/>
    <col min="2" max="2" width="4.140625" style="14" bestFit="1" customWidth="1"/>
    <col min="3" max="3" width="36.140625" style="14" bestFit="1" customWidth="1"/>
    <col min="4" max="4" width="24.42578125" style="14" bestFit="1" customWidth="1"/>
    <col min="5" max="5" width="18.42578125" style="14" bestFit="1" customWidth="1"/>
    <col min="6" max="6" width="18.5703125" style="27" bestFit="1" customWidth="1"/>
    <col min="7" max="7" width="17" style="14" bestFit="1" customWidth="1"/>
    <col min="8" max="8" width="6.7109375" style="14" customWidth="1"/>
    <col min="9" max="10" width="9.140625" style="14" customWidth="1"/>
    <col min="11" max="11" width="10.28515625" style="14" bestFit="1" customWidth="1"/>
    <col min="12" max="12" width="14.28515625" style="14" bestFit="1" customWidth="1"/>
    <col min="13" max="16384" width="9.140625" style="14"/>
  </cols>
  <sheetData>
    <row r="2" spans="2:12" ht="13.5" thickBot="1" x14ac:dyDescent="0.25"/>
    <row r="3" spans="2:12" ht="13.5" thickTop="1" x14ac:dyDescent="0.2">
      <c r="D3" s="292" t="s">
        <v>190</v>
      </c>
      <c r="E3" s="293"/>
      <c r="F3" s="293"/>
      <c r="G3" s="293"/>
      <c r="H3" s="293"/>
      <c r="I3" s="293"/>
    </row>
    <row r="4" spans="2:12" x14ac:dyDescent="0.2">
      <c r="D4" s="294"/>
      <c r="E4" s="294"/>
      <c r="F4" s="294"/>
      <c r="G4" s="294"/>
      <c r="H4" s="294"/>
      <c r="I4" s="294"/>
    </row>
    <row r="5" spans="2:12" ht="13.5" thickBot="1" x14ac:dyDescent="0.25">
      <c r="D5" s="295"/>
      <c r="E5" s="295"/>
      <c r="F5" s="295"/>
      <c r="G5" s="295"/>
      <c r="H5" s="295"/>
      <c r="I5" s="295"/>
    </row>
    <row r="6" spans="2:12" ht="14.25" thickTop="1" thickBot="1" x14ac:dyDescent="0.25"/>
    <row r="7" spans="2:12" ht="13.5" thickTop="1" x14ac:dyDescent="0.2">
      <c r="I7" s="278" t="s">
        <v>79</v>
      </c>
      <c r="J7" s="278"/>
      <c r="K7" s="279"/>
      <c r="L7" s="278"/>
    </row>
    <row r="8" spans="2:12" ht="13.5" thickBot="1" x14ac:dyDescent="0.25">
      <c r="I8" s="280"/>
      <c r="J8" s="280"/>
      <c r="K8" s="281"/>
      <c r="L8" s="280"/>
    </row>
    <row r="9" spans="2:12" ht="13.5" thickTop="1" x14ac:dyDescent="0.2">
      <c r="D9" s="278" t="s">
        <v>76</v>
      </c>
      <c r="E9" s="278"/>
      <c r="F9" s="279"/>
      <c r="G9" s="278"/>
      <c r="K9" s="14" t="s">
        <v>191</v>
      </c>
      <c r="L9" s="14" t="s">
        <v>78</v>
      </c>
    </row>
    <row r="10" spans="2:12" ht="13.5" thickBot="1" x14ac:dyDescent="0.25">
      <c r="D10" s="280"/>
      <c r="E10" s="280"/>
      <c r="F10" s="281"/>
      <c r="G10" s="280"/>
      <c r="K10" s="14">
        <v>0.2</v>
      </c>
      <c r="L10" s="93">
        <v>1.6</v>
      </c>
    </row>
    <row r="11" spans="2:12" ht="16.5" thickTop="1" x14ac:dyDescent="0.25">
      <c r="B11" s="153" t="s">
        <v>197</v>
      </c>
      <c r="C11" s="16" t="s">
        <v>67</v>
      </c>
      <c r="D11" s="16" t="s">
        <v>68</v>
      </c>
      <c r="E11" s="16" t="s">
        <v>75</v>
      </c>
      <c r="F11" s="17" t="s">
        <v>69</v>
      </c>
      <c r="G11" s="16" t="s">
        <v>70</v>
      </c>
      <c r="I11" s="15" t="s">
        <v>192</v>
      </c>
      <c r="J11" s="15" t="s">
        <v>77</v>
      </c>
      <c r="K11" s="15" t="s">
        <v>57</v>
      </c>
      <c r="L11" s="15">
        <v>1</v>
      </c>
    </row>
    <row r="12" spans="2:12" ht="15" x14ac:dyDescent="0.25">
      <c r="B12" s="18">
        <v>1</v>
      </c>
      <c r="C12" s="19" t="s">
        <v>71</v>
      </c>
      <c r="D12" s="20">
        <v>1200</v>
      </c>
      <c r="E12" s="20">
        <f>B12*D12</f>
        <v>1200</v>
      </c>
      <c r="F12" s="21">
        <v>4</v>
      </c>
      <c r="G12" s="20">
        <f>E12/F12</f>
        <v>300</v>
      </c>
      <c r="I12" s="18">
        <v>0</v>
      </c>
      <c r="J12" s="18">
        <v>0</v>
      </c>
      <c r="K12" s="18">
        <f>I12*J12*$K$10</f>
        <v>0</v>
      </c>
      <c r="L12" s="22">
        <v>6</v>
      </c>
    </row>
    <row r="13" spans="2:12" ht="15" x14ac:dyDescent="0.25">
      <c r="B13" s="18">
        <v>1</v>
      </c>
      <c r="C13" s="19" t="s">
        <v>72</v>
      </c>
      <c r="D13" s="20">
        <v>700</v>
      </c>
      <c r="E13" s="20">
        <f t="shared" ref="E13:E23" si="0">B13*D13</f>
        <v>700</v>
      </c>
      <c r="F13" s="21">
        <v>4</v>
      </c>
      <c r="G13" s="20">
        <f t="shared" ref="G13:G23" si="1">E13/F13</f>
        <v>175</v>
      </c>
      <c r="I13" s="18">
        <v>0</v>
      </c>
      <c r="J13" s="18">
        <v>0</v>
      </c>
      <c r="K13" s="18">
        <f t="shared" ref="K13:K23" si="2">I13*J13*$K$10</f>
        <v>0</v>
      </c>
      <c r="L13" s="22">
        <v>0</v>
      </c>
    </row>
    <row r="14" spans="2:12" ht="15" x14ac:dyDescent="0.25">
      <c r="B14" s="18">
        <v>1</v>
      </c>
      <c r="C14" s="19" t="s">
        <v>250</v>
      </c>
      <c r="D14" s="20">
        <v>850</v>
      </c>
      <c r="E14" s="20">
        <f t="shared" si="0"/>
        <v>850</v>
      </c>
      <c r="F14" s="21">
        <v>4</v>
      </c>
      <c r="G14" s="20">
        <f t="shared" si="1"/>
        <v>212.5</v>
      </c>
      <c r="I14" s="18">
        <v>6</v>
      </c>
      <c r="J14" s="18">
        <v>100</v>
      </c>
      <c r="K14" s="18">
        <f t="shared" si="2"/>
        <v>120</v>
      </c>
      <c r="L14" s="22">
        <f>K14*B14*$L$10</f>
        <v>192</v>
      </c>
    </row>
    <row r="15" spans="2:12" ht="15" x14ac:dyDescent="0.25">
      <c r="B15" s="18">
        <v>0</v>
      </c>
      <c r="C15" s="19" t="s">
        <v>249</v>
      </c>
      <c r="D15" s="20">
        <v>550</v>
      </c>
      <c r="E15" s="20">
        <f t="shared" si="0"/>
        <v>0</v>
      </c>
      <c r="F15" s="21">
        <v>4</v>
      </c>
      <c r="G15" s="20">
        <f t="shared" si="1"/>
        <v>0</v>
      </c>
      <c r="I15" s="18">
        <v>2</v>
      </c>
      <c r="J15" s="18">
        <v>100</v>
      </c>
      <c r="K15" s="18">
        <f t="shared" si="2"/>
        <v>40</v>
      </c>
      <c r="L15" s="22">
        <f t="shared" ref="L15:L23" si="3">K15*B15*$L$10</f>
        <v>0</v>
      </c>
    </row>
    <row r="16" spans="2:12" ht="15" x14ac:dyDescent="0.25">
      <c r="B16" s="18">
        <v>0</v>
      </c>
      <c r="C16" s="19" t="s">
        <v>253</v>
      </c>
      <c r="D16" s="20">
        <v>1200</v>
      </c>
      <c r="E16" s="20">
        <f t="shared" si="0"/>
        <v>0</v>
      </c>
      <c r="F16" s="21">
        <v>4</v>
      </c>
      <c r="G16" s="20">
        <f t="shared" si="1"/>
        <v>0</v>
      </c>
      <c r="I16" s="18">
        <v>6</v>
      </c>
      <c r="J16" s="18">
        <v>100</v>
      </c>
      <c r="K16" s="18">
        <f t="shared" si="2"/>
        <v>120</v>
      </c>
      <c r="L16" s="22">
        <f t="shared" si="3"/>
        <v>0</v>
      </c>
    </row>
    <row r="17" spans="2:12" ht="15" x14ac:dyDescent="0.25">
      <c r="B17" s="18">
        <v>1</v>
      </c>
      <c r="C17" s="19" t="s">
        <v>73</v>
      </c>
      <c r="D17" s="20">
        <v>7700</v>
      </c>
      <c r="E17" s="20">
        <f t="shared" si="0"/>
        <v>7700</v>
      </c>
      <c r="F17" s="21">
        <v>6</v>
      </c>
      <c r="G17" s="20">
        <f t="shared" si="1"/>
        <v>1283.3333333333333</v>
      </c>
      <c r="I17" s="18">
        <v>6</v>
      </c>
      <c r="J17" s="18">
        <v>120</v>
      </c>
      <c r="K17" s="18">
        <f t="shared" si="2"/>
        <v>144</v>
      </c>
      <c r="L17" s="22">
        <f t="shared" si="3"/>
        <v>230.4</v>
      </c>
    </row>
    <row r="18" spans="2:12" ht="15" x14ac:dyDescent="0.25">
      <c r="B18" s="18">
        <v>1</v>
      </c>
      <c r="C18" s="19" t="s">
        <v>74</v>
      </c>
      <c r="D18" s="20">
        <v>2100</v>
      </c>
      <c r="E18" s="20">
        <f t="shared" si="0"/>
        <v>2100</v>
      </c>
      <c r="F18" s="21">
        <v>4</v>
      </c>
      <c r="G18" s="20">
        <f t="shared" si="1"/>
        <v>525</v>
      </c>
      <c r="I18" s="18">
        <v>6</v>
      </c>
      <c r="J18" s="18">
        <v>125</v>
      </c>
      <c r="K18" s="18">
        <f t="shared" si="2"/>
        <v>150</v>
      </c>
      <c r="L18" s="22">
        <f t="shared" si="3"/>
        <v>240</v>
      </c>
    </row>
    <row r="19" spans="2:12" ht="15" x14ac:dyDescent="0.25">
      <c r="B19" s="18">
        <v>0</v>
      </c>
      <c r="C19" s="19" t="s">
        <v>251</v>
      </c>
      <c r="D19" s="20">
        <v>400</v>
      </c>
      <c r="E19" s="20">
        <f t="shared" si="0"/>
        <v>0</v>
      </c>
      <c r="F19" s="21">
        <v>4</v>
      </c>
      <c r="G19" s="20">
        <f t="shared" si="1"/>
        <v>0</v>
      </c>
      <c r="I19" s="18">
        <v>6</v>
      </c>
      <c r="J19" s="18">
        <v>50</v>
      </c>
      <c r="K19" s="18">
        <f t="shared" si="2"/>
        <v>60</v>
      </c>
      <c r="L19" s="22">
        <f t="shared" si="3"/>
        <v>0</v>
      </c>
    </row>
    <row r="20" spans="2:12" ht="15" x14ac:dyDescent="0.25">
      <c r="B20" s="18">
        <v>1</v>
      </c>
      <c r="C20" s="19" t="s">
        <v>265</v>
      </c>
      <c r="D20" s="20">
        <v>1200</v>
      </c>
      <c r="E20" s="20">
        <f t="shared" si="0"/>
        <v>1200</v>
      </c>
      <c r="F20" s="21">
        <v>4</v>
      </c>
      <c r="G20" s="20">
        <f t="shared" si="1"/>
        <v>300</v>
      </c>
      <c r="I20" s="18">
        <v>6</v>
      </c>
      <c r="J20" s="18">
        <v>120</v>
      </c>
      <c r="K20" s="18">
        <v>0</v>
      </c>
      <c r="L20" s="22">
        <f t="shared" si="3"/>
        <v>0</v>
      </c>
    </row>
    <row r="21" spans="2:12" ht="15" x14ac:dyDescent="0.25">
      <c r="B21" s="84">
        <v>0</v>
      </c>
      <c r="C21" s="90" t="s">
        <v>117</v>
      </c>
      <c r="D21" s="91">
        <v>1100</v>
      </c>
      <c r="E21" s="20">
        <f t="shared" si="0"/>
        <v>0</v>
      </c>
      <c r="F21" s="21">
        <v>4</v>
      </c>
      <c r="G21" s="91">
        <f t="shared" si="1"/>
        <v>0</v>
      </c>
      <c r="I21" s="84">
        <v>0</v>
      </c>
      <c r="J21" s="84">
        <v>0</v>
      </c>
      <c r="K21" s="18">
        <f t="shared" si="2"/>
        <v>0</v>
      </c>
      <c r="L21" s="22">
        <f t="shared" si="3"/>
        <v>0</v>
      </c>
    </row>
    <row r="22" spans="2:12" ht="15" x14ac:dyDescent="0.25">
      <c r="B22" s="84">
        <v>0</v>
      </c>
      <c r="C22" s="90" t="s">
        <v>252</v>
      </c>
      <c r="D22" s="91">
        <v>1000</v>
      </c>
      <c r="E22" s="20">
        <f t="shared" si="0"/>
        <v>0</v>
      </c>
      <c r="F22" s="21">
        <v>4</v>
      </c>
      <c r="G22" s="91">
        <f t="shared" si="1"/>
        <v>0</v>
      </c>
      <c r="I22" s="84">
        <v>6</v>
      </c>
      <c r="J22" s="84">
        <v>20</v>
      </c>
      <c r="K22" s="18">
        <f t="shared" si="2"/>
        <v>24</v>
      </c>
      <c r="L22" s="22">
        <f t="shared" si="3"/>
        <v>0</v>
      </c>
    </row>
    <row r="23" spans="2:12" ht="15.75" thickBot="1" x14ac:dyDescent="0.3">
      <c r="B23" s="23">
        <v>0</v>
      </c>
      <c r="C23" s="24" t="s">
        <v>254</v>
      </c>
      <c r="D23" s="25">
        <v>3658</v>
      </c>
      <c r="E23" s="25">
        <f t="shared" si="0"/>
        <v>0</v>
      </c>
      <c r="F23" s="21">
        <v>4</v>
      </c>
      <c r="G23" s="25">
        <f t="shared" si="1"/>
        <v>0</v>
      </c>
      <c r="I23" s="23">
        <v>5</v>
      </c>
      <c r="J23" s="23">
        <v>20</v>
      </c>
      <c r="K23" s="23">
        <f t="shared" si="2"/>
        <v>20</v>
      </c>
      <c r="L23" s="22">
        <f t="shared" si="3"/>
        <v>0</v>
      </c>
    </row>
    <row r="24" spans="2:12" ht="14.25" thickTop="1" thickBot="1" x14ac:dyDescent="0.25">
      <c r="D24" s="26"/>
      <c r="E24" s="26"/>
      <c r="G24" s="26"/>
    </row>
    <row r="25" spans="2:12" s="30" customFormat="1" ht="17.25" thickTop="1" thickBot="1" x14ac:dyDescent="0.3">
      <c r="C25" s="77" t="s">
        <v>5</v>
      </c>
      <c r="D25" s="78"/>
      <c r="E25" s="154">
        <f>SUM(E12:E24)</f>
        <v>13750</v>
      </c>
      <c r="F25" s="80"/>
      <c r="G25" s="79">
        <f>SUM(G12:G23)</f>
        <v>2795.833333333333</v>
      </c>
      <c r="H25" s="78"/>
      <c r="I25" s="77" t="s">
        <v>5</v>
      </c>
      <c r="J25" s="78"/>
      <c r="K25" s="78"/>
      <c r="L25" s="79">
        <f>SUM(L12:L24)</f>
        <v>668.4</v>
      </c>
    </row>
    <row r="26" spans="2:12" ht="13.5" thickTop="1" x14ac:dyDescent="0.2">
      <c r="B26" s="14" t="s">
        <v>1</v>
      </c>
      <c r="F26" s="14"/>
    </row>
    <row r="27" spans="2:12" ht="13.5" thickBot="1" x14ac:dyDescent="0.25"/>
    <row r="28" spans="2:12" ht="13.5" thickTop="1" x14ac:dyDescent="0.2">
      <c r="D28" s="278" t="s">
        <v>80</v>
      </c>
      <c r="E28" s="278"/>
      <c r="F28" s="279"/>
      <c r="G28" s="278"/>
      <c r="K28" s="14" t="s">
        <v>78</v>
      </c>
    </row>
    <row r="29" spans="2:12" ht="13.5" thickBot="1" x14ac:dyDescent="0.25">
      <c r="D29" s="280"/>
      <c r="E29" s="280"/>
      <c r="F29" s="281"/>
      <c r="G29" s="280"/>
      <c r="K29" s="14">
        <v>1.35</v>
      </c>
    </row>
    <row r="30" spans="2:12" ht="16.5" thickTop="1" x14ac:dyDescent="0.25">
      <c r="C30" s="16" t="s">
        <v>67</v>
      </c>
      <c r="D30" s="16" t="s">
        <v>81</v>
      </c>
      <c r="E30" s="16" t="s">
        <v>82</v>
      </c>
      <c r="F30" s="16" t="s">
        <v>70</v>
      </c>
      <c r="I30" s="15" t="s">
        <v>86</v>
      </c>
      <c r="J30" s="15" t="s">
        <v>77</v>
      </c>
      <c r="K30" s="15" t="s">
        <v>18</v>
      </c>
    </row>
    <row r="31" spans="2:12" ht="15" x14ac:dyDescent="0.25">
      <c r="C31" s="19" t="s">
        <v>236</v>
      </c>
      <c r="D31" s="20">
        <v>180</v>
      </c>
      <c r="E31" s="29">
        <v>0</v>
      </c>
      <c r="F31" s="20">
        <f>D31*E31</f>
        <v>0</v>
      </c>
      <c r="I31" s="18">
        <v>10</v>
      </c>
      <c r="J31" s="29">
        <f>E31</f>
        <v>0</v>
      </c>
      <c r="K31" s="22">
        <f>I31*J31*$K$29</f>
        <v>0</v>
      </c>
    </row>
    <row r="32" spans="2:12" ht="15" x14ac:dyDescent="0.25">
      <c r="C32" s="19" t="s">
        <v>83</v>
      </c>
      <c r="D32" s="20">
        <v>90</v>
      </c>
      <c r="E32" s="29">
        <v>22</v>
      </c>
      <c r="F32" s="20">
        <f>D32*E32</f>
        <v>1980</v>
      </c>
      <c r="I32" s="18">
        <v>5</v>
      </c>
      <c r="J32" s="29">
        <f>E32</f>
        <v>22</v>
      </c>
      <c r="K32" s="22">
        <f>I32*J32*$K$29</f>
        <v>148.5</v>
      </c>
    </row>
    <row r="33" spans="3:11" s="93" customFormat="1" ht="15" x14ac:dyDescent="0.25">
      <c r="C33" s="19" t="s">
        <v>247</v>
      </c>
      <c r="D33" s="20">
        <v>60</v>
      </c>
      <c r="E33" s="29">
        <v>0</v>
      </c>
      <c r="F33" s="20">
        <f>D33*E33</f>
        <v>0</v>
      </c>
      <c r="I33" s="18">
        <v>5</v>
      </c>
      <c r="J33" s="29">
        <f>E33</f>
        <v>0</v>
      </c>
      <c r="K33" s="22">
        <f>I33*J33*$K$29</f>
        <v>0</v>
      </c>
    </row>
    <row r="34" spans="3:11" ht="15" x14ac:dyDescent="0.25">
      <c r="C34" s="19" t="s">
        <v>84</v>
      </c>
      <c r="D34" s="20">
        <v>850</v>
      </c>
      <c r="E34" s="29">
        <v>0</v>
      </c>
      <c r="F34" s="20">
        <f>D34*E34</f>
        <v>0</v>
      </c>
      <c r="I34" s="18">
        <v>40</v>
      </c>
      <c r="J34" s="29">
        <f>E34</f>
        <v>0</v>
      </c>
      <c r="K34" s="22">
        <f>I34*J34*$K$29</f>
        <v>0</v>
      </c>
    </row>
    <row r="35" spans="3:11" ht="15" x14ac:dyDescent="0.25">
      <c r="C35" s="19" t="s">
        <v>85</v>
      </c>
      <c r="D35" s="20">
        <v>90</v>
      </c>
      <c r="E35" s="29">
        <v>0</v>
      </c>
      <c r="F35" s="20">
        <f>D35*E35</f>
        <v>0</v>
      </c>
      <c r="I35" s="18">
        <v>15</v>
      </c>
      <c r="J35" s="29">
        <f>E35</f>
        <v>0</v>
      </c>
      <c r="K35" s="22">
        <f>I35*J35*$K$29</f>
        <v>0</v>
      </c>
    </row>
    <row r="36" spans="3:11" ht="13.5" thickBot="1" x14ac:dyDescent="0.25">
      <c r="D36" s="26"/>
      <c r="E36" s="26"/>
    </row>
    <row r="37" spans="3:11" s="43" customFormat="1" ht="20.25" thickTop="1" thickBot="1" x14ac:dyDescent="0.35">
      <c r="C37" s="81" t="s">
        <v>5</v>
      </c>
      <c r="D37" s="82"/>
      <c r="E37" s="82"/>
      <c r="F37" s="83">
        <f>SUM(F31:F36)</f>
        <v>1980</v>
      </c>
      <c r="G37" s="82"/>
      <c r="H37" s="82"/>
      <c r="I37" s="82"/>
      <c r="J37" s="81" t="s">
        <v>5</v>
      </c>
      <c r="K37" s="83">
        <f>SUM(K31:K36)</f>
        <v>148.5</v>
      </c>
    </row>
    <row r="38" spans="3:11" ht="13.5" thickTop="1" x14ac:dyDescent="0.2"/>
    <row r="39" spans="3:11" ht="13.5" thickBot="1" x14ac:dyDescent="0.25"/>
    <row r="40" spans="3:11" ht="17.25" thickTop="1" thickBot="1" x14ac:dyDescent="0.3">
      <c r="C40" s="32" t="s">
        <v>87</v>
      </c>
      <c r="D40" s="30"/>
      <c r="E40" s="30"/>
      <c r="F40" s="31"/>
    </row>
    <row r="41" spans="3:11" ht="17.25" thickTop="1" thickBot="1" x14ac:dyDescent="0.3">
      <c r="C41" s="30"/>
      <c r="D41" s="30"/>
      <c r="E41" s="30"/>
      <c r="F41" s="31"/>
    </row>
    <row r="42" spans="3:11" ht="16.5" thickTop="1" x14ac:dyDescent="0.25">
      <c r="C42" s="33" t="s">
        <v>88</v>
      </c>
      <c r="D42" s="33"/>
      <c r="E42" s="33"/>
      <c r="F42" s="37">
        <f>G25</f>
        <v>2795.833333333333</v>
      </c>
    </row>
    <row r="43" spans="3:11" ht="15.75" x14ac:dyDescent="0.25">
      <c r="C43" s="34" t="s">
        <v>89</v>
      </c>
      <c r="D43" s="34"/>
      <c r="E43" s="34"/>
      <c r="F43" s="38">
        <f>L25</f>
        <v>668.4</v>
      </c>
    </row>
    <row r="44" spans="3:11" ht="15.75" x14ac:dyDescent="0.25">
      <c r="C44" s="34" t="s">
        <v>90</v>
      </c>
      <c r="D44" s="34"/>
      <c r="E44" s="34"/>
      <c r="F44" s="38">
        <f>F37</f>
        <v>1980</v>
      </c>
      <c r="G44" s="26"/>
    </row>
    <row r="45" spans="3:11" ht="15.75" x14ac:dyDescent="0.25">
      <c r="C45" s="34" t="s">
        <v>91</v>
      </c>
      <c r="D45" s="34"/>
      <c r="E45" s="34"/>
      <c r="F45" s="38">
        <f>K37</f>
        <v>148.5</v>
      </c>
      <c r="G45" s="28"/>
    </row>
    <row r="46" spans="3:11" ht="16.5" thickBot="1" x14ac:dyDescent="0.3">
      <c r="C46" s="35" t="s">
        <v>92</v>
      </c>
      <c r="D46" s="35"/>
      <c r="E46" s="35"/>
      <c r="F46" s="39">
        <f>F42*0.05</f>
        <v>139.79166666666666</v>
      </c>
    </row>
    <row r="47" spans="3:11" ht="16.5" thickTop="1" x14ac:dyDescent="0.25">
      <c r="C47" s="30"/>
      <c r="D47" s="30"/>
      <c r="E47" s="30"/>
      <c r="F47" s="40"/>
    </row>
    <row r="48" spans="3:11" ht="18.75" x14ac:dyDescent="0.3">
      <c r="C48" s="36" t="s">
        <v>5</v>
      </c>
      <c r="D48" s="36"/>
      <c r="E48" s="36"/>
      <c r="F48" s="41">
        <f>SUM(F42:F47)</f>
        <v>5732.5250000000005</v>
      </c>
    </row>
  </sheetData>
  <mergeCells count="4">
    <mergeCell ref="D9:G10"/>
    <mergeCell ref="I7:L8"/>
    <mergeCell ref="D28:G29"/>
    <mergeCell ref="D3:I5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88"/>
  <sheetViews>
    <sheetView topLeftCell="A10" zoomScale="94" zoomScaleNormal="94" workbookViewId="0">
      <selection activeCell="B32" sqref="B32"/>
    </sheetView>
  </sheetViews>
  <sheetFormatPr baseColWidth="10" defaultColWidth="14.7109375" defaultRowHeight="15" x14ac:dyDescent="0.2"/>
  <cols>
    <col min="1" max="1" width="3" style="2" customWidth="1"/>
    <col min="2" max="2" width="7.85546875" style="2" bestFit="1" customWidth="1"/>
    <col min="3" max="3" width="46.7109375" style="2" bestFit="1" customWidth="1"/>
    <col min="4" max="4" width="12.5703125" style="172" bestFit="1" customWidth="1"/>
    <col min="5" max="5" width="13.140625" style="6" bestFit="1" customWidth="1"/>
    <col min="6" max="6" width="12" style="5" bestFit="1" customWidth="1"/>
    <col min="7" max="7" width="15.140625" style="5" bestFit="1" customWidth="1"/>
    <col min="8" max="8" width="16.28515625" style="2" customWidth="1"/>
    <col min="9" max="16384" width="14.7109375" style="2"/>
  </cols>
  <sheetData>
    <row r="2" spans="2:8" ht="15.75" thickBot="1" x14ac:dyDescent="0.25"/>
    <row r="3" spans="2:8" s="14" customFormat="1" ht="13.5" customHeight="1" thickTop="1" x14ac:dyDescent="0.2">
      <c r="C3" s="267" t="s">
        <v>193</v>
      </c>
      <c r="D3" s="267"/>
      <c r="E3" s="268"/>
      <c r="F3" s="268"/>
      <c r="G3" s="268"/>
    </row>
    <row r="4" spans="2:8" s="14" customFormat="1" ht="12.75" customHeight="1" x14ac:dyDescent="0.2">
      <c r="C4" s="269"/>
      <c r="D4" s="269"/>
      <c r="E4" s="269"/>
      <c r="F4" s="269"/>
      <c r="G4" s="269"/>
    </row>
    <row r="5" spans="2:8" s="14" customFormat="1" ht="13.5" customHeight="1" thickBot="1" x14ac:dyDescent="0.25">
      <c r="C5" s="270"/>
      <c r="D5" s="270"/>
      <c r="E5" s="270"/>
      <c r="F5" s="270"/>
      <c r="G5" s="270"/>
    </row>
    <row r="6" spans="2:8" s="120" customFormat="1" ht="13.5" customHeight="1" thickTop="1" x14ac:dyDescent="0.2">
      <c r="C6" s="122"/>
      <c r="D6" s="122"/>
      <c r="E6" s="122"/>
      <c r="F6" s="122"/>
      <c r="G6" s="122"/>
    </row>
    <row r="7" spans="2:8" s="120" customFormat="1" ht="13.5" customHeight="1" x14ac:dyDescent="0.2">
      <c r="C7" s="122"/>
      <c r="D7" s="122"/>
      <c r="E7" s="122"/>
      <c r="F7" s="122"/>
      <c r="G7" s="122"/>
    </row>
    <row r="8" spans="2:8" s="120" customFormat="1" ht="13.5" customHeight="1" thickBot="1" x14ac:dyDescent="0.25">
      <c r="C8" s="122"/>
      <c r="D8" s="122"/>
      <c r="E8" s="122"/>
      <c r="F8" s="122"/>
      <c r="G8" s="122"/>
    </row>
    <row r="9" spans="2:8" s="14" customFormat="1" ht="17.25" thickTop="1" thickBot="1" x14ac:dyDescent="0.3">
      <c r="B9" s="85" t="s">
        <v>197</v>
      </c>
      <c r="C9" s="85" t="s">
        <v>198</v>
      </c>
      <c r="D9" s="174" t="s">
        <v>199</v>
      </c>
      <c r="E9" s="85" t="s">
        <v>32</v>
      </c>
      <c r="F9" s="175" t="s">
        <v>200</v>
      </c>
      <c r="G9" s="85" t="s">
        <v>33</v>
      </c>
      <c r="H9" s="85" t="s">
        <v>94</v>
      </c>
    </row>
    <row r="10" spans="2:8" s="120" customFormat="1" ht="17.25" thickTop="1" thickBot="1" x14ac:dyDescent="0.3">
      <c r="B10" s="176"/>
      <c r="C10" s="176"/>
      <c r="D10" s="177"/>
      <c r="E10" s="176"/>
      <c r="F10" s="178"/>
      <c r="G10" s="176"/>
      <c r="H10" s="176"/>
    </row>
    <row r="11" spans="2:8" ht="15.75" thickTop="1" x14ac:dyDescent="0.2">
      <c r="B11" s="155">
        <v>4</v>
      </c>
      <c r="C11" s="156" t="s">
        <v>194</v>
      </c>
      <c r="D11" s="157">
        <v>120</v>
      </c>
      <c r="E11" s="158">
        <v>1</v>
      </c>
      <c r="F11" s="159">
        <f>ROUND(D11/E11,2)</f>
        <v>120</v>
      </c>
      <c r="G11" s="159">
        <f>ROUND(F11,2)</f>
        <v>120</v>
      </c>
      <c r="H11" s="159">
        <f>ROUND(G11*B11,2)</f>
        <v>480</v>
      </c>
    </row>
    <row r="12" spans="2:8" x14ac:dyDescent="0.2">
      <c r="B12" s="160">
        <v>4</v>
      </c>
      <c r="C12" s="161" t="s">
        <v>34</v>
      </c>
      <c r="D12" s="162">
        <v>61.57</v>
      </c>
      <c r="E12" s="163">
        <v>1</v>
      </c>
      <c r="F12" s="164">
        <f t="shared" ref="F12:F36" si="0">ROUND(D12/E12,2)</f>
        <v>61.57</v>
      </c>
      <c r="G12" s="164">
        <f t="shared" ref="G12:G36" si="1">ROUND(F12,2)</f>
        <v>61.57</v>
      </c>
      <c r="H12" s="164">
        <f t="shared" ref="H12:H36" si="2">ROUND(G12*B12,2)</f>
        <v>246.28</v>
      </c>
    </row>
    <row r="13" spans="2:8" x14ac:dyDescent="0.2">
      <c r="B13" s="160">
        <v>4</v>
      </c>
      <c r="C13" s="161" t="s">
        <v>35</v>
      </c>
      <c r="D13" s="162">
        <v>35</v>
      </c>
      <c r="E13" s="163">
        <v>1</v>
      </c>
      <c r="F13" s="164">
        <f>ROUND(D13/E13,2)</f>
        <v>35</v>
      </c>
      <c r="G13" s="164">
        <f t="shared" si="1"/>
        <v>35</v>
      </c>
      <c r="H13" s="164">
        <f t="shared" si="2"/>
        <v>140</v>
      </c>
    </row>
    <row r="14" spans="2:8" x14ac:dyDescent="0.2">
      <c r="B14" s="160">
        <v>4</v>
      </c>
      <c r="C14" s="161" t="s">
        <v>36</v>
      </c>
      <c r="D14" s="162">
        <v>125</v>
      </c>
      <c r="E14" s="163">
        <v>2</v>
      </c>
      <c r="F14" s="164">
        <f>ROUND(D14/E14,2)</f>
        <v>62.5</v>
      </c>
      <c r="G14" s="164">
        <f t="shared" si="1"/>
        <v>62.5</v>
      </c>
      <c r="H14" s="164">
        <f>ROUND(G14*B14,2)</f>
        <v>250</v>
      </c>
    </row>
    <row r="15" spans="2:8" x14ac:dyDescent="0.2">
      <c r="B15" s="160">
        <v>4</v>
      </c>
      <c r="C15" s="161" t="s">
        <v>37</v>
      </c>
      <c r="D15" s="162">
        <v>70</v>
      </c>
      <c r="E15" s="163">
        <v>4</v>
      </c>
      <c r="F15" s="164">
        <f t="shared" si="0"/>
        <v>17.5</v>
      </c>
      <c r="G15" s="164">
        <f t="shared" si="1"/>
        <v>17.5</v>
      </c>
      <c r="H15" s="164">
        <f t="shared" si="2"/>
        <v>70</v>
      </c>
    </row>
    <row r="16" spans="2:8" x14ac:dyDescent="0.2">
      <c r="B16" s="160">
        <v>1</v>
      </c>
      <c r="C16" s="165" t="s">
        <v>38</v>
      </c>
      <c r="D16" s="162">
        <v>75</v>
      </c>
      <c r="E16" s="163">
        <v>4</v>
      </c>
      <c r="F16" s="164">
        <f t="shared" si="0"/>
        <v>18.75</v>
      </c>
      <c r="G16" s="164">
        <f t="shared" si="1"/>
        <v>18.75</v>
      </c>
      <c r="H16" s="164">
        <f t="shared" si="2"/>
        <v>18.75</v>
      </c>
    </row>
    <row r="17" spans="2:8" x14ac:dyDescent="0.2">
      <c r="B17" s="160">
        <v>1</v>
      </c>
      <c r="C17" s="165" t="s">
        <v>39</v>
      </c>
      <c r="D17" s="162">
        <v>411.5</v>
      </c>
      <c r="E17" s="163">
        <v>4</v>
      </c>
      <c r="F17" s="164">
        <f t="shared" si="0"/>
        <v>102.88</v>
      </c>
      <c r="G17" s="164">
        <f t="shared" si="1"/>
        <v>102.88</v>
      </c>
      <c r="H17" s="164">
        <f t="shared" si="2"/>
        <v>102.88</v>
      </c>
    </row>
    <row r="18" spans="2:8" x14ac:dyDescent="0.2">
      <c r="B18" s="160">
        <v>1</v>
      </c>
      <c r="C18" s="165" t="s">
        <v>40</v>
      </c>
      <c r="D18" s="162">
        <v>233</v>
      </c>
      <c r="E18" s="163">
        <v>4</v>
      </c>
      <c r="F18" s="164">
        <f>ROUND(D18/E18,2)</f>
        <v>58.25</v>
      </c>
      <c r="G18" s="164">
        <f t="shared" si="1"/>
        <v>58.25</v>
      </c>
      <c r="H18" s="164">
        <f t="shared" si="2"/>
        <v>58.25</v>
      </c>
    </row>
    <row r="19" spans="2:8" x14ac:dyDescent="0.2">
      <c r="B19" s="160">
        <v>1</v>
      </c>
      <c r="C19" s="165" t="s">
        <v>41</v>
      </c>
      <c r="D19" s="162">
        <v>272</v>
      </c>
      <c r="E19" s="163">
        <v>4</v>
      </c>
      <c r="F19" s="164">
        <f>ROUND(D19/E19,2)</f>
        <v>68</v>
      </c>
      <c r="G19" s="164">
        <f t="shared" si="1"/>
        <v>68</v>
      </c>
      <c r="H19" s="164">
        <f t="shared" si="2"/>
        <v>68</v>
      </c>
    </row>
    <row r="20" spans="2:8" x14ac:dyDescent="0.2">
      <c r="B20" s="160">
        <v>1</v>
      </c>
      <c r="C20" s="165" t="s">
        <v>42</v>
      </c>
      <c r="D20" s="162">
        <v>192</v>
      </c>
      <c r="E20" s="163">
        <v>4</v>
      </c>
      <c r="F20" s="164">
        <f>ROUND(D20/E20,2)</f>
        <v>48</v>
      </c>
      <c r="G20" s="164">
        <f t="shared" si="1"/>
        <v>48</v>
      </c>
      <c r="H20" s="164">
        <f t="shared" si="2"/>
        <v>48</v>
      </c>
    </row>
    <row r="21" spans="2:8" x14ac:dyDescent="0.2">
      <c r="B21" s="160">
        <v>4</v>
      </c>
      <c r="C21" s="165" t="s">
        <v>43</v>
      </c>
      <c r="D21" s="162">
        <v>40.86</v>
      </c>
      <c r="E21" s="163">
        <v>2</v>
      </c>
      <c r="F21" s="164">
        <f t="shared" si="0"/>
        <v>20.43</v>
      </c>
      <c r="G21" s="164">
        <f t="shared" si="1"/>
        <v>20.43</v>
      </c>
      <c r="H21" s="164">
        <f t="shared" si="2"/>
        <v>81.72</v>
      </c>
    </row>
    <row r="22" spans="2:8" x14ac:dyDescent="0.2">
      <c r="B22" s="160">
        <v>4</v>
      </c>
      <c r="C22" s="165" t="s">
        <v>44</v>
      </c>
      <c r="D22" s="162">
        <v>47.42</v>
      </c>
      <c r="E22" s="163">
        <v>2</v>
      </c>
      <c r="F22" s="164">
        <f t="shared" si="0"/>
        <v>23.71</v>
      </c>
      <c r="G22" s="164">
        <f t="shared" si="1"/>
        <v>23.71</v>
      </c>
      <c r="H22" s="164">
        <f t="shared" si="2"/>
        <v>94.84</v>
      </c>
    </row>
    <row r="23" spans="2:8" x14ac:dyDescent="0.2">
      <c r="B23" s="160">
        <v>4</v>
      </c>
      <c r="C23" s="165" t="s">
        <v>45</v>
      </c>
      <c r="D23" s="162">
        <v>22.27</v>
      </c>
      <c r="E23" s="163">
        <v>2</v>
      </c>
      <c r="F23" s="164">
        <f t="shared" si="0"/>
        <v>11.14</v>
      </c>
      <c r="G23" s="164">
        <f t="shared" si="1"/>
        <v>11.14</v>
      </c>
      <c r="H23" s="164">
        <f t="shared" si="2"/>
        <v>44.56</v>
      </c>
    </row>
    <row r="24" spans="2:8" x14ac:dyDescent="0.2">
      <c r="B24" s="160">
        <v>4</v>
      </c>
      <c r="C24" s="165" t="s">
        <v>2</v>
      </c>
      <c r="D24" s="162">
        <v>20.66</v>
      </c>
      <c r="E24" s="163">
        <v>2</v>
      </c>
      <c r="F24" s="164">
        <f t="shared" si="0"/>
        <v>10.33</v>
      </c>
      <c r="G24" s="164">
        <f t="shared" si="1"/>
        <v>10.33</v>
      </c>
      <c r="H24" s="164">
        <f t="shared" si="2"/>
        <v>41.32</v>
      </c>
    </row>
    <row r="25" spans="2:8" x14ac:dyDescent="0.2">
      <c r="B25" s="160">
        <v>4</v>
      </c>
      <c r="C25" s="165" t="s">
        <v>46</v>
      </c>
      <c r="D25" s="162">
        <v>14.11</v>
      </c>
      <c r="E25" s="163">
        <v>2</v>
      </c>
      <c r="F25" s="164">
        <f t="shared" si="0"/>
        <v>7.06</v>
      </c>
      <c r="G25" s="164">
        <f t="shared" si="1"/>
        <v>7.06</v>
      </c>
      <c r="H25" s="164">
        <f t="shared" si="2"/>
        <v>28.24</v>
      </c>
    </row>
    <row r="26" spans="2:8" x14ac:dyDescent="0.2">
      <c r="B26" s="160">
        <v>4</v>
      </c>
      <c r="C26" s="165" t="s">
        <v>47</v>
      </c>
      <c r="D26" s="162">
        <v>14.54</v>
      </c>
      <c r="E26" s="163">
        <v>2</v>
      </c>
      <c r="F26" s="164">
        <f t="shared" si="0"/>
        <v>7.27</v>
      </c>
      <c r="G26" s="164">
        <f t="shared" si="1"/>
        <v>7.27</v>
      </c>
      <c r="H26" s="164">
        <f t="shared" si="2"/>
        <v>29.08</v>
      </c>
    </row>
    <row r="27" spans="2:8" x14ac:dyDescent="0.2">
      <c r="B27" s="160">
        <v>4</v>
      </c>
      <c r="C27" s="165" t="s">
        <v>48</v>
      </c>
      <c r="D27" s="162">
        <v>35.6</v>
      </c>
      <c r="E27" s="163">
        <v>4</v>
      </c>
      <c r="F27" s="164">
        <f t="shared" si="0"/>
        <v>8.9</v>
      </c>
      <c r="G27" s="164">
        <f t="shared" si="1"/>
        <v>8.9</v>
      </c>
      <c r="H27" s="164">
        <f t="shared" si="2"/>
        <v>35.6</v>
      </c>
    </row>
    <row r="28" spans="2:8" hidden="1" x14ac:dyDescent="0.2">
      <c r="B28" s="166"/>
      <c r="C28" s="165" t="s">
        <v>4</v>
      </c>
      <c r="D28" s="162">
        <v>1.31</v>
      </c>
      <c r="E28" s="163">
        <v>2</v>
      </c>
      <c r="F28" s="164">
        <f t="shared" si="0"/>
        <v>0.66</v>
      </c>
      <c r="G28" s="164">
        <f t="shared" si="1"/>
        <v>0.66</v>
      </c>
      <c r="H28" s="164">
        <f t="shared" si="2"/>
        <v>0</v>
      </c>
    </row>
    <row r="29" spans="2:8" x14ac:dyDescent="0.2">
      <c r="B29" s="160">
        <v>4</v>
      </c>
      <c r="C29" s="165" t="s">
        <v>49</v>
      </c>
      <c r="D29" s="162">
        <v>31.68</v>
      </c>
      <c r="E29" s="163">
        <v>2</v>
      </c>
      <c r="F29" s="164">
        <f t="shared" si="0"/>
        <v>15.84</v>
      </c>
      <c r="G29" s="164">
        <f t="shared" si="1"/>
        <v>15.84</v>
      </c>
      <c r="H29" s="164">
        <f t="shared" si="2"/>
        <v>63.36</v>
      </c>
    </row>
    <row r="30" spans="2:8" x14ac:dyDescent="0.2">
      <c r="B30" s="160">
        <v>0</v>
      </c>
      <c r="C30" s="165" t="s">
        <v>14</v>
      </c>
      <c r="D30" s="162">
        <v>120</v>
      </c>
      <c r="E30" s="163">
        <v>4</v>
      </c>
      <c r="F30" s="164">
        <f t="shared" si="0"/>
        <v>30</v>
      </c>
      <c r="G30" s="164">
        <f t="shared" si="1"/>
        <v>30</v>
      </c>
      <c r="H30" s="164">
        <f t="shared" si="2"/>
        <v>0</v>
      </c>
    </row>
    <row r="31" spans="2:8" x14ac:dyDescent="0.2">
      <c r="B31" s="160">
        <v>4</v>
      </c>
      <c r="C31" s="165" t="s">
        <v>195</v>
      </c>
      <c r="D31" s="162">
        <v>100</v>
      </c>
      <c r="E31" s="163">
        <v>4</v>
      </c>
      <c r="F31" s="164">
        <f t="shared" si="0"/>
        <v>25</v>
      </c>
      <c r="G31" s="164">
        <f t="shared" si="1"/>
        <v>25</v>
      </c>
      <c r="H31" s="164">
        <f t="shared" si="2"/>
        <v>100</v>
      </c>
    </row>
    <row r="32" spans="2:8" x14ac:dyDescent="0.2">
      <c r="B32" s="160">
        <v>6</v>
      </c>
      <c r="C32" s="165" t="s">
        <v>196</v>
      </c>
      <c r="D32" s="162">
        <v>2.13</v>
      </c>
      <c r="E32" s="163">
        <v>2</v>
      </c>
      <c r="F32" s="164">
        <f t="shared" si="0"/>
        <v>1.07</v>
      </c>
      <c r="G32" s="164">
        <f t="shared" si="1"/>
        <v>1.07</v>
      </c>
      <c r="H32" s="164">
        <f t="shared" si="2"/>
        <v>6.42</v>
      </c>
    </row>
    <row r="33" spans="2:8" hidden="1" x14ac:dyDescent="0.2">
      <c r="B33" s="160"/>
      <c r="C33" s="165" t="s">
        <v>3</v>
      </c>
      <c r="D33" s="162">
        <v>30</v>
      </c>
      <c r="E33" s="163">
        <v>2</v>
      </c>
      <c r="F33" s="164">
        <f t="shared" si="0"/>
        <v>15</v>
      </c>
      <c r="G33" s="164">
        <f t="shared" si="1"/>
        <v>15</v>
      </c>
      <c r="H33" s="164">
        <f t="shared" si="2"/>
        <v>0</v>
      </c>
    </row>
    <row r="34" spans="2:8" x14ac:dyDescent="0.2">
      <c r="B34" s="160">
        <v>2</v>
      </c>
      <c r="C34" s="165" t="s">
        <v>52</v>
      </c>
      <c r="D34" s="162">
        <v>9.1</v>
      </c>
      <c r="E34" s="163">
        <v>2</v>
      </c>
      <c r="F34" s="164">
        <f t="shared" si="0"/>
        <v>4.55</v>
      </c>
      <c r="G34" s="164">
        <f t="shared" si="1"/>
        <v>4.55</v>
      </c>
      <c r="H34" s="164">
        <f t="shared" si="2"/>
        <v>9.1</v>
      </c>
    </row>
    <row r="35" spans="2:8" x14ac:dyDescent="0.2">
      <c r="B35" s="160">
        <v>2</v>
      </c>
      <c r="C35" s="165" t="s">
        <v>51</v>
      </c>
      <c r="D35" s="162">
        <v>6.83</v>
      </c>
      <c r="E35" s="163">
        <v>1</v>
      </c>
      <c r="F35" s="164">
        <f t="shared" si="0"/>
        <v>6.83</v>
      </c>
      <c r="G35" s="164">
        <f t="shared" si="1"/>
        <v>6.83</v>
      </c>
      <c r="H35" s="164">
        <f t="shared" si="2"/>
        <v>13.66</v>
      </c>
    </row>
    <row r="36" spans="2:8" ht="15.75" thickBot="1" x14ac:dyDescent="0.25">
      <c r="B36" s="167">
        <v>2</v>
      </c>
      <c r="C36" s="168" t="s">
        <v>50</v>
      </c>
      <c r="D36" s="173">
        <v>11.7</v>
      </c>
      <c r="E36" s="169">
        <v>1</v>
      </c>
      <c r="F36" s="170">
        <f t="shared" si="0"/>
        <v>11.7</v>
      </c>
      <c r="G36" s="170">
        <f t="shared" si="1"/>
        <v>11.7</v>
      </c>
      <c r="H36" s="170">
        <f t="shared" si="2"/>
        <v>23.4</v>
      </c>
    </row>
    <row r="37" spans="2:8" ht="12.75" customHeight="1" thickTop="1" x14ac:dyDescent="0.25">
      <c r="C37" s="8"/>
      <c r="D37" s="171"/>
      <c r="E37" s="9"/>
      <c r="F37" s="10"/>
      <c r="G37" s="10"/>
      <c r="H37" s="7"/>
    </row>
    <row r="38" spans="2:8" ht="15.75" thickBot="1" x14ac:dyDescent="0.25">
      <c r="C38" s="8"/>
      <c r="D38" s="171"/>
      <c r="E38" s="9"/>
      <c r="F38" s="10"/>
      <c r="G38" s="10"/>
      <c r="H38" s="8"/>
    </row>
    <row r="39" spans="2:8" ht="17.25" thickTop="1" thickBot="1" x14ac:dyDescent="0.3">
      <c r="C39" s="77" t="s">
        <v>201</v>
      </c>
      <c r="D39" s="77"/>
      <c r="E39" s="79"/>
      <c r="F39" s="79"/>
      <c r="G39" s="79"/>
      <c r="H39" s="79">
        <f>SUM(H11:H38)</f>
        <v>2053.4599999999996</v>
      </c>
    </row>
    <row r="40" spans="2:8" ht="15.75" thickTop="1" x14ac:dyDescent="0.2">
      <c r="C40" s="8"/>
      <c r="D40" s="171"/>
      <c r="E40" s="9"/>
      <c r="F40" s="10"/>
      <c r="G40" s="10"/>
      <c r="H40" s="8"/>
    </row>
    <row r="41" spans="2:8" x14ac:dyDescent="0.2">
      <c r="C41" s="8"/>
      <c r="D41" s="171"/>
      <c r="E41" s="9"/>
      <c r="F41" s="10"/>
      <c r="G41" s="10"/>
      <c r="H41" s="8"/>
    </row>
    <row r="42" spans="2:8" x14ac:dyDescent="0.2">
      <c r="C42" s="8"/>
      <c r="D42" s="171"/>
      <c r="E42" s="9"/>
      <c r="F42" s="10"/>
      <c r="G42" s="10"/>
      <c r="H42" s="8"/>
    </row>
    <row r="43" spans="2:8" x14ac:dyDescent="0.2">
      <c r="C43" s="8"/>
      <c r="D43" s="171"/>
      <c r="E43" s="9"/>
      <c r="F43" s="10"/>
      <c r="G43" s="10"/>
      <c r="H43" s="8"/>
    </row>
    <row r="44" spans="2:8" x14ac:dyDescent="0.2">
      <c r="C44" s="8"/>
      <c r="D44" s="171"/>
      <c r="E44" s="9"/>
      <c r="F44" s="10"/>
      <c r="G44" s="10"/>
      <c r="H44" s="8"/>
    </row>
    <row r="45" spans="2:8" x14ac:dyDescent="0.2">
      <c r="C45" s="8"/>
      <c r="D45" s="171"/>
      <c r="E45" s="9"/>
      <c r="F45" s="10"/>
      <c r="G45" s="10"/>
      <c r="H45" s="8"/>
    </row>
    <row r="46" spans="2:8" x14ac:dyDescent="0.2">
      <c r="C46" s="8"/>
      <c r="D46" s="171"/>
      <c r="E46" s="9"/>
      <c r="F46" s="10"/>
      <c r="G46" s="10"/>
      <c r="H46" s="8"/>
    </row>
    <row r="47" spans="2:8" x14ac:dyDescent="0.2">
      <c r="C47" s="1"/>
    </row>
    <row r="48" spans="2:8" x14ac:dyDescent="0.2">
      <c r="C48" s="1"/>
    </row>
    <row r="49" spans="3:3" x14ac:dyDescent="0.2">
      <c r="C49" s="1"/>
    </row>
    <row r="50" spans="3:3" x14ac:dyDescent="0.2">
      <c r="C50" s="1"/>
    </row>
    <row r="51" spans="3:3" x14ac:dyDescent="0.2">
      <c r="C51" s="1"/>
    </row>
    <row r="52" spans="3:3" x14ac:dyDescent="0.2">
      <c r="C52" s="1"/>
    </row>
    <row r="53" spans="3:3" x14ac:dyDescent="0.2">
      <c r="C53" s="1"/>
    </row>
    <row r="54" spans="3:3" x14ac:dyDescent="0.2">
      <c r="C54" s="1"/>
    </row>
    <row r="55" spans="3:3" x14ac:dyDescent="0.2">
      <c r="C55" s="1"/>
    </row>
    <row r="56" spans="3:3" x14ac:dyDescent="0.2">
      <c r="C56" s="1"/>
    </row>
    <row r="57" spans="3:3" x14ac:dyDescent="0.2">
      <c r="C57" s="1"/>
    </row>
    <row r="58" spans="3:3" x14ac:dyDescent="0.2">
      <c r="C58" s="1"/>
    </row>
    <row r="59" spans="3:3" x14ac:dyDescent="0.2">
      <c r="C59" s="1"/>
    </row>
    <row r="60" spans="3:3" x14ac:dyDescent="0.2">
      <c r="C60" s="1"/>
    </row>
    <row r="61" spans="3:3" x14ac:dyDescent="0.2">
      <c r="C61" s="1"/>
    </row>
    <row r="62" spans="3:3" x14ac:dyDescent="0.2">
      <c r="C62" s="1"/>
    </row>
    <row r="63" spans="3:3" x14ac:dyDescent="0.2">
      <c r="C63" s="1"/>
    </row>
    <row r="64" spans="3:3" x14ac:dyDescent="0.2">
      <c r="C64" s="1"/>
    </row>
    <row r="65" spans="3:3" x14ac:dyDescent="0.2">
      <c r="C65" s="1"/>
    </row>
    <row r="66" spans="3:3" x14ac:dyDescent="0.2">
      <c r="C66" s="1"/>
    </row>
    <row r="67" spans="3:3" x14ac:dyDescent="0.2">
      <c r="C67" s="1"/>
    </row>
    <row r="68" spans="3:3" x14ac:dyDescent="0.2">
      <c r="C68" s="1"/>
    </row>
    <row r="69" spans="3:3" x14ac:dyDescent="0.2">
      <c r="C69" s="1"/>
    </row>
    <row r="70" spans="3:3" x14ac:dyDescent="0.2">
      <c r="C70" s="1"/>
    </row>
    <row r="71" spans="3:3" x14ac:dyDescent="0.2">
      <c r="C71" s="1"/>
    </row>
    <row r="72" spans="3:3" x14ac:dyDescent="0.2">
      <c r="C72" s="1"/>
    </row>
    <row r="73" spans="3:3" x14ac:dyDescent="0.2">
      <c r="C73" s="1"/>
    </row>
    <row r="74" spans="3:3" x14ac:dyDescent="0.2">
      <c r="C74" s="1"/>
    </row>
    <row r="75" spans="3:3" x14ac:dyDescent="0.2">
      <c r="C75" s="1"/>
    </row>
    <row r="76" spans="3:3" x14ac:dyDescent="0.2">
      <c r="C76" s="1"/>
    </row>
    <row r="77" spans="3:3" x14ac:dyDescent="0.2">
      <c r="C77" s="1"/>
    </row>
    <row r="78" spans="3:3" x14ac:dyDescent="0.2">
      <c r="C78" s="1"/>
    </row>
    <row r="79" spans="3:3" x14ac:dyDescent="0.2">
      <c r="C79" s="1"/>
    </row>
    <row r="80" spans="3:3" x14ac:dyDescent="0.2">
      <c r="C80" s="1"/>
    </row>
    <row r="81" spans="3:3" x14ac:dyDescent="0.2">
      <c r="C81" s="1"/>
    </row>
    <row r="82" spans="3:3" x14ac:dyDescent="0.2">
      <c r="C82" s="1"/>
    </row>
    <row r="83" spans="3:3" x14ac:dyDescent="0.2">
      <c r="C83" s="1"/>
    </row>
    <row r="84" spans="3:3" x14ac:dyDescent="0.2">
      <c r="C84" s="1"/>
    </row>
    <row r="85" spans="3:3" x14ac:dyDescent="0.2">
      <c r="C85" s="1"/>
    </row>
    <row r="86" spans="3:3" x14ac:dyDescent="0.2">
      <c r="C86" s="1"/>
    </row>
    <row r="87" spans="3:3" x14ac:dyDescent="0.2">
      <c r="C87" s="1"/>
    </row>
    <row r="88" spans="3:3" x14ac:dyDescent="0.2">
      <c r="C88" s="1"/>
    </row>
  </sheetData>
  <mergeCells count="1">
    <mergeCell ref="C3:G5"/>
  </mergeCells>
  <phoneticPr fontId="0" type="noConversion"/>
  <printOptions horizontalCentered="1" verticalCentered="1"/>
  <pageMargins left="0.74803149606299213" right="0.74803149606299213" top="1.3385826771653544" bottom="0.59055118110236227" header="0.94488188976377963" footer="0"/>
  <pageSetup paperSize="9" scale="71" orientation="landscape" r:id="rId1"/>
  <headerFooter alignWithMargins="0">
    <oddHeader>&amp;C&amp;"Comic Sans MS,Negrita"&amp;24COSTE EMPRESARIAL VESTUARIO Y HERRAMIENTAS DEL SERVICIO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G47"/>
  <sheetViews>
    <sheetView workbookViewId="0">
      <selection activeCell="C12" sqref="C12"/>
    </sheetView>
  </sheetViews>
  <sheetFormatPr baseColWidth="10" defaultColWidth="14.7109375" defaultRowHeight="15" x14ac:dyDescent="0.2"/>
  <cols>
    <col min="1" max="1" width="3" style="2" customWidth="1"/>
    <col min="2" max="2" width="6.140625" style="2" bestFit="1" customWidth="1"/>
    <col min="3" max="3" width="4.42578125" style="2" bestFit="1" customWidth="1"/>
    <col min="4" max="4" width="25.85546875" style="6" bestFit="1" customWidth="1"/>
    <col min="5" max="5" width="15.42578125" style="3" bestFit="1" customWidth="1"/>
    <col min="6" max="6" width="18.7109375" style="2" bestFit="1" customWidth="1"/>
    <col min="7" max="7" width="14.7109375" style="2" customWidth="1"/>
    <col min="8" max="8" width="17.85546875" style="2" bestFit="1" customWidth="1"/>
    <col min="9" max="16384" width="14.7109375" style="2"/>
  </cols>
  <sheetData>
    <row r="2" spans="3:7" ht="15.75" thickBot="1" x14ac:dyDescent="0.25"/>
    <row r="3" spans="3:7" s="14" customFormat="1" ht="13.5" customHeight="1" thickTop="1" x14ac:dyDescent="0.2">
      <c r="C3" s="267" t="s">
        <v>202</v>
      </c>
      <c r="D3" s="267"/>
      <c r="E3" s="268"/>
      <c r="F3" s="268"/>
      <c r="G3" s="268"/>
    </row>
    <row r="4" spans="3:7" s="14" customFormat="1" ht="12.75" customHeight="1" x14ac:dyDescent="0.2">
      <c r="C4" s="269"/>
      <c r="D4" s="269"/>
      <c r="E4" s="269"/>
      <c r="F4" s="269"/>
      <c r="G4" s="269"/>
    </row>
    <row r="5" spans="3:7" s="14" customFormat="1" ht="13.5" customHeight="1" thickBot="1" x14ac:dyDescent="0.25">
      <c r="C5" s="270"/>
      <c r="D5" s="270"/>
      <c r="E5" s="270"/>
      <c r="F5" s="270"/>
      <c r="G5" s="270"/>
    </row>
    <row r="6" spans="3:7" ht="16.5" thickTop="1" thickBot="1" x14ac:dyDescent="0.25">
      <c r="C6" s="8"/>
      <c r="D6" s="9"/>
      <c r="E6" s="11"/>
      <c r="F6" s="8"/>
    </row>
    <row r="7" spans="3:7" ht="17.25" thickTop="1" thickBot="1" x14ac:dyDescent="0.3">
      <c r="C7" s="85" t="s">
        <v>197</v>
      </c>
      <c r="D7" s="85" t="s">
        <v>198</v>
      </c>
      <c r="E7" s="174" t="s">
        <v>199</v>
      </c>
      <c r="F7" s="85" t="s">
        <v>204</v>
      </c>
    </row>
    <row r="8" spans="3:7" ht="17.25" thickTop="1" thickBot="1" x14ac:dyDescent="0.3">
      <c r="C8" s="176"/>
      <c r="D8" s="176"/>
      <c r="E8" s="177"/>
      <c r="F8" s="176"/>
    </row>
    <row r="9" spans="3:7" ht="15.75" thickTop="1" x14ac:dyDescent="0.2">
      <c r="C9" s="155">
        <v>0</v>
      </c>
      <c r="D9" s="156" t="s">
        <v>203</v>
      </c>
      <c r="E9" s="157">
        <v>400</v>
      </c>
      <c r="F9" s="158">
        <f>C9*E9</f>
        <v>0</v>
      </c>
    </row>
    <row r="10" spans="3:7" x14ac:dyDescent="0.2">
      <c r="C10" s="160">
        <v>0</v>
      </c>
      <c r="D10" s="161" t="s">
        <v>205</v>
      </c>
      <c r="E10" s="162"/>
      <c r="F10" s="163">
        <f>C10*E10</f>
        <v>0</v>
      </c>
    </row>
    <row r="11" spans="3:7" x14ac:dyDescent="0.2">
      <c r="C11" s="160">
        <v>0</v>
      </c>
      <c r="D11" s="161" t="s">
        <v>206</v>
      </c>
      <c r="E11" s="162"/>
      <c r="F11" s="163">
        <f>C11*E11</f>
        <v>0</v>
      </c>
    </row>
    <row r="12" spans="3:7" x14ac:dyDescent="0.2">
      <c r="C12" s="160"/>
      <c r="D12" s="161" t="s">
        <v>195</v>
      </c>
      <c r="E12" s="162"/>
      <c r="F12" s="163">
        <f>C12*E12</f>
        <v>0</v>
      </c>
    </row>
    <row r="13" spans="3:7" x14ac:dyDescent="0.2">
      <c r="C13" s="1"/>
    </row>
    <row r="14" spans="3:7" ht="15.75" thickBot="1" x14ac:dyDescent="0.25">
      <c r="C14" s="1"/>
    </row>
    <row r="15" spans="3:7" ht="17.25" thickTop="1" thickBot="1" x14ac:dyDescent="0.3">
      <c r="C15" s="77" t="s">
        <v>201</v>
      </c>
      <c r="D15" s="77"/>
      <c r="E15" s="79"/>
      <c r="F15" s="79">
        <f>SUM(F9:F14)</f>
        <v>0</v>
      </c>
      <c r="G15" s="179"/>
    </row>
    <row r="16" spans="3:7" ht="15.75" thickTop="1" x14ac:dyDescent="0.2">
      <c r="C16" s="1"/>
    </row>
    <row r="17" spans="3:3" x14ac:dyDescent="0.2">
      <c r="C17" s="1"/>
    </row>
    <row r="18" spans="3:3" x14ac:dyDescent="0.2">
      <c r="C18" s="1"/>
    </row>
    <row r="19" spans="3:3" x14ac:dyDescent="0.2">
      <c r="C19" s="1"/>
    </row>
    <row r="20" spans="3:3" x14ac:dyDescent="0.2">
      <c r="C20" s="1"/>
    </row>
    <row r="21" spans="3:3" x14ac:dyDescent="0.2">
      <c r="C21" s="1"/>
    </row>
    <row r="22" spans="3:3" x14ac:dyDescent="0.2">
      <c r="C22" s="1"/>
    </row>
    <row r="23" spans="3:3" x14ac:dyDescent="0.2">
      <c r="C23" s="1"/>
    </row>
    <row r="24" spans="3:3" x14ac:dyDescent="0.2">
      <c r="C24" s="1"/>
    </row>
    <row r="25" spans="3:3" x14ac:dyDescent="0.2">
      <c r="C25" s="1"/>
    </row>
    <row r="26" spans="3:3" x14ac:dyDescent="0.2">
      <c r="C26" s="1"/>
    </row>
    <row r="27" spans="3:3" x14ac:dyDescent="0.2">
      <c r="C27" s="1"/>
    </row>
    <row r="28" spans="3:3" x14ac:dyDescent="0.2">
      <c r="C28" s="1"/>
    </row>
    <row r="29" spans="3:3" x14ac:dyDescent="0.2">
      <c r="C29" s="1"/>
    </row>
    <row r="30" spans="3:3" x14ac:dyDescent="0.2">
      <c r="C30" s="1"/>
    </row>
    <row r="31" spans="3:3" x14ac:dyDescent="0.2">
      <c r="C31" s="1"/>
    </row>
    <row r="32" spans="3:3" x14ac:dyDescent="0.2">
      <c r="C32" s="1"/>
    </row>
    <row r="33" spans="3:3" x14ac:dyDescent="0.2">
      <c r="C33" s="1"/>
    </row>
    <row r="34" spans="3:3" x14ac:dyDescent="0.2">
      <c r="C34" s="1"/>
    </row>
    <row r="35" spans="3:3" x14ac:dyDescent="0.2">
      <c r="C35" s="1"/>
    </row>
    <row r="36" spans="3:3" x14ac:dyDescent="0.2">
      <c r="C36" s="1"/>
    </row>
    <row r="37" spans="3:3" x14ac:dyDescent="0.2">
      <c r="C37" s="1"/>
    </row>
    <row r="38" spans="3:3" x14ac:dyDescent="0.2">
      <c r="C38" s="1"/>
    </row>
    <row r="39" spans="3:3" x14ac:dyDescent="0.2">
      <c r="C39" s="1"/>
    </row>
    <row r="40" spans="3:3" x14ac:dyDescent="0.2">
      <c r="C40" s="1"/>
    </row>
    <row r="41" spans="3:3" x14ac:dyDescent="0.2">
      <c r="C41" s="1"/>
    </row>
    <row r="42" spans="3:3" x14ac:dyDescent="0.2">
      <c r="C42" s="1"/>
    </row>
    <row r="43" spans="3:3" x14ac:dyDescent="0.2">
      <c r="C43" s="1"/>
    </row>
    <row r="44" spans="3:3" x14ac:dyDescent="0.2">
      <c r="C44" s="1"/>
    </row>
    <row r="45" spans="3:3" x14ac:dyDescent="0.2">
      <c r="C45" s="1"/>
    </row>
    <row r="46" spans="3:3" x14ac:dyDescent="0.2">
      <c r="C46" s="1"/>
    </row>
    <row r="47" spans="3:3" x14ac:dyDescent="0.2">
      <c r="C47" s="1"/>
    </row>
  </sheetData>
  <mergeCells count="1">
    <mergeCell ref="C3:G5"/>
  </mergeCells>
  <phoneticPr fontId="0" type="noConversion"/>
  <printOptions horizontalCentered="1" verticalCentered="1"/>
  <pageMargins left="0.74803149606299213" right="0.74803149606299213" top="1.3385826771653544" bottom="0.98425196850393704" header="0.94488188976377963" footer="0"/>
  <pageSetup paperSize="9" scale="92" orientation="landscape" r:id="rId1"/>
  <headerFooter alignWithMargins="0">
    <oddHeader>&amp;C&amp;"Comic Sans MS,Negrita"&amp;24COSTE EMPRESARIAL DE LOS LOCALES DEL SERVICIO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H52"/>
  <sheetViews>
    <sheetView zoomScale="94" zoomScaleNormal="94" workbookViewId="0">
      <selection activeCell="G16" sqref="G16"/>
    </sheetView>
  </sheetViews>
  <sheetFormatPr baseColWidth="10" defaultColWidth="14.7109375" defaultRowHeight="15" x14ac:dyDescent="0.2"/>
  <cols>
    <col min="1" max="1" width="3" style="2" customWidth="1"/>
    <col min="2" max="2" width="6.140625" style="2" bestFit="1" customWidth="1"/>
    <col min="3" max="3" width="23.7109375" style="2" bestFit="1" customWidth="1"/>
    <col min="4" max="4" width="5.85546875" style="6" bestFit="1" customWidth="1"/>
    <col min="5" max="5" width="33" style="3" bestFit="1" customWidth="1"/>
    <col min="6" max="6" width="10.42578125" style="2" bestFit="1" customWidth="1"/>
    <col min="7" max="7" width="17.7109375" style="2" bestFit="1" customWidth="1"/>
    <col min="8" max="8" width="47.5703125" style="2" customWidth="1"/>
    <col min="9" max="16384" width="14.7109375" style="2"/>
  </cols>
  <sheetData>
    <row r="1" spans="3:8" s="14" customFormat="1" ht="13.5" customHeight="1" thickTop="1" x14ac:dyDescent="0.2">
      <c r="C1" s="267" t="s">
        <v>207</v>
      </c>
      <c r="D1" s="267"/>
      <c r="E1" s="268"/>
      <c r="F1" s="268"/>
      <c r="G1" s="268"/>
    </row>
    <row r="2" spans="3:8" s="14" customFormat="1" ht="12.75" customHeight="1" x14ac:dyDescent="0.2">
      <c r="C2" s="269"/>
      <c r="D2" s="269"/>
      <c r="E2" s="269"/>
      <c r="F2" s="269"/>
      <c r="G2" s="269"/>
    </row>
    <row r="3" spans="3:8" s="14" customFormat="1" ht="13.5" customHeight="1" thickBot="1" x14ac:dyDescent="0.25">
      <c r="C3" s="270"/>
      <c r="D3" s="270"/>
      <c r="E3" s="270"/>
      <c r="F3" s="270"/>
      <c r="G3" s="270"/>
    </row>
    <row r="4" spans="3:8" ht="16.5" thickTop="1" thickBot="1" x14ac:dyDescent="0.25">
      <c r="C4" s="8"/>
      <c r="D4" s="9"/>
      <c r="E4" s="11"/>
      <c r="F4" s="8"/>
    </row>
    <row r="5" spans="3:8" ht="17.25" thickTop="1" thickBot="1" x14ac:dyDescent="0.3">
      <c r="C5" s="85" t="s">
        <v>197</v>
      </c>
      <c r="D5" s="85" t="s">
        <v>210</v>
      </c>
      <c r="E5" s="85" t="s">
        <v>198</v>
      </c>
      <c r="F5" s="174" t="s">
        <v>208</v>
      </c>
      <c r="G5" s="85" t="s">
        <v>209</v>
      </c>
    </row>
    <row r="6" spans="3:8" ht="17.25" thickTop="1" thickBot="1" x14ac:dyDescent="0.3">
      <c r="C6" s="176"/>
      <c r="D6" s="2"/>
      <c r="E6" s="176"/>
      <c r="F6" s="177"/>
      <c r="G6" s="176"/>
      <c r="H6" s="85" t="s">
        <v>242</v>
      </c>
    </row>
    <row r="7" spans="3:8" ht="15.75" thickTop="1" x14ac:dyDescent="0.2">
      <c r="C7" s="180">
        <v>1000</v>
      </c>
      <c r="D7" s="181" t="s">
        <v>66</v>
      </c>
      <c r="E7" s="181" t="s">
        <v>240</v>
      </c>
      <c r="F7" s="182">
        <v>7.0000000000000007E-2</v>
      </c>
      <c r="G7" s="162">
        <f>F7*C7</f>
        <v>70</v>
      </c>
      <c r="H7" s="181" t="s">
        <v>241</v>
      </c>
    </row>
    <row r="8" spans="3:8" x14ac:dyDescent="0.2">
      <c r="C8" s="160">
        <v>1</v>
      </c>
      <c r="D8" s="161" t="s">
        <v>65</v>
      </c>
      <c r="E8" s="161" t="s">
        <v>243</v>
      </c>
      <c r="F8" s="162">
        <v>500</v>
      </c>
      <c r="G8" s="162">
        <f t="shared" ref="G8:G17" si="0">F8*C8</f>
        <v>500</v>
      </c>
    </row>
    <row r="9" spans="3:8" x14ac:dyDescent="0.2">
      <c r="C9" s="160">
        <v>0</v>
      </c>
      <c r="D9" s="161" t="s">
        <v>217</v>
      </c>
      <c r="E9" s="161" t="s">
        <v>244</v>
      </c>
      <c r="F9" s="162">
        <v>12.5</v>
      </c>
      <c r="G9" s="162">
        <f t="shared" si="0"/>
        <v>0</v>
      </c>
    </row>
    <row r="10" spans="3:8" x14ac:dyDescent="0.2">
      <c r="C10" s="160">
        <v>500</v>
      </c>
      <c r="D10" s="161" t="s">
        <v>66</v>
      </c>
      <c r="E10" s="161" t="s">
        <v>245</v>
      </c>
      <c r="F10" s="162">
        <v>0.5</v>
      </c>
      <c r="G10" s="162">
        <f t="shared" si="0"/>
        <v>250</v>
      </c>
    </row>
    <row r="11" spans="3:8" x14ac:dyDescent="0.2">
      <c r="C11" s="160">
        <v>0</v>
      </c>
      <c r="D11" s="161" t="s">
        <v>65</v>
      </c>
      <c r="E11" s="161" t="s">
        <v>246</v>
      </c>
      <c r="F11" s="162">
        <v>500</v>
      </c>
      <c r="G11" s="162">
        <f t="shared" si="0"/>
        <v>0</v>
      </c>
    </row>
    <row r="12" spans="3:8" x14ac:dyDescent="0.2">
      <c r="C12" s="160"/>
      <c r="D12" s="161" t="s">
        <v>65</v>
      </c>
      <c r="E12" s="161" t="s">
        <v>211</v>
      </c>
      <c r="F12" s="162">
        <v>0</v>
      </c>
      <c r="G12" s="162">
        <f t="shared" si="0"/>
        <v>0</v>
      </c>
    </row>
    <row r="13" spans="3:8" x14ac:dyDescent="0.2">
      <c r="C13" s="160">
        <v>50</v>
      </c>
      <c r="D13" s="161" t="s">
        <v>215</v>
      </c>
      <c r="E13" s="161" t="s">
        <v>212</v>
      </c>
      <c r="F13" s="162">
        <v>4.2</v>
      </c>
      <c r="G13" s="162">
        <f t="shared" si="0"/>
        <v>210</v>
      </c>
    </row>
    <row r="14" spans="3:8" x14ac:dyDescent="0.2">
      <c r="C14" s="160">
        <v>50</v>
      </c>
      <c r="D14" s="161" t="s">
        <v>215</v>
      </c>
      <c r="E14" s="161" t="s">
        <v>213</v>
      </c>
      <c r="F14" s="162">
        <v>4.2</v>
      </c>
      <c r="G14" s="162">
        <f t="shared" si="0"/>
        <v>210</v>
      </c>
    </row>
    <row r="15" spans="3:8" x14ac:dyDescent="0.2">
      <c r="C15" s="160">
        <v>1</v>
      </c>
      <c r="D15" s="161" t="s">
        <v>65</v>
      </c>
      <c r="E15" s="161" t="s">
        <v>214</v>
      </c>
      <c r="F15" s="162">
        <v>250</v>
      </c>
      <c r="G15" s="162">
        <f t="shared" si="0"/>
        <v>250</v>
      </c>
    </row>
    <row r="16" spans="3:8" x14ac:dyDescent="0.2">
      <c r="C16" s="160">
        <v>1000</v>
      </c>
      <c r="D16" s="161" t="s">
        <v>66</v>
      </c>
      <c r="E16" s="161" t="s">
        <v>286</v>
      </c>
      <c r="F16" s="162">
        <v>2.5</v>
      </c>
      <c r="G16" s="162">
        <f t="shared" si="0"/>
        <v>2500</v>
      </c>
    </row>
    <row r="17" spans="3:7" x14ac:dyDescent="0.2">
      <c r="C17" s="160">
        <v>25</v>
      </c>
      <c r="D17" s="161" t="s">
        <v>217</v>
      </c>
      <c r="E17" s="161" t="s">
        <v>216</v>
      </c>
      <c r="F17" s="162">
        <v>35.5</v>
      </c>
      <c r="G17" s="162">
        <f t="shared" si="0"/>
        <v>887.5</v>
      </c>
    </row>
    <row r="18" spans="3:7" ht="15.75" thickBot="1" x14ac:dyDescent="0.25">
      <c r="C18" s="167">
        <f>'DADES DEL CONTRACTE '!D12</f>
        <v>2</v>
      </c>
      <c r="D18" s="183" t="s">
        <v>66</v>
      </c>
      <c r="E18" s="183" t="s">
        <v>219</v>
      </c>
      <c r="F18" s="184">
        <v>0</v>
      </c>
      <c r="G18" s="169">
        <f>F18/C18</f>
        <v>0</v>
      </c>
    </row>
    <row r="19" spans="3:7" ht="16.5" thickTop="1" thickBot="1" x14ac:dyDescent="0.25">
      <c r="C19" s="1"/>
      <c r="D19" s="2"/>
      <c r="E19" s="6"/>
      <c r="F19" s="3"/>
    </row>
    <row r="20" spans="3:7" ht="17.25" thickTop="1" thickBot="1" x14ac:dyDescent="0.3">
      <c r="C20" s="77" t="s">
        <v>220</v>
      </c>
      <c r="D20" s="77"/>
      <c r="E20" s="77"/>
      <c r="F20" s="79"/>
      <c r="G20" s="79">
        <f>SUM(G7:G19)</f>
        <v>4877.5</v>
      </c>
    </row>
    <row r="21" spans="3:7" ht="15.75" thickTop="1" x14ac:dyDescent="0.2">
      <c r="C21" s="1"/>
    </row>
    <row r="22" spans="3:7" x14ac:dyDescent="0.2">
      <c r="C22" s="1"/>
    </row>
    <row r="23" spans="3:7" x14ac:dyDescent="0.2">
      <c r="C23" s="1"/>
    </row>
    <row r="24" spans="3:7" x14ac:dyDescent="0.2">
      <c r="C24" s="1"/>
    </row>
    <row r="25" spans="3:7" x14ac:dyDescent="0.2">
      <c r="C25" s="1"/>
    </row>
    <row r="26" spans="3:7" x14ac:dyDescent="0.2">
      <c r="C26" s="1"/>
    </row>
    <row r="27" spans="3:7" x14ac:dyDescent="0.2">
      <c r="C27" s="1"/>
    </row>
    <row r="28" spans="3:7" x14ac:dyDescent="0.2">
      <c r="C28" s="1"/>
    </row>
    <row r="29" spans="3:7" x14ac:dyDescent="0.2">
      <c r="C29" s="1"/>
    </row>
    <row r="30" spans="3:7" x14ac:dyDescent="0.2">
      <c r="C30" s="1"/>
    </row>
    <row r="31" spans="3:7" x14ac:dyDescent="0.2">
      <c r="C31" s="1"/>
    </row>
    <row r="32" spans="3:7" x14ac:dyDescent="0.2">
      <c r="C32" s="1"/>
    </row>
    <row r="33" spans="3:3" x14ac:dyDescent="0.2">
      <c r="C33" s="1"/>
    </row>
    <row r="34" spans="3:3" x14ac:dyDescent="0.2">
      <c r="C34" s="1"/>
    </row>
    <row r="35" spans="3:3" x14ac:dyDescent="0.2">
      <c r="C35" s="1"/>
    </row>
    <row r="36" spans="3:3" x14ac:dyDescent="0.2">
      <c r="C36" s="1"/>
    </row>
    <row r="37" spans="3:3" x14ac:dyDescent="0.2">
      <c r="C37" s="1"/>
    </row>
    <row r="38" spans="3:3" x14ac:dyDescent="0.2">
      <c r="C38" s="1"/>
    </row>
    <row r="39" spans="3:3" x14ac:dyDescent="0.2">
      <c r="C39" s="1"/>
    </row>
    <row r="40" spans="3:3" x14ac:dyDescent="0.2">
      <c r="C40" s="1"/>
    </row>
    <row r="41" spans="3:3" x14ac:dyDescent="0.2">
      <c r="C41" s="1"/>
    </row>
    <row r="42" spans="3:3" x14ac:dyDescent="0.2">
      <c r="C42" s="1"/>
    </row>
    <row r="43" spans="3:3" x14ac:dyDescent="0.2">
      <c r="C43" s="1"/>
    </row>
    <row r="44" spans="3:3" x14ac:dyDescent="0.2">
      <c r="C44" s="1"/>
    </row>
    <row r="45" spans="3:3" x14ac:dyDescent="0.2">
      <c r="C45" s="1"/>
    </row>
    <row r="46" spans="3:3" x14ac:dyDescent="0.2">
      <c r="C46" s="1"/>
    </row>
    <row r="47" spans="3:3" x14ac:dyDescent="0.2">
      <c r="C47" s="1"/>
    </row>
    <row r="48" spans="3:3" x14ac:dyDescent="0.2">
      <c r="C48" s="1"/>
    </row>
    <row r="49" spans="3:3" x14ac:dyDescent="0.2">
      <c r="C49" s="1"/>
    </row>
    <row r="50" spans="3:3" x14ac:dyDescent="0.2">
      <c r="C50" s="1"/>
    </row>
    <row r="51" spans="3:3" x14ac:dyDescent="0.2">
      <c r="C51" s="1"/>
    </row>
    <row r="52" spans="3:3" x14ac:dyDescent="0.2">
      <c r="C52" s="1"/>
    </row>
  </sheetData>
  <mergeCells count="1">
    <mergeCell ref="C1:G3"/>
  </mergeCells>
  <printOptions horizontalCentered="1" verticalCentered="1"/>
  <pageMargins left="0.74803149606299213" right="0.74803149606299213" top="1.3385826771653544" bottom="0.98425196850393704" header="0.94488188976377963" footer="0"/>
  <pageSetup paperSize="9" scale="92" orientation="landscape" r:id="rId1"/>
  <headerFooter alignWithMargins="0">
    <oddHeader>&amp;C&amp;"Comic Sans MS,Negrita"&amp;24COSTE EMPRESARIAL DE LOS LOCALES DEL SERVICIO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3</vt:i4>
      </vt:variant>
    </vt:vector>
  </HeadingPairs>
  <TitlesOfParts>
    <vt:vector size="15" baseType="lpstr">
      <vt:lpstr>DADES DEL CONTRACTE </vt:lpstr>
      <vt:lpstr>PERSONAL A SUBROGAR </vt:lpstr>
      <vt:lpstr>NOU PERSONAL </vt:lpstr>
      <vt:lpstr>RESUM COSTOS PERSONAL</vt:lpstr>
      <vt:lpstr>VEHCILES </vt:lpstr>
      <vt:lpstr>MAQUINARIA </vt:lpstr>
      <vt:lpstr>VESTUARI I EINES</vt:lpstr>
      <vt:lpstr>LOCALS </vt:lpstr>
      <vt:lpstr>MATERIALS </vt:lpstr>
      <vt:lpstr>MILLORES </vt:lpstr>
      <vt:lpstr>RESUM INTERN</vt:lpstr>
      <vt:lpstr>SIMULACRE I SUPÒSITS </vt:lpstr>
      <vt:lpstr>'RESUM COSTOS PERSONAL'!Área_de_impresión</vt:lpstr>
      <vt:lpstr>'VESTUARI I EINES'!Área_de_impresión</vt:lpstr>
      <vt:lpstr>'PERSONAL A SUBROGAR '!Títulos_a_imprimir</vt:lpstr>
    </vt:vector>
  </TitlesOfParts>
  <Company>EULEN,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iecisa1</dc:creator>
  <cp:lastModifiedBy>Toni Sanchez</cp:lastModifiedBy>
  <cp:lastPrinted>2018-11-18T19:29:36Z</cp:lastPrinted>
  <dcterms:created xsi:type="dcterms:W3CDTF">2003-10-06T16:21:04Z</dcterms:created>
  <dcterms:modified xsi:type="dcterms:W3CDTF">2025-08-01T06:34:01Z</dcterms:modified>
</cp:coreProperties>
</file>