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aniel.delrio\Downloads\"/>
    </mc:Choice>
  </mc:AlternateContent>
  <xr:revisionPtr revIDLastSave="0" documentId="8_{76B7EA00-2D3C-46E7-B2D3-359D635DFE55}" xr6:coauthVersionLast="47" xr6:coauthVersionMax="47" xr10:uidLastSave="{00000000-0000-0000-0000-000000000000}"/>
  <bookViews>
    <workbookView xWindow="16354" yWindow="-103" windowWidth="16663" windowHeight="8743" xr2:uid="{D1FD3D90-2FAC-41E8-939D-BD47B91FB30B}"/>
  </bookViews>
  <sheets>
    <sheet name="ANNEX PREUS ARTICLE 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7" i="1" l="1"/>
  <c r="E256" i="1"/>
  <c r="D256" i="1"/>
  <c r="E255" i="1"/>
  <c r="D255" i="1"/>
  <c r="E254" i="1"/>
  <c r="D254" i="1"/>
  <c r="E251" i="1"/>
  <c r="D251" i="1"/>
  <c r="E250" i="1"/>
  <c r="D250" i="1"/>
  <c r="E249" i="1"/>
  <c r="D249" i="1"/>
  <c r="E248" i="1"/>
  <c r="D248" i="1"/>
  <c r="E247" i="1"/>
  <c r="D247" i="1"/>
  <c r="E246" i="1"/>
  <c r="D246" i="1"/>
  <c r="E245" i="1"/>
  <c r="D245" i="1"/>
  <c r="E244" i="1"/>
  <c r="D244" i="1"/>
  <c r="E243" i="1"/>
  <c r="D243" i="1"/>
  <c r="E242" i="1"/>
  <c r="D242" i="1"/>
  <c r="E241" i="1"/>
  <c r="D241"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0" i="1"/>
  <c r="D30" i="1"/>
  <c r="E29" i="1"/>
  <c r="D29" i="1"/>
  <c r="E28" i="1"/>
  <c r="D28" i="1"/>
  <c r="E27" i="1"/>
  <c r="D27" i="1"/>
  <c r="E26" i="1"/>
  <c r="D26" i="1"/>
  <c r="E25" i="1"/>
  <c r="D25" i="1"/>
  <c r="E24" i="1"/>
  <c r="D24" i="1"/>
  <c r="E23" i="1"/>
  <c r="D23" i="1"/>
  <c r="E22" i="1"/>
  <c r="D22" i="1"/>
  <c r="E21" i="1"/>
  <c r="D21" i="1"/>
  <c r="E20" i="1"/>
  <c r="D20" i="1"/>
  <c r="E19" i="1"/>
  <c r="D19" i="1"/>
  <c r="E16" i="1"/>
  <c r="D16" i="1"/>
  <c r="E15" i="1"/>
  <c r="D15" i="1"/>
  <c r="E14" i="1"/>
  <c r="D14" i="1"/>
  <c r="E13" i="1"/>
  <c r="D13" i="1"/>
  <c r="E12" i="1"/>
  <c r="D12" i="1"/>
  <c r="E5" i="1"/>
</calcChain>
</file>

<file path=xl/sharedStrings.xml><?xml version="1.0" encoding="utf-8"?>
<sst xmlns="http://schemas.openxmlformats.org/spreadsheetml/2006/main" count="494" uniqueCount="260">
  <si>
    <t xml:space="preserve">                 MA D'OBRA (NO INCLOU 5% INDIRECTES NI 19% BENEFICI INDUSTRIAL)</t>
  </si>
  <si>
    <t>h</t>
  </si>
  <si>
    <t>JORNADA</t>
  </si>
  <si>
    <t>Jornada laboral equip muntatges, inclou: Un oficial primera (cap d'equip), un peó especialista, una furgoneta amb totes les eines i maquinaria necessària; grup electrogen, maquina electrosoldadura, etc. Desplaçament inclòs.</t>
  </si>
  <si>
    <t xml:space="preserve">                MAQUINÀRIA D'OBRA PÚBLICA (NO INCLOU 5% INDIRECTES NI 19% BENEFICI INDUSTRIAL)</t>
  </si>
  <si>
    <t>Trasllat de maquiària des de la base al lloc de treball amb grua autopropulsada fins a 100 t</t>
  </si>
  <si>
    <t>Trasllat de maquiària des de la base al lloc de treball amb grua autopropulsada de &gt;100 t</t>
  </si>
  <si>
    <t xml:space="preserve">                GESTIÓ DE TERRES I RUNES (INCLOU 5% INDIRECTES + 19% BENEFICI INDUSTRIAL)</t>
  </si>
  <si>
    <t>GESTIÓ DE TERRES I RUNES</t>
  </si>
  <si>
    <t>Runa classe II (inclosa taxa abocador). Càrrega amb mitjans mecànics, transport i deposició controlada a dipòsit autoritzat. Inclosa taxa de l'abocador.</t>
  </si>
  <si>
    <t>Terres abocador.Càrrega amb mitjans mecànics, transport i deposició controlada a dipòsit autoritzat. Inclosa taxa de l'abocador.</t>
  </si>
  <si>
    <t>ut</t>
  </si>
  <si>
    <t>Subministrament contenidor metàl·lic 5m3 per recollida de residus inerts / no especials</t>
  </si>
  <si>
    <t>Subministrament contenidor metàl·lic 9m3 per recollida de residus inerts / no especials</t>
  </si>
  <si>
    <t>Subministrament contenidor metàl·lic 12m3 per recollida de residus inerts / no especials</t>
  </si>
  <si>
    <t xml:space="preserve">                MANIPULACIÓ DE CANONADES DE FIBROCIMENT (INCLOU 5% INDIRECTES + 19% BENEFICI INDUSTRIAL)</t>
  </si>
  <si>
    <t>Elaboració de Pla de Treball Específic per  a  la  manipulació d'amiant segons  RD  396/2006,  de  31  de  març 2006,  inclou les tramitacions  de  l'expedient  i gestió  documental  per  a la  seva  aprovació  per  l'autoritat  competent. Inclou les medicions representatives de l'exposició dels treballadors o ambientals que el Pla de Treball determini.</t>
  </si>
  <si>
    <t>m</t>
  </si>
  <si>
    <t>Trasllat a obra de cabina de dutxa. Tot inclòs.</t>
  </si>
  <si>
    <t xml:space="preserve">                OBRA CIVIL PER A CANALITZACIONS (INCLOU 5% INDIRECTES + 19% BENEFICI INDUSTRIAL)</t>
  </si>
  <si>
    <t>Rasa per a canonada DN&lt;=60mm mides 0,40mx0,80m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</si>
  <si>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0,40mx1,00m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</si>
  <si>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0,40mx1,00m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</si>
  <si>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0,40mx1,00m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</si>
  <si>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0,40mx0,80m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</si>
  <si>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0,40mx0,80m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</si>
  <si>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DN&lt;=60mm mides 0,40mx1,00m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</si>
  <si>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0,40mx0,90m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</si>
  <si>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0,40mx1,10m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</si>
  <si>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0,40mx1,30m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</si>
  <si>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0,40mx1,10m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</si>
  <si>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0,40mx0,90m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</si>
  <si>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canonada100&lt;=DN&lt;=150mm mides 0,40mx0,90m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</si>
  <si>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100&lt;=DN&lt;=150mm mides 0,40mx1,10m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</si>
  <si>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0,60mx1,00m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</si>
  <si>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0,60mx1,20m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</si>
  <si>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0,60mx1,40m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</si>
  <si>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0,60mx1,20m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</si>
  <si>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0,60mx1,00m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</si>
  <si>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canonada200&lt;=DN&lt;=250mm mides 0,60mx1,00m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</si>
  <si>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200&lt;=DN&lt;=250mm mides 0,60mx1,20m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</si>
  <si>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0,60mx1,10m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</si>
  <si>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0,60mx1,30m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</si>
  <si>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0,60mx1,50m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</si>
  <si>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0,60mx1,30m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</si>
  <si>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0,60mx1,10m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</si>
  <si>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canonada300&lt;=DN&lt;=350mm mides 0,60mx1,10m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</si>
  <si>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300&lt;=DN&lt;=350mm mides 0,60mx1,10m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</si>
  <si>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0,80mx1,20m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</si>
  <si>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0,80mx1,40m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</si>
  <si>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0,80mx1,60m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</si>
  <si>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0,80mx1,40m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</si>
  <si>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0,80mx1,20m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</si>
  <si>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0,80mx1,20m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</si>
  <si>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400&lt;=DN&lt;=450mm mides 0,80mx1,20m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</si>
  <si>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1,50mx1,20m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</si>
  <si>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1,50mx1,40m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</si>
  <si>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1,50mx1,60m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</si>
  <si>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1,50mx1,40m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</si>
  <si>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1,50mx1,20m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</si>
  <si>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1,50mx1,20m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</si>
  <si>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DN=500mm mides 1,50mx1,40m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</si>
  <si>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1,60mx1,30m en formigó + panot.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</si>
  <si>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1,60mx1,50m en formigó + asfalt (rasa tipus Ajuntament de Terrassa).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</si>
  <si>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1,60mx1,70m en formigó + asfalt (rasa tipus per carretera de la Diputació de Barcelona).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</si>
  <si>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1,60mx1,50m en formigó + asfalt (rasa tipus per carretera de la Generalitat de Catalunya).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</si>
  <si>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1,60mx1,30m en formigó + llamborda ceràmica (taronja).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</si>
  <si>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1,60mx1,30m en formigó + llamborda ceràmica grisa.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</si>
  <si>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Rasa per a canonada DN=600mm mides 1,60mx1,50m en terres sense roca. Apertura i reposició. El fons de la rasa haurà de ser pla. S’hi col·locarà, en tots els casos, un llit de recolzament de 10 cm d’espessor de sauló o sorra fina abans d’instal·lar la canonada. Es compactarà al 98% Pròctor Modificat (PM). Un cop estesa la canonada es recobrirà amb sauló o sorra fina fins a 10 cm per sobre de la generatriu superior. La compactació serà d’un 98% PM. Una vegada realitzat el recobriment s’instal·larà una cinta plàstica d’identificació de canalització d’aigua a tota la llargada de la rasa (la qual subministra Taigua). La resta del reblert fins arribar al nivell natural del terreny es pot fer amb material sobrant de l’excavació. Aquest material mai s’abassegarà sobre el paviment, havent de fer-ho en containers. El reblert es farà per tongades de com a màxim 25 cm i cada una de les quals es compactarà al 98% del PM.  La secció de la rasa, amb els seus sobreamples, serà la que indica l’esquema que figura a l’annex. En tot cas s’ha de complir amb el que digui l’ordenança municipal d’obres i/o tècnic municipal.</t>
  </si>
  <si>
    <t>m2</t>
  </si>
  <si>
    <t>Estrebada de rasa fins a 3 m de fondària, amb mòduls metàl·lics d'acer.</t>
  </si>
  <si>
    <t>Recàrrec per excés de roca. Inclou transport intern.</t>
  </si>
  <si>
    <t>m3</t>
  </si>
  <si>
    <t>Excès de reposició de terra selecionada. Inclou subministrament de terra seleccionada, transport intern, rebliment i compactació segons normativa vigent.</t>
  </si>
  <si>
    <t>Sobrexcavació terres rasa per presència de serveis. Inclou transport dins de l'obra, rebliment i compactació segons ordenança d'obres que apliqui, transport a abocador, disposició i cànon.</t>
  </si>
  <si>
    <t>Sobreample panot 20 cm. Inclou transport dins de l'obra, transport a abocador, disposició i cànon.</t>
  </si>
  <si>
    <t>Excès de formigó+panot, 20 cm amplada. Inclou tall, demolició, transport intern, reposició, transport a abocador i cànon.</t>
  </si>
  <si>
    <t>Sobreample llamborda ceràmica 20 cm. Inclou transport dins de l'obra, transport a abocador, disposició i cànon.</t>
  </si>
  <si>
    <t>Sobreample llamborda grisa 20 cm. Inclou transport dins de l'obra, transport a abocador, disposició i cànon.</t>
  </si>
  <si>
    <t>Sobreample asfalt 10 cm (capa rodadura). Inclou transport dins de l'obra, transport a abocador, disposició i cànon.</t>
  </si>
  <si>
    <t>Sobreample asfalt 20 cm (capa rodadura). Inclou transport dins de l'obra, transport a abocador, disposició i cànon.</t>
  </si>
  <si>
    <t>Excès formigó+asfalt, 20 cm ample. Inclou tall, demolició, transport intern,reposició, transport a abocador i cànon. Tot inclòs.</t>
  </si>
  <si>
    <t>Excès formigó+asfalt, 40 cm ample. Inclou tall, demolició, transport intern,reposició, transport a abocador i cànon. Tot inclòs.</t>
  </si>
  <si>
    <t>Excès formigó+asfalt, 50 cm ample. Inclou tall, demolició, transport intern,reposició, transport a abocador i cànon. Tot inclòs.</t>
  </si>
  <si>
    <t>Excès formigó+asfalt, 60 cm ample. Inclou tall, demolició, transport intern,reposició, transport a abocador i cànon. Tot inclòs.</t>
  </si>
  <si>
    <t>Excès formigó+asfalt, 80 cm ample. Inclou tall, demolició, transport intern,reposició, transport a abocador i cànon. Tot inclòs.</t>
  </si>
  <si>
    <t>Excès de formigó HM-20. Excés de formigó HM - 20 / B / 20 / X0 amb una quantitat de ciment de 200 kg/m3, abocat amb transport interior mecànic amb estesa i vibratge manual, amb acabat reglejat, tot inclòs.</t>
  </si>
  <si>
    <t>Excès de formigó HM-25. Excés de formigó HM - 25 / B / 20 / X0 amb una quantitat de ciment de 250 kg/m3, abocat amb transport interior mecànic amb estesa i vibratge manual, amb acabat reglejat, tot inclòs.</t>
  </si>
  <si>
    <t>Tall de paviment d'aglomerat asfàltic amb màquina talladora.</t>
  </si>
  <si>
    <t>Substitució de vorades tipus T2, inclós el material, transport intern, transport a abocador autoritzat i cànon. Col·locació de vorada recta de formigó, amb secció normalitzada per a vianants A2 20x10 cm, segons UNE 127340, de classe climàtica B, classe resistent a l'abrasió H i classe resistent a flexió T (R-5 MPa) segons UNE-EN 1340, col·locada sobre base de formigó no estructural HNE-20/P/40 de resistència a compressió 20 N/mm2, consistència plàstica i grandària màxima del granulat 40 mm, de 10 a 20 cm d'alçària, rejuntada amb morter mixt 1:2:10</t>
  </si>
  <si>
    <t xml:space="preserve">                MUNTATGE CANONADA SENSE MATERIAL HIDRÀULIC (INCLOU 5% INDIRECTES + 19% BENEFICI INDUSTRIAL)</t>
  </si>
  <si>
    <t>Muntatge de canonada de Polietilè 3/4"&lt;DN≤ 4". Les unions de canonades de polietilè es faran amb maniguets electrosoldables. No es permet la soldadura a testa. S’utilitzaran bé accessoris de polietilè electrosoldable o per soldar amb maniguets electrosoldables o bé accessoris de fosa dúctil.</t>
  </si>
  <si>
    <t>Muntatge de canonada de Polietilè 4"&lt;DN≤ 8". Les unions de canonades de polietilè es faran amb maniguets electrosoldables. No es permet la soldadura a testa. S’utilitzaran bé accessoris de polietilè electrosoldable o per soldar amb maniguets electrosoldables o bé accessoris de fosa dúctil.</t>
  </si>
  <si>
    <t>Muntatge de canonada de fosa dúctil DN&lt;100mm.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</si>
  <si>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100mm&lt;=DN&lt;150mm.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</si>
  <si>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150mm&lt;=DN&lt;200mm.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</si>
  <si>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200mm&lt;=DN&lt;250mm.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</si>
  <si>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250mm&lt;=DN&lt;300mm.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</si>
  <si>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300mm&lt;=DN&lt;350mm.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</si>
  <si>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350mm&lt;=DN&lt;400mm.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</si>
  <si>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400mm&lt;=DN&lt;450mm.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</si>
  <si>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450mm&lt;=DN&lt;500mm.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</si>
  <si>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DN=500mm.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</si>
  <si>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Muntatge de canonada de fosa dúctil DN=600mm. NO inclou escomeses. Inclou tots els accessoris, els quals, sempre que no siguin embridats, es travaran amb formigó. La realització de les traves es realitzarà segons els esquemes de l’annex. En els carrers de la ciutat, la canonada es col·locarà preferentment sota les voreres. Cal acomplir amb la distància amb d’altres serveis segons Decret 120/1992 de 28 d’abril, modificat pel Decret 196/1992 de 4 d’agost.</t>
  </si>
  <si>
    <t xml:space="preserve">                ACTUACIONS DURANT LES OBRES DE CANALITZACIÓ (INCLOU 5% INDIRECTES + 19% BENEFICI INDUSTRIAL)</t>
  </si>
  <si>
    <t>Treballs preliminars a obra (jornada): senyalització, tancaments, ubicació de casetes (si escau), etc.</t>
  </si>
  <si>
    <t>Trasllat de material hidràulic amb camió ploma des de Magatzem de Taigua fins a peu d'obra, En cada viatge el contractista ha d'avisar a un encarregat de Taigua perquè li doni accés al Magatzem corresponent.</t>
  </si>
  <si>
    <t>jornada</t>
  </si>
  <si>
    <t>Parella de senyalistes per a regulació el trànsit amb senyal manual i walkies, un cop que Taigua comuniqui la data de l'actuació en coordinació amb Via Pública o el gestor de la carretera afectada.</t>
  </si>
  <si>
    <t>Desmuntatge, emmagatzematge, i muntatge de suport de perfil tubular per a senyalització vertical. No inclou el subministrament del conjunt tubular-senyal, es reaprofitarà l'existent</t>
  </si>
  <si>
    <t>Reconstrucció d'arqueta existent de mesures 40x40 cm afectada per les obres de canalització. No inclou el subministrament de nou marc i tapa, es reaprofitarà l'existent.</t>
  </si>
  <si>
    <t>Reparació puntual de canonada d'escomesa de clavegueram o pluvial de finca o embornal, fins a 20 cm de diàmetre, afectada per la canalització de la nova xarxa d'aigua potable.</t>
  </si>
  <si>
    <t>Extracció de elements urbans existents a vorera i reinstal·lació o instal·lació de nova. No inclou el subministrament (p. ex. Pilona)</t>
  </si>
  <si>
    <t>Acondicionament i instal·lació de placa tipus Eterborad HD 10 mm 300x600 o similar per protecció entre serveis afectats. No inclou el subministrament de la placa.</t>
  </si>
  <si>
    <t>Cala manual fins a 1 m3, tot inclòs excepte pavimentació.</t>
  </si>
  <si>
    <t>Cala mecànica (mínim 2 m3), tot inclòs excepte pavimentació.</t>
  </si>
  <si>
    <t>Reposició cala en paviment de panot (formigó+panot)</t>
  </si>
  <si>
    <t>Reposició cala en paviment de llamborda ceràmica (formigó+llamborda)</t>
  </si>
  <si>
    <t>Reposició cala en paviment de llamborda grisa (formigó+llamborda)</t>
  </si>
  <si>
    <t>Reposició cala en asfalt (formigó+asfalt)</t>
  </si>
  <si>
    <t>Demolició i retirada de canonada 60mm&lt;=DN&lt;=DN600mm (no fibrociment). Inclou el tall, la demolició i l'extracció de la canonada, càrrega i transport de canonada a abocador autoritzat i cànon d'abocament. Tot inclòs.</t>
  </si>
  <si>
    <t xml:space="preserve">Pintat sobre paviment de marca vial superficial per a ús permanent i retrorreflectant en sec, amb humitat i amb pluja, tipus P-RR, amb plàstic d'aplicació en fred de dos components de color blanc i microesferes de vidre, aplicada amb màquina d'accionament manual. </t>
  </si>
  <si>
    <t>Pintat sobre paviment de marca vial longitudinal contínua i discontínua per a ús permanent i retrorreflectant en sec, amb humitat i amb pluja, tipus P-RR, de 10 cm d'amplària, amb pintura acrílica de color blanc i microesferes de vidre, aplicada mecànicament mitjançant polvorització</t>
  </si>
  <si>
    <t>Pintat línia càrrega i descàrrega (zig-zag) i marques vials amb pintura acrílica de color i microesferes de vidre, aplicada mecànicament mitjançant polvorització</t>
  </si>
  <si>
    <t>Pintat gual amb pintura acrílica de color i microesferes de vidre, aplicada mecànicament mitjançant polvorització</t>
  </si>
  <si>
    <t>Aparcament turismes, segons normativa vigent</t>
  </si>
  <si>
    <t>Pintat sobre paviment de marca vial transversal contínua per a ús permanent i retrorreflectant en sec, amb humitat i amb pluja, de 40 cm d'amplària, amb pintura acrílica de color blanc i microesferes de vidre, aplicada amb màquina d'accionament manual</t>
  </si>
  <si>
    <t>Pintat sobre paviment de marca vial transversal discontínua per a ús permanent i retrorreflectant en sec, amb humitat i amb pluja, de 40 cm d'amplària i 0,8/0,4 de relació pintat/no pintat, amb pintura acrílica de color blanc i microesferes de vidre, aplicada amb màquina d'accionament manual</t>
  </si>
  <si>
    <t>Trasllat màquina de pintura a obra</t>
  </si>
  <si>
    <t>Gual T1. Segons annex. Inclou transport de runes a abocador autoritzat i cànon.</t>
  </si>
  <si>
    <t>Gual T2. Segons annex. Inclou transport de runes a abocador autoritzat i cànon.</t>
  </si>
  <si>
    <t>Gual T3. Segons annex. Inclou transport de runes a abocador autoritzat i cànon.</t>
  </si>
  <si>
    <t>Gual T4. Segons annex. Inclou transport de runes a abocador autoritzat i cànon.</t>
  </si>
  <si>
    <t xml:space="preserve">                CONNEXIONS DE XARXA / SENSE MATERIAL HIDRÀULIC  (INCLOU 5% INDIRECTES + 19% BENEFICI INDUSTRIAL)</t>
  </si>
  <si>
    <t>Realització de connexió lineal DN60-DN60. Inclou  les traves necessàries i el muntatge dels accessoris necessaris per unir la xarxa existent amb la nova. Inclou maniobres hidràuliques. No inclou el material hidràulic.</t>
  </si>
  <si>
    <t>Realització de connexió lineal DN60-DN100. Inclou  les traves necessàries i el muntatge dels accessoris necessaris per unir la xarxa existent amb la nova. Inclou maniobres hidràuliques. No inclou el material hidràulic.</t>
  </si>
  <si>
    <t>Realització de connexió lineal DN60-DN150. Inclou  les traves necessàries i el muntatge dels accessoris necessaris per unir la xarxa existent amb la nova. Inclou maniobres hidràuliques. No inclou el material hidràulic.</t>
  </si>
  <si>
    <t>Realització de connexió lineal DN100-DN100. Inclou  les traves necessàries i el muntatge dels accessoris necessaris per unir la xarxa existent amb la nova. Inclou maniobres hidràuliques. No inclou el material hidràulic.</t>
  </si>
  <si>
    <t>Realització de connexió lineal DN100-DN150. Inclou  les traves necessàries i el muntatge dels accessoris necessaris per unir la xarxa existent amb la nova. Inclou maniobres hidràuliques. No inclou el material hidràulic.</t>
  </si>
  <si>
    <t>Realització de connexió lineal DN100-DN200. Inclou  les traves necessàries i el muntatge dels accessoris necessaris per unir la xarxa existent amb la nova. Inclou maniobres hidràuliques. No inclou el material hidràulic.</t>
  </si>
  <si>
    <t>Realització de connexió lineal DN150-DN150. Inclou  les traves necessàries i el muntatge dels accessoris necessaris per unir la xarxa existent amb la nova. Inclou maniobres hidràuliques. No inclou el material hidràulic.</t>
  </si>
  <si>
    <t>Realització de connexió lineal DN150-DN200. Inclou  les traves necessàries i el muntatge dels accessoris necessaris per unir la xarxa existent amb la nova. Inclou maniobres hidràuliques. No inclou el material hidràulic.</t>
  </si>
  <si>
    <t>Realització de connexió lineal DN150-DN250. Inclou  les traves necessàries i el muntatge dels accessoris necessaris per unir la xarxa existent amb la nova. Inclou maniobres hidràuliques. No inclou el material hidràulic.</t>
  </si>
  <si>
    <t>Realització de connexió lineal DN150-DN300. Inclou  les traves necessàries i el muntatge dels accessoris necessaris per unir la xarxa existent amb la nova. Inclou maniobres hidràuliques. No inclou el material hidràulic.</t>
  </si>
  <si>
    <t>Realització de connexió lineal DN200-DN200. Inclou  les traves necessàries i el muntatge dels accessoris necessaris per unir la xarxa existent amb la nova. Inclou maniobres hidràuliques. No inclou el material hidràulic.</t>
  </si>
  <si>
    <t>Realització de connexió lineal DN200-DN250. Inclou  les traves necessàries i el muntatge dels accessoris necessaris per unir la xarxa existent amb la nova. Inclou maniobres hidràuliques. No inclou el material hidràulic.</t>
  </si>
  <si>
    <t>Realització de connexió lineal DN200-DN300. Inclou  les traves necessàries i el muntatge dels accessoris necessaris per unir la xarxa existent amb la nova. Inclou maniobres hidràuliques. No inclou el material hidràulic.</t>
  </si>
  <si>
    <t>Realització de connexió lineal DN200-DN350. Inclou  les traves necessàries i el muntatge dels accessoris necessaris per unir la xarxa existent amb la nova. Inclou maniobres hidràuliques. No inclou el material hidràulic.</t>
  </si>
  <si>
    <t>Realització de connexió lineal DN250-DN250. Inclou  les traves necessàries i el muntatge dels accessoris necessaris per unir la xarxa existent amb la nova. Inclou maniobres hidràuliques. No inclou el material hidràulic.</t>
  </si>
  <si>
    <t>Realització de connexió lineal DN250-DN300. Inclou  les traves necessàries i el muntatge dels accessoris necessaris per unir la xarxa existent amb la nova. Inclou maniobres hidràuliques. No inclou el material hidràulic.</t>
  </si>
  <si>
    <t>Realització de connexió lineal DN250-DN350. Inclou  les traves necessàries i el muntatge dels accessoris necessaris per unir la xarxa existent amb la nova. Inclou maniobres hidràuliques. No inclou el material hidràulic.</t>
  </si>
  <si>
    <t>Realització de connexió lineal DN250-DN400. Inclou  les traves necessàries i el muntatge dels accessoris necessaris per unir la xarxa existent amb la nova. Inclou maniobres hidràuliques. No inclou el material hidràulic.</t>
  </si>
  <si>
    <t>Realització de connexió lineal DN300-DN300. Inclou  les traves necessàries i el muntatge dels accessoris necessaris per unir la xarxa existent amb la nova. Inclou maniobres hidràuliques. No inclou el material hidràulic.</t>
  </si>
  <si>
    <t>Realització de connexió lineal DN300-DN350. Inclou  les traves necessàries i el muntatge dels accessoris necessaris per unir la xarxa existent amb la nova. Inclou maniobres hidràuliques. No inclou el material hidràulic.</t>
  </si>
  <si>
    <t>Realització de connexió lineal DN300-DN400. Inclou  les traves necessàries i el muntatge dels accessoris necessaris per unir la xarxa existent amb la nova. Inclou maniobres hidràuliques. No inclou el material hidràulic.</t>
  </si>
  <si>
    <t>Realització de connexió lineal DN300-DN450. Inclou  les traves necessàries i el muntatge dels accessoris necessaris per unir la xarxa existent amb la nova. Inclou maniobres hidràuliques. No inclou el material hidràulic.</t>
  </si>
  <si>
    <t>Realització de connexió lineal DN350-DN350. Inclou  les traves necessàries i el muntatge dels accessoris necessaris per unir la xarxa existent amb la nova. Inclou maniobres hidràuliques. No inclou el material hidràulic.</t>
  </si>
  <si>
    <t>Realització de connexió lineal DN350-DN400. Inclou  les traves necessàries i el muntatge dels accessoris necessaris per unir la xarxa existent amb la nova. Inclou maniobres hidràuliques. No inclou el material hidràulic.</t>
  </si>
  <si>
    <t>Realització de connexió lineal DN350-DN450. Inclou  les traves necessàries i el muntatge dels accessoris necessaris per unir la xarxa existent amb la nova. Inclou maniobres hidràuliques. No inclou el material hidràulic.</t>
  </si>
  <si>
    <t>Realització de connexió lineal DN350-DN500. Inclou  les traves necessàries i el muntatge dels accessoris necessaris per unir la xarxa existent amb la nova. Inclou maniobres hidràuliques. No inclou el material hidràulic.</t>
  </si>
  <si>
    <t>Realització de connexió lineal DN400-DN400. Inclou  les traves necessàries i el muntatge dels accessoris necessaris per unir la xarxa existent amb la nova. Inclou maniobres hidràuliques. No inclou el material hidràulic.</t>
  </si>
  <si>
    <t>Realització de connexió lineal DN400-DN450. Inclou  les traves necessàries i el muntatge dels accessoris necessaris per unir la xarxa existent amb la nova. Inclou maniobres hidràuliques. No inclou el material hidràulic.</t>
  </si>
  <si>
    <t>Realització de connexió lineal DN400-DN500. Inclou  les traves necessàries i el muntatge dels accessoris necessaris per unir la xarxa existent amb la nova. Inclou maniobres hidràuliques. No inclou el material hidràulic.</t>
  </si>
  <si>
    <t>Realització de connexió lineal DN400-DN600. Inclou  les traves necessàries i el muntatge dels accessoris necessaris per unir la xarxa existent amb la nova. Inclou maniobres hidràuliques. No inclou el material hidràulic.</t>
  </si>
  <si>
    <t>Realització de connexió lineal DN450-DN450. Inclou  les traves necessàries i el muntatge dels accessoris necessaris per unir la xarxa existent amb la nova. Inclou maniobres hidràuliques. No inclou el material hidràulic.</t>
  </si>
  <si>
    <t>Realització de connexió lineal DN450-DN500. Inclou  les traves necessàries i el muntatge dels accessoris necessaris per unir la xarxa existent amb la nova. Inclou maniobres hidràuliques. No inclou el material hidràulic.</t>
  </si>
  <si>
    <t>Realització de connexió lineal DN450-DN600. Inclou  les traves necessàries i el muntatge dels accessoris necessaris per unir la xarxa existent amb la nova. Inclou maniobres hidràuliques. No inclou el material hidràulic.</t>
  </si>
  <si>
    <t>Realització de connexió lineal DN500-DN500. Inclou  les traves necessàries i el muntatge dels accessoris necessaris per unir la xarxa existent amb la nova. Inclou maniobres hidràuliques. No inclou el material hidràulic.</t>
  </si>
  <si>
    <t>Realització de connexió lineal DN500-DN600. Inclou  les traves necessàries i el muntatge dels accessoris necessaris per unir la xarxa existent amb la nova. Inclou maniobres hidràuliques. No inclou el material hidràulic.</t>
  </si>
  <si>
    <t>Realització de connexió lineal DN600-DN600. Inclou  les traves necessàries i el muntatge dels accessoris necessaris per unir la xarxa existent amb la nova. Inclou maniobres hidràuliques. No inclou el material hidràulic.</t>
  </si>
  <si>
    <t>Realització de connexió lineal 1"&lt;=DN&lt;=2". Inclou  les traves necessàries i el muntatge dels accessoris necessaris per unir la xarxa existent amb la nova. Inclou maniobres hidràuliques. No inclou el material hidràulic.</t>
  </si>
  <si>
    <t>Realització de connexió perpendicular 1"&lt;=DN&lt;=2". Inclou  les traves necessàries i el muntatge dels accessoris necessaris per unir la xarxa existent amb la nova. Inclou maniobres hidràuliques. No inclou el material hidràulic.</t>
  </si>
  <si>
    <t>Realització de connexió perpendicular 60-60. Inclou traves i muntatge de la derivació i accessoris necessaris per unir la xarxa existent amb la nova. Inclou maniobres hidràuliques. No inclou el material hidraulic.</t>
  </si>
  <si>
    <t>Realització de connexió perpendicular 100-60. Inclou traves i muntatge de la derivació i accessoris necessaris per unir la xarxa existent amb la nova. Inclou maniobres hidràuliques. No inclou el material hidraulic.</t>
  </si>
  <si>
    <t>Realització de connexió perpendicular 100-100. Inclou traves i muntatge de la derivació i accessoris necessaris per unir la xarxa existent amb la nova. Inclou maniobres hidràuliques. No inclou el material hidraulic.</t>
  </si>
  <si>
    <t>Realització de connexió perpendicular 150-60. Inclou traves i muntatge de la derivació i accessoris necessaris per unir la xarxa existent amb la nova. Inclou maniobres hidràuliques. No inclou el material hidraulic.</t>
  </si>
  <si>
    <t>Realització de connexió perpendicular 150-100. Inclou traves i muntatge de la derivació i accessoris necessaris per unir la xarxa existent amb la nova. Inclou maniobres hidràuliques. No inclou el material hidraulic.</t>
  </si>
  <si>
    <t>Realització de connexió perpendicular 150-150. Inclou traves i muntatge de la derivació i accessoris necessaris per unir la xarxa existent amb la nova. Inclou maniobres hidràuliques. No inclou el material hidraulic.</t>
  </si>
  <si>
    <t>Realització de connexió perpendicular 200-60. Inclou traves i muntatge de la derivació i accessoris necessaris per unir la xarxa existent amb la nova. Inclou maniobres hidràuliques. No inclou el material hidraulic.</t>
  </si>
  <si>
    <t>Realització de connexió perpendicular 200-100. Inclou traves i muntatge de la derivació i accessoris necessaris per unir la xarxa existent amb la nova. Inclou maniobres hidràuliques. No inclou el material hidraulic.</t>
  </si>
  <si>
    <t>Realització de connexió perpendicular 200-150. Inclou traves i muntatge de la derivació i accessoris necessaris per unir la xarxa existent amb la nova. Inclou maniobres hidràuliques. No inclou el material hidraulic.</t>
  </si>
  <si>
    <t>Realització de connexió perpendicular 200-200. Inclou traves i muntatge de la derivació i accessoris necessaris per unir la xarxa existent amb la nova. Inclou maniobres hidràuliques. No inclou el material hidraulic.</t>
  </si>
  <si>
    <t>Realització de connexió perpendicular 250-60. Inclou traves i muntatge de la derivació i accessoris necessaris per unir la xarxa existent amb la nova. Inclou maniobres hidràuliques. No inclou el material hidraulic.</t>
  </si>
  <si>
    <t>Realització de connexió perpendicular 250-100. Inclou traves i muntatge de la derivació i accessoris necessaris per unir la xarxa existent amb la nova. Inclou maniobres hidràuliques. No inclou el material hidraulic.</t>
  </si>
  <si>
    <t>Realització de connexió perpendicular 250-150. Inclou traves i muntatge de la derivació i accessoris necessaris per unir la xarxa existent amb la nova. Inclou maniobres hidràuliques. No inclou el material hidraulic.</t>
  </si>
  <si>
    <t>Realització de connexió perpendicular 250-200. Inclou traves i muntatge de la derivació i accessoris necessaris per unir la xarxa existent amb la nova. Inclou maniobres hidràuliques. No inclou el material hidraulic.</t>
  </si>
  <si>
    <t>Realització de connexió perpendicular 250-250. Inclou traves i muntatge de la derivació i accessoris necessaris per unir la xarxa existent amb la nova. Inclou maniobres hidràuliques. No inclou el material hidraulic.</t>
  </si>
  <si>
    <t>Realització de connexió perpendicular 300-60. Inclou traves i muntatge de la derivació i accessoris necessaris per unir la xarxa existent amb la nova. Inclou maniobres hidràuliques. No inclou el material hidraulic.</t>
  </si>
  <si>
    <t>Realització de connexió perpendicular 300-100. Inclou traves i muntatge de la derivació i accessoris necessaris per unir la xarxa existent amb la nova. Inclou maniobres hidràuliques. No inclou el material hidraulic.</t>
  </si>
  <si>
    <t>Realització de connexió perpendicular 300-150. Inclou traves i muntatge de la derivació i accessoris necessaris per unir la xarxa existent amb la nova. Inclou maniobres hidràuliques. No inclou el material hidraulic.</t>
  </si>
  <si>
    <t>Realització de connexió perpendicular 300-200. Inclou traves i muntatge de la derivació i accessoris necessaris per unir la xarxa existent amb la nova. Inclou maniobres hidràuliques. No inclou el material hidraulic.</t>
  </si>
  <si>
    <t>Realització de connexió perpendicular 300-250. Inclou traves i muntatge de la derivació i accessoris necessaris per unir la xarxa existent amb la nova. Inclou maniobres hidràuliques. No inclou el material hidraulic.</t>
  </si>
  <si>
    <t>Realització de connexió perpendicular 300-300. Inclou traves i muntatge de la derivació i accessoris necessaris per unir la xarxa existent amb la nova. Inclou maniobres hidràuliques. No inclou el material hidraulic.</t>
  </si>
  <si>
    <t>Realització de connexió perpendicular 350-60. Inclou traves i muntatge de la derivació i accessoris necessaris per unir la xarxa existent amb la nova. Inclou maniobres hidràuliques. No inclou el material hidraulic.</t>
  </si>
  <si>
    <t>Realització de connexió perpendicular 350-100. Inclou traves i muntatge de la derivació i accessoris necessaris per unir la xarxa existent amb la nova. Inclou maniobres hidràuliques. No inclou el material hidraulic.</t>
  </si>
  <si>
    <t>Realització de connexió perpendicular 350-150. Inclou traves i muntatge de la derivació i accessoris necessaris per unir la xarxa existent amb la nova. Inclou maniobres hidràuliques. No inclou el material hidraulic.</t>
  </si>
  <si>
    <t>Realització de connexió perpendicular 350-200. Inclou traves i muntatge de la derivació i accessoris necessaris per unir la xarxa existent amb la nova. Inclou maniobres hidràuliques. No inclou el material hidraulic.</t>
  </si>
  <si>
    <t>Realització de connexió perpendicular 350-250. Inclou traves i muntatge de la derivació i accessoris necessaris per unir la xarxa existent amb la nova. Inclou maniobres hidràuliques. No inclou el material hidraulic.</t>
  </si>
  <si>
    <t>Realització de connexió perpendicular 350-300. Inclou traves i muntatge de la derivació i accessoris necessaris per unir la xarxa existent amb la nova. Inclou maniobres hidràuliques. No inclou el material hidraulic.</t>
  </si>
  <si>
    <t>Realització de connexió perpendicular 350-350. Inclou traves i muntatge de la derivació i accessoris necessaris per unir la xarxa existent amb la nova. Inclou maniobres hidràuliques. No inclou el material hidraulic.</t>
  </si>
  <si>
    <t>Realització de connexió perpendicular 400-100. Inclou traves i muntatge de la derivació i accessoris necessaris per unir la xarxa existent amb la nova. Inclou maniobres hidràuliques. No inclou el material hidraulic.</t>
  </si>
  <si>
    <t>Realització de connexió perpendicular 400-150. Inclou traves i muntatge de la derivació i accessoris necessaris per unir la xarxa existent amb la nova. Inclou maniobres hidràuliques. No inclou el material hidraulic.</t>
  </si>
  <si>
    <t>Realització de connexió perpendicular 400-200. Inclou traves i muntatge de la derivació i accessoris necessaris per unir la xarxa existent amb la nova. Inclou maniobres hidràuliques. No inclou el material hidraulic.</t>
  </si>
  <si>
    <t>Realització de connexió perpendicular 400-250. Inclou traves i muntatge de la derivació i accessoris necessaris per unir la xarxa existent amb la nova. Inclou maniobres hidràuliques. No inclou el material hidraulic.</t>
  </si>
  <si>
    <t>Realització de connexió perpendicular 400-300. Inclou traves i muntatge de la derivació i accessoris necessaris per unir la xarxa existent amb la nova. Inclou maniobres hidràuliques. No inclou el material hidraulic.</t>
  </si>
  <si>
    <t>Realització de connexió perpendicular 400-400. Inclou traves i muntatge de la derivació i accessoris necessaris per unir la xarxa existent amb la nova. Inclou maniobres hidràuliques. No inclou el material hidraulic.</t>
  </si>
  <si>
    <t>Realització de connexió perpendicular 450-100. Inclou traves i muntatge de la derivació i accessoris necessaris per unir la xarxa existent amb la nova. Inclou maniobres hidràuliques. No inclou el material hidraulic.</t>
  </si>
  <si>
    <t>Realització de connexió perpendicular 450-150. Inclou traves i muntatge de la derivació i accessoris necessaris per unir la xarxa existent amb la nova. Inclou maniobres hidràuliques. No inclou el material hidraulic.</t>
  </si>
  <si>
    <t>Realització de connexió perpendicular 450-200. Inclou traves i muntatge de la derivació i accessoris necessaris per unir la xarxa existent amb la nova. Inclou maniobres hidràuliques. No inclou el material hidraulic.</t>
  </si>
  <si>
    <t>Realització de connexió perpendicular 450-250. Inclou traves i muntatge de la derivació i accessoris necessaris per unir la xarxa existent amb la nova. Inclou maniobres hidràuliques. No inclou el material hidraulic.</t>
  </si>
  <si>
    <t>Realització de connexió perpendicular 450-300. Inclou traves i muntatge de la derivació i accessoris necessaris per unir la xarxa existent amb la nova. Inclou maniobres hidràuliques. No inclou el material hidraulic.</t>
  </si>
  <si>
    <t>Realització de connexió perpendicular 450-400. Inclou traves i muntatge de la derivació i accessoris necessaris per unir la xarxa existent amb la nova. Inclou maniobres hidràuliques. No inclou el material hidraulic.</t>
  </si>
  <si>
    <t>Realització de connexió perpendicular 450-450. Inclou traves i muntatge de la derivació i accessoris necessaris per unir la xarxa existent amb la nova. Inclou maniobres hidràuliques. No inclou el material hidraulic.</t>
  </si>
  <si>
    <t>Realització de connexió perpendicular 500-100. Inclou traves i muntatge de la derivació i accessoris necessaris per unir la xarxa existent amb la nova. Inclou maniobres hidràuliques. No inclou el material hidraulic.</t>
  </si>
  <si>
    <t>Realització de connexió perpendicular 500-150. Inclou traves i muntatge de la derivació i accessoris necessaris per unir la xarxa existent amb la nova. Inclou maniobres hidràuliques. No inclou el material hidraulic.</t>
  </si>
  <si>
    <t>Realització de connexió perpendicular 500-200. Inclou traves i muntatge de la derivació i accessoris necessaris per unir la xarxa existent amb la nova. Inclou maniobres hidràuliques. No inclou el material hidraulic.</t>
  </si>
  <si>
    <t>Realització de connexió perpendicular 500-250. Inclou traves i muntatge de la derivació i accessoris necessaris per unir la xarxa existent amb la nova. Inclou maniobres hidràuliques. No inclou el material hidraulic.</t>
  </si>
  <si>
    <t>Realització de connexió perpendicular 500-300. Inclou traves i muntatge de la derivació i accessoris necessaris per unir la xarxa existent amb la nova. Inclou maniobres hidràuliques. No inclou el material hidraulic.</t>
  </si>
  <si>
    <t>Realització de connexió perpendicular 500-400. Inclou traves i muntatge de la derivació i accessoris necessaris per unir la xarxa existent amb la nova. Inclou maniobres hidràuliques. No inclou el material hidraulic.</t>
  </si>
  <si>
    <t>Realització de connexió perpendicular 500-500. Inclou traves i muntatge de la derivació i accessoris necessaris per unir la xarxa existent amb la nova. Inclou maniobres hidràuliques. No inclou el material hidraulic.</t>
  </si>
  <si>
    <t>Realització de connexió perpendicular 600-100. Inclou traves i muntatge de la derivació i accessoris necessaris per unir la xarxa existent amb la nova. Inclou maniobres hidràuliques. No inclou el material hidraulic.</t>
  </si>
  <si>
    <t>Realització de connexió perpendicular 600-200. Inclou traves i muntatge de la derivació i accessoris necessaris per unir la xarxa existent amb la nova. Inclou maniobres hidràuliques. No inclou el material hidraulic.</t>
  </si>
  <si>
    <t>Realització de connexió perpendicular 600-300. Inclou traves i muntatge de la derivació i accessoris necessaris per unir la xarxa existent amb la nova. Inclou maniobres hidràuliques. No inclou el material hidraulic.</t>
  </si>
  <si>
    <t>Realització de connexió perpendicular 600-400. Inclou traves i muntatge de la derivació i accessoris necessaris per unir la xarxa existent amb la nova. Inclou maniobres hidràuliques. No inclou el material hidraulic.</t>
  </si>
  <si>
    <t>Realització de connexió perpendicular 600-500. Inclou traves i muntatge de la derivació i accessoris necessaris per unir la xarxa existent amb la nova. Inclou maniobres hidràuliques. No inclou el material hidraulic.</t>
  </si>
  <si>
    <t>Realització de connexió perpendicular 600-600. Inclou traves i muntatge de la derivació i accessoris necessaris per unir la xarxa existent amb la nova. Inclou maniobres hidràuliques. No inclou el material hidraulic.</t>
  </si>
  <si>
    <t xml:space="preserve">                REALITZACIÓ D'ESCOMESES / SENSE MATERIAL HIDRÀULIC  (INCLOU 5% INDIRECTES + 19% BENEFICI INDUSTRIAL)</t>
  </si>
  <si>
    <t>Realització de ramal en canonada provisional de PE sobre vorera. Obra mecànica.</t>
  </si>
  <si>
    <t>Realització de ramal en obra nova de canalització 3/4"≤DN≤1 1/4"</t>
  </si>
  <si>
    <t>Realització de ramal en obra nova de canalització 1 1/2"≤DN≤2"</t>
  </si>
  <si>
    <t>Realització de ramal en obra nova de canalització DN&gt;2"</t>
  </si>
  <si>
    <t>Realització escomesa (fora de canalització) incloses obra civil i mecànica 3/4"≤DN≤1 1/4"</t>
  </si>
  <si>
    <t>Realització escomesa (fora de canalització) incloses obra civil i mecànica 1 1/2"≤DN≤2"</t>
  </si>
  <si>
    <t>Realització escomesa incloses obra civil i mecànica DN&gt;2"</t>
  </si>
  <si>
    <t>Realització escomesa per a Hidrant Columna 60-100 i la seva col·locació. Incloses obra civil i mecànica.</t>
  </si>
  <si>
    <t>Anul·lació ramal existent 3/4"≤DN≤1 1/4" Incloses obra civil i mecànica.</t>
  </si>
  <si>
    <t>Anul·lació ramal existent 1 1/2"≤DN≤2". Incloses obra civil i mecànica.</t>
  </si>
  <si>
    <t>Anul·lació ramal existent DN&gt;2". Incloses obra civil i mecànica.</t>
  </si>
  <si>
    <t xml:space="preserve">                ALTRES SERVEIS (INCLOU 5% INDIRECTES + 19% BENEFICI INDUSTRIAL)</t>
  </si>
  <si>
    <t>Assaig de piconatge pel mètode del Proctor modificat d'una mostra de sòl, segons la norma UNE 103501</t>
  </si>
  <si>
    <t>Determinació in situ de la humitat i la densitat pel mètode dels isòtops radioactius, d'un sòl, segons la norma ASTM D 6938, per a un nombre mínim de determinacions conjuntes igual a 15</t>
  </si>
  <si>
    <t>Servei de recollida de saca/ques (big bag) de terra/runa, tanques, planxes, etc. a actuacions a Via Pública. lnclou la portada a l'abocador autoritzat, la carrega i transport d'elements de seguretat d'obra al magatzem del contractant, i el subministrament i rebliment de cala amb graves si és necessari.</t>
  </si>
  <si>
    <t>Inspecció de l'execució d'obra per noves instal·lacions de xarxa d'aigua potable en via pública i la seva futura recepció.
Preu per cada 100 m</t>
  </si>
  <si>
    <t>PA</t>
  </si>
  <si>
    <t>Partida alçada a justificar en obra per a Seguretat i Salut</t>
  </si>
  <si>
    <t>1,5% PEM</t>
  </si>
  <si>
    <t>1,5% PEC</t>
  </si>
  <si>
    <r>
      <t>m</t>
    </r>
    <r>
      <rPr>
        <vertAlign val="superscript"/>
        <sz val="12"/>
        <color theme="1"/>
        <rFont val="Aptos Narrow"/>
        <family val="2"/>
      </rPr>
      <t>3</t>
    </r>
  </si>
  <si>
    <r>
      <rPr>
        <b/>
        <sz val="12"/>
        <color theme="1"/>
        <rFont val="Aptos Narrow"/>
        <family val="2"/>
      </rPr>
      <t>Tall</t>
    </r>
    <r>
      <rPr>
        <sz val="12"/>
        <color theme="1"/>
        <rFont val="Aptos Narrow"/>
        <family val="2"/>
      </rPr>
      <t xml:space="preserve"> de canonada de </t>
    </r>
    <r>
      <rPr>
        <b/>
        <sz val="12"/>
        <color theme="1"/>
        <rFont val="Aptos Narrow"/>
        <family val="2"/>
      </rPr>
      <t>fibrociment</t>
    </r>
    <r>
      <rPr>
        <sz val="12"/>
        <color theme="1"/>
        <rFont val="Aptos Narrow"/>
        <family val="2"/>
      </rPr>
      <t xml:space="preserve"> per a connexions de canonades o extraccionsde longitud &lt;=2m i qualsevol diàmetre. lnclou l'extracció, l'embolcallat i la paletització de la canonada, realització de proves personals i ambientals amb anàlisis a laboratori, transport de canonada (residu especial classe III) amb autorització d'entrada a l'abocador autoritzat.Tot segons el Pla de treball Genèric per a la manipualció d'amiant.</t>
    </r>
  </si>
  <si>
    <r>
      <t xml:space="preserve">Desmuntatge i retirada de tub de fibrociment en rasa oberta per diàmentres DN &lt;=DN80mm, en zones urbanes, amb afectació de serveis, </t>
    </r>
    <r>
      <rPr>
        <b/>
        <sz val="12"/>
        <color theme="1"/>
        <rFont val="Aptos Narrow"/>
        <family val="2"/>
      </rPr>
      <t xml:space="preserve">sense dificultats de mobilitat </t>
    </r>
    <r>
      <rPr>
        <sz val="12"/>
        <color theme="1"/>
        <rFont val="Aptos Narrow"/>
        <family val="2"/>
      </rPr>
      <t>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</si>
  <si>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Desmuntatge i retirada de tub de fibrociment en rasa oberta per diàmentres DN &lt;=DN80mm, en zones urbanes, amb afectació de serveis,</t>
    </r>
    <r>
      <rPr>
        <b/>
        <sz val="12"/>
        <color theme="1"/>
        <rFont val="Aptos Narrow"/>
        <family val="2"/>
      </rPr>
      <t xml:space="preserve"> amb dificultats de mobilitat </t>
    </r>
    <r>
      <rPr>
        <sz val="12"/>
        <color theme="1"/>
        <rFont val="Aptos Narrow"/>
        <family val="2"/>
      </rPr>
      <t>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</si>
  <si>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 xml:space="preserve">Desmuntatge i retirada de tub de fibrociment en rasa oberta per diàmentres 100&lt;=DN&lt;=200mm, en zones urbanes, amb afectació de serveis, </t>
    </r>
    <r>
      <rPr>
        <b/>
        <sz val="12"/>
        <color theme="1"/>
        <rFont val="Aptos Narrow"/>
        <family val="2"/>
      </rPr>
      <t>sense dificultats de mobilitat</t>
    </r>
    <r>
      <rPr>
        <sz val="12"/>
        <color theme="1"/>
        <rFont val="Aptos Narrow"/>
        <family val="2"/>
      </rPr>
      <t xml:space="preserve"> 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</si>
  <si>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 xml:space="preserve">Desmuntatge i retirada de tub de fibrociment en rasa oberta per diàmentres 100&lt;=DN&lt;=200mm, en zones urbanes, amb afectació de serveis, </t>
    </r>
    <r>
      <rPr>
        <b/>
        <sz val="12"/>
        <color theme="1"/>
        <rFont val="Aptos Narrow"/>
        <family val="2"/>
      </rPr>
      <t>amb dificultats de mobilitat</t>
    </r>
    <r>
      <rPr>
        <sz val="12"/>
        <color theme="1"/>
        <rFont val="Aptos Narrow"/>
        <family val="2"/>
      </rPr>
      <t xml:space="preserve"> 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</si>
  <si>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Desmuntatge i retirada de tub de fibrociment en rasa oberta per diàmentres 250&lt;=DN&lt;=300mm, en zones urbanes, amb afectació de serveis,</t>
    </r>
    <r>
      <rPr>
        <b/>
        <sz val="12"/>
        <color theme="1"/>
        <rFont val="Aptos Narrow"/>
        <family val="2"/>
      </rPr>
      <t xml:space="preserve"> sense dificultats de mobilitat</t>
    </r>
    <r>
      <rPr>
        <sz val="12"/>
        <color theme="1"/>
        <rFont val="Aptos Narrow"/>
        <family val="2"/>
      </rPr>
      <t xml:space="preserve"> 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</si>
  <si>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Desmuntatge i retirada de tub de fibrociment en rasa oberta per diàmentres 250&lt;=DN&lt;=300mm, en zones urbanes, amb afectació de serveis,</t>
    </r>
    <r>
      <rPr>
        <b/>
        <sz val="12"/>
        <color theme="1"/>
        <rFont val="Aptos Narrow"/>
        <family val="2"/>
      </rPr>
      <t xml:space="preserve"> amb dificultats de mobilitat</t>
    </r>
    <r>
      <rPr>
        <sz val="12"/>
        <color theme="1"/>
        <rFont val="Aptos Narrow"/>
        <family val="2"/>
      </rPr>
      <t xml:space="preserve"> i sense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</si>
  <si>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 xml:space="preserve">Desmuntatge i retirada de tub de fibrociment en rasa oberta per diàmentres DN&gt;=350mm, en zones urbanes, amb afectació de serveis, </t>
    </r>
    <r>
      <rPr>
        <b/>
        <sz val="12"/>
        <color theme="1"/>
        <rFont val="Aptos Narrow"/>
        <family val="2"/>
      </rPr>
      <t>sense dificultats de mobilitat</t>
    </r>
    <r>
      <rPr>
        <sz val="12"/>
        <color theme="1"/>
        <rFont val="Aptos Narrow"/>
        <family val="2"/>
      </rPr>
      <t xml:space="preserve"> i amb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</si>
  <si>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 xml:space="preserve">Desmuntatge i retirada de tub de fibrociment en rasa oberta per diàmentres DN&gt;=350mm, en zones urbanes, amb afectació de serveis, </t>
    </r>
    <r>
      <rPr>
        <b/>
        <sz val="12"/>
        <color theme="1"/>
        <rFont val="Aptos Narrow"/>
        <family val="2"/>
      </rPr>
      <t>amb dificultats de mobilitat</t>
    </r>
    <r>
      <rPr>
        <sz val="12"/>
        <color theme="1"/>
        <rFont val="Aptos Narrow"/>
        <family val="2"/>
      </rPr>
      <t xml:space="preserve"> i amb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</si>
  <si>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r>
      <t xml:space="preserve">Desmuntatge i retirada de tub de fibrociment en rasa oberta per diàmentres DN&gt;=350mm, en </t>
    </r>
    <r>
      <rPr>
        <b/>
        <sz val="12"/>
        <color theme="1"/>
        <rFont val="Aptos Narrow"/>
        <family val="2"/>
      </rPr>
      <t>zones no urbanes</t>
    </r>
    <r>
      <rPr>
        <sz val="12"/>
        <color theme="1"/>
        <rFont val="Aptos Narrow"/>
        <family val="2"/>
      </rPr>
      <t>, sense afectació de serveis, sense dificultats de mobilitat i amb presència d'estrebada.  lnclou l'extracció, l'embolcallat i la paletització de la canonada, realització de proves personals i ambientals amb anàlisis a laboratori, transport de canonada (residu especial classe III) amb autorització d'entrada a l'abocador autoritzat. Tot segons Pla de Treball Genèric per a la manipulació d'amiant (no inclòs).</t>
    </r>
  </si>
  <si>
    <t>PEM</t>
  </si>
  <si>
    <t>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</si>
</sst>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6" x14ac:knownFonts="1">
    <font>
      <sz val="11"/>
      <color theme="1"/>
      <name val="Calibri"/>
      <family val="2"/>
      <scheme val="minor"/>
    </font>
    <font>
      <sz val="11"/>
      <color theme="1"/>
      <name val="Calibri"/>
      <family val="2"/>
      <scheme val="minor"/>
    </font>
    <font>
      <b/>
      <sz val="12"/>
      <color theme="1"/>
      <name val="Aptos Narrow"/>
      <family val="2"/>
    </font>
    <font>
      <sz val="12"/>
      <color theme="1"/>
      <name val="Aptos Narrow"/>
      <family val="2"/>
    </font>
    <font>
      <sz val="12"/>
      <color rgb="FF212121"/>
      <name val="Aptos Narrow"/>
      <family val="2"/>
    </font>
    <font>
      <vertAlign val="superscript"/>
      <sz val="12"/>
      <color theme="1"/>
      <name val="Aptos Narrow"/>
      <family val="2"/>
    </font>
  </fonts>
  <fills count="4">
    <fill>
      <patternFill patternType="none"/>
    </fill>
    <fill>
      <patternFill patternType="gray125"/>
    </fill>
    <fill>
      <patternFill patternType="solid">
        <fgColor theme="5"/>
        <bgColor indexed="64"/>
      </patternFill>
    </fill>
    <fill>
      <patternFill patternType="solid">
        <fgColor rgb="FF61CB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0" fontId="3"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9" fontId="3" fillId="0" borderId="0" xfId="2" applyFont="1"/>
    <xf numFmtId="0" fontId="3" fillId="0" borderId="1" xfId="0" applyFont="1" applyBorder="1" applyAlignment="1">
      <alignment vertical="center" wrapText="1"/>
    </xf>
    <xf numFmtId="0" fontId="3" fillId="0" borderId="1" xfId="0" applyFont="1" applyBorder="1" applyAlignment="1">
      <alignment horizontal="center" vertical="center"/>
    </xf>
    <xf numFmtId="164" fontId="3" fillId="3" borderId="1" xfId="1"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cellXfs>
  <cellStyles count="3">
    <cellStyle name="Coma" xfId="1" builtinId="3"/>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931B-06CA-4170-9A18-F16FB3D817F0}">
  <dimension ref="A1:F258"/>
  <sheetViews>
    <sheetView tabSelected="1" zoomScaleNormal="100" workbookViewId="0">
      <pane ySplit="2" topLeftCell="A3" activePane="bottomLeft" state="frozen"/>
      <selection pane="bottomLeft" activeCell="A6" sqref="A6:E7"/>
    </sheetView>
  </sheetViews>
  <sheetFormatPr defaultColWidth="11.44140625" defaultRowHeight="15.6" x14ac:dyDescent="0.3"/>
  <cols>
    <col min="1" max="1" width="6.109375" style="2" customWidth="1"/>
    <col min="2" max="2" width="8.44140625" style="1" customWidth="1"/>
    <col min="3" max="3" width="114.88671875" style="1" customWidth="1"/>
    <col min="4" max="4" width="17.6640625" style="1" customWidth="1"/>
    <col min="5" max="5" width="15.33203125" style="1" customWidth="1"/>
    <col min="6" max="6" width="12" style="1" bestFit="1" customWidth="1"/>
    <col min="7" max="16384" width="11.44140625" style="1"/>
  </cols>
  <sheetData>
    <row r="1" spans="1:6" x14ac:dyDescent="0.3">
      <c r="A1" s="10"/>
      <c r="B1" s="11"/>
      <c r="C1" s="12"/>
      <c r="D1" s="16" t="s">
        <v>258</v>
      </c>
      <c r="E1" s="16" t="s">
        <v>259</v>
      </c>
    </row>
    <row r="2" spans="1:6" x14ac:dyDescent="0.3">
      <c r="A2" s="13"/>
      <c r="B2" s="14"/>
      <c r="C2" s="15"/>
      <c r="D2" s="16"/>
      <c r="E2" s="16"/>
    </row>
    <row r="3" spans="1:6" x14ac:dyDescent="0.3">
      <c r="A3" s="9" t="s">
        <v>0</v>
      </c>
      <c r="B3" s="9"/>
      <c r="C3" s="9"/>
      <c r="D3" s="9"/>
      <c r="E3" s="9"/>
    </row>
    <row r="4" spans="1:6" x14ac:dyDescent="0.3">
      <c r="A4" s="9"/>
      <c r="B4" s="9"/>
      <c r="C4" s="9"/>
      <c r="D4" s="9"/>
      <c r="E4" s="9"/>
    </row>
    <row r="5" spans="1:6" ht="31.2" x14ac:dyDescent="0.3">
      <c r="A5" s="7">
        <v>1</v>
      </c>
      <c r="B5" s="7" t="s">
        <v>2</v>
      </c>
      <c r="C5" s="4" t="s">
        <v>3</v>
      </c>
      <c r="D5" s="8">
        <v>616.55999999999995</v>
      </c>
      <c r="E5" s="8">
        <f>616.56*1.19</f>
        <v>733.70639999999992</v>
      </c>
    </row>
    <row r="6" spans="1:6" x14ac:dyDescent="0.3">
      <c r="A6" s="9" t="s">
        <v>4</v>
      </c>
      <c r="B6" s="9"/>
      <c r="C6" s="9"/>
      <c r="D6" s="9"/>
      <c r="E6" s="9"/>
    </row>
    <row r="7" spans="1:6" x14ac:dyDescent="0.3">
      <c r="A7" s="9"/>
      <c r="B7" s="9"/>
      <c r="C7" s="9"/>
      <c r="D7" s="9"/>
      <c r="E7" s="9"/>
    </row>
    <row r="8" spans="1:6" x14ac:dyDescent="0.3">
      <c r="A8" s="7">
        <v>2</v>
      </c>
      <c r="B8" s="3" t="s">
        <v>1</v>
      </c>
      <c r="C8" s="4" t="s">
        <v>5</v>
      </c>
      <c r="D8" s="8">
        <v>165.64</v>
      </c>
      <c r="E8" s="8">
        <v>165.64</v>
      </c>
    </row>
    <row r="9" spans="1:6" x14ac:dyDescent="0.3">
      <c r="A9" s="7">
        <v>3</v>
      </c>
      <c r="B9" s="3" t="s">
        <v>1</v>
      </c>
      <c r="C9" s="4" t="s">
        <v>6</v>
      </c>
      <c r="D9" s="8">
        <v>250.52</v>
      </c>
      <c r="E9" s="8">
        <v>250.52</v>
      </c>
    </row>
    <row r="10" spans="1:6" x14ac:dyDescent="0.3">
      <c r="A10" s="9" t="s">
        <v>7</v>
      </c>
      <c r="B10" s="9"/>
      <c r="C10" s="9"/>
      <c r="D10" s="9"/>
      <c r="E10" s="9"/>
    </row>
    <row r="11" spans="1:6" x14ac:dyDescent="0.3">
      <c r="A11" s="9"/>
      <c r="B11" s="9"/>
      <c r="C11" s="9" t="s">
        <v>8</v>
      </c>
      <c r="D11" s="9"/>
      <c r="E11" s="9"/>
    </row>
    <row r="12" spans="1:6" ht="31.2" x14ac:dyDescent="0.3">
      <c r="A12" s="7">
        <v>4</v>
      </c>
      <c r="B12" s="3" t="s">
        <v>247</v>
      </c>
      <c r="C12" s="4" t="s">
        <v>9</v>
      </c>
      <c r="D12" s="8">
        <f>24.53*1</f>
        <v>24.53</v>
      </c>
      <c r="E12" s="8">
        <f>24.53*1.19</f>
        <v>29.1907</v>
      </c>
      <c r="F12" s="5"/>
    </row>
    <row r="13" spans="1:6" ht="31.2" x14ac:dyDescent="0.3">
      <c r="A13" s="7">
        <v>5</v>
      </c>
      <c r="B13" s="3" t="s">
        <v>247</v>
      </c>
      <c r="C13" s="4" t="s">
        <v>10</v>
      </c>
      <c r="D13" s="8">
        <f>29.49*1</f>
        <v>29.49</v>
      </c>
      <c r="E13" s="8">
        <f>29.49*1.19</f>
        <v>35.0931</v>
      </c>
      <c r="F13" s="5"/>
    </row>
    <row r="14" spans="1:6" x14ac:dyDescent="0.3">
      <c r="A14" s="7">
        <v>6</v>
      </c>
      <c r="B14" s="3" t="s">
        <v>11</v>
      </c>
      <c r="C14" s="4" t="s">
        <v>12</v>
      </c>
      <c r="D14" s="8">
        <f>132.04</f>
        <v>132.04</v>
      </c>
      <c r="E14" s="8">
        <f>132.04*1.05*1.19</f>
        <v>164.98397999999997</v>
      </c>
      <c r="F14" s="5"/>
    </row>
    <row r="15" spans="1:6" x14ac:dyDescent="0.3">
      <c r="A15" s="7">
        <v>7</v>
      </c>
      <c r="B15" s="3" t="s">
        <v>11</v>
      </c>
      <c r="C15" s="4" t="s">
        <v>13</v>
      </c>
      <c r="D15" s="8">
        <f>178.56</f>
        <v>178.56</v>
      </c>
      <c r="E15" s="8">
        <f>178.56*1.05*1.19</f>
        <v>223.11071999999999</v>
      </c>
      <c r="F15" s="5"/>
    </row>
    <row r="16" spans="1:6" x14ac:dyDescent="0.3">
      <c r="A16" s="7">
        <v>8</v>
      </c>
      <c r="B16" s="3" t="s">
        <v>11</v>
      </c>
      <c r="C16" s="4" t="s">
        <v>14</v>
      </c>
      <c r="D16" s="8">
        <f>205.56</f>
        <v>205.56</v>
      </c>
      <c r="E16" s="8">
        <f>205.56*1.05*1.19</f>
        <v>256.84721999999999</v>
      </c>
      <c r="F16" s="5"/>
    </row>
    <row r="17" spans="1:5" x14ac:dyDescent="0.3">
      <c r="A17" s="9" t="s">
        <v>15</v>
      </c>
      <c r="B17" s="9"/>
      <c r="C17" s="9"/>
      <c r="D17" s="9"/>
      <c r="E17" s="9"/>
    </row>
    <row r="18" spans="1:5" x14ac:dyDescent="0.3">
      <c r="A18" s="9"/>
      <c r="B18" s="9"/>
      <c r="C18" s="9" t="s">
        <v>8</v>
      </c>
      <c r="D18" s="9"/>
      <c r="E18" s="9"/>
    </row>
    <row r="19" spans="1:5" ht="62.4" x14ac:dyDescent="0.3">
      <c r="A19" s="7">
        <v>9</v>
      </c>
      <c r="B19" s="3" t="s">
        <v>11</v>
      </c>
      <c r="C19" s="6" t="s">
        <v>248</v>
      </c>
      <c r="D19" s="8">
        <f>38.07*1</f>
        <v>38.07</v>
      </c>
      <c r="E19" s="8">
        <f>38.07*1.19</f>
        <v>45.3033</v>
      </c>
    </row>
    <row r="20" spans="1:5" ht="46.8" x14ac:dyDescent="0.3">
      <c r="A20" s="7">
        <v>10</v>
      </c>
      <c r="B20" s="3" t="s">
        <v>11</v>
      </c>
      <c r="C20" s="6" t="s">
        <v>16</v>
      </c>
      <c r="D20" s="8">
        <f>900.53*1</f>
        <v>900.53</v>
      </c>
      <c r="E20" s="8">
        <f>900.53*1.19</f>
        <v>1071.6306999999999</v>
      </c>
    </row>
    <row r="21" spans="1:5" ht="78" x14ac:dyDescent="0.3">
      <c r="A21" s="7">
        <v>11</v>
      </c>
      <c r="B21" s="3" t="s">
        <v>17</v>
      </c>
      <c r="C21" s="6" t="s">
        <v>249</v>
      </c>
      <c r="D21" s="8">
        <f>21.22*1</f>
        <v>21.22</v>
      </c>
      <c r="E21" s="8">
        <f>21.22*1.19</f>
        <v>25.251799999999996</v>
      </c>
    </row>
    <row r="22" spans="1:5" ht="78" x14ac:dyDescent="0.3">
      <c r="A22" s="7">
        <v>12</v>
      </c>
      <c r="B22" s="3" t="s">
        <v>17</v>
      </c>
      <c r="C22" s="6" t="s">
        <v>250</v>
      </c>
      <c r="D22" s="8">
        <f>24.64*1</f>
        <v>24.64</v>
      </c>
      <c r="E22" s="8">
        <f>24.64*1.19</f>
        <v>29.3216</v>
      </c>
    </row>
    <row r="23" spans="1:5" ht="78" x14ac:dyDescent="0.3">
      <c r="A23" s="7">
        <v>13</v>
      </c>
      <c r="B23" s="3" t="s">
        <v>17</v>
      </c>
      <c r="C23" s="6" t="s">
        <v>251</v>
      </c>
      <c r="D23" s="8">
        <f>28.96*1</f>
        <v>28.96</v>
      </c>
      <c r="E23" s="8">
        <f>28.96*1.19</f>
        <v>34.462400000000002</v>
      </c>
    </row>
    <row r="24" spans="1:5" ht="78" x14ac:dyDescent="0.3">
      <c r="A24" s="7">
        <v>14</v>
      </c>
      <c r="B24" s="3" t="s">
        <v>17</v>
      </c>
      <c r="C24" s="6" t="s">
        <v>252</v>
      </c>
      <c r="D24" s="8">
        <f>31.47*1</f>
        <v>31.47</v>
      </c>
      <c r="E24" s="8">
        <f>31.47*1.19</f>
        <v>37.449299999999994</v>
      </c>
    </row>
    <row r="25" spans="1:5" ht="78" x14ac:dyDescent="0.3">
      <c r="A25" s="7">
        <v>15</v>
      </c>
      <c r="B25" s="3" t="s">
        <v>17</v>
      </c>
      <c r="C25" s="6" t="s">
        <v>253</v>
      </c>
      <c r="D25" s="8">
        <f>49.27*1</f>
        <v>49.27</v>
      </c>
      <c r="E25" s="8">
        <f>49.27*1.19</f>
        <v>58.631300000000003</v>
      </c>
    </row>
    <row r="26" spans="1:5" ht="78" x14ac:dyDescent="0.3">
      <c r="A26" s="7">
        <v>16</v>
      </c>
      <c r="B26" s="3" t="s">
        <v>17</v>
      </c>
      <c r="C26" s="6" t="s">
        <v>254</v>
      </c>
      <c r="D26" s="8">
        <f>56.12*1</f>
        <v>56.12</v>
      </c>
      <c r="E26" s="8">
        <f>56.12*1.19</f>
        <v>66.782799999999995</v>
      </c>
    </row>
    <row r="27" spans="1:5" ht="78" x14ac:dyDescent="0.3">
      <c r="A27" s="7">
        <v>17</v>
      </c>
      <c r="B27" s="3" t="s">
        <v>17</v>
      </c>
      <c r="C27" s="6" t="s">
        <v>255</v>
      </c>
      <c r="D27" s="8">
        <f>74.11*1</f>
        <v>74.11</v>
      </c>
      <c r="E27" s="8">
        <f>74.11*1.19</f>
        <v>88.190899999999999</v>
      </c>
    </row>
    <row r="28" spans="1:5" ht="78" x14ac:dyDescent="0.3">
      <c r="A28" s="7">
        <v>18</v>
      </c>
      <c r="B28" s="3" t="s">
        <v>17</v>
      </c>
      <c r="C28" s="6" t="s">
        <v>256</v>
      </c>
      <c r="D28" s="8">
        <f>85.6*1</f>
        <v>85.6</v>
      </c>
      <c r="E28" s="8">
        <f>85.6*1.19</f>
        <v>101.86399999999999</v>
      </c>
    </row>
    <row r="29" spans="1:5" ht="78" x14ac:dyDescent="0.3">
      <c r="A29" s="7">
        <v>19</v>
      </c>
      <c r="B29" s="3" t="s">
        <v>17</v>
      </c>
      <c r="C29" s="6" t="s">
        <v>257</v>
      </c>
      <c r="D29" s="8">
        <f>62.36*1</f>
        <v>62.36</v>
      </c>
      <c r="E29" s="8">
        <f>62.36*1.19</f>
        <v>74.208399999999997</v>
      </c>
    </row>
    <row r="30" spans="1:5" x14ac:dyDescent="0.3">
      <c r="A30" s="7">
        <v>20</v>
      </c>
      <c r="B30" s="3" t="s">
        <v>11</v>
      </c>
      <c r="C30" s="6" t="s">
        <v>18</v>
      </c>
      <c r="D30" s="8">
        <f>165.64*1</f>
        <v>165.64</v>
      </c>
      <c r="E30" s="8">
        <f>165.64*1.19</f>
        <v>197.11159999999998</v>
      </c>
    </row>
    <row r="31" spans="1:5" x14ac:dyDescent="0.3">
      <c r="A31" s="9" t="s">
        <v>19</v>
      </c>
      <c r="B31" s="9"/>
      <c r="C31" s="9"/>
      <c r="D31" s="9"/>
      <c r="E31" s="9"/>
    </row>
    <row r="32" spans="1:5" x14ac:dyDescent="0.3">
      <c r="A32" s="9"/>
      <c r="B32" s="9"/>
      <c r="C32" s="9" t="s">
        <v>8</v>
      </c>
      <c r="D32" s="9"/>
      <c r="E32" s="9"/>
    </row>
    <row r="33" spans="1:5" ht="156" x14ac:dyDescent="0.3">
      <c r="A33" s="7">
        <v>21</v>
      </c>
      <c r="B33" s="3" t="s">
        <v>17</v>
      </c>
      <c r="C33" s="6" t="s">
        <v>20</v>
      </c>
      <c r="D33" s="8">
        <f>74.31*1</f>
        <v>74.31</v>
      </c>
      <c r="E33" s="8">
        <f>74.31*1.19</f>
        <v>88.428899999999999</v>
      </c>
    </row>
    <row r="34" spans="1:5" ht="156" x14ac:dyDescent="0.3">
      <c r="A34" s="7">
        <v>22</v>
      </c>
      <c r="B34" s="3" t="s">
        <v>17</v>
      </c>
      <c r="C34" s="6" t="s">
        <v>21</v>
      </c>
      <c r="D34" s="8">
        <f>91.1*1</f>
        <v>91.1</v>
      </c>
      <c r="E34" s="8">
        <f>91.1*1.19</f>
        <v>108.40899999999999</v>
      </c>
    </row>
    <row r="35" spans="1:5" ht="156" x14ac:dyDescent="0.3">
      <c r="A35" s="7">
        <v>23</v>
      </c>
      <c r="B35" s="3" t="s">
        <v>17</v>
      </c>
      <c r="C35" s="6" t="s">
        <v>22</v>
      </c>
      <c r="D35" s="8">
        <f>95.41*1</f>
        <v>95.41</v>
      </c>
      <c r="E35" s="8">
        <f>95.41*1.19</f>
        <v>113.53789999999999</v>
      </c>
    </row>
    <row r="36" spans="1:5" ht="156" x14ac:dyDescent="0.3">
      <c r="A36" s="7">
        <v>24</v>
      </c>
      <c r="B36" s="3" t="s">
        <v>17</v>
      </c>
      <c r="C36" s="6" t="s">
        <v>23</v>
      </c>
      <c r="D36" s="8">
        <f>95.8*1</f>
        <v>95.8</v>
      </c>
      <c r="E36" s="8">
        <f>95.8*1.19</f>
        <v>114.002</v>
      </c>
    </row>
    <row r="37" spans="1:5" ht="156" x14ac:dyDescent="0.3">
      <c r="A37" s="7">
        <v>25</v>
      </c>
      <c r="B37" s="3" t="s">
        <v>17</v>
      </c>
      <c r="C37" s="6" t="s">
        <v>24</v>
      </c>
      <c r="D37" s="8">
        <f>105.46*1</f>
        <v>105.46</v>
      </c>
      <c r="E37" s="8">
        <f>105.46*1.19</f>
        <v>125.49739999999998</v>
      </c>
    </row>
    <row r="38" spans="1:5" ht="156" x14ac:dyDescent="0.3">
      <c r="A38" s="7">
        <v>26</v>
      </c>
      <c r="B38" s="3" t="s">
        <v>17</v>
      </c>
      <c r="C38" s="6" t="s">
        <v>25</v>
      </c>
      <c r="D38" s="8">
        <f>82.81*1</f>
        <v>82.81</v>
      </c>
      <c r="E38" s="8">
        <f>82.81*1.19</f>
        <v>98.543899999999994</v>
      </c>
    </row>
    <row r="39" spans="1:5" ht="156" x14ac:dyDescent="0.3">
      <c r="A39" s="7">
        <v>27</v>
      </c>
      <c r="B39" s="3" t="s">
        <v>17</v>
      </c>
      <c r="C39" s="6" t="s">
        <v>26</v>
      </c>
      <c r="D39" s="8">
        <f>27.55*1</f>
        <v>27.55</v>
      </c>
      <c r="E39" s="8">
        <f>27.55*1.19</f>
        <v>32.784500000000001</v>
      </c>
    </row>
    <row r="40" spans="1:5" ht="156" x14ac:dyDescent="0.3">
      <c r="A40" s="7">
        <v>28</v>
      </c>
      <c r="B40" s="3" t="s">
        <v>17</v>
      </c>
      <c r="C40" s="6" t="s">
        <v>27</v>
      </c>
      <c r="D40" s="8">
        <f>75.89*1</f>
        <v>75.89</v>
      </c>
      <c r="E40" s="8">
        <f>75.89*1.19</f>
        <v>90.309100000000001</v>
      </c>
    </row>
    <row r="41" spans="1:5" ht="156" x14ac:dyDescent="0.3">
      <c r="A41" s="7">
        <v>29</v>
      </c>
      <c r="B41" s="3" t="s">
        <v>17</v>
      </c>
      <c r="C41" s="6" t="s">
        <v>28</v>
      </c>
      <c r="D41" s="8">
        <f>92.66*1</f>
        <v>92.66</v>
      </c>
      <c r="E41" s="8">
        <f>92.66*1.19</f>
        <v>110.26539999999999</v>
      </c>
    </row>
    <row r="42" spans="1:5" ht="156" x14ac:dyDescent="0.3">
      <c r="A42" s="7">
        <v>30</v>
      </c>
      <c r="B42" s="3" t="s">
        <v>17</v>
      </c>
      <c r="C42" s="6" t="s">
        <v>29</v>
      </c>
      <c r="D42" s="8">
        <f>96.95*1</f>
        <v>96.95</v>
      </c>
      <c r="E42" s="8">
        <f>96.95*1.19</f>
        <v>115.37049999999999</v>
      </c>
    </row>
    <row r="43" spans="1:5" ht="156" x14ac:dyDescent="0.3">
      <c r="A43" s="7">
        <v>31</v>
      </c>
      <c r="B43" s="3" t="s">
        <v>17</v>
      </c>
      <c r="C43" s="6" t="s">
        <v>30</v>
      </c>
      <c r="D43" s="8">
        <f>97.34*1</f>
        <v>97.34</v>
      </c>
      <c r="E43" s="8">
        <f>97.34*1.19</f>
        <v>115.83459999999999</v>
      </c>
    </row>
    <row r="44" spans="1:5" ht="156" x14ac:dyDescent="0.3">
      <c r="A44" s="7">
        <v>32</v>
      </c>
      <c r="B44" s="3" t="s">
        <v>17</v>
      </c>
      <c r="C44" s="6" t="s">
        <v>31</v>
      </c>
      <c r="D44" s="8">
        <f>107.04*1</f>
        <v>107.04</v>
      </c>
      <c r="E44" s="8">
        <f>107.04*1.19</f>
        <v>127.3776</v>
      </c>
    </row>
    <row r="45" spans="1:5" ht="156" x14ac:dyDescent="0.3">
      <c r="A45" s="7">
        <v>33</v>
      </c>
      <c r="B45" s="3" t="s">
        <v>17</v>
      </c>
      <c r="C45" s="6" t="s">
        <v>32</v>
      </c>
      <c r="D45" s="8">
        <f>84.39*1</f>
        <v>84.39</v>
      </c>
      <c r="E45" s="8">
        <f>84.39*1.19</f>
        <v>100.4241</v>
      </c>
    </row>
    <row r="46" spans="1:5" ht="156" x14ac:dyDescent="0.3">
      <c r="A46" s="7">
        <v>34</v>
      </c>
      <c r="B46" s="3" t="s">
        <v>17</v>
      </c>
      <c r="C46" s="6" t="s">
        <v>33</v>
      </c>
      <c r="D46" s="8">
        <f>29.64*1</f>
        <v>29.64</v>
      </c>
      <c r="E46" s="8">
        <f>29.64*1.19</f>
        <v>35.271599999999999</v>
      </c>
    </row>
    <row r="47" spans="1:5" ht="156" x14ac:dyDescent="0.3">
      <c r="A47" s="7">
        <v>35</v>
      </c>
      <c r="B47" s="3" t="s">
        <v>17</v>
      </c>
      <c r="C47" s="6" t="s">
        <v>34</v>
      </c>
      <c r="D47" s="8">
        <f>98.01*1</f>
        <v>98.01</v>
      </c>
      <c r="E47" s="8">
        <f>98.01*1.19</f>
        <v>116.6319</v>
      </c>
    </row>
    <row r="48" spans="1:5" ht="156" x14ac:dyDescent="0.3">
      <c r="A48" s="7">
        <v>36</v>
      </c>
      <c r="B48" s="3" t="s">
        <v>17</v>
      </c>
      <c r="C48" s="6" t="s">
        <v>35</v>
      </c>
      <c r="D48" s="8">
        <f>114.32*1</f>
        <v>114.32</v>
      </c>
      <c r="E48" s="8">
        <f>114.32*1.19</f>
        <v>136.04079999999999</v>
      </c>
    </row>
    <row r="49" spans="1:5" ht="156" x14ac:dyDescent="0.3">
      <c r="A49" s="7">
        <v>37</v>
      </c>
      <c r="B49" s="3" t="s">
        <v>17</v>
      </c>
      <c r="C49" s="6" t="s">
        <v>36</v>
      </c>
      <c r="D49" s="8">
        <f>120.39*1</f>
        <v>120.39</v>
      </c>
      <c r="E49" s="8">
        <f>120.39*1.19</f>
        <v>143.26409999999998</v>
      </c>
    </row>
    <row r="50" spans="1:5" ht="156" x14ac:dyDescent="0.3">
      <c r="A50" s="7">
        <v>38</v>
      </c>
      <c r="B50" s="3" t="s">
        <v>17</v>
      </c>
      <c r="C50" s="6" t="s">
        <v>37</v>
      </c>
      <c r="D50" s="8">
        <f>118.79*1</f>
        <v>118.79</v>
      </c>
      <c r="E50" s="8">
        <f>118.79*1.19</f>
        <v>141.36009999999999</v>
      </c>
    </row>
    <row r="51" spans="1:5" ht="156" x14ac:dyDescent="0.3">
      <c r="A51" s="7">
        <v>39</v>
      </c>
      <c r="B51" s="3" t="s">
        <v>17</v>
      </c>
      <c r="C51" s="6" t="s">
        <v>38</v>
      </c>
      <c r="D51" s="8">
        <f>136.68*1</f>
        <v>136.68</v>
      </c>
      <c r="E51" s="8">
        <f>136.68*1.19</f>
        <v>162.64920000000001</v>
      </c>
    </row>
    <row r="52" spans="1:5" ht="156" x14ac:dyDescent="0.3">
      <c r="A52" s="7">
        <v>40</v>
      </c>
      <c r="B52" s="3" t="s">
        <v>17</v>
      </c>
      <c r="C52" s="6" t="s">
        <v>39</v>
      </c>
      <c r="D52" s="8">
        <f>108.37*1</f>
        <v>108.37</v>
      </c>
      <c r="E52" s="8">
        <f>108.37*1.19</f>
        <v>128.96029999999999</v>
      </c>
    </row>
    <row r="53" spans="1:5" ht="156" x14ac:dyDescent="0.3">
      <c r="A53" s="7">
        <v>41</v>
      </c>
      <c r="B53" s="3" t="s">
        <v>17</v>
      </c>
      <c r="C53" s="6" t="s">
        <v>40</v>
      </c>
      <c r="D53" s="8">
        <f>41.87*1</f>
        <v>41.87</v>
      </c>
      <c r="E53" s="8">
        <f>41.87*1.19</f>
        <v>49.825299999999991</v>
      </c>
    </row>
    <row r="54" spans="1:5" ht="156" x14ac:dyDescent="0.3">
      <c r="A54" s="7">
        <v>42</v>
      </c>
      <c r="B54" s="3" t="s">
        <v>17</v>
      </c>
      <c r="C54" s="6" t="s">
        <v>41</v>
      </c>
      <c r="D54" s="8">
        <f>99.62*1</f>
        <v>99.62</v>
      </c>
      <c r="E54" s="8">
        <f>99.62*1.19</f>
        <v>118.5478</v>
      </c>
    </row>
    <row r="55" spans="1:5" ht="156" x14ac:dyDescent="0.3">
      <c r="A55" s="7">
        <v>43</v>
      </c>
      <c r="B55" s="3" t="s">
        <v>17</v>
      </c>
      <c r="C55" s="6" t="s">
        <v>42</v>
      </c>
      <c r="D55" s="8">
        <f>115.95*1</f>
        <v>115.95</v>
      </c>
      <c r="E55" s="8">
        <f>115.95*1.19</f>
        <v>137.98050000000001</v>
      </c>
    </row>
    <row r="56" spans="1:5" ht="156" x14ac:dyDescent="0.3">
      <c r="A56" s="7">
        <v>44</v>
      </c>
      <c r="B56" s="3" t="s">
        <v>17</v>
      </c>
      <c r="C56" s="6" t="s">
        <v>43</v>
      </c>
      <c r="D56" s="8">
        <f>122.01*1</f>
        <v>122.01</v>
      </c>
      <c r="E56" s="8">
        <f>122.01*1.19</f>
        <v>145.1919</v>
      </c>
    </row>
    <row r="57" spans="1:5" ht="156" x14ac:dyDescent="0.3">
      <c r="A57" s="7">
        <v>45</v>
      </c>
      <c r="B57" s="3" t="s">
        <v>17</v>
      </c>
      <c r="C57" s="6" t="s">
        <v>44</v>
      </c>
      <c r="D57" s="8">
        <f>120.73*1</f>
        <v>120.73</v>
      </c>
      <c r="E57" s="8">
        <f>120.73*1.19</f>
        <v>143.6687</v>
      </c>
    </row>
    <row r="58" spans="1:5" ht="156" x14ac:dyDescent="0.3">
      <c r="A58" s="7">
        <v>46</v>
      </c>
      <c r="B58" s="3" t="s">
        <v>17</v>
      </c>
      <c r="C58" s="6" t="s">
        <v>45</v>
      </c>
      <c r="D58" s="8">
        <f>138.3*1</f>
        <v>138.30000000000001</v>
      </c>
      <c r="E58" s="8">
        <f>138.3*1.19</f>
        <v>164.577</v>
      </c>
    </row>
    <row r="59" spans="1:5" ht="156" x14ac:dyDescent="0.3">
      <c r="A59" s="7">
        <v>47</v>
      </c>
      <c r="B59" s="3" t="s">
        <v>17</v>
      </c>
      <c r="C59" s="6" t="s">
        <v>46</v>
      </c>
      <c r="D59" s="8">
        <f>109.99*1</f>
        <v>109.99</v>
      </c>
      <c r="E59" s="8">
        <f>109.99*1.19</f>
        <v>130.88809999999998</v>
      </c>
    </row>
    <row r="60" spans="1:5" ht="156" x14ac:dyDescent="0.3">
      <c r="A60" s="7">
        <v>48</v>
      </c>
      <c r="B60" s="3" t="s">
        <v>17</v>
      </c>
      <c r="C60" s="6" t="s">
        <v>47</v>
      </c>
      <c r="D60" s="8">
        <f>43.49*1</f>
        <v>43.49</v>
      </c>
      <c r="E60" s="8">
        <f>43.49*1.19</f>
        <v>51.753100000000003</v>
      </c>
    </row>
    <row r="61" spans="1:5" ht="156" x14ac:dyDescent="0.3">
      <c r="A61" s="7">
        <v>49</v>
      </c>
      <c r="B61" s="3" t="s">
        <v>17</v>
      </c>
      <c r="C61" s="6" t="s">
        <v>48</v>
      </c>
      <c r="D61" s="8">
        <f>119.7*1</f>
        <v>119.7</v>
      </c>
      <c r="E61" s="8">
        <f>119.7*1.19</f>
        <v>142.44299999999998</v>
      </c>
    </row>
    <row r="62" spans="1:5" ht="156" x14ac:dyDescent="0.3">
      <c r="A62" s="7">
        <v>50</v>
      </c>
      <c r="B62" s="3" t="s">
        <v>17</v>
      </c>
      <c r="C62" s="6" t="s">
        <v>49</v>
      </c>
      <c r="D62" s="8">
        <f>131.45*1</f>
        <v>131.44999999999999</v>
      </c>
      <c r="E62" s="8">
        <f>131.45*1.19</f>
        <v>156.42549999999997</v>
      </c>
    </row>
    <row r="63" spans="1:5" ht="156" x14ac:dyDescent="0.3">
      <c r="A63" s="7">
        <v>51</v>
      </c>
      <c r="B63" s="3" t="s">
        <v>17</v>
      </c>
      <c r="C63" s="6" t="s">
        <v>50</v>
      </c>
      <c r="D63" s="8">
        <f>137.19*1</f>
        <v>137.19</v>
      </c>
      <c r="E63" s="8">
        <f>137.19*1.19</f>
        <v>163.2561</v>
      </c>
    </row>
    <row r="64" spans="1:5" ht="156" x14ac:dyDescent="0.3">
      <c r="A64" s="7">
        <v>52</v>
      </c>
      <c r="B64" s="3" t="s">
        <v>17</v>
      </c>
      <c r="C64" s="6" t="s">
        <v>51</v>
      </c>
      <c r="D64" s="8">
        <f>131.6*1</f>
        <v>131.6</v>
      </c>
      <c r="E64" s="8">
        <f>131.6*1.19</f>
        <v>156.60399999999998</v>
      </c>
    </row>
    <row r="65" spans="1:5" ht="156" x14ac:dyDescent="0.3">
      <c r="A65" s="7">
        <v>53</v>
      </c>
      <c r="B65" s="3" t="s">
        <v>17</v>
      </c>
      <c r="C65" s="6" t="s">
        <v>52</v>
      </c>
      <c r="D65" s="8">
        <f>166.41*1</f>
        <v>166.41</v>
      </c>
      <c r="E65" s="8">
        <f>166.41*1.19</f>
        <v>198.02789999999999</v>
      </c>
    </row>
    <row r="66" spans="1:5" ht="156" x14ac:dyDescent="0.3">
      <c r="A66" s="7">
        <v>54</v>
      </c>
      <c r="B66" s="3" t="s">
        <v>17</v>
      </c>
      <c r="C66" s="6" t="s">
        <v>53</v>
      </c>
      <c r="D66" s="8">
        <f>132.44*1</f>
        <v>132.44</v>
      </c>
      <c r="E66" s="8">
        <f>132.44*1.19</f>
        <v>157.6036</v>
      </c>
    </row>
    <row r="67" spans="1:5" ht="156" x14ac:dyDescent="0.3">
      <c r="A67" s="7">
        <v>55</v>
      </c>
      <c r="B67" s="3" t="s">
        <v>17</v>
      </c>
      <c r="C67" s="6" t="s">
        <v>54</v>
      </c>
      <c r="D67" s="8">
        <f>50.48*1</f>
        <v>50.48</v>
      </c>
      <c r="E67" s="8">
        <f>50.48*1.19</f>
        <v>60.07119999999999</v>
      </c>
    </row>
    <row r="68" spans="1:5" ht="156" x14ac:dyDescent="0.3">
      <c r="A68" s="7">
        <v>56</v>
      </c>
      <c r="B68" s="3" t="s">
        <v>17</v>
      </c>
      <c r="C68" s="6" t="s">
        <v>55</v>
      </c>
      <c r="D68" s="8">
        <f>194.76*1</f>
        <v>194.76</v>
      </c>
      <c r="E68" s="8">
        <f>194.76*1.19</f>
        <v>231.76439999999997</v>
      </c>
    </row>
    <row r="69" spans="1:5" ht="156" x14ac:dyDescent="0.3">
      <c r="A69" s="7">
        <v>57</v>
      </c>
      <c r="B69" s="3" t="s">
        <v>17</v>
      </c>
      <c r="C69" s="6" t="s">
        <v>56</v>
      </c>
      <c r="D69" s="8">
        <f>202.68*1</f>
        <v>202.68</v>
      </c>
      <c r="E69" s="8">
        <f>202.68*1.19</f>
        <v>241.1892</v>
      </c>
    </row>
    <row r="70" spans="1:5" ht="156" x14ac:dyDescent="0.3">
      <c r="A70" s="7">
        <v>58</v>
      </c>
      <c r="B70" s="3" t="s">
        <v>17</v>
      </c>
      <c r="C70" s="6" t="s">
        <v>57</v>
      </c>
      <c r="D70" s="8">
        <f>213.14*1</f>
        <v>213.14</v>
      </c>
      <c r="E70" s="8">
        <f>213.14*1.19</f>
        <v>253.63659999999996</v>
      </c>
    </row>
    <row r="71" spans="1:5" ht="156" x14ac:dyDescent="0.3">
      <c r="A71" s="7">
        <v>59</v>
      </c>
      <c r="B71" s="3" t="s">
        <v>17</v>
      </c>
      <c r="C71" s="6" t="s">
        <v>58</v>
      </c>
      <c r="D71" s="8">
        <f>207.01*1</f>
        <v>207.01</v>
      </c>
      <c r="E71" s="8">
        <f>207.01*1.19</f>
        <v>246.34189999999998</v>
      </c>
    </row>
    <row r="72" spans="1:5" ht="156" x14ac:dyDescent="0.3">
      <c r="A72" s="7">
        <v>60</v>
      </c>
      <c r="B72" s="3" t="s">
        <v>17</v>
      </c>
      <c r="C72" s="6" t="s">
        <v>59</v>
      </c>
      <c r="D72" s="8">
        <f>268.28*1</f>
        <v>268.27999999999997</v>
      </c>
      <c r="E72" s="8">
        <f>268.28*1.19</f>
        <v>319.25319999999994</v>
      </c>
    </row>
    <row r="73" spans="1:5" ht="156" x14ac:dyDescent="0.3">
      <c r="A73" s="7">
        <v>61</v>
      </c>
      <c r="B73" s="3" t="s">
        <v>17</v>
      </c>
      <c r="C73" s="6" t="s">
        <v>60</v>
      </c>
      <c r="D73" s="8">
        <f>214.49*1</f>
        <v>214.49</v>
      </c>
      <c r="E73" s="8">
        <f>214.49*1.19</f>
        <v>255.2431</v>
      </c>
    </row>
    <row r="74" spans="1:5" ht="156" x14ac:dyDescent="0.3">
      <c r="A74" s="7">
        <v>62</v>
      </c>
      <c r="B74" s="3" t="s">
        <v>17</v>
      </c>
      <c r="C74" s="6" t="s">
        <v>61</v>
      </c>
      <c r="D74" s="8">
        <f>89.92*1</f>
        <v>89.92</v>
      </c>
      <c r="E74" s="8">
        <f>89.92*1.19</f>
        <v>107.0048</v>
      </c>
    </row>
    <row r="75" spans="1:5" ht="156" x14ac:dyDescent="0.3">
      <c r="A75" s="7">
        <v>63</v>
      </c>
      <c r="B75" s="3" t="s">
        <v>17</v>
      </c>
      <c r="C75" s="6" t="s">
        <v>62</v>
      </c>
      <c r="D75" s="8">
        <f>210.94*1</f>
        <v>210.94</v>
      </c>
      <c r="E75" s="8">
        <f>210.94*1.19</f>
        <v>251.01859999999999</v>
      </c>
    </row>
    <row r="76" spans="1:5" ht="156" x14ac:dyDescent="0.3">
      <c r="A76" s="7">
        <v>64</v>
      </c>
      <c r="B76" s="3" t="s">
        <v>17</v>
      </c>
      <c r="C76" s="6" t="s">
        <v>63</v>
      </c>
      <c r="D76" s="8">
        <f>218.25*1</f>
        <v>218.25</v>
      </c>
      <c r="E76" s="8">
        <f>218.25*1.19</f>
        <v>259.71749999999997</v>
      </c>
    </row>
    <row r="77" spans="1:5" ht="156" x14ac:dyDescent="0.3">
      <c r="A77" s="7">
        <v>65</v>
      </c>
      <c r="B77" s="3" t="s">
        <v>17</v>
      </c>
      <c r="C77" s="6" t="s">
        <v>64</v>
      </c>
      <c r="D77" s="8">
        <f>231.11*1</f>
        <v>231.11</v>
      </c>
      <c r="E77" s="8">
        <f>231.11*1.19</f>
        <v>275.02089999999998</v>
      </c>
    </row>
    <row r="78" spans="1:5" ht="156" x14ac:dyDescent="0.3">
      <c r="A78" s="7">
        <v>66</v>
      </c>
      <c r="B78" s="3" t="s">
        <v>17</v>
      </c>
      <c r="C78" s="6" t="s">
        <v>65</v>
      </c>
      <c r="D78" s="8">
        <f>222.66*1</f>
        <v>222.66</v>
      </c>
      <c r="E78" s="8">
        <f>222.66*1.19</f>
        <v>264.96539999999999</v>
      </c>
    </row>
    <row r="79" spans="1:5" ht="156" x14ac:dyDescent="0.3">
      <c r="A79" s="7">
        <v>67</v>
      </c>
      <c r="B79" s="3" t="s">
        <v>17</v>
      </c>
      <c r="C79" s="6" t="s">
        <v>66</v>
      </c>
      <c r="D79" s="8">
        <f>290.66*1</f>
        <v>290.66000000000003</v>
      </c>
      <c r="E79" s="8">
        <f>290.66*1.19</f>
        <v>345.8854</v>
      </c>
    </row>
    <row r="80" spans="1:5" ht="156" x14ac:dyDescent="0.3">
      <c r="A80" s="7">
        <v>68</v>
      </c>
      <c r="B80" s="3" t="s">
        <v>17</v>
      </c>
      <c r="C80" s="6" t="s">
        <v>67</v>
      </c>
      <c r="D80" s="8">
        <f>234.04*1</f>
        <v>234.04</v>
      </c>
      <c r="E80" s="8">
        <f>234.04*1.19</f>
        <v>278.50759999999997</v>
      </c>
    </row>
    <row r="81" spans="1:5" ht="156" x14ac:dyDescent="0.3">
      <c r="A81" s="7">
        <v>69</v>
      </c>
      <c r="B81" s="3" t="s">
        <v>17</v>
      </c>
      <c r="C81" s="6" t="s">
        <v>68</v>
      </c>
      <c r="D81" s="8">
        <f>100.99*1</f>
        <v>100.99</v>
      </c>
      <c r="E81" s="8">
        <f>100.99*1.19</f>
        <v>120.17809999999999</v>
      </c>
    </row>
    <row r="82" spans="1:5" x14ac:dyDescent="0.3">
      <c r="A82" s="7">
        <v>70</v>
      </c>
      <c r="B82" s="3" t="s">
        <v>69</v>
      </c>
      <c r="C82" s="6" t="s">
        <v>70</v>
      </c>
      <c r="D82" s="8">
        <f>21.07*1</f>
        <v>21.07</v>
      </c>
      <c r="E82" s="8">
        <f>21.07*1.19</f>
        <v>25.0733</v>
      </c>
    </row>
    <row r="83" spans="1:5" x14ac:dyDescent="0.3">
      <c r="A83" s="7">
        <v>71</v>
      </c>
      <c r="B83" s="3" t="s">
        <v>17</v>
      </c>
      <c r="C83" s="6" t="s">
        <v>71</v>
      </c>
      <c r="D83" s="8">
        <v>38.49</v>
      </c>
      <c r="E83" s="8">
        <v>38.49</v>
      </c>
    </row>
    <row r="84" spans="1:5" ht="31.2" x14ac:dyDescent="0.3">
      <c r="A84" s="7">
        <v>72</v>
      </c>
      <c r="B84" s="3" t="s">
        <v>72</v>
      </c>
      <c r="C84" s="6" t="s">
        <v>73</v>
      </c>
      <c r="D84" s="8">
        <f>31.07*1</f>
        <v>31.07</v>
      </c>
      <c r="E84" s="8">
        <f>31.07*1.19</f>
        <v>36.973300000000002</v>
      </c>
    </row>
    <row r="85" spans="1:5" ht="31.2" x14ac:dyDescent="0.3">
      <c r="A85" s="7">
        <v>73</v>
      </c>
      <c r="B85" s="3" t="s">
        <v>72</v>
      </c>
      <c r="C85" s="6" t="s">
        <v>74</v>
      </c>
      <c r="D85" s="8">
        <f>75.46*1</f>
        <v>75.459999999999994</v>
      </c>
      <c r="E85" s="8">
        <f>75.46*1.19</f>
        <v>89.797399999999982</v>
      </c>
    </row>
    <row r="86" spans="1:5" x14ac:dyDescent="0.3">
      <c r="A86" s="7">
        <v>74</v>
      </c>
      <c r="B86" s="3" t="s">
        <v>17</v>
      </c>
      <c r="C86" s="6" t="s">
        <v>75</v>
      </c>
      <c r="D86" s="8">
        <f>10.43*1</f>
        <v>10.43</v>
      </c>
      <c r="E86" s="8">
        <f>10.43*1.19</f>
        <v>12.4117</v>
      </c>
    </row>
    <row r="87" spans="1:5" x14ac:dyDescent="0.3">
      <c r="A87" s="7">
        <v>75</v>
      </c>
      <c r="B87" s="3" t="s">
        <v>17</v>
      </c>
      <c r="C87" s="6" t="s">
        <v>76</v>
      </c>
      <c r="D87" s="8">
        <f>18.65*1</f>
        <v>18.649999999999999</v>
      </c>
      <c r="E87" s="8">
        <f>18.65*1.19</f>
        <v>22.193499999999997</v>
      </c>
    </row>
    <row r="88" spans="1:5" x14ac:dyDescent="0.3">
      <c r="A88" s="7">
        <v>76</v>
      </c>
      <c r="B88" s="3" t="s">
        <v>17</v>
      </c>
      <c r="C88" s="6" t="s">
        <v>77</v>
      </c>
      <c r="D88" s="8">
        <f>12.88*1</f>
        <v>12.88</v>
      </c>
      <c r="E88" s="8">
        <f>12.88*1.19</f>
        <v>15.327199999999999</v>
      </c>
    </row>
    <row r="89" spans="1:5" x14ac:dyDescent="0.3">
      <c r="A89" s="7">
        <v>77</v>
      </c>
      <c r="B89" s="3" t="s">
        <v>17</v>
      </c>
      <c r="C89" s="6" t="s">
        <v>78</v>
      </c>
      <c r="D89" s="8">
        <f>7.22*1</f>
        <v>7.22</v>
      </c>
      <c r="E89" s="8">
        <f>7.22*1.19</f>
        <v>8.5917999999999992</v>
      </c>
    </row>
    <row r="90" spans="1:5" x14ac:dyDescent="0.3">
      <c r="A90" s="7">
        <v>78</v>
      </c>
      <c r="B90" s="3" t="s">
        <v>17</v>
      </c>
      <c r="C90" s="6" t="s">
        <v>79</v>
      </c>
      <c r="D90" s="8">
        <f>2.58*1</f>
        <v>2.58</v>
      </c>
      <c r="E90" s="8">
        <f>2.58*1.19</f>
        <v>3.0701999999999998</v>
      </c>
    </row>
    <row r="91" spans="1:5" x14ac:dyDescent="0.3">
      <c r="A91" s="7">
        <v>79</v>
      </c>
      <c r="B91" s="3" t="s">
        <v>17</v>
      </c>
      <c r="C91" s="6" t="s">
        <v>80</v>
      </c>
      <c r="D91" s="8">
        <f>5.16*1</f>
        <v>5.16</v>
      </c>
      <c r="E91" s="8">
        <f>5.16*1.19</f>
        <v>6.1403999999999996</v>
      </c>
    </row>
    <row r="92" spans="1:5" x14ac:dyDescent="0.3">
      <c r="A92" s="7">
        <v>80</v>
      </c>
      <c r="B92" s="3" t="s">
        <v>17</v>
      </c>
      <c r="C92" s="6" t="s">
        <v>81</v>
      </c>
      <c r="D92" s="8">
        <f>17.82*1</f>
        <v>17.82</v>
      </c>
      <c r="E92" s="8">
        <f>17.82*1.19</f>
        <v>21.2058</v>
      </c>
    </row>
    <row r="93" spans="1:5" x14ac:dyDescent="0.3">
      <c r="A93" s="7">
        <v>81</v>
      </c>
      <c r="B93" s="3" t="s">
        <v>17</v>
      </c>
      <c r="C93" s="6" t="s">
        <v>82</v>
      </c>
      <c r="D93" s="8">
        <f>29.92*1</f>
        <v>29.92</v>
      </c>
      <c r="E93" s="8">
        <f>29.92*1.19</f>
        <v>35.604799999999997</v>
      </c>
    </row>
    <row r="94" spans="1:5" x14ac:dyDescent="0.3">
      <c r="A94" s="7">
        <v>82</v>
      </c>
      <c r="B94" s="3" t="s">
        <v>17</v>
      </c>
      <c r="C94" s="6" t="s">
        <v>83</v>
      </c>
      <c r="D94" s="8">
        <f>35.96*1</f>
        <v>35.96</v>
      </c>
      <c r="E94" s="8">
        <f>35.96*1.19</f>
        <v>42.792400000000001</v>
      </c>
    </row>
    <row r="95" spans="1:5" x14ac:dyDescent="0.3">
      <c r="A95" s="7">
        <v>83</v>
      </c>
      <c r="B95" s="3" t="s">
        <v>17</v>
      </c>
      <c r="C95" s="6" t="s">
        <v>84</v>
      </c>
      <c r="D95" s="8">
        <f>42.01*1</f>
        <v>42.01</v>
      </c>
      <c r="E95" s="8">
        <f>42.01*1.19</f>
        <v>49.991899999999994</v>
      </c>
    </row>
    <row r="96" spans="1:5" x14ac:dyDescent="0.3">
      <c r="A96" s="7">
        <v>84</v>
      </c>
      <c r="B96" s="3" t="s">
        <v>17</v>
      </c>
      <c r="C96" s="6" t="s">
        <v>85</v>
      </c>
      <c r="D96" s="8">
        <f>54.1*1</f>
        <v>54.1</v>
      </c>
      <c r="E96" s="8">
        <f>54.1*1.19</f>
        <v>64.379000000000005</v>
      </c>
    </row>
    <row r="97" spans="1:5" ht="31.2" x14ac:dyDescent="0.3">
      <c r="A97" s="7">
        <v>85</v>
      </c>
      <c r="B97" s="3" t="s">
        <v>72</v>
      </c>
      <c r="C97" s="6" t="s">
        <v>86</v>
      </c>
      <c r="D97" s="8">
        <f>129.15*1</f>
        <v>129.15</v>
      </c>
      <c r="E97" s="8">
        <f>129.15*1.19</f>
        <v>153.6885</v>
      </c>
    </row>
    <row r="98" spans="1:5" ht="31.2" x14ac:dyDescent="0.3">
      <c r="A98" s="7">
        <v>86</v>
      </c>
      <c r="B98" s="3" t="s">
        <v>72</v>
      </c>
      <c r="C98" s="6" t="s">
        <v>87</v>
      </c>
      <c r="D98" s="8">
        <f>129.15*1</f>
        <v>129.15</v>
      </c>
      <c r="E98" s="8">
        <f>129.15*1.19</f>
        <v>153.6885</v>
      </c>
    </row>
    <row r="99" spans="1:5" x14ac:dyDescent="0.3">
      <c r="A99" s="7">
        <v>87</v>
      </c>
      <c r="B99" s="3" t="s">
        <v>17</v>
      </c>
      <c r="C99" s="6" t="s">
        <v>88</v>
      </c>
      <c r="D99" s="8">
        <f>5.73*1</f>
        <v>5.73</v>
      </c>
      <c r="E99" s="8">
        <f>5.73*1.19</f>
        <v>6.8186999999999998</v>
      </c>
    </row>
    <row r="100" spans="1:5" ht="78" x14ac:dyDescent="0.3">
      <c r="A100" s="7">
        <v>88</v>
      </c>
      <c r="B100" s="3" t="s">
        <v>17</v>
      </c>
      <c r="C100" s="6" t="s">
        <v>89</v>
      </c>
      <c r="D100" s="8">
        <f>33.86*1</f>
        <v>33.86</v>
      </c>
      <c r="E100" s="8">
        <f>33.86*1.19</f>
        <v>40.293399999999998</v>
      </c>
    </row>
    <row r="101" spans="1:5" x14ac:dyDescent="0.3">
      <c r="A101" s="9" t="s">
        <v>90</v>
      </c>
      <c r="B101" s="9"/>
      <c r="C101" s="9"/>
      <c r="D101" s="9"/>
      <c r="E101" s="9"/>
    </row>
    <row r="102" spans="1:5" x14ac:dyDescent="0.3">
      <c r="A102" s="9"/>
      <c r="B102" s="9"/>
      <c r="C102" s="9" t="s">
        <v>8</v>
      </c>
      <c r="D102" s="9"/>
      <c r="E102" s="9"/>
    </row>
    <row r="103" spans="1:5" ht="46.8" x14ac:dyDescent="0.3">
      <c r="A103" s="7">
        <v>89</v>
      </c>
      <c r="B103" s="3" t="s">
        <v>17</v>
      </c>
      <c r="C103" s="6" t="s">
        <v>91</v>
      </c>
      <c r="D103" s="8">
        <f>6.92*1</f>
        <v>6.92</v>
      </c>
      <c r="E103" s="8">
        <f>6.92*1.19</f>
        <v>8.2347999999999999</v>
      </c>
    </row>
    <row r="104" spans="1:5" ht="46.8" x14ac:dyDescent="0.3">
      <c r="A104" s="7">
        <v>90</v>
      </c>
      <c r="B104" s="3" t="s">
        <v>17</v>
      </c>
      <c r="C104" s="6" t="s">
        <v>92</v>
      </c>
      <c r="D104" s="8">
        <f>10.07*1</f>
        <v>10.07</v>
      </c>
      <c r="E104" s="8">
        <f>10.07*1.19</f>
        <v>11.9833</v>
      </c>
    </row>
    <row r="105" spans="1:5" ht="62.4" x14ac:dyDescent="0.3">
      <c r="A105" s="7">
        <v>91</v>
      </c>
      <c r="B105" s="3" t="s">
        <v>17</v>
      </c>
      <c r="C105" s="6" t="s">
        <v>93</v>
      </c>
      <c r="D105" s="8">
        <f>13.78*1</f>
        <v>13.78</v>
      </c>
      <c r="E105" s="8">
        <f>13.78*1.19</f>
        <v>16.398199999999999</v>
      </c>
    </row>
    <row r="106" spans="1:5" ht="62.4" x14ac:dyDescent="0.3">
      <c r="A106" s="7">
        <v>92</v>
      </c>
      <c r="B106" s="3" t="s">
        <v>17</v>
      </c>
      <c r="C106" s="6" t="s">
        <v>94</v>
      </c>
      <c r="D106" s="8">
        <f>16.19*1</f>
        <v>16.190000000000001</v>
      </c>
      <c r="E106" s="8">
        <f>16.19*1.19</f>
        <v>19.266100000000002</v>
      </c>
    </row>
    <row r="107" spans="1:5" ht="62.4" x14ac:dyDescent="0.3">
      <c r="A107" s="7">
        <v>93</v>
      </c>
      <c r="B107" s="3" t="s">
        <v>17</v>
      </c>
      <c r="C107" s="6" t="s">
        <v>95</v>
      </c>
      <c r="D107" s="8">
        <f>17.71*1</f>
        <v>17.71</v>
      </c>
      <c r="E107" s="8">
        <f>17.71*1.19</f>
        <v>21.0749</v>
      </c>
    </row>
    <row r="108" spans="1:5" ht="62.4" x14ac:dyDescent="0.3">
      <c r="A108" s="7">
        <v>94</v>
      </c>
      <c r="B108" s="3" t="s">
        <v>17</v>
      </c>
      <c r="C108" s="6" t="s">
        <v>96</v>
      </c>
      <c r="D108" s="8">
        <f>22.28*1</f>
        <v>22.28</v>
      </c>
      <c r="E108" s="8">
        <f>22.28*1.19</f>
        <v>26.513200000000001</v>
      </c>
    </row>
    <row r="109" spans="1:5" ht="62.4" x14ac:dyDescent="0.3">
      <c r="A109" s="7">
        <v>95</v>
      </c>
      <c r="B109" s="3" t="s">
        <v>17</v>
      </c>
      <c r="C109" s="6" t="s">
        <v>97</v>
      </c>
      <c r="D109" s="8">
        <f>28.34*1</f>
        <v>28.34</v>
      </c>
      <c r="E109" s="8">
        <f>28.34*1.19</f>
        <v>33.724599999999995</v>
      </c>
    </row>
    <row r="110" spans="1:5" ht="62.4" x14ac:dyDescent="0.3">
      <c r="A110" s="7">
        <v>96</v>
      </c>
      <c r="B110" s="3" t="s">
        <v>17</v>
      </c>
      <c r="C110" s="6" t="s">
        <v>98</v>
      </c>
      <c r="D110" s="8">
        <f>31.22*1</f>
        <v>31.22</v>
      </c>
      <c r="E110" s="8">
        <f>31.22*1.19</f>
        <v>37.151799999999994</v>
      </c>
    </row>
    <row r="111" spans="1:5" ht="62.4" x14ac:dyDescent="0.3">
      <c r="A111" s="7">
        <v>97</v>
      </c>
      <c r="B111" s="3" t="s">
        <v>17</v>
      </c>
      <c r="C111" s="6" t="s">
        <v>99</v>
      </c>
      <c r="D111" s="8">
        <f>37.31*1</f>
        <v>37.31</v>
      </c>
      <c r="E111" s="8">
        <f>37.31*1.19</f>
        <v>44.398899999999998</v>
      </c>
    </row>
    <row r="112" spans="1:5" ht="62.4" x14ac:dyDescent="0.3">
      <c r="A112" s="7">
        <v>98</v>
      </c>
      <c r="B112" s="3" t="s">
        <v>17</v>
      </c>
      <c r="C112" s="6" t="s">
        <v>100</v>
      </c>
      <c r="D112" s="8">
        <f>43.76*1</f>
        <v>43.76</v>
      </c>
      <c r="E112" s="8">
        <f>43.76*1.19</f>
        <v>52.074399999999997</v>
      </c>
    </row>
    <row r="113" spans="1:5" ht="62.4" x14ac:dyDescent="0.3">
      <c r="A113" s="7">
        <v>99</v>
      </c>
      <c r="B113" s="3" t="s">
        <v>17</v>
      </c>
      <c r="C113" s="6" t="s">
        <v>101</v>
      </c>
      <c r="D113" s="8">
        <f>50.67*1</f>
        <v>50.67</v>
      </c>
      <c r="E113" s="8">
        <f>50.67*1.19</f>
        <v>60.2973</v>
      </c>
    </row>
    <row r="114" spans="1:5" ht="62.4" x14ac:dyDescent="0.3">
      <c r="A114" s="7">
        <v>100</v>
      </c>
      <c r="B114" s="3" t="s">
        <v>17</v>
      </c>
      <c r="C114" s="6" t="s">
        <v>102</v>
      </c>
      <c r="D114" s="8">
        <f>57.59*1</f>
        <v>57.59</v>
      </c>
      <c r="E114" s="8">
        <f>57.59*1.19</f>
        <v>68.5321</v>
      </c>
    </row>
    <row r="115" spans="1:5" ht="62.4" x14ac:dyDescent="0.3">
      <c r="A115" s="7">
        <v>101</v>
      </c>
      <c r="B115" s="3" t="s">
        <v>17</v>
      </c>
      <c r="C115" s="6" t="s">
        <v>103</v>
      </c>
      <c r="D115" s="8">
        <f>71.62*1</f>
        <v>71.62</v>
      </c>
      <c r="E115" s="8">
        <f>71.62*1.19</f>
        <v>85.227800000000002</v>
      </c>
    </row>
    <row r="116" spans="1:5" x14ac:dyDescent="0.3">
      <c r="A116" s="9" t="s">
        <v>104</v>
      </c>
      <c r="B116" s="9"/>
      <c r="C116" s="9"/>
      <c r="D116" s="9"/>
      <c r="E116" s="9"/>
    </row>
    <row r="117" spans="1:5" x14ac:dyDescent="0.3">
      <c r="A117" s="9"/>
      <c r="B117" s="9"/>
      <c r="C117" s="9" t="s">
        <v>8</v>
      </c>
      <c r="D117" s="9"/>
      <c r="E117" s="9"/>
    </row>
    <row r="118" spans="1:5" x14ac:dyDescent="0.3">
      <c r="A118" s="7">
        <v>102</v>
      </c>
      <c r="B118" s="3" t="s">
        <v>11</v>
      </c>
      <c r="C118" s="6" t="s">
        <v>105</v>
      </c>
      <c r="D118" s="8">
        <f>165.11*1</f>
        <v>165.11</v>
      </c>
      <c r="E118" s="8">
        <f>165.11*1.19</f>
        <v>196.48090000000002</v>
      </c>
    </row>
    <row r="119" spans="1:5" ht="31.2" x14ac:dyDescent="0.3">
      <c r="A119" s="7">
        <v>103</v>
      </c>
      <c r="B119" s="3" t="s">
        <v>11</v>
      </c>
      <c r="C119" s="6" t="s">
        <v>106</v>
      </c>
      <c r="D119" s="8">
        <f>145.85*1</f>
        <v>145.85</v>
      </c>
      <c r="E119" s="8">
        <f>145.85*1.19</f>
        <v>173.5615</v>
      </c>
    </row>
    <row r="120" spans="1:5" ht="31.2" x14ac:dyDescent="0.3">
      <c r="A120" s="7">
        <v>104</v>
      </c>
      <c r="B120" s="3" t="s">
        <v>107</v>
      </c>
      <c r="C120" s="6" t="s">
        <v>108</v>
      </c>
      <c r="D120" s="8">
        <f>416.47*1</f>
        <v>416.47</v>
      </c>
      <c r="E120" s="8">
        <f>416.47*1.19</f>
        <v>495.59930000000003</v>
      </c>
    </row>
    <row r="121" spans="1:5" ht="31.2" x14ac:dyDescent="0.3">
      <c r="A121" s="7">
        <v>105</v>
      </c>
      <c r="B121" s="3" t="s">
        <v>11</v>
      </c>
      <c r="C121" s="6" t="s">
        <v>109</v>
      </c>
      <c r="D121" s="8">
        <f>85.19*1</f>
        <v>85.19</v>
      </c>
      <c r="E121" s="8">
        <f>85.19*1.19</f>
        <v>101.37609999999999</v>
      </c>
    </row>
    <row r="122" spans="1:5" ht="31.2" x14ac:dyDescent="0.3">
      <c r="A122" s="7">
        <v>106</v>
      </c>
      <c r="B122" s="3" t="s">
        <v>11</v>
      </c>
      <c r="C122" s="6" t="s">
        <v>110</v>
      </c>
      <c r="D122" s="8">
        <f>176.81*1</f>
        <v>176.81</v>
      </c>
      <c r="E122" s="8">
        <f>176.81*1.19</f>
        <v>210.40389999999999</v>
      </c>
    </row>
    <row r="123" spans="1:5" ht="31.2" x14ac:dyDescent="0.3">
      <c r="A123" s="7">
        <v>107</v>
      </c>
      <c r="B123" s="3" t="s">
        <v>11</v>
      </c>
      <c r="C123" s="6" t="s">
        <v>111</v>
      </c>
      <c r="D123" s="8">
        <f>181.43*1</f>
        <v>181.43</v>
      </c>
      <c r="E123" s="8">
        <f>181.43*1.19</f>
        <v>215.90170000000001</v>
      </c>
    </row>
    <row r="124" spans="1:5" ht="31.2" x14ac:dyDescent="0.3">
      <c r="A124" s="7">
        <v>108</v>
      </c>
      <c r="B124" s="3" t="s">
        <v>11</v>
      </c>
      <c r="C124" s="6" t="s">
        <v>112</v>
      </c>
      <c r="D124" s="8">
        <f>71.1*1</f>
        <v>71.099999999999994</v>
      </c>
      <c r="E124" s="8">
        <f>71.1*1.19</f>
        <v>84.608999999999995</v>
      </c>
    </row>
    <row r="125" spans="1:5" ht="31.2" x14ac:dyDescent="0.3">
      <c r="A125" s="7">
        <v>109</v>
      </c>
      <c r="B125" s="3" t="s">
        <v>11</v>
      </c>
      <c r="C125" s="6" t="s">
        <v>113</v>
      </c>
      <c r="D125" s="8">
        <f>19.35*1</f>
        <v>19.350000000000001</v>
      </c>
      <c r="E125" s="8">
        <f>19.35*1.19</f>
        <v>23.026500000000002</v>
      </c>
    </row>
    <row r="126" spans="1:5" x14ac:dyDescent="0.3">
      <c r="A126" s="7">
        <v>110</v>
      </c>
      <c r="B126" s="3" t="s">
        <v>72</v>
      </c>
      <c r="C126" s="6" t="s">
        <v>114</v>
      </c>
      <c r="D126" s="8">
        <f>146.07*1</f>
        <v>146.07</v>
      </c>
      <c r="E126" s="8">
        <f>146.07*1.19</f>
        <v>173.82329999999999</v>
      </c>
    </row>
    <row r="127" spans="1:5" x14ac:dyDescent="0.3">
      <c r="A127" s="7">
        <v>111</v>
      </c>
      <c r="B127" s="3" t="s">
        <v>72</v>
      </c>
      <c r="C127" s="6" t="s">
        <v>115</v>
      </c>
      <c r="D127" s="8">
        <f>79.69*1</f>
        <v>79.69</v>
      </c>
      <c r="E127" s="8">
        <f>79.69*1.19</f>
        <v>94.831099999999992</v>
      </c>
    </row>
    <row r="128" spans="1:5" x14ac:dyDescent="0.3">
      <c r="A128" s="7">
        <v>112</v>
      </c>
      <c r="B128" s="3" t="s">
        <v>69</v>
      </c>
      <c r="C128" s="6" t="s">
        <v>116</v>
      </c>
      <c r="D128" s="8">
        <f>56.23*1</f>
        <v>56.23</v>
      </c>
      <c r="E128" s="8">
        <f>56.23*1.19</f>
        <v>66.913699999999992</v>
      </c>
    </row>
    <row r="129" spans="1:5" x14ac:dyDescent="0.3">
      <c r="A129" s="7">
        <v>113</v>
      </c>
      <c r="B129" s="3" t="s">
        <v>69</v>
      </c>
      <c r="C129" s="6" t="s">
        <v>117</v>
      </c>
      <c r="D129" s="8">
        <f>84.43*1</f>
        <v>84.43</v>
      </c>
      <c r="E129" s="8">
        <f>84.43*1.19</f>
        <v>100.4717</v>
      </c>
    </row>
    <row r="130" spans="1:5" x14ac:dyDescent="0.3">
      <c r="A130" s="7">
        <v>114</v>
      </c>
      <c r="B130" s="3" t="s">
        <v>69</v>
      </c>
      <c r="C130" s="6" t="s">
        <v>118</v>
      </c>
      <c r="D130" s="8">
        <f>56.12*1</f>
        <v>56.12</v>
      </c>
      <c r="E130" s="8">
        <f>56.12*1.19</f>
        <v>66.782799999999995</v>
      </c>
    </row>
    <row r="131" spans="1:5" x14ac:dyDescent="0.3">
      <c r="A131" s="7">
        <v>115</v>
      </c>
      <c r="B131" s="3" t="s">
        <v>69</v>
      </c>
      <c r="C131" s="6" t="s">
        <v>119</v>
      </c>
      <c r="D131" s="8">
        <f>47.13*1</f>
        <v>47.13</v>
      </c>
      <c r="E131" s="8">
        <f>47.13*1.19</f>
        <v>56.084699999999998</v>
      </c>
    </row>
    <row r="132" spans="1:5" ht="31.2" x14ac:dyDescent="0.3">
      <c r="A132" s="7">
        <v>116</v>
      </c>
      <c r="B132" s="3" t="s">
        <v>17</v>
      </c>
      <c r="C132" s="6" t="s">
        <v>120</v>
      </c>
      <c r="D132" s="8">
        <f>58.39*1</f>
        <v>58.39</v>
      </c>
      <c r="E132" s="8">
        <f>58.39*1.19</f>
        <v>69.484099999999998</v>
      </c>
    </row>
    <row r="133" spans="1:5" ht="46.8" x14ac:dyDescent="0.3">
      <c r="A133" s="7">
        <v>117</v>
      </c>
      <c r="B133" s="3" t="s">
        <v>69</v>
      </c>
      <c r="C133" s="6" t="s">
        <v>121</v>
      </c>
      <c r="D133" s="8">
        <f>19.48*1</f>
        <v>19.48</v>
      </c>
      <c r="E133" s="8">
        <f>19.48*1.19</f>
        <v>23.1812</v>
      </c>
    </row>
    <row r="134" spans="1:5" ht="46.8" x14ac:dyDescent="0.3">
      <c r="A134" s="7">
        <v>118</v>
      </c>
      <c r="B134" s="3" t="s">
        <v>17</v>
      </c>
      <c r="C134" s="6" t="s">
        <v>122</v>
      </c>
      <c r="D134" s="8">
        <f>0.82*1</f>
        <v>0.82</v>
      </c>
      <c r="E134" s="8">
        <f>0.82*1.19</f>
        <v>0.97579999999999989</v>
      </c>
    </row>
    <row r="135" spans="1:5" ht="31.2" x14ac:dyDescent="0.3">
      <c r="A135" s="7">
        <v>119</v>
      </c>
      <c r="B135" s="3" t="s">
        <v>17</v>
      </c>
      <c r="C135" s="6" t="s">
        <v>123</v>
      </c>
      <c r="D135" s="8">
        <f>1.18*1</f>
        <v>1.18</v>
      </c>
      <c r="E135" s="8">
        <f>1.18*1.19</f>
        <v>1.4041999999999999</v>
      </c>
    </row>
    <row r="136" spans="1:5" x14ac:dyDescent="0.3">
      <c r="A136" s="7">
        <v>120</v>
      </c>
      <c r="B136" s="3" t="s">
        <v>17</v>
      </c>
      <c r="C136" s="6" t="s">
        <v>124</v>
      </c>
      <c r="D136" s="8">
        <f>4.45*1</f>
        <v>4.45</v>
      </c>
      <c r="E136" s="8">
        <f>4.45*1.19</f>
        <v>5.2954999999999997</v>
      </c>
    </row>
    <row r="137" spans="1:5" x14ac:dyDescent="0.3">
      <c r="A137" s="7">
        <v>121</v>
      </c>
      <c r="B137" s="3" t="s">
        <v>11</v>
      </c>
      <c r="C137" s="6" t="s">
        <v>125</v>
      </c>
      <c r="D137" s="8">
        <f>17.26*1</f>
        <v>17.260000000000002</v>
      </c>
      <c r="E137" s="8">
        <f>17.26*1.19</f>
        <v>20.539400000000001</v>
      </c>
    </row>
    <row r="138" spans="1:5" ht="46.8" x14ac:dyDescent="0.3">
      <c r="A138" s="7">
        <v>122</v>
      </c>
      <c r="B138" s="3" t="s">
        <v>17</v>
      </c>
      <c r="C138" s="6" t="s">
        <v>126</v>
      </c>
      <c r="D138" s="8">
        <f>4.16*1</f>
        <v>4.16</v>
      </c>
      <c r="E138" s="8">
        <f>4.16*1.19</f>
        <v>4.9504000000000001</v>
      </c>
    </row>
    <row r="139" spans="1:5" ht="46.8" x14ac:dyDescent="0.3">
      <c r="A139" s="7">
        <v>123</v>
      </c>
      <c r="B139" s="3" t="s">
        <v>17</v>
      </c>
      <c r="C139" s="6" t="s">
        <v>127</v>
      </c>
      <c r="D139" s="8">
        <f>4.1*1</f>
        <v>4.0999999999999996</v>
      </c>
      <c r="E139" s="8">
        <f>4.1*1.19</f>
        <v>4.8789999999999996</v>
      </c>
    </row>
    <row r="140" spans="1:5" x14ac:dyDescent="0.3">
      <c r="A140" s="7">
        <v>124</v>
      </c>
      <c r="B140" s="3" t="s">
        <v>11</v>
      </c>
      <c r="C140" s="6" t="s">
        <v>128</v>
      </c>
      <c r="D140" s="8">
        <f>165.64*1</f>
        <v>165.64</v>
      </c>
      <c r="E140" s="8">
        <f>165.64*1.19</f>
        <v>197.11159999999998</v>
      </c>
    </row>
    <row r="141" spans="1:5" x14ac:dyDescent="0.3">
      <c r="A141" s="7">
        <v>125</v>
      </c>
      <c r="B141" s="3" t="s">
        <v>11</v>
      </c>
      <c r="C141" s="6" t="s">
        <v>129</v>
      </c>
      <c r="D141" s="8">
        <f>1516.38*1</f>
        <v>1516.38</v>
      </c>
      <c r="E141" s="8">
        <f>1516.38*1.19</f>
        <v>1804.4922000000001</v>
      </c>
    </row>
    <row r="142" spans="1:5" x14ac:dyDescent="0.3">
      <c r="A142" s="7">
        <v>126</v>
      </c>
      <c r="B142" s="3" t="s">
        <v>11</v>
      </c>
      <c r="C142" s="6" t="s">
        <v>130</v>
      </c>
      <c r="D142" s="8">
        <f>1599.93*1</f>
        <v>1599.93</v>
      </c>
      <c r="E142" s="8">
        <f>1599.93*1.19</f>
        <v>1903.9167</v>
      </c>
    </row>
    <row r="143" spans="1:5" x14ac:dyDescent="0.3">
      <c r="A143" s="7">
        <v>127</v>
      </c>
      <c r="B143" s="3" t="s">
        <v>11</v>
      </c>
      <c r="C143" s="6" t="s">
        <v>131</v>
      </c>
      <c r="D143" s="8">
        <f>1861.82*1</f>
        <v>1861.82</v>
      </c>
      <c r="E143" s="8">
        <f>1861.82*1.19</f>
        <v>2215.5657999999999</v>
      </c>
    </row>
    <row r="144" spans="1:5" x14ac:dyDescent="0.3">
      <c r="A144" s="7">
        <v>128</v>
      </c>
      <c r="B144" s="3" t="s">
        <v>11</v>
      </c>
      <c r="C144" s="6" t="s">
        <v>132</v>
      </c>
      <c r="D144" s="8">
        <f>2128.93*1</f>
        <v>2128.9299999999998</v>
      </c>
      <c r="E144" s="8">
        <f>2128.93*1.19</f>
        <v>2533.4266999999995</v>
      </c>
    </row>
    <row r="145" spans="1:5" x14ac:dyDescent="0.3">
      <c r="A145" s="9" t="s">
        <v>133</v>
      </c>
      <c r="B145" s="9"/>
      <c r="C145" s="9"/>
      <c r="D145" s="9"/>
      <c r="E145" s="9"/>
    </row>
    <row r="146" spans="1:5" x14ac:dyDescent="0.3">
      <c r="A146" s="9"/>
      <c r="B146" s="9"/>
      <c r="C146" s="9" t="s">
        <v>8</v>
      </c>
      <c r="D146" s="9"/>
      <c r="E146" s="9"/>
    </row>
    <row r="147" spans="1:5" ht="31.2" x14ac:dyDescent="0.3">
      <c r="A147" s="7">
        <v>129</v>
      </c>
      <c r="B147" s="3" t="s">
        <v>11</v>
      </c>
      <c r="C147" s="6" t="s">
        <v>134</v>
      </c>
      <c r="D147" s="8">
        <f>108.05*1</f>
        <v>108.05</v>
      </c>
      <c r="E147" s="8">
        <f>108.05*1.19</f>
        <v>128.5795</v>
      </c>
    </row>
    <row r="148" spans="1:5" ht="31.2" x14ac:dyDescent="0.3">
      <c r="A148" s="7">
        <v>130</v>
      </c>
      <c r="B148" s="3" t="s">
        <v>11</v>
      </c>
      <c r="C148" s="6" t="s">
        <v>135</v>
      </c>
      <c r="D148" s="8">
        <f>171.4*1</f>
        <v>171.4</v>
      </c>
      <c r="E148" s="8">
        <f>171.4*1.19</f>
        <v>203.96600000000001</v>
      </c>
    </row>
    <row r="149" spans="1:5" ht="31.2" x14ac:dyDescent="0.3">
      <c r="A149" s="7">
        <v>131</v>
      </c>
      <c r="B149" s="3" t="s">
        <v>11</v>
      </c>
      <c r="C149" s="6" t="s">
        <v>136</v>
      </c>
      <c r="D149" s="8">
        <f>240.5*1</f>
        <v>240.5</v>
      </c>
      <c r="E149" s="8">
        <f>240.5*1.19</f>
        <v>286.19499999999999</v>
      </c>
    </row>
    <row r="150" spans="1:5" ht="31.2" x14ac:dyDescent="0.3">
      <c r="A150" s="7">
        <v>132</v>
      </c>
      <c r="B150" s="3" t="s">
        <v>11</v>
      </c>
      <c r="C150" s="6" t="s">
        <v>137</v>
      </c>
      <c r="D150" s="8">
        <f>138.95*1</f>
        <v>138.94999999999999</v>
      </c>
      <c r="E150" s="8">
        <f>138.95*1.19</f>
        <v>165.35049999999998</v>
      </c>
    </row>
    <row r="151" spans="1:5" ht="31.2" x14ac:dyDescent="0.3">
      <c r="A151" s="7">
        <v>133</v>
      </c>
      <c r="B151" s="3" t="s">
        <v>11</v>
      </c>
      <c r="C151" s="6" t="s">
        <v>138</v>
      </c>
      <c r="D151" s="8">
        <f>229.88*1</f>
        <v>229.88</v>
      </c>
      <c r="E151" s="8">
        <f>229.88*1.19</f>
        <v>273.55719999999997</v>
      </c>
    </row>
    <row r="152" spans="1:5" ht="31.2" x14ac:dyDescent="0.3">
      <c r="A152" s="7">
        <v>134</v>
      </c>
      <c r="B152" s="3" t="s">
        <v>11</v>
      </c>
      <c r="C152" s="6" t="s">
        <v>139</v>
      </c>
      <c r="D152" s="8">
        <f>308.61*1</f>
        <v>308.61</v>
      </c>
      <c r="E152" s="8">
        <f>308.61*1.19</f>
        <v>367.24590000000001</v>
      </c>
    </row>
    <row r="153" spans="1:5" ht="31.2" x14ac:dyDescent="0.3">
      <c r="A153" s="7">
        <v>135</v>
      </c>
      <c r="B153" s="3" t="s">
        <v>11</v>
      </c>
      <c r="C153" s="6" t="s">
        <v>140</v>
      </c>
      <c r="D153" s="8">
        <f>177.53*1</f>
        <v>177.53</v>
      </c>
      <c r="E153" s="8">
        <f>177.53*1.19</f>
        <v>211.26069999999999</v>
      </c>
    </row>
    <row r="154" spans="1:5" ht="31.2" x14ac:dyDescent="0.3">
      <c r="A154" s="7">
        <v>136</v>
      </c>
      <c r="B154" s="3" t="s">
        <v>11</v>
      </c>
      <c r="C154" s="6" t="s">
        <v>141</v>
      </c>
      <c r="D154" s="8">
        <f>283.61*1</f>
        <v>283.61</v>
      </c>
      <c r="E154" s="8">
        <f>283.61*1.19</f>
        <v>337.49590000000001</v>
      </c>
    </row>
    <row r="155" spans="1:5" ht="31.2" x14ac:dyDescent="0.3">
      <c r="A155" s="7">
        <v>137</v>
      </c>
      <c r="B155" s="3" t="s">
        <v>11</v>
      </c>
      <c r="C155" s="6" t="s">
        <v>142</v>
      </c>
      <c r="D155" s="8">
        <f>330.92*1</f>
        <v>330.92</v>
      </c>
      <c r="E155" s="8">
        <f>330.92*1.19</f>
        <v>393.79480000000001</v>
      </c>
    </row>
    <row r="156" spans="1:5" ht="31.2" x14ac:dyDescent="0.3">
      <c r="A156" s="7">
        <v>138</v>
      </c>
      <c r="B156" s="3" t="s">
        <v>11</v>
      </c>
      <c r="C156" s="6" t="s">
        <v>143</v>
      </c>
      <c r="D156" s="8">
        <f>433.12*1</f>
        <v>433.12</v>
      </c>
      <c r="E156" s="8">
        <f>433.12*1.19</f>
        <v>515.41279999999995</v>
      </c>
    </row>
    <row r="157" spans="1:5" ht="31.2" x14ac:dyDescent="0.3">
      <c r="A157" s="7">
        <v>139</v>
      </c>
      <c r="B157" s="3" t="s">
        <v>11</v>
      </c>
      <c r="C157" s="6" t="s">
        <v>144</v>
      </c>
      <c r="D157" s="8">
        <f>216.11*1</f>
        <v>216.11</v>
      </c>
      <c r="E157" s="8">
        <f>216.11*1.19</f>
        <v>257.17090000000002</v>
      </c>
    </row>
    <row r="158" spans="1:5" ht="31.2" x14ac:dyDescent="0.3">
      <c r="A158" s="7">
        <v>140</v>
      </c>
      <c r="B158" s="3" t="s">
        <v>11</v>
      </c>
      <c r="C158" s="6" t="s">
        <v>145</v>
      </c>
      <c r="D158" s="8">
        <f>299.76*1</f>
        <v>299.76</v>
      </c>
      <c r="E158" s="8">
        <f>299.76*1.19</f>
        <v>356.71439999999996</v>
      </c>
    </row>
    <row r="159" spans="1:5" ht="31.2" x14ac:dyDescent="0.3">
      <c r="A159" s="7">
        <v>141</v>
      </c>
      <c r="B159" s="3" t="s">
        <v>11</v>
      </c>
      <c r="C159" s="6" t="s">
        <v>146</v>
      </c>
      <c r="D159" s="8">
        <f>400.29*1</f>
        <v>400.29</v>
      </c>
      <c r="E159" s="8">
        <f>400.29*1.19</f>
        <v>476.3451</v>
      </c>
    </row>
    <row r="160" spans="1:5" ht="31.2" x14ac:dyDescent="0.3">
      <c r="A160" s="7">
        <v>142</v>
      </c>
      <c r="B160" s="3" t="s">
        <v>11</v>
      </c>
      <c r="C160" s="6" t="s">
        <v>147</v>
      </c>
      <c r="D160" s="8">
        <f>495.2*1</f>
        <v>495.2</v>
      </c>
      <c r="E160" s="8">
        <f>495.2*1.19</f>
        <v>589.28800000000001</v>
      </c>
    </row>
    <row r="161" spans="1:5" ht="31.2" x14ac:dyDescent="0.3">
      <c r="A161" s="7">
        <v>143</v>
      </c>
      <c r="B161" s="3" t="s">
        <v>11</v>
      </c>
      <c r="C161" s="6" t="s">
        <v>148</v>
      </c>
      <c r="D161" s="8">
        <f>220.12*1</f>
        <v>220.12</v>
      </c>
      <c r="E161" s="8">
        <f>220.12*1.19</f>
        <v>261.94279999999998</v>
      </c>
    </row>
    <row r="162" spans="1:5" ht="31.2" x14ac:dyDescent="0.3">
      <c r="A162" s="7">
        <v>144</v>
      </c>
      <c r="B162" s="3" t="s">
        <v>11</v>
      </c>
      <c r="C162" s="6" t="s">
        <v>149</v>
      </c>
      <c r="D162" s="8">
        <f>348.58*1</f>
        <v>348.58</v>
      </c>
      <c r="E162" s="8">
        <f>348.58*1.19</f>
        <v>414.81019999999995</v>
      </c>
    </row>
    <row r="163" spans="1:5" ht="31.2" x14ac:dyDescent="0.3">
      <c r="A163" s="7">
        <v>145</v>
      </c>
      <c r="B163" s="3" t="s">
        <v>11</v>
      </c>
      <c r="C163" s="6" t="s">
        <v>150</v>
      </c>
      <c r="D163" s="8">
        <f>452.14*1</f>
        <v>452.14</v>
      </c>
      <c r="E163" s="8">
        <f>452.14*1.19</f>
        <v>538.04660000000001</v>
      </c>
    </row>
    <row r="164" spans="1:5" ht="31.2" x14ac:dyDescent="0.3">
      <c r="A164" s="7">
        <v>146</v>
      </c>
      <c r="B164" s="3" t="s">
        <v>11</v>
      </c>
      <c r="C164" s="6" t="s">
        <v>151</v>
      </c>
      <c r="D164" s="8">
        <f>554.98*1</f>
        <v>554.98</v>
      </c>
      <c r="E164" s="8">
        <f>554.98*1.19</f>
        <v>660.42619999999999</v>
      </c>
    </row>
    <row r="165" spans="1:5" ht="31.2" x14ac:dyDescent="0.3">
      <c r="A165" s="7">
        <v>147</v>
      </c>
      <c r="B165" s="3" t="s">
        <v>11</v>
      </c>
      <c r="C165" s="6" t="s">
        <v>152</v>
      </c>
      <c r="D165" s="8">
        <f>251.58*1</f>
        <v>251.58</v>
      </c>
      <c r="E165" s="8">
        <f>251.58*1.19</f>
        <v>299.3802</v>
      </c>
    </row>
    <row r="166" spans="1:5" ht="31.2" x14ac:dyDescent="0.3">
      <c r="A166" s="7">
        <v>148</v>
      </c>
      <c r="B166" s="3" t="s">
        <v>11</v>
      </c>
      <c r="C166" s="6" t="s">
        <v>153</v>
      </c>
      <c r="D166" s="8">
        <f>394.7*1</f>
        <v>394.7</v>
      </c>
      <c r="E166" s="8">
        <f>394.7*1.19</f>
        <v>469.69299999999998</v>
      </c>
    </row>
    <row r="167" spans="1:5" ht="31.2" x14ac:dyDescent="0.3">
      <c r="A167" s="7">
        <v>149</v>
      </c>
      <c r="B167" s="3" t="s">
        <v>11</v>
      </c>
      <c r="C167" s="6" t="s">
        <v>154</v>
      </c>
      <c r="D167" s="8">
        <f>503.85*1</f>
        <v>503.85</v>
      </c>
      <c r="E167" s="8">
        <f>503.85*1.19</f>
        <v>599.58150000000001</v>
      </c>
    </row>
    <row r="168" spans="1:5" ht="31.2" x14ac:dyDescent="0.3">
      <c r="A168" s="7">
        <v>150</v>
      </c>
      <c r="B168" s="3" t="s">
        <v>11</v>
      </c>
      <c r="C168" s="6" t="s">
        <v>155</v>
      </c>
      <c r="D168" s="8">
        <f>615.72*1</f>
        <v>615.72</v>
      </c>
      <c r="E168" s="8">
        <f>615.72*1.19</f>
        <v>732.70680000000004</v>
      </c>
    </row>
    <row r="169" spans="1:5" ht="31.2" x14ac:dyDescent="0.3">
      <c r="A169" s="7">
        <v>151</v>
      </c>
      <c r="B169" s="3" t="s">
        <v>11</v>
      </c>
      <c r="C169" s="6" t="s">
        <v>156</v>
      </c>
      <c r="D169" s="8">
        <f>283.04*1</f>
        <v>283.04000000000002</v>
      </c>
      <c r="E169" s="8">
        <f>283.04*1.19</f>
        <v>336.81760000000003</v>
      </c>
    </row>
    <row r="170" spans="1:5" ht="31.2" x14ac:dyDescent="0.3">
      <c r="A170" s="7">
        <v>152</v>
      </c>
      <c r="B170" s="3" t="s">
        <v>11</v>
      </c>
      <c r="C170" s="6" t="s">
        <v>157</v>
      </c>
      <c r="D170" s="8">
        <f>436.05*1</f>
        <v>436.05</v>
      </c>
      <c r="E170" s="8">
        <f>436.05*1.19</f>
        <v>518.89949999999999</v>
      </c>
    </row>
    <row r="171" spans="1:5" ht="31.2" x14ac:dyDescent="0.3">
      <c r="A171" s="7">
        <v>153</v>
      </c>
      <c r="B171" s="3" t="s">
        <v>11</v>
      </c>
      <c r="C171" s="6" t="s">
        <v>158</v>
      </c>
      <c r="D171" s="8">
        <f>550.37*1</f>
        <v>550.37</v>
      </c>
      <c r="E171" s="8">
        <f>550.37*1.19</f>
        <v>654.94029999999998</v>
      </c>
    </row>
    <row r="172" spans="1:5" ht="31.2" x14ac:dyDescent="0.3">
      <c r="A172" s="7">
        <v>154</v>
      </c>
      <c r="B172" s="3" t="s">
        <v>11</v>
      </c>
      <c r="C172" s="6" t="s">
        <v>159</v>
      </c>
      <c r="D172" s="8">
        <f>685.46*1</f>
        <v>685.46</v>
      </c>
      <c r="E172" s="8">
        <f>685.46*1.19</f>
        <v>815.69740000000002</v>
      </c>
    </row>
    <row r="173" spans="1:5" ht="31.2" x14ac:dyDescent="0.3">
      <c r="A173" s="7">
        <v>155</v>
      </c>
      <c r="B173" s="3" t="s">
        <v>11</v>
      </c>
      <c r="C173" s="6" t="s">
        <v>160</v>
      </c>
      <c r="D173" s="8">
        <f>314.51*1</f>
        <v>314.51</v>
      </c>
      <c r="E173" s="8">
        <f>314.51*1.19</f>
        <v>374.26689999999996</v>
      </c>
    </row>
    <row r="174" spans="1:5" ht="31.2" x14ac:dyDescent="0.3">
      <c r="A174" s="7">
        <v>156</v>
      </c>
      <c r="B174" s="3" t="s">
        <v>11</v>
      </c>
      <c r="C174" s="6" t="s">
        <v>161</v>
      </c>
      <c r="D174" s="8">
        <f>478.25*1</f>
        <v>478.25</v>
      </c>
      <c r="E174" s="8">
        <f>478.25*1.19</f>
        <v>569.11749999999995</v>
      </c>
    </row>
    <row r="175" spans="1:5" ht="31.2" x14ac:dyDescent="0.3">
      <c r="A175" s="7">
        <v>157</v>
      </c>
      <c r="B175" s="3" t="s">
        <v>11</v>
      </c>
      <c r="C175" s="6" t="s">
        <v>162</v>
      </c>
      <c r="D175" s="8">
        <f>602.65*1</f>
        <v>602.65</v>
      </c>
      <c r="E175" s="8">
        <f>602.65*1.19</f>
        <v>717.15349999999989</v>
      </c>
    </row>
    <row r="176" spans="1:5" ht="31.2" x14ac:dyDescent="0.3">
      <c r="A176" s="7">
        <v>158</v>
      </c>
      <c r="B176" s="3" t="s">
        <v>11</v>
      </c>
      <c r="C176" s="6" t="s">
        <v>163</v>
      </c>
      <c r="D176" s="8">
        <f>879.46*1</f>
        <v>879.46</v>
      </c>
      <c r="E176" s="8">
        <f>879.46*1.19</f>
        <v>1046.5573999999999</v>
      </c>
    </row>
    <row r="177" spans="1:5" ht="31.2" x14ac:dyDescent="0.3">
      <c r="A177" s="7">
        <v>159</v>
      </c>
      <c r="B177" s="3" t="s">
        <v>11</v>
      </c>
      <c r="C177" s="6" t="s">
        <v>164</v>
      </c>
      <c r="D177" s="8">
        <f>345.84*1</f>
        <v>345.84</v>
      </c>
      <c r="E177" s="8">
        <f>345.84*1.19</f>
        <v>411.54959999999994</v>
      </c>
    </row>
    <row r="178" spans="1:5" ht="31.2" x14ac:dyDescent="0.3">
      <c r="A178" s="7">
        <v>160</v>
      </c>
      <c r="B178" s="3" t="s">
        <v>11</v>
      </c>
      <c r="C178" s="6" t="s">
        <v>165</v>
      </c>
      <c r="D178" s="8">
        <f>520.87*1</f>
        <v>520.87</v>
      </c>
      <c r="E178" s="8">
        <f>520.87*1.19</f>
        <v>619.83529999999996</v>
      </c>
    </row>
    <row r="179" spans="1:5" ht="31.2" x14ac:dyDescent="0.3">
      <c r="A179" s="7">
        <v>161</v>
      </c>
      <c r="B179" s="3" t="s">
        <v>11</v>
      </c>
      <c r="C179" s="6" t="s">
        <v>166</v>
      </c>
      <c r="D179" s="8">
        <f>796.14*1</f>
        <v>796.14</v>
      </c>
      <c r="E179" s="8">
        <f>796.14*1.19</f>
        <v>947.40659999999991</v>
      </c>
    </row>
    <row r="180" spans="1:5" ht="31.2" x14ac:dyDescent="0.3">
      <c r="A180" s="7">
        <v>162</v>
      </c>
      <c r="B180" s="3" t="s">
        <v>11</v>
      </c>
      <c r="C180" s="6" t="s">
        <v>167</v>
      </c>
      <c r="D180" s="8">
        <f>377.31*1</f>
        <v>377.31</v>
      </c>
      <c r="E180" s="8">
        <f>377.31*1.19</f>
        <v>448.99889999999999</v>
      </c>
    </row>
    <row r="181" spans="1:5" ht="31.2" x14ac:dyDescent="0.3">
      <c r="A181" s="7">
        <v>163</v>
      </c>
      <c r="B181" s="3" t="s">
        <v>11</v>
      </c>
      <c r="C181" s="6" t="s">
        <v>168</v>
      </c>
      <c r="D181" s="8">
        <f>702.79*1</f>
        <v>702.79</v>
      </c>
      <c r="E181" s="8">
        <f>702.79*1.19</f>
        <v>836.32009999999991</v>
      </c>
    </row>
    <row r="182" spans="1:5" ht="31.2" x14ac:dyDescent="0.3">
      <c r="A182" s="7">
        <v>164</v>
      </c>
      <c r="B182" s="3" t="s">
        <v>11</v>
      </c>
      <c r="C182" s="6" t="s">
        <v>169</v>
      </c>
      <c r="D182" s="8">
        <f>440.23*1</f>
        <v>440.23</v>
      </c>
      <c r="E182" s="8">
        <f>440.23*1.19</f>
        <v>523.87369999999999</v>
      </c>
    </row>
    <row r="183" spans="1:5" ht="31.2" x14ac:dyDescent="0.3">
      <c r="A183" s="7">
        <v>165</v>
      </c>
      <c r="B183" s="3" t="s">
        <v>11</v>
      </c>
      <c r="C183" s="6" t="s">
        <v>170</v>
      </c>
      <c r="D183" s="8">
        <f>55.03*1</f>
        <v>55.03</v>
      </c>
      <c r="E183" s="8">
        <f>55.03*1.19</f>
        <v>65.485699999999994</v>
      </c>
    </row>
    <row r="184" spans="1:5" ht="31.2" x14ac:dyDescent="0.3">
      <c r="A184" s="7">
        <v>166</v>
      </c>
      <c r="B184" s="3" t="s">
        <v>11</v>
      </c>
      <c r="C184" s="6" t="s">
        <v>171</v>
      </c>
      <c r="D184" s="8">
        <f>59.61*1</f>
        <v>59.61</v>
      </c>
      <c r="E184" s="8">
        <f>59.61*1.19</f>
        <v>70.93589999999999</v>
      </c>
    </row>
    <row r="185" spans="1:5" ht="31.2" x14ac:dyDescent="0.3">
      <c r="A185" s="7">
        <v>167</v>
      </c>
      <c r="B185" s="3" t="s">
        <v>11</v>
      </c>
      <c r="C185" s="6" t="s">
        <v>172</v>
      </c>
      <c r="D185" s="8">
        <f>149.54*1</f>
        <v>149.54</v>
      </c>
      <c r="E185" s="8">
        <f>149.54*1.19</f>
        <v>177.95259999999999</v>
      </c>
    </row>
    <row r="186" spans="1:5" ht="31.2" x14ac:dyDescent="0.3">
      <c r="A186" s="7">
        <v>168</v>
      </c>
      <c r="B186" s="3" t="s">
        <v>11</v>
      </c>
      <c r="C186" s="6" t="s">
        <v>173</v>
      </c>
      <c r="D186" s="8">
        <f>180.43*1</f>
        <v>180.43</v>
      </c>
      <c r="E186" s="8">
        <f>180.43*1.19</f>
        <v>214.71170000000001</v>
      </c>
    </row>
    <row r="187" spans="1:5" ht="31.2" x14ac:dyDescent="0.3">
      <c r="A187" s="7">
        <v>169</v>
      </c>
      <c r="B187" s="3" t="s">
        <v>11</v>
      </c>
      <c r="C187" s="6" t="s">
        <v>174</v>
      </c>
      <c r="D187" s="8">
        <f>194.69*1</f>
        <v>194.69</v>
      </c>
      <c r="E187" s="8">
        <f>194.69*1.19</f>
        <v>231.68109999999999</v>
      </c>
    </row>
    <row r="188" spans="1:5" ht="31.2" x14ac:dyDescent="0.3">
      <c r="A188" s="7">
        <v>170</v>
      </c>
      <c r="B188" s="3" t="s">
        <v>11</v>
      </c>
      <c r="C188" s="6" t="s">
        <v>175</v>
      </c>
      <c r="D188" s="8">
        <f>219.01*1</f>
        <v>219.01</v>
      </c>
      <c r="E188" s="8">
        <f>219.01*1.19</f>
        <v>260.62189999999998</v>
      </c>
    </row>
    <row r="189" spans="1:5" ht="31.2" x14ac:dyDescent="0.3">
      <c r="A189" s="7">
        <v>171</v>
      </c>
      <c r="B189" s="3" t="s">
        <v>11</v>
      </c>
      <c r="C189" s="6" t="s">
        <v>176</v>
      </c>
      <c r="D189" s="8">
        <f>233.27*1</f>
        <v>233.27</v>
      </c>
      <c r="E189" s="8">
        <f>233.27*1.19</f>
        <v>277.59129999999999</v>
      </c>
    </row>
    <row r="190" spans="1:5" ht="31.2" x14ac:dyDescent="0.3">
      <c r="A190" s="7">
        <v>172</v>
      </c>
      <c r="B190" s="3" t="s">
        <v>11</v>
      </c>
      <c r="C190" s="6" t="s">
        <v>177</v>
      </c>
      <c r="D190" s="8">
        <f>257.36*1</f>
        <v>257.36</v>
      </c>
      <c r="E190" s="8">
        <f>257.36*1.19</f>
        <v>306.25839999999999</v>
      </c>
    </row>
    <row r="191" spans="1:5" ht="31.2" x14ac:dyDescent="0.3">
      <c r="A191" s="7">
        <v>173</v>
      </c>
      <c r="B191" s="3" t="s">
        <v>11</v>
      </c>
      <c r="C191" s="6" t="s">
        <v>178</v>
      </c>
      <c r="D191" s="8">
        <f>257.59*1</f>
        <v>257.58999999999997</v>
      </c>
      <c r="E191" s="8">
        <f>257.59*1.19</f>
        <v>306.53209999999996</v>
      </c>
    </row>
    <row r="192" spans="1:5" ht="31.2" x14ac:dyDescent="0.3">
      <c r="A192" s="7">
        <v>174</v>
      </c>
      <c r="B192" s="3" t="s">
        <v>11</v>
      </c>
      <c r="C192" s="6" t="s">
        <v>179</v>
      </c>
      <c r="D192" s="8">
        <f>271.85*1</f>
        <v>271.85000000000002</v>
      </c>
      <c r="E192" s="8">
        <f>271.85*1.19</f>
        <v>323.50150000000002</v>
      </c>
    </row>
    <row r="193" spans="1:5" ht="31.2" x14ac:dyDescent="0.3">
      <c r="A193" s="7">
        <v>175</v>
      </c>
      <c r="B193" s="3" t="s">
        <v>11</v>
      </c>
      <c r="C193" s="6" t="s">
        <v>180</v>
      </c>
      <c r="D193" s="8">
        <f>295.94*1</f>
        <v>295.94</v>
      </c>
      <c r="E193" s="8">
        <f>295.94*1.19</f>
        <v>352.16859999999997</v>
      </c>
    </row>
    <row r="194" spans="1:5" ht="31.2" x14ac:dyDescent="0.3">
      <c r="A194" s="7">
        <v>176</v>
      </c>
      <c r="B194" s="3" t="s">
        <v>11</v>
      </c>
      <c r="C194" s="6" t="s">
        <v>181</v>
      </c>
      <c r="D194" s="8">
        <f>326.91*1</f>
        <v>326.91000000000003</v>
      </c>
      <c r="E194" s="8">
        <f>326.91*1.19</f>
        <v>389.02289999999999</v>
      </c>
    </row>
    <row r="195" spans="1:5" ht="31.2" x14ac:dyDescent="0.3">
      <c r="A195" s="7">
        <v>177</v>
      </c>
      <c r="B195" s="3" t="s">
        <v>11</v>
      </c>
      <c r="C195" s="6" t="s">
        <v>182</v>
      </c>
      <c r="D195" s="8">
        <f>261.6*1</f>
        <v>261.60000000000002</v>
      </c>
      <c r="E195" s="8">
        <f>261.6*1.19</f>
        <v>311.30400000000003</v>
      </c>
    </row>
    <row r="196" spans="1:5" ht="31.2" x14ac:dyDescent="0.3">
      <c r="A196" s="7">
        <v>178</v>
      </c>
      <c r="B196" s="3" t="s">
        <v>11</v>
      </c>
      <c r="C196" s="6" t="s">
        <v>183</v>
      </c>
      <c r="D196" s="8">
        <f>275.86*1</f>
        <v>275.86</v>
      </c>
      <c r="E196" s="8">
        <f>275.86*1.19</f>
        <v>328.27339999999998</v>
      </c>
    </row>
    <row r="197" spans="1:5" ht="31.2" x14ac:dyDescent="0.3">
      <c r="A197" s="7">
        <v>179</v>
      </c>
      <c r="B197" s="3" t="s">
        <v>11</v>
      </c>
      <c r="C197" s="6" t="s">
        <v>184</v>
      </c>
      <c r="D197" s="8">
        <f>299.95*1</f>
        <v>299.95</v>
      </c>
      <c r="E197" s="8">
        <f>299.95*1.19</f>
        <v>356.94049999999999</v>
      </c>
    </row>
    <row r="198" spans="1:5" ht="31.2" x14ac:dyDescent="0.3">
      <c r="A198" s="7">
        <v>180</v>
      </c>
      <c r="B198" s="3" t="s">
        <v>11</v>
      </c>
      <c r="C198" s="6" t="s">
        <v>185</v>
      </c>
      <c r="D198" s="8">
        <f>330.92*1</f>
        <v>330.92</v>
      </c>
      <c r="E198" s="8">
        <f>330.92*1.19</f>
        <v>393.79480000000001</v>
      </c>
    </row>
    <row r="199" spans="1:5" ht="31.2" x14ac:dyDescent="0.3">
      <c r="A199" s="7">
        <v>181</v>
      </c>
      <c r="B199" s="3" t="s">
        <v>11</v>
      </c>
      <c r="C199" s="6" t="s">
        <v>186</v>
      </c>
      <c r="D199" s="8">
        <f>369.01*1</f>
        <v>369.01</v>
      </c>
      <c r="E199" s="8">
        <f>369.01*1.19</f>
        <v>439.12189999999998</v>
      </c>
    </row>
    <row r="200" spans="1:5" ht="31.2" x14ac:dyDescent="0.3">
      <c r="A200" s="7">
        <v>182</v>
      </c>
      <c r="B200" s="3" t="s">
        <v>11</v>
      </c>
      <c r="C200" s="6" t="s">
        <v>187</v>
      </c>
      <c r="D200" s="8">
        <f>292.93*1</f>
        <v>292.93</v>
      </c>
      <c r="E200" s="8">
        <f>292.93*1.19</f>
        <v>348.58670000000001</v>
      </c>
    </row>
    <row r="201" spans="1:5" ht="31.2" x14ac:dyDescent="0.3">
      <c r="A201" s="7">
        <v>183</v>
      </c>
      <c r="B201" s="3" t="s">
        <v>11</v>
      </c>
      <c r="C201" s="6" t="s">
        <v>188</v>
      </c>
      <c r="D201" s="8">
        <f>307.19*1</f>
        <v>307.19</v>
      </c>
      <c r="E201" s="8">
        <f>307.19*1.19</f>
        <v>365.55609999999996</v>
      </c>
    </row>
    <row r="202" spans="1:5" ht="31.2" x14ac:dyDescent="0.3">
      <c r="A202" s="7">
        <v>184</v>
      </c>
      <c r="B202" s="3" t="s">
        <v>11</v>
      </c>
      <c r="C202" s="6" t="s">
        <v>189</v>
      </c>
      <c r="D202" s="8">
        <f>331.28*1</f>
        <v>331.28</v>
      </c>
      <c r="E202" s="8">
        <f>331.28*1.19</f>
        <v>394.22319999999996</v>
      </c>
    </row>
    <row r="203" spans="1:5" ht="31.2" x14ac:dyDescent="0.3">
      <c r="A203" s="7">
        <v>185</v>
      </c>
      <c r="B203" s="3" t="s">
        <v>11</v>
      </c>
      <c r="C203" s="6" t="s">
        <v>190</v>
      </c>
      <c r="D203" s="8">
        <f>362.25*1</f>
        <v>362.25</v>
      </c>
      <c r="E203" s="8">
        <f>362.25*1.19</f>
        <v>431.07749999999999</v>
      </c>
    </row>
    <row r="204" spans="1:5" ht="31.2" x14ac:dyDescent="0.3">
      <c r="A204" s="7">
        <v>186</v>
      </c>
      <c r="B204" s="3" t="s">
        <v>11</v>
      </c>
      <c r="C204" s="6" t="s">
        <v>191</v>
      </c>
      <c r="D204" s="8">
        <f>400.35*1</f>
        <v>400.35</v>
      </c>
      <c r="E204" s="8">
        <f>400.35*1.19</f>
        <v>476.41649999999998</v>
      </c>
    </row>
    <row r="205" spans="1:5" ht="31.2" x14ac:dyDescent="0.3">
      <c r="A205" s="7">
        <v>187</v>
      </c>
      <c r="B205" s="3" t="s">
        <v>11</v>
      </c>
      <c r="C205" s="6" t="s">
        <v>192</v>
      </c>
      <c r="D205" s="8">
        <f>476.79*1</f>
        <v>476.79</v>
      </c>
      <c r="E205" s="8">
        <f>476.79*1.19</f>
        <v>567.38009999999997</v>
      </c>
    </row>
    <row r="206" spans="1:5" ht="31.2" x14ac:dyDescent="0.3">
      <c r="A206" s="7">
        <v>188</v>
      </c>
      <c r="B206" s="3" t="s">
        <v>11</v>
      </c>
      <c r="C206" s="6" t="s">
        <v>193</v>
      </c>
      <c r="D206" s="8">
        <f>235.7*1</f>
        <v>235.7</v>
      </c>
      <c r="E206" s="8">
        <f>235.7*1.19</f>
        <v>280.48299999999995</v>
      </c>
    </row>
    <row r="207" spans="1:5" ht="31.2" x14ac:dyDescent="0.3">
      <c r="A207" s="7">
        <v>189</v>
      </c>
      <c r="B207" s="3" t="s">
        <v>11</v>
      </c>
      <c r="C207" s="6" t="s">
        <v>194</v>
      </c>
      <c r="D207" s="8">
        <f>307.19*1</f>
        <v>307.19</v>
      </c>
      <c r="E207" s="8">
        <f>307.19*1.19</f>
        <v>365.55609999999996</v>
      </c>
    </row>
    <row r="208" spans="1:5" ht="31.2" x14ac:dyDescent="0.3">
      <c r="A208" s="7">
        <v>190</v>
      </c>
      <c r="B208" s="3" t="s">
        <v>11</v>
      </c>
      <c r="C208" s="6" t="s">
        <v>195</v>
      </c>
      <c r="D208" s="8">
        <f>331.28*1</f>
        <v>331.28</v>
      </c>
      <c r="E208" s="8">
        <f>331.28*1.19</f>
        <v>394.22319999999996</v>
      </c>
    </row>
    <row r="209" spans="1:5" ht="31.2" x14ac:dyDescent="0.3">
      <c r="A209" s="7">
        <v>191</v>
      </c>
      <c r="B209" s="3" t="s">
        <v>11</v>
      </c>
      <c r="C209" s="6" t="s">
        <v>196</v>
      </c>
      <c r="D209" s="8">
        <f>362.25*1</f>
        <v>362.25</v>
      </c>
      <c r="E209" s="8">
        <f>362.25*1.19</f>
        <v>431.07749999999999</v>
      </c>
    </row>
    <row r="210" spans="1:5" ht="31.2" x14ac:dyDescent="0.3">
      <c r="A210" s="7">
        <v>192</v>
      </c>
      <c r="B210" s="3" t="s">
        <v>11</v>
      </c>
      <c r="C210" s="6" t="s">
        <v>197</v>
      </c>
      <c r="D210" s="8">
        <f>400.25*1</f>
        <v>400.25</v>
      </c>
      <c r="E210" s="8">
        <f>400.25*1.19</f>
        <v>476.29749999999996</v>
      </c>
    </row>
    <row r="211" spans="1:5" ht="31.2" x14ac:dyDescent="0.3">
      <c r="A211" s="7">
        <v>193</v>
      </c>
      <c r="B211" s="3" t="s">
        <v>11</v>
      </c>
      <c r="C211" s="6" t="s">
        <v>198</v>
      </c>
      <c r="D211" s="8">
        <f>476.79*1</f>
        <v>476.79</v>
      </c>
      <c r="E211" s="8">
        <f>476.79*1.19</f>
        <v>567.38009999999997</v>
      </c>
    </row>
    <row r="212" spans="1:5" ht="31.2" x14ac:dyDescent="0.3">
      <c r="A212" s="7">
        <v>194</v>
      </c>
      <c r="B212" s="3" t="s">
        <v>11</v>
      </c>
      <c r="C212" s="6" t="s">
        <v>199</v>
      </c>
      <c r="D212" s="8">
        <f>540.18*1</f>
        <v>540.17999999999995</v>
      </c>
      <c r="E212" s="8">
        <f>540.18*1.19</f>
        <v>642.81419999999991</v>
      </c>
    </row>
    <row r="213" spans="1:5" ht="31.2" x14ac:dyDescent="0.3">
      <c r="A213" s="7">
        <v>195</v>
      </c>
      <c r="B213" s="3" t="s">
        <v>11</v>
      </c>
      <c r="C213" s="6" t="s">
        <v>200</v>
      </c>
      <c r="D213" s="8">
        <f>370.12*1</f>
        <v>370.12</v>
      </c>
      <c r="E213" s="8">
        <f>370.12*1.19</f>
        <v>440.44279999999998</v>
      </c>
    </row>
    <row r="214" spans="1:5" ht="31.2" x14ac:dyDescent="0.3">
      <c r="A214" s="7">
        <v>196</v>
      </c>
      <c r="B214" s="3" t="s">
        <v>11</v>
      </c>
      <c r="C214" s="6" t="s">
        <v>201</v>
      </c>
      <c r="D214" s="8">
        <f>394.21*1</f>
        <v>394.21</v>
      </c>
      <c r="E214" s="8">
        <f>394.21*1.19</f>
        <v>469.10989999999998</v>
      </c>
    </row>
    <row r="215" spans="1:5" ht="31.2" x14ac:dyDescent="0.3">
      <c r="A215" s="7">
        <v>197</v>
      </c>
      <c r="B215" s="3" t="s">
        <v>11</v>
      </c>
      <c r="C215" s="6" t="s">
        <v>202</v>
      </c>
      <c r="D215" s="8">
        <f>425.18*1</f>
        <v>425.18</v>
      </c>
      <c r="E215" s="8">
        <f>425.18*1.19</f>
        <v>505.96420000000001</v>
      </c>
    </row>
    <row r="216" spans="1:5" ht="31.2" x14ac:dyDescent="0.3">
      <c r="A216" s="7">
        <v>198</v>
      </c>
      <c r="B216" s="3" t="s">
        <v>11</v>
      </c>
      <c r="C216" s="6" t="s">
        <v>203</v>
      </c>
      <c r="D216" s="8">
        <f>463.27*1</f>
        <v>463.27</v>
      </c>
      <c r="E216" s="8">
        <f>463.27*1.19</f>
        <v>551.29129999999998</v>
      </c>
    </row>
    <row r="217" spans="1:5" ht="31.2" x14ac:dyDescent="0.3">
      <c r="A217" s="7">
        <v>199</v>
      </c>
      <c r="B217" s="3" t="s">
        <v>11</v>
      </c>
      <c r="C217" s="6" t="s">
        <v>204</v>
      </c>
      <c r="D217" s="8">
        <f>539.72*1</f>
        <v>539.72</v>
      </c>
      <c r="E217" s="8">
        <f>539.72*1.19</f>
        <v>642.26679999999999</v>
      </c>
    </row>
    <row r="218" spans="1:5" ht="31.2" x14ac:dyDescent="0.3">
      <c r="A218" s="7">
        <v>200</v>
      </c>
      <c r="B218" s="3" t="s">
        <v>11</v>
      </c>
      <c r="C218" s="6" t="s">
        <v>205</v>
      </c>
      <c r="D218" s="8">
        <f>675.01*1</f>
        <v>675.01</v>
      </c>
      <c r="E218" s="8">
        <f>675.01*1.19</f>
        <v>803.26189999999997</v>
      </c>
    </row>
    <row r="219" spans="1:5" ht="31.2" x14ac:dyDescent="0.3">
      <c r="A219" s="7">
        <v>201</v>
      </c>
      <c r="B219" s="3" t="s">
        <v>11</v>
      </c>
      <c r="C219" s="6" t="s">
        <v>206</v>
      </c>
      <c r="D219" s="8">
        <f>370.12*1</f>
        <v>370.12</v>
      </c>
      <c r="E219" s="8">
        <f>370.12*1.19</f>
        <v>440.44279999999998</v>
      </c>
    </row>
    <row r="220" spans="1:5" ht="31.2" x14ac:dyDescent="0.3">
      <c r="A220" s="7">
        <v>202</v>
      </c>
      <c r="B220" s="3" t="s">
        <v>11</v>
      </c>
      <c r="C220" s="6" t="s">
        <v>207</v>
      </c>
      <c r="D220" s="8">
        <f>394.21*1</f>
        <v>394.21</v>
      </c>
      <c r="E220" s="8">
        <f>394.21*1.19</f>
        <v>469.10989999999998</v>
      </c>
    </row>
    <row r="221" spans="1:5" ht="31.2" x14ac:dyDescent="0.3">
      <c r="A221" s="7">
        <v>203</v>
      </c>
      <c r="B221" s="3" t="s">
        <v>11</v>
      </c>
      <c r="C221" s="6" t="s">
        <v>208</v>
      </c>
      <c r="D221" s="8">
        <f>425.18*1</f>
        <v>425.18</v>
      </c>
      <c r="E221" s="8">
        <f>425.18*1.19</f>
        <v>505.96420000000001</v>
      </c>
    </row>
    <row r="222" spans="1:5" ht="31.2" x14ac:dyDescent="0.3">
      <c r="A222" s="7">
        <v>204</v>
      </c>
      <c r="B222" s="3" t="s">
        <v>11</v>
      </c>
      <c r="C222" s="6" t="s">
        <v>209</v>
      </c>
      <c r="D222" s="8">
        <f>463.27*1</f>
        <v>463.27</v>
      </c>
      <c r="E222" s="8">
        <f>463.27*1.19</f>
        <v>551.29129999999998</v>
      </c>
    </row>
    <row r="223" spans="1:5" ht="31.2" x14ac:dyDescent="0.3">
      <c r="A223" s="7">
        <v>205</v>
      </c>
      <c r="B223" s="3" t="s">
        <v>11</v>
      </c>
      <c r="C223" s="6" t="s">
        <v>210</v>
      </c>
      <c r="D223" s="8">
        <f>539.72*1</f>
        <v>539.72</v>
      </c>
      <c r="E223" s="8">
        <f>539.72*1.19</f>
        <v>642.26679999999999</v>
      </c>
    </row>
    <row r="224" spans="1:5" ht="31.2" x14ac:dyDescent="0.3">
      <c r="A224" s="7">
        <v>206</v>
      </c>
      <c r="B224" s="3" t="s">
        <v>11</v>
      </c>
      <c r="C224" s="6" t="s">
        <v>211</v>
      </c>
      <c r="D224" s="8">
        <f>675.01*1</f>
        <v>675.01</v>
      </c>
      <c r="E224" s="8">
        <f>675.01*1.19</f>
        <v>803.26189999999997</v>
      </c>
    </row>
    <row r="225" spans="1:5" ht="31.2" x14ac:dyDescent="0.3">
      <c r="A225" s="7">
        <v>207</v>
      </c>
      <c r="B225" s="3" t="s">
        <v>11</v>
      </c>
      <c r="C225" s="6" t="s">
        <v>212</v>
      </c>
      <c r="D225" s="8">
        <f>759.23*1</f>
        <v>759.23</v>
      </c>
      <c r="E225" s="8">
        <f>759.23*1.19</f>
        <v>903.4837</v>
      </c>
    </row>
    <row r="226" spans="1:5" ht="31.2" x14ac:dyDescent="0.3">
      <c r="A226" s="7">
        <v>208</v>
      </c>
      <c r="B226" s="3" t="s">
        <v>11</v>
      </c>
      <c r="C226" s="6" t="s">
        <v>213</v>
      </c>
      <c r="D226" s="8">
        <f>433.05*1</f>
        <v>433.05</v>
      </c>
      <c r="E226" s="8">
        <f>433.05*1.19</f>
        <v>515.32949999999994</v>
      </c>
    </row>
    <row r="227" spans="1:5" ht="31.2" x14ac:dyDescent="0.3">
      <c r="A227" s="7">
        <v>209</v>
      </c>
      <c r="B227" s="3" t="s">
        <v>11</v>
      </c>
      <c r="C227" s="6" t="s">
        <v>214</v>
      </c>
      <c r="D227" s="8">
        <f>457.14*1</f>
        <v>457.14</v>
      </c>
      <c r="E227" s="8">
        <f>457.14*1.19</f>
        <v>543.99659999999994</v>
      </c>
    </row>
    <row r="228" spans="1:5" ht="31.2" x14ac:dyDescent="0.3">
      <c r="A228" s="7">
        <v>210</v>
      </c>
      <c r="B228" s="3" t="s">
        <v>11</v>
      </c>
      <c r="C228" s="6" t="s">
        <v>215</v>
      </c>
      <c r="D228" s="8">
        <f>488.11*1</f>
        <v>488.11</v>
      </c>
      <c r="E228" s="8">
        <f>488.11*1.19</f>
        <v>580.85090000000002</v>
      </c>
    </row>
    <row r="229" spans="1:5" ht="31.2" x14ac:dyDescent="0.3">
      <c r="A229" s="7">
        <v>211</v>
      </c>
      <c r="B229" s="3" t="s">
        <v>11</v>
      </c>
      <c r="C229" s="6" t="s">
        <v>216</v>
      </c>
      <c r="D229" s="8">
        <f>526.2*1</f>
        <v>526.20000000000005</v>
      </c>
      <c r="E229" s="8">
        <f>526.2*1.19</f>
        <v>626.178</v>
      </c>
    </row>
    <row r="230" spans="1:5" ht="31.2" x14ac:dyDescent="0.3">
      <c r="A230" s="7">
        <v>212</v>
      </c>
      <c r="B230" s="3" t="s">
        <v>11</v>
      </c>
      <c r="C230" s="6" t="s">
        <v>217</v>
      </c>
      <c r="D230" s="8">
        <f>602.65*1</f>
        <v>602.65</v>
      </c>
      <c r="E230" s="8">
        <f>602.65*1.19</f>
        <v>717.15349999999989</v>
      </c>
    </row>
    <row r="231" spans="1:5" ht="31.2" x14ac:dyDescent="0.3">
      <c r="A231" s="7">
        <v>213</v>
      </c>
      <c r="B231" s="3" t="s">
        <v>11</v>
      </c>
      <c r="C231" s="6" t="s">
        <v>218</v>
      </c>
      <c r="D231" s="8">
        <f>637.94*1</f>
        <v>637.94000000000005</v>
      </c>
      <c r="E231" s="8">
        <f>637.94*1.19</f>
        <v>759.14859999999999</v>
      </c>
    </row>
    <row r="232" spans="1:5" ht="31.2" x14ac:dyDescent="0.3">
      <c r="A232" s="7">
        <v>214</v>
      </c>
      <c r="B232" s="3" t="s">
        <v>11</v>
      </c>
      <c r="C232" s="6" t="s">
        <v>219</v>
      </c>
      <c r="D232" s="8">
        <f>917.68*1</f>
        <v>917.68</v>
      </c>
      <c r="E232" s="8">
        <f>917.68*1.19</f>
        <v>1092.0391999999999</v>
      </c>
    </row>
    <row r="233" spans="1:5" ht="31.2" x14ac:dyDescent="0.3">
      <c r="A233" s="7">
        <v>215</v>
      </c>
      <c r="B233" s="3" t="s">
        <v>11</v>
      </c>
      <c r="C233" s="6" t="s">
        <v>220</v>
      </c>
      <c r="D233" s="8">
        <f>495.98*1</f>
        <v>495.98</v>
      </c>
      <c r="E233" s="8">
        <f>495.98*1.19</f>
        <v>590.21619999999996</v>
      </c>
    </row>
    <row r="234" spans="1:5" ht="31.2" x14ac:dyDescent="0.3">
      <c r="A234" s="7">
        <v>216</v>
      </c>
      <c r="B234" s="3" t="s">
        <v>11</v>
      </c>
      <c r="C234" s="6" t="s">
        <v>221</v>
      </c>
      <c r="D234" s="8">
        <f>551.04*1</f>
        <v>551.04</v>
      </c>
      <c r="E234" s="8">
        <f>551.04*1.19</f>
        <v>655.73759999999993</v>
      </c>
    </row>
    <row r="235" spans="1:5" ht="31.2" x14ac:dyDescent="0.3">
      <c r="A235" s="7">
        <v>217</v>
      </c>
      <c r="B235" s="3" t="s">
        <v>11</v>
      </c>
      <c r="C235" s="6" t="s">
        <v>222</v>
      </c>
      <c r="D235" s="8">
        <f>665.57*1</f>
        <v>665.57</v>
      </c>
      <c r="E235" s="8">
        <f>665.57*1.19</f>
        <v>792.02830000000006</v>
      </c>
    </row>
    <row r="236" spans="1:5" ht="31.2" x14ac:dyDescent="0.3">
      <c r="A236" s="7">
        <v>218</v>
      </c>
      <c r="B236" s="3" t="s">
        <v>11</v>
      </c>
      <c r="C236" s="6" t="s">
        <v>223</v>
      </c>
      <c r="D236" s="8">
        <f>800.87*1</f>
        <v>800.87</v>
      </c>
      <c r="E236" s="8">
        <f>800.87*1.19</f>
        <v>953.03530000000001</v>
      </c>
    </row>
    <row r="237" spans="1:5" ht="31.2" x14ac:dyDescent="0.3">
      <c r="A237" s="7">
        <v>219</v>
      </c>
      <c r="B237" s="3" t="s">
        <v>11</v>
      </c>
      <c r="C237" s="6" t="s">
        <v>224</v>
      </c>
      <c r="D237" s="8">
        <f>980.61*1</f>
        <v>980.61</v>
      </c>
      <c r="E237" s="8">
        <f>980.61*1.19</f>
        <v>1166.9259</v>
      </c>
    </row>
    <row r="238" spans="1:5" ht="31.2" x14ac:dyDescent="0.3">
      <c r="A238" s="7">
        <v>220</v>
      </c>
      <c r="B238" s="3" t="s">
        <v>11</v>
      </c>
      <c r="C238" s="6" t="s">
        <v>225</v>
      </c>
      <c r="D238" s="8">
        <f>1184.94*1</f>
        <v>1184.94</v>
      </c>
      <c r="E238" s="8">
        <f>1184.94*1.19</f>
        <v>1410.0786000000001</v>
      </c>
    </row>
    <row r="239" spans="1:5" x14ac:dyDescent="0.3">
      <c r="A239" s="9" t="s">
        <v>226</v>
      </c>
      <c r="B239" s="9"/>
      <c r="C239" s="9"/>
      <c r="D239" s="9"/>
      <c r="E239" s="9"/>
    </row>
    <row r="240" spans="1:5" x14ac:dyDescent="0.3">
      <c r="A240" s="9"/>
      <c r="B240" s="9"/>
      <c r="C240" s="9" t="s">
        <v>8</v>
      </c>
      <c r="D240" s="9"/>
      <c r="E240" s="9"/>
    </row>
    <row r="241" spans="1:5" x14ac:dyDescent="0.3">
      <c r="A241" s="7">
        <v>221</v>
      </c>
      <c r="B241" s="3" t="s">
        <v>11</v>
      </c>
      <c r="C241" s="6" t="s">
        <v>227</v>
      </c>
      <c r="D241" s="8">
        <f>47.04*1</f>
        <v>47.04</v>
      </c>
      <c r="E241" s="8">
        <f>47.04*1.19</f>
        <v>55.977599999999995</v>
      </c>
    </row>
    <row r="242" spans="1:5" x14ac:dyDescent="0.3">
      <c r="A242" s="7">
        <v>222</v>
      </c>
      <c r="B242" s="3" t="s">
        <v>11</v>
      </c>
      <c r="C242" s="6" t="s">
        <v>228</v>
      </c>
      <c r="D242" s="8">
        <f>65.04*1</f>
        <v>65.040000000000006</v>
      </c>
      <c r="E242" s="8">
        <f>65.04*1.19</f>
        <v>77.397599999999997</v>
      </c>
    </row>
    <row r="243" spans="1:5" x14ac:dyDescent="0.3">
      <c r="A243" s="7">
        <v>223</v>
      </c>
      <c r="B243" s="3" t="s">
        <v>11</v>
      </c>
      <c r="C243" s="6" t="s">
        <v>229</v>
      </c>
      <c r="D243" s="8">
        <f>71.3*1</f>
        <v>71.3</v>
      </c>
      <c r="E243" s="8">
        <f>71.3*1.19</f>
        <v>84.846999999999994</v>
      </c>
    </row>
    <row r="244" spans="1:5" x14ac:dyDescent="0.3">
      <c r="A244" s="7">
        <v>224</v>
      </c>
      <c r="B244" s="3" t="s">
        <v>11</v>
      </c>
      <c r="C244" s="6" t="s">
        <v>230</v>
      </c>
      <c r="D244" s="8">
        <f>125.24*1</f>
        <v>125.24</v>
      </c>
      <c r="E244" s="8">
        <f>125.24*1.19</f>
        <v>149.03559999999999</v>
      </c>
    </row>
    <row r="245" spans="1:5" x14ac:dyDescent="0.3">
      <c r="A245" s="7">
        <v>225</v>
      </c>
      <c r="B245" s="3" t="s">
        <v>11</v>
      </c>
      <c r="C245" s="6" t="s">
        <v>231</v>
      </c>
      <c r="D245" s="8">
        <f>291.42*1</f>
        <v>291.42</v>
      </c>
      <c r="E245" s="8">
        <f>291.42*1.19</f>
        <v>346.78980000000001</v>
      </c>
    </row>
    <row r="246" spans="1:5" x14ac:dyDescent="0.3">
      <c r="A246" s="7">
        <v>226</v>
      </c>
      <c r="B246" s="3" t="s">
        <v>11</v>
      </c>
      <c r="C246" s="6" t="s">
        <v>232</v>
      </c>
      <c r="D246" s="8">
        <f>322.73*1</f>
        <v>322.73</v>
      </c>
      <c r="E246" s="8">
        <f>322.73*1.19</f>
        <v>384.0487</v>
      </c>
    </row>
    <row r="247" spans="1:5" x14ac:dyDescent="0.3">
      <c r="A247" s="7">
        <v>227</v>
      </c>
      <c r="B247" s="3" t="s">
        <v>11</v>
      </c>
      <c r="C247" s="6" t="s">
        <v>233</v>
      </c>
      <c r="D247" s="8">
        <f>354.04*1</f>
        <v>354.04</v>
      </c>
      <c r="E247" s="8">
        <f>354.04*1.19</f>
        <v>421.30759999999998</v>
      </c>
    </row>
    <row r="248" spans="1:5" x14ac:dyDescent="0.3">
      <c r="A248" s="7">
        <v>228</v>
      </c>
      <c r="B248" s="3" t="s">
        <v>11</v>
      </c>
      <c r="C248" s="6" t="s">
        <v>234</v>
      </c>
      <c r="D248" s="8">
        <f>431.13*1</f>
        <v>431.13</v>
      </c>
      <c r="E248" s="8">
        <f>431.13*1.19</f>
        <v>513.04469999999992</v>
      </c>
    </row>
    <row r="249" spans="1:5" x14ac:dyDescent="0.3">
      <c r="A249" s="7">
        <v>229</v>
      </c>
      <c r="B249" s="3" t="s">
        <v>11</v>
      </c>
      <c r="C249" s="6" t="s">
        <v>235</v>
      </c>
      <c r="D249" s="8">
        <f>146.45*1</f>
        <v>146.44999999999999</v>
      </c>
      <c r="E249" s="8">
        <f>146.45*1.19</f>
        <v>174.27549999999997</v>
      </c>
    </row>
    <row r="250" spans="1:5" x14ac:dyDescent="0.3">
      <c r="A250" s="7">
        <v>230</v>
      </c>
      <c r="B250" s="3" t="s">
        <v>11</v>
      </c>
      <c r="C250" s="6" t="s">
        <v>236</v>
      </c>
      <c r="D250" s="8">
        <f>165.24*1</f>
        <v>165.24</v>
      </c>
      <c r="E250" s="8">
        <f>165.24*1.19</f>
        <v>196.63560000000001</v>
      </c>
    </row>
    <row r="251" spans="1:5" x14ac:dyDescent="0.3">
      <c r="A251" s="7">
        <v>231</v>
      </c>
      <c r="B251" s="3" t="s">
        <v>11</v>
      </c>
      <c r="C251" s="6" t="s">
        <v>237</v>
      </c>
      <c r="D251" s="8">
        <f>187.87*1</f>
        <v>187.87</v>
      </c>
      <c r="E251" s="8">
        <f>187.87*1.19</f>
        <v>223.56530000000001</v>
      </c>
    </row>
    <row r="252" spans="1:5" x14ac:dyDescent="0.3">
      <c r="A252" s="9" t="s">
        <v>238</v>
      </c>
      <c r="B252" s="9"/>
      <c r="C252" s="9"/>
      <c r="D252" s="9"/>
      <c r="E252" s="9"/>
    </row>
    <row r="253" spans="1:5" x14ac:dyDescent="0.3">
      <c r="A253" s="9"/>
      <c r="B253" s="9"/>
      <c r="C253" s="9" t="s">
        <v>8</v>
      </c>
      <c r="D253" s="9"/>
      <c r="E253" s="9"/>
    </row>
    <row r="254" spans="1:5" x14ac:dyDescent="0.3">
      <c r="A254" s="7">
        <v>232</v>
      </c>
      <c r="B254" s="3" t="s">
        <v>11</v>
      </c>
      <c r="C254" s="6" t="s">
        <v>239</v>
      </c>
      <c r="D254" s="8">
        <f>84.89</f>
        <v>84.89</v>
      </c>
      <c r="E254" s="8">
        <f>84.89</f>
        <v>84.89</v>
      </c>
    </row>
    <row r="255" spans="1:5" ht="31.2" x14ac:dyDescent="0.3">
      <c r="A255" s="7">
        <v>233</v>
      </c>
      <c r="B255" s="3" t="s">
        <v>11</v>
      </c>
      <c r="C255" s="6" t="s">
        <v>240</v>
      </c>
      <c r="D255" s="8">
        <f>17.97</f>
        <v>17.97</v>
      </c>
      <c r="E255" s="8">
        <f>17.97</f>
        <v>17.97</v>
      </c>
    </row>
    <row r="256" spans="1:5" ht="46.8" x14ac:dyDescent="0.3">
      <c r="A256" s="7">
        <v>234</v>
      </c>
      <c r="B256" s="3" t="s">
        <v>11</v>
      </c>
      <c r="C256" s="6" t="s">
        <v>241</v>
      </c>
      <c r="D256" s="8">
        <f>97.9*1</f>
        <v>97.9</v>
      </c>
      <c r="E256" s="8">
        <f>97.9*1.19</f>
        <v>116.501</v>
      </c>
    </row>
    <row r="257" spans="1:5" ht="31.2" x14ac:dyDescent="0.3">
      <c r="A257" s="7">
        <v>235</v>
      </c>
      <c r="B257" s="3" t="s">
        <v>11</v>
      </c>
      <c r="C257" s="6" t="s">
        <v>242</v>
      </c>
      <c r="D257" s="8">
        <v>173.89</v>
      </c>
      <c r="E257" s="8">
        <f>173.89*1.19</f>
        <v>206.92909999999998</v>
      </c>
    </row>
    <row r="258" spans="1:5" x14ac:dyDescent="0.3">
      <c r="A258" s="7">
        <v>236</v>
      </c>
      <c r="B258" s="3" t="s">
        <v>243</v>
      </c>
      <c r="C258" s="6" t="s">
        <v>244</v>
      </c>
      <c r="D258" s="8" t="s">
        <v>245</v>
      </c>
      <c r="E258" s="8" t="s">
        <v>246</v>
      </c>
    </row>
  </sheetData>
  <mergeCells count="13">
    <mergeCell ref="A252:E253"/>
    <mergeCell ref="A1:C2"/>
    <mergeCell ref="A239:E240"/>
    <mergeCell ref="A145:E146"/>
    <mergeCell ref="A116:E117"/>
    <mergeCell ref="A101:E102"/>
    <mergeCell ref="A31:E32"/>
    <mergeCell ref="A10:E11"/>
    <mergeCell ref="A17:E18"/>
    <mergeCell ref="A6:E7"/>
    <mergeCell ref="A3:E4"/>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 PREUS ARTICLE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Torres Gil</dc:creator>
  <cp:lastModifiedBy>Daniel Del Río López</cp:lastModifiedBy>
  <dcterms:created xsi:type="dcterms:W3CDTF">2026-03-11T10:56:42Z</dcterms:created>
  <dcterms:modified xsi:type="dcterms:W3CDTF">2026-03-12T07:23:23Z</dcterms:modified>
</cp:coreProperties>
</file>