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codeName="ThisWorkbook"/>
  <mc:AlternateContent xmlns:mc="http://schemas.openxmlformats.org/markup-compatibility/2006">
    <mc:Choice Requires="x15">
      <x15ac:absPath xmlns:x15ac="http://schemas.microsoft.com/office/spreadsheetml/2010/11/ac" url="/Users/estudiarquitecturaramonvalls/Dropbox/2025_LA FABRIQUETA_MASNOU/05 REUNIONS/251210_ LFM_PR _OP+TA_251201/01 PR/PR per edificis/"/>
    </mc:Choice>
  </mc:AlternateContent>
  <xr:revisionPtr revIDLastSave="0" documentId="8_{951D9F06-2DFB-A746-92ED-75B46723FDD0}" xr6:coauthVersionLast="47" xr6:coauthVersionMax="47" xr10:uidLastSave="{00000000-0000-0000-0000-000000000000}"/>
  <bookViews>
    <workbookView xWindow="17680" yWindow="500" windowWidth="29660" windowHeight="26800" xr2:uid="{00000000-000D-0000-FFFF-FFFF00000000}"/>
  </bookViews>
  <sheets>
    <sheet name="T-PRES" sheetId="2" r:id="rId1"/>
    <sheet name="T-APU" sheetId="10" r:id="rId2"/>
    <sheet name="T-SMP" sheetId="11" r:id="rId3"/>
    <sheet name="T-DIM" sheetId="12" r:id="rId4"/>
  </sheets>
  <definedNames>
    <definedName name="_xlnm.Print_Area" localSheetId="0">'T-PRES'!$A$1:$Z$1020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29" i="2" l="1"/>
  <c r="S1020" i="2"/>
  <c r="Z1020" i="2"/>
  <c r="J1019" i="2"/>
  <c r="Z1017" i="2"/>
  <c r="N1017" i="2"/>
  <c r="P1017" i="2"/>
  <c r="T1017" i="2"/>
  <c r="V1017" i="2"/>
  <c r="V467" i="2"/>
  <c r="AC467" i="2"/>
  <c r="AB467" i="2"/>
  <c r="G2996" i="12" l="1"/>
  <c r="G2994" i="12"/>
  <c r="G2992" i="12"/>
  <c r="G2990" i="12"/>
  <c r="G2984" i="12"/>
  <c r="G2983" i="12"/>
  <c r="G2982" i="12"/>
  <c r="G2980" i="12"/>
  <c r="G2978" i="12"/>
  <c r="G2977" i="12"/>
  <c r="G2976" i="12"/>
  <c r="G2974" i="12"/>
  <c r="G2972" i="12"/>
  <c r="G2971" i="12"/>
  <c r="G2970" i="12"/>
  <c r="G2968" i="12"/>
  <c r="G2966" i="12"/>
  <c r="G2965" i="12"/>
  <c r="G2964" i="12"/>
  <c r="G2962" i="12"/>
  <c r="G2960" i="12"/>
  <c r="G2959" i="12"/>
  <c r="G2958" i="12"/>
  <c r="G2957" i="12"/>
  <c r="G2955" i="12" s="1"/>
  <c r="G2953" i="12"/>
  <c r="G2952" i="12"/>
  <c r="G2951" i="12"/>
  <c r="G2948" i="12" s="1"/>
  <c r="G2950" i="12"/>
  <c r="G2946" i="12"/>
  <c r="G2945" i="12"/>
  <c r="G2942" i="12" s="1"/>
  <c r="G2940" i="12"/>
  <c r="G2939" i="12"/>
  <c r="G2938" i="12"/>
  <c r="G2937" i="12"/>
  <c r="G2936" i="12"/>
  <c r="G2935" i="12"/>
  <c r="G2934" i="12"/>
  <c r="G2933" i="12" s="1"/>
  <c r="G2931" i="12"/>
  <c r="G2930" i="12"/>
  <c r="G2929" i="12"/>
  <c r="G2928" i="12"/>
  <c r="G2927" i="12"/>
  <c r="G2926" i="12"/>
  <c r="G2925" i="12"/>
  <c r="G2924" i="12" s="1"/>
  <c r="G2918" i="12"/>
  <c r="G2917" i="12"/>
  <c r="G2916" i="12"/>
  <c r="G2915" i="12"/>
  <c r="G2914" i="12"/>
  <c r="G2913" i="12"/>
  <c r="G2912" i="12"/>
  <c r="G2910" i="12" s="1"/>
  <c r="G2911" i="12"/>
  <c r="G2908" i="12"/>
  <c r="G2907" i="12"/>
  <c r="G2906" i="12"/>
  <c r="G2905" i="12"/>
  <c r="G2904" i="12" s="1"/>
  <c r="G2902" i="12"/>
  <c r="G2901" i="12"/>
  <c r="G2900" i="12"/>
  <c r="G2899" i="12"/>
  <c r="G2898" i="12"/>
  <c r="G2897" i="12"/>
  <c r="G2896" i="12"/>
  <c r="G2895" i="12"/>
  <c r="G2894" i="12"/>
  <c r="G2893" i="12"/>
  <c r="G2892" i="12"/>
  <c r="G2891" i="12" s="1"/>
  <c r="G2885" i="12"/>
  <c r="G2884" i="12"/>
  <c r="G2883" i="12"/>
  <c r="G2882" i="12"/>
  <c r="G2881" i="12"/>
  <c r="G2880" i="12" s="1"/>
  <c r="G2878" i="12"/>
  <c r="G2877" i="12"/>
  <c r="G2876" i="12"/>
  <c r="G2875" i="12"/>
  <c r="G2874" i="12"/>
  <c r="G2872" i="12"/>
  <c r="G2871" i="12"/>
  <c r="G2870" i="12"/>
  <c r="G2869" i="12"/>
  <c r="G2868" i="12"/>
  <c r="G2867" i="12"/>
  <c r="G2863" i="12" s="1"/>
  <c r="G2866" i="12"/>
  <c r="G2861" i="12"/>
  <c r="G2860" i="12"/>
  <c r="G2859" i="12"/>
  <c r="G2858" i="12"/>
  <c r="G2857" i="12"/>
  <c r="G2856" i="12"/>
  <c r="G2855" i="12"/>
  <c r="G2854" i="12"/>
  <c r="G2853" i="12"/>
  <c r="G2852" i="12"/>
  <c r="G2851" i="12"/>
  <c r="G2850" i="12"/>
  <c r="G2849" i="12"/>
  <c r="G2848" i="12"/>
  <c r="G2847" i="12"/>
  <c r="G2846" i="12"/>
  <c r="G2845" i="12"/>
  <c r="G2844" i="12"/>
  <c r="G2842" i="12" s="1"/>
  <c r="G2840" i="12"/>
  <c r="G2839" i="12"/>
  <c r="G2838" i="12"/>
  <c r="G2837" i="12"/>
  <c r="G2836" i="12"/>
  <c r="G2835" i="12" s="1"/>
  <c r="G2833" i="12"/>
  <c r="G2832" i="12"/>
  <c r="G2831" i="12"/>
  <c r="G2830" i="12"/>
  <c r="G2829" i="12"/>
  <c r="G2827" i="12" s="1"/>
  <c r="G2828" i="12"/>
  <c r="G2825" i="12"/>
  <c r="G2824" i="12"/>
  <c r="G2823" i="12"/>
  <c r="G2822" i="12"/>
  <c r="G2821" i="12"/>
  <c r="G2820" i="12"/>
  <c r="G2818" i="12"/>
  <c r="G2817" i="12"/>
  <c r="G2816" i="12"/>
  <c r="G2810" i="12"/>
  <c r="G2809" i="12" s="1"/>
  <c r="G2807" i="12"/>
  <c r="G2805" i="12"/>
  <c r="G2803" i="12"/>
  <c r="G2801" i="12" s="1"/>
  <c r="G2799" i="12"/>
  <c r="G2797" i="12"/>
  <c r="G2791" i="12"/>
  <c r="G2790" i="12" s="1"/>
  <c r="G2784" i="12"/>
  <c r="G2783" i="12" s="1"/>
  <c r="G2777" i="12"/>
  <c r="G2776" i="12" s="1"/>
  <c r="G2774" i="12"/>
  <c r="G2773" i="12" s="1"/>
  <c r="G2771" i="12"/>
  <c r="G2770" i="12" s="1"/>
  <c r="G2768" i="12"/>
  <c r="G2767" i="12" s="1"/>
  <c r="G2765" i="12"/>
  <c r="G2764" i="12" s="1"/>
  <c r="G2762" i="12"/>
  <c r="G2761" i="12" s="1"/>
  <c r="G2759" i="12"/>
  <c r="G2758" i="12" s="1"/>
  <c r="G2752" i="12"/>
  <c r="G2749" i="12" s="1"/>
  <c r="G2747" i="12"/>
  <c r="G2744" i="12" s="1"/>
  <c r="G2742" i="12"/>
  <c r="G2741" i="12"/>
  <c r="G2738" i="12"/>
  <c r="G2732" i="12"/>
  <c r="G2730" i="12"/>
  <c r="G2728" i="12"/>
  <c r="G2726" i="12"/>
  <c r="G2720" i="12"/>
  <c r="G2719" i="12"/>
  <c r="G2716" i="12" s="1"/>
  <c r="G2714" i="12"/>
  <c r="G2713" i="12"/>
  <c r="G2712" i="12"/>
  <c r="G2711" i="12"/>
  <c r="G2708" i="12"/>
  <c r="G2702" i="12"/>
  <c r="G2701" i="12"/>
  <c r="G2695" i="12"/>
  <c r="G2694" i="12"/>
  <c r="G2690" i="12" s="1"/>
  <c r="G2693" i="12"/>
  <c r="G2692" i="12"/>
  <c r="G2688" i="12"/>
  <c r="G2687" i="12"/>
  <c r="G2686" i="12"/>
  <c r="G2685" i="12"/>
  <c r="G2683" i="12"/>
  <c r="G2681" i="12"/>
  <c r="G2680" i="12"/>
  <c r="G2679" i="12"/>
  <c r="G2678" i="12"/>
  <c r="G2676" i="12" s="1"/>
  <c r="G2674" i="12"/>
  <c r="G2673" i="12"/>
  <c r="G2672" i="12"/>
  <c r="G2671" i="12"/>
  <c r="G2669" i="12" s="1"/>
  <c r="G2667" i="12"/>
  <c r="G2665" i="12"/>
  <c r="G2663" i="12"/>
  <c r="G2661" i="12" s="1"/>
  <c r="G2659" i="12"/>
  <c r="G2657" i="12"/>
  <c r="G2655" i="12"/>
  <c r="G2654" i="12"/>
  <c r="G2652" i="12" s="1"/>
  <c r="G2650" i="12"/>
  <c r="G2649" i="12"/>
  <c r="G2648" i="12"/>
  <c r="G2647" i="12"/>
  <c r="G2645" i="12"/>
  <c r="G2643" i="12"/>
  <c r="G2642" i="12"/>
  <c r="G2640" i="12"/>
  <c r="G2638" i="12"/>
  <c r="G2637" i="12"/>
  <c r="G2635" i="12" s="1"/>
  <c r="G2633" i="12"/>
  <c r="G2632" i="12"/>
  <c r="G2630" i="12" s="1"/>
  <c r="G2628" i="12"/>
  <c r="G2627" i="12"/>
  <c r="G2626" i="12"/>
  <c r="G2625" i="12"/>
  <c r="G2623" i="12" s="1"/>
  <c r="G2617" i="12"/>
  <c r="G2616" i="12" s="1"/>
  <c r="G2614" i="12"/>
  <c r="G2613" i="12" s="1"/>
  <c r="G2611" i="12"/>
  <c r="G2610" i="12"/>
  <c r="G2608" i="12"/>
  <c r="G2607" i="12"/>
  <c r="G2605" i="12"/>
  <c r="G2604" i="12"/>
  <c r="G2602" i="12"/>
  <c r="G2601" i="12"/>
  <c r="G2599" i="12"/>
  <c r="G2598" i="12"/>
  <c r="G2596" i="12"/>
  <c r="G2595" i="12" s="1"/>
  <c r="G2593" i="12"/>
  <c r="G2592" i="12"/>
  <c r="G2590" i="12"/>
  <c r="G2589" i="12" s="1"/>
  <c r="G2587" i="12"/>
  <c r="G2586" i="12"/>
  <c r="G2580" i="12"/>
  <c r="G2579" i="12" s="1"/>
  <c r="G2577" i="12"/>
  <c r="G2576" i="12"/>
  <c r="G2574" i="12"/>
  <c r="G2573" i="12" s="1"/>
  <c r="G2566" i="12"/>
  <c r="G2565" i="12"/>
  <c r="G2563" i="12"/>
  <c r="G2562" i="12"/>
  <c r="G2561" i="12"/>
  <c r="G2560" i="12"/>
  <c r="G2558" i="12"/>
  <c r="G2557" i="12"/>
  <c r="G2556" i="12"/>
  <c r="G2555" i="12" s="1"/>
  <c r="G2553" i="12"/>
  <c r="G2552" i="12"/>
  <c r="G2551" i="12"/>
  <c r="G2550" i="12"/>
  <c r="G2543" i="12"/>
  <c r="G2542" i="12" s="1"/>
  <c r="G2540" i="12"/>
  <c r="G2539" i="12" s="1"/>
  <c r="G2537" i="12"/>
  <c r="G2536" i="12" s="1"/>
  <c r="G2534" i="12"/>
  <c r="G2533" i="12" s="1"/>
  <c r="G2531" i="12"/>
  <c r="G2530" i="12"/>
  <c r="G2529" i="12"/>
  <c r="G2528" i="12"/>
  <c r="G2527" i="12" s="1"/>
  <c r="G2525" i="12"/>
  <c r="G2524" i="12"/>
  <c r="G2523" i="12"/>
  <c r="G2522" i="12" s="1"/>
  <c r="G2520" i="12"/>
  <c r="G2519" i="12" s="1"/>
  <c r="G2512" i="12"/>
  <c r="G2511" i="12" s="1"/>
  <c r="G2509" i="12"/>
  <c r="G2508" i="12" s="1"/>
  <c r="G2506" i="12"/>
  <c r="G2505" i="12" s="1"/>
  <c r="G2503" i="12"/>
  <c r="G2502" i="12" s="1"/>
  <c r="G2500" i="12"/>
  <c r="G2499" i="12"/>
  <c r="G2498" i="12" s="1"/>
  <c r="G2496" i="12"/>
  <c r="G2495" i="12"/>
  <c r="G2493" i="12"/>
  <c r="G2492" i="12" s="1"/>
  <c r="G2485" i="12"/>
  <c r="G2484" i="12" s="1"/>
  <c r="G2478" i="12"/>
  <c r="G2477" i="12" s="1"/>
  <c r="G2475" i="12"/>
  <c r="G2474" i="12"/>
  <c r="G2473" i="12"/>
  <c r="G2472" i="12" s="1"/>
  <c r="G2470" i="12"/>
  <c r="G2469" i="12"/>
  <c r="G2468" i="12"/>
  <c r="G2467" i="12" s="1"/>
  <c r="G2465" i="12"/>
  <c r="G2464" i="12"/>
  <c r="G2463" i="12"/>
  <c r="G2462" i="12"/>
  <c r="G2461" i="12"/>
  <c r="G2459" i="12"/>
  <c r="G2458" i="12"/>
  <c r="G2457" i="12"/>
  <c r="G2456" i="12"/>
  <c r="G2455" i="12" s="1"/>
  <c r="G2453" i="12"/>
  <c r="G2452" i="12"/>
  <c r="G2451" i="12"/>
  <c r="G2450" i="12"/>
  <c r="G2444" i="12"/>
  <c r="G2443" i="12"/>
  <c r="G2442" i="12"/>
  <c r="G2441" i="12"/>
  <c r="G2440" i="12"/>
  <c r="G2439" i="12"/>
  <c r="G2438" i="12" s="1"/>
  <c r="G2436" i="12"/>
  <c r="G2435" i="12"/>
  <c r="G2434" i="12"/>
  <c r="G2433" i="12" s="1"/>
  <c r="G2431" i="12"/>
  <c r="G2430" i="12"/>
  <c r="G2429" i="12"/>
  <c r="G2428" i="12"/>
  <c r="G2427" i="12"/>
  <c r="G2426" i="12"/>
  <c r="G2425" i="12"/>
  <c r="G2423" i="12"/>
  <c r="G2422" i="12"/>
  <c r="G2421" i="12"/>
  <c r="G2420" i="12" s="1"/>
  <c r="G2418" i="12"/>
  <c r="G2417" i="12"/>
  <c r="G2415" i="12"/>
  <c r="G2414" i="12" s="1"/>
  <c r="G2407" i="12"/>
  <c r="G2406" i="12"/>
  <c r="G2405" i="12"/>
  <c r="G2404" i="12"/>
  <c r="G2403" i="12" s="1"/>
  <c r="G2401" i="12"/>
  <c r="G2400" i="12"/>
  <c r="G2399" i="12"/>
  <c r="G2398" i="12" s="1"/>
  <c r="G2396" i="12"/>
  <c r="G2395" i="12"/>
  <c r="G2393" i="12"/>
  <c r="G2392" i="12" s="1"/>
  <c r="G2390" i="12"/>
  <c r="G2389" i="12"/>
  <c r="G2387" i="12"/>
  <c r="G2386" i="12" s="1"/>
  <c r="G2384" i="12"/>
  <c r="G2383" i="12" s="1"/>
  <c r="G2376" i="12"/>
  <c r="G2375" i="12"/>
  <c r="G2373" i="12"/>
  <c r="G2372" i="12" s="1"/>
  <c r="G2370" i="12"/>
  <c r="G2369" i="12"/>
  <c r="G2362" i="12"/>
  <c r="G2361" i="12"/>
  <c r="G2360" i="12"/>
  <c r="G2359" i="12"/>
  <c r="G2358" i="12" s="1"/>
  <c r="G2356" i="12"/>
  <c r="G2355" i="12"/>
  <c r="G2354" i="12"/>
  <c r="G2352" i="12"/>
  <c r="G2351" i="12"/>
  <c r="G2350" i="12" s="1"/>
  <c r="G2348" i="12"/>
  <c r="G2347" i="12"/>
  <c r="G2345" i="12"/>
  <c r="G2344" i="12"/>
  <c r="G2343" i="12"/>
  <c r="G2342" i="12"/>
  <c r="G2340" i="12"/>
  <c r="G2339" i="12" s="1"/>
  <c r="G2337" i="12"/>
  <c r="G2336" i="12" s="1"/>
  <c r="G2334" i="12"/>
  <c r="G2333" i="12" s="1"/>
  <c r="G2331" i="12"/>
  <c r="G2330" i="12"/>
  <c r="G2329" i="12"/>
  <c r="G2328" i="12"/>
  <c r="G2327" i="12"/>
  <c r="G2326" i="12"/>
  <c r="G2324" i="12" s="1"/>
  <c r="G2318" i="12"/>
  <c r="G2317" i="12"/>
  <c r="G2315" i="12"/>
  <c r="G2314" i="12" s="1"/>
  <c r="G2307" i="12"/>
  <c r="G2306" i="12"/>
  <c r="G2305" i="12"/>
  <c r="G2303" i="12"/>
  <c r="G2302" i="12" s="1"/>
  <c r="G2300" i="12"/>
  <c r="G2299" i="12" s="1"/>
  <c r="G2297" i="12"/>
  <c r="G2296" i="12" s="1"/>
  <c r="G2294" i="12"/>
  <c r="G2293" i="12"/>
  <c r="G2291" i="12"/>
  <c r="G2290" i="12" s="1"/>
  <c r="G2283" i="12"/>
  <c r="G2282" i="12" s="1"/>
  <c r="G2280" i="12"/>
  <c r="G2279" i="12" s="1"/>
  <c r="G2277" i="12"/>
  <c r="G2276" i="12"/>
  <c r="G2275" i="12" s="1"/>
  <c r="G2273" i="12"/>
  <c r="G2272" i="12"/>
  <c r="G2271" i="12"/>
  <c r="G2270" i="12" s="1"/>
  <c r="G2268" i="12"/>
  <c r="G2267" i="12"/>
  <c r="G2266" i="12"/>
  <c r="G2265" i="12" s="1"/>
  <c r="G2263" i="12"/>
  <c r="G2260" i="12"/>
  <c r="G2258" i="12"/>
  <c r="G2255" i="12" s="1"/>
  <c r="G2257" i="12"/>
  <c r="G2253" i="12"/>
  <c r="G2252" i="12"/>
  <c r="G2250" i="12" s="1"/>
  <c r="G2251" i="12"/>
  <c r="G2248" i="12"/>
  <c r="G2247" i="12"/>
  <c r="G2245" i="12"/>
  <c r="G2244" i="12"/>
  <c r="G2243" i="12"/>
  <c r="G2242" i="12"/>
  <c r="G2235" i="12"/>
  <c r="G2234" i="12"/>
  <c r="G2233" i="12"/>
  <c r="G2231" i="12"/>
  <c r="G2229" i="12" s="1"/>
  <c r="G2230" i="12"/>
  <c r="G2227" i="12"/>
  <c r="G2226" i="12"/>
  <c r="G2225" i="12"/>
  <c r="G2224" i="12"/>
  <c r="G2223" i="12" s="1"/>
  <c r="G2221" i="12"/>
  <c r="G2220" i="12"/>
  <c r="G2219" i="12"/>
  <c r="G2218" i="12" s="1"/>
  <c r="G2216" i="12"/>
  <c r="G2215" i="12" s="1"/>
  <c r="G2213" i="12"/>
  <c r="G2212" i="12" s="1"/>
  <c r="G2210" i="12"/>
  <c r="G2209" i="12" s="1"/>
  <c r="G2207" i="12"/>
  <c r="G2206" i="12" s="1"/>
  <c r="G2204" i="12"/>
  <c r="G2203" i="12" s="1"/>
  <c r="G2201" i="12"/>
  <c r="G2200" i="12" s="1"/>
  <c r="G2198" i="12"/>
  <c r="G2197" i="12"/>
  <c r="G2196" i="12"/>
  <c r="G2195" i="12"/>
  <c r="G2194" i="12" s="1"/>
  <c r="G2192" i="12"/>
  <c r="G2191" i="12"/>
  <c r="G2190" i="12" s="1"/>
  <c r="G2183" i="12"/>
  <c r="G2182" i="12" s="1"/>
  <c r="G2180" i="12"/>
  <c r="G2179" i="12" s="1"/>
  <c r="G2177" i="12"/>
  <c r="G2176" i="12" s="1"/>
  <c r="G2174" i="12"/>
  <c r="G2173" i="12" s="1"/>
  <c r="G2166" i="12"/>
  <c r="G2165" i="12" s="1"/>
  <c r="G2163" i="12"/>
  <c r="G2162" i="12"/>
  <c r="G2160" i="12"/>
  <c r="G2159" i="12"/>
  <c r="G2158" i="12"/>
  <c r="G2157" i="12" s="1"/>
  <c r="G2149" i="12"/>
  <c r="G2148" i="12" s="1"/>
  <c r="G2146" i="12"/>
  <c r="G2145" i="12"/>
  <c r="G2144" i="12"/>
  <c r="G2143" i="12" s="1"/>
  <c r="G2141" i="12"/>
  <c r="G2140" i="12"/>
  <c r="G2139" i="12"/>
  <c r="G2137" i="12"/>
  <c r="G2136" i="12" s="1"/>
  <c r="G2134" i="12"/>
  <c r="G2133" i="12"/>
  <c r="G2131" i="12" s="1"/>
  <c r="G2129" i="12"/>
  <c r="G2128" i="12"/>
  <c r="G2127" i="12"/>
  <c r="G2126" i="12" s="1"/>
  <c r="G2124" i="12"/>
  <c r="G2123" i="12"/>
  <c r="G2122" i="12"/>
  <c r="G2114" i="12"/>
  <c r="G2113" i="12"/>
  <c r="G2112" i="12" s="1"/>
  <c r="G2110" i="12"/>
  <c r="G2109" i="12" s="1"/>
  <c r="G2107" i="12"/>
  <c r="G2106" i="12" s="1"/>
  <c r="G2104" i="12"/>
  <c r="G2103" i="12" s="1"/>
  <c r="G2095" i="12"/>
  <c r="G2094" i="12"/>
  <c r="G2093" i="12"/>
  <c r="G2092" i="12" s="1"/>
  <c r="G2090" i="12"/>
  <c r="G2089" i="12"/>
  <c r="G2088" i="12"/>
  <c r="G2087" i="12" s="1"/>
  <c r="G2085" i="12"/>
  <c r="G2084" i="12"/>
  <c r="G2083" i="12"/>
  <c r="G2082" i="12" s="1"/>
  <c r="G2080" i="12"/>
  <c r="G2079" i="12"/>
  <c r="G2078" i="12"/>
  <c r="G2077" i="12" s="1"/>
  <c r="G2075" i="12"/>
  <c r="G2074" i="12"/>
  <c r="G2073" i="12"/>
  <c r="G2072" i="12" s="1"/>
  <c r="G2070" i="12"/>
  <c r="G2069" i="12"/>
  <c r="G2068" i="12"/>
  <c r="G2067" i="12" s="1"/>
  <c r="G2065" i="12"/>
  <c r="G2064" i="12"/>
  <c r="G2063" i="12"/>
  <c r="G2062" i="12" s="1"/>
  <c r="G2060" i="12"/>
  <c r="G2059" i="12"/>
  <c r="G2058" i="12"/>
  <c r="G2057" i="12" s="1"/>
  <c r="G2055" i="12"/>
  <c r="G2054" i="12" s="1"/>
  <c r="G2052" i="12"/>
  <c r="G2051" i="12"/>
  <c r="G2050" i="12"/>
  <c r="G2048" i="12"/>
  <c r="G2047" i="12" s="1"/>
  <c r="G2045" i="12"/>
  <c r="G2044" i="12"/>
  <c r="G2043" i="12" s="1"/>
  <c r="G2036" i="12"/>
  <c r="G2035" i="12" s="1"/>
  <c r="G2033" i="12"/>
  <c r="G2032" i="12" s="1"/>
  <c r="G2030" i="12"/>
  <c r="G2029" i="12" s="1"/>
  <c r="G2027" i="12"/>
  <c r="G2026" i="12" s="1"/>
  <c r="G2024" i="12"/>
  <c r="G2023" i="12" s="1"/>
  <c r="G2021" i="12"/>
  <c r="G2020" i="12" s="1"/>
  <c r="G2013" i="12"/>
  <c r="G2012" i="12" s="1"/>
  <c r="G2010" i="12"/>
  <c r="G2009" i="12"/>
  <c r="G2008" i="12" s="1"/>
  <c r="G2006" i="12"/>
  <c r="G2005" i="12"/>
  <c r="G2003" i="12"/>
  <c r="G2002" i="12"/>
  <c r="G2001" i="12"/>
  <c r="G2000" i="12"/>
  <c r="G1998" i="12"/>
  <c r="G1997" i="12"/>
  <c r="G1996" i="12"/>
  <c r="G1995" i="12"/>
  <c r="G1988" i="12"/>
  <c r="G1985" i="12" s="1"/>
  <c r="G1987" i="12"/>
  <c r="G1986" i="12"/>
  <c r="G1983" i="12"/>
  <c r="G1980" i="12" s="1"/>
  <c r="G1982" i="12"/>
  <c r="G1981" i="12"/>
  <c r="G1978" i="12"/>
  <c r="G1977" i="12"/>
  <c r="G1976" i="12"/>
  <c r="G1975" i="12"/>
  <c r="G1973" i="12"/>
  <c r="G1970" i="12" s="1"/>
  <c r="G1972" i="12"/>
  <c r="G1971" i="12"/>
  <c r="G1963" i="12"/>
  <c r="G1962" i="12"/>
  <c r="G1960" i="12" s="1"/>
  <c r="G1958" i="12"/>
  <c r="G1956" i="12"/>
  <c r="G1954" i="12"/>
  <c r="G1952" i="12" s="1"/>
  <c r="G1950" i="12"/>
  <c r="G1948" i="12"/>
  <c r="G1946" i="12"/>
  <c r="G1944" i="12" s="1"/>
  <c r="G1942" i="12"/>
  <c r="G1940" i="12"/>
  <c r="G1938" i="12"/>
  <c r="G1936" i="12" s="1"/>
  <c r="G1934" i="12"/>
  <c r="G1932" i="12"/>
  <c r="G1930" i="12"/>
  <c r="G1929" i="12"/>
  <c r="G1927" i="12"/>
  <c r="G1925" i="12"/>
  <c r="G1924" i="12"/>
  <c r="G1922" i="12" s="1"/>
  <c r="G1920" i="12"/>
  <c r="G1919" i="12"/>
  <c r="G1918" i="12"/>
  <c r="G1917" i="12"/>
  <c r="G1915" i="12"/>
  <c r="G1913" i="12"/>
  <c r="G1909" i="12" s="1"/>
  <c r="G1912" i="12"/>
  <c r="G1911" i="12"/>
  <c r="G1907" i="12"/>
  <c r="G1906" i="12"/>
  <c r="G1904" i="12" s="1"/>
  <c r="G1902" i="12"/>
  <c r="G1901" i="12"/>
  <c r="G1900" i="12"/>
  <c r="G1899" i="12"/>
  <c r="G1897" i="12"/>
  <c r="G1895" i="12"/>
  <c r="G1894" i="12"/>
  <c r="G1893" i="12"/>
  <c r="G1892" i="12"/>
  <c r="G1890" i="12"/>
  <c r="G1888" i="12"/>
  <c r="G1887" i="12"/>
  <c r="G1886" i="12"/>
  <c r="G1885" i="12"/>
  <c r="G1883" i="12" s="1"/>
  <c r="G1881" i="12"/>
  <c r="G1880" i="12"/>
  <c r="G1879" i="12"/>
  <c r="G1878" i="12"/>
  <c r="G1876" i="12" s="1"/>
  <c r="G1869" i="12"/>
  <c r="G1868" i="12"/>
  <c r="G1867" i="12"/>
  <c r="G1866" i="12" s="1"/>
  <c r="G1864" i="12"/>
  <c r="G1863" i="12"/>
  <c r="G1861" i="12"/>
  <c r="G1860" i="12"/>
  <c r="G1859" i="12"/>
  <c r="G1858" i="12"/>
  <c r="G1857" i="12" s="1"/>
  <c r="G1855" i="12"/>
  <c r="G1854" i="12"/>
  <c r="G1853" i="12"/>
  <c r="G1852" i="12" s="1"/>
  <c r="G1850" i="12"/>
  <c r="G1849" i="12"/>
  <c r="G1848" i="12"/>
  <c r="G1847" i="12"/>
  <c r="G1840" i="12"/>
  <c r="G1839" i="12" s="1"/>
  <c r="G1837" i="12"/>
  <c r="G1836" i="12"/>
  <c r="G1835" i="12"/>
  <c r="G1834" i="12"/>
  <c r="G1833" i="12" s="1"/>
  <c r="G1831" i="12"/>
  <c r="G1830" i="12"/>
  <c r="G1829" i="12"/>
  <c r="G1828" i="12"/>
  <c r="G1827" i="12" s="1"/>
  <c r="G1825" i="12"/>
  <c r="G1824" i="12"/>
  <c r="G1823" i="12"/>
  <c r="G1822" i="12" s="1"/>
  <c r="G1820" i="12"/>
  <c r="G1819" i="12"/>
  <c r="G1818" i="12"/>
  <c r="G1817" i="12" s="1"/>
  <c r="G1815" i="12"/>
  <c r="G1814" i="12"/>
  <c r="G1813" i="12"/>
  <c r="G1812" i="12" s="1"/>
  <c r="G1810" i="12"/>
  <c r="G1809" i="12"/>
  <c r="G1808" i="12"/>
  <c r="G1807" i="12" s="1"/>
  <c r="G1805" i="12"/>
  <c r="G1804" i="12"/>
  <c r="G1803" i="12"/>
  <c r="G1802" i="12" s="1"/>
  <c r="G1800" i="12"/>
  <c r="G1799" i="12"/>
  <c r="G1797" i="12"/>
  <c r="G1796" i="12"/>
  <c r="G1795" i="12"/>
  <c r="G1794" i="12"/>
  <c r="G1793" i="12"/>
  <c r="G1791" i="12"/>
  <c r="G1790" i="12" s="1"/>
  <c r="G1783" i="12"/>
  <c r="G1781" i="12"/>
  <c r="G1775" i="12"/>
  <c r="G1774" i="12"/>
  <c r="G1772" i="12"/>
  <c r="G1770" i="12"/>
  <c r="G1769" i="12"/>
  <c r="G1768" i="12"/>
  <c r="G1767" i="12"/>
  <c r="G1766" i="12"/>
  <c r="G1765" i="12"/>
  <c r="G1764" i="12"/>
  <c r="G1763" i="12"/>
  <c r="G1762" i="12"/>
  <c r="G1761" i="12"/>
  <c r="G1760" i="12"/>
  <c r="G1759" i="12"/>
  <c r="G1758" i="12"/>
  <c r="G1757" i="12"/>
  <c r="G1756" i="12"/>
  <c r="G1755" i="12"/>
  <c r="G1754" i="12"/>
  <c r="G1752" i="12"/>
  <c r="G1750" i="12" s="1"/>
  <c r="G1748" i="12"/>
  <c r="G1747" i="12"/>
  <c r="G1746" i="12" s="1"/>
  <c r="G1744" i="12"/>
  <c r="G1743" i="12"/>
  <c r="G1742" i="12"/>
  <c r="G1741" i="12"/>
  <c r="G1740" i="12"/>
  <c r="G1739" i="12"/>
  <c r="G1738" i="12"/>
  <c r="G1737" i="12"/>
  <c r="G1736" i="12"/>
  <c r="G1735" i="12"/>
  <c r="G1733" i="12"/>
  <c r="G1731" i="12"/>
  <c r="G1730" i="12"/>
  <c r="G1729" i="12"/>
  <c r="G1728" i="12"/>
  <c r="G1727" i="12"/>
  <c r="G1726" i="12"/>
  <c r="G1725" i="12"/>
  <c r="G1724" i="12"/>
  <c r="G1723" i="12"/>
  <c r="G1721" i="12" s="1"/>
  <c r="G1719" i="12"/>
  <c r="G1718" i="12"/>
  <c r="G1717" i="12"/>
  <c r="G1716" i="12"/>
  <c r="G1715" i="12"/>
  <c r="G1713" i="12"/>
  <c r="G1711" i="12"/>
  <c r="G1710" i="12"/>
  <c r="G1709" i="12"/>
  <c r="G1708" i="12"/>
  <c r="G1707" i="12"/>
  <c r="G1705" i="12" s="1"/>
  <c r="G1703" i="12"/>
  <c r="G1702" i="12"/>
  <c r="G1701" i="12"/>
  <c r="G1700" i="12"/>
  <c r="G1699" i="12"/>
  <c r="G1697" i="12"/>
  <c r="G1695" i="12"/>
  <c r="G1694" i="12"/>
  <c r="G1693" i="12"/>
  <c r="G1692" i="12"/>
  <c r="G1691" i="12"/>
  <c r="G1690" i="12"/>
  <c r="G1688" i="12" s="1"/>
  <c r="G1682" i="12"/>
  <c r="G1681" i="12"/>
  <c r="G1679" i="12"/>
  <c r="G1677" i="12"/>
  <c r="G1676" i="12"/>
  <c r="G1675" i="12"/>
  <c r="G1674" i="12"/>
  <c r="G1673" i="12"/>
  <c r="G1671" i="12" s="1"/>
  <c r="G1669" i="12"/>
  <c r="G1666" i="12"/>
  <c r="G1664" i="12"/>
  <c r="G1663" i="12"/>
  <c r="G1661" i="12" s="1"/>
  <c r="G1659" i="12"/>
  <c r="G1656" i="12" s="1"/>
  <c r="G1654" i="12"/>
  <c r="G1653" i="12"/>
  <c r="G1652" i="12"/>
  <c r="G1650" i="12"/>
  <c r="G1648" i="12"/>
  <c r="G1647" i="12"/>
  <c r="G1645" i="12"/>
  <c r="G1642" i="12"/>
  <c r="G1640" i="12"/>
  <c r="G1638" i="12"/>
  <c r="G1635" i="12" s="1"/>
  <c r="G1633" i="12"/>
  <c r="G1631" i="12"/>
  <c r="G1628" i="12" s="1"/>
  <c r="G1626" i="12"/>
  <c r="G1623" i="12"/>
  <c r="G1621" i="12"/>
  <c r="G1620" i="12"/>
  <c r="G1618" i="12" s="1"/>
  <c r="G1616" i="12"/>
  <c r="G1613" i="12"/>
  <c r="G1611" i="12"/>
  <c r="G1610" i="12"/>
  <c r="G1609" i="12"/>
  <c r="G1606" i="12"/>
  <c r="G1604" i="12"/>
  <c r="G1603" i="12"/>
  <c r="G1602" i="12"/>
  <c r="G1600" i="12" s="1"/>
  <c r="G1598" i="12"/>
  <c r="G1597" i="12"/>
  <c r="G1596" i="12"/>
  <c r="G1594" i="12" s="1"/>
  <c r="G1592" i="12"/>
  <c r="G1591" i="12"/>
  <c r="G1590" i="12"/>
  <c r="G1588" i="12" s="1"/>
  <c r="G1586" i="12"/>
  <c r="G1585" i="12"/>
  <c r="G1584" i="12"/>
  <c r="G1582" i="12" s="1"/>
  <c r="G1580" i="12"/>
  <c r="G1579" i="12"/>
  <c r="G1578" i="12"/>
  <c r="G1577" i="12"/>
  <c r="G1576" i="12"/>
  <c r="G1574" i="12" s="1"/>
  <c r="G1568" i="12"/>
  <c r="G1567" i="12"/>
  <c r="G1565" i="12"/>
  <c r="G1563" i="12"/>
  <c r="G1561" i="12"/>
  <c r="G1559" i="12"/>
  <c r="G1557" i="12"/>
  <c r="G1555" i="12"/>
  <c r="G1553" i="12"/>
  <c r="G1551" i="12"/>
  <c r="G1549" i="12" s="1"/>
  <c r="G1547" i="12"/>
  <c r="G1545" i="12" s="1"/>
  <c r="G1543" i="12"/>
  <c r="G1541" i="12" s="1"/>
  <c r="G1539" i="12"/>
  <c r="G1537" i="12" s="1"/>
  <c r="G1535" i="12"/>
  <c r="G1533" i="12" s="1"/>
  <c r="G1531" i="12"/>
  <c r="G1529" i="12" s="1"/>
  <c r="G1523" i="12"/>
  <c r="G1522" i="12"/>
  <c r="G1520" i="12"/>
  <c r="G1519" i="12"/>
  <c r="G1518" i="12"/>
  <c r="G1517" i="12"/>
  <c r="G1516" i="12"/>
  <c r="G1515" i="12"/>
  <c r="G1514" i="12"/>
  <c r="G1513" i="12"/>
  <c r="G1512" i="12"/>
  <c r="G1511" i="12"/>
  <c r="G1510" i="12"/>
  <c r="G1509" i="12"/>
  <c r="G1508" i="12"/>
  <c r="G1506" i="12" s="1"/>
  <c r="G1504" i="12"/>
  <c r="G1503" i="12"/>
  <c r="G1501" i="12"/>
  <c r="G1500" i="12"/>
  <c r="G1499" i="12"/>
  <c r="G1498" i="12"/>
  <c r="G1497" i="12"/>
  <c r="G1496" i="12"/>
  <c r="G1495" i="12"/>
  <c r="G1494" i="12"/>
  <c r="G1493" i="12"/>
  <c r="G1492" i="12"/>
  <c r="G1491" i="12"/>
  <c r="G1490" i="12"/>
  <c r="G1489" i="12"/>
  <c r="G1487" i="12" s="1"/>
  <c r="G1485" i="12"/>
  <c r="G1484" i="12"/>
  <c r="G1483" i="12"/>
  <c r="G1482" i="12"/>
  <c r="G1481" i="12"/>
  <c r="G1480" i="12"/>
  <c r="G1479" i="12"/>
  <c r="G1478" i="12"/>
  <c r="G1477" i="12"/>
  <c r="G1476" i="12"/>
  <c r="G1475" i="12"/>
  <c r="G1474" i="12"/>
  <c r="G1472" i="12"/>
  <c r="G1470" i="12"/>
  <c r="G1469" i="12"/>
  <c r="G1467" i="12"/>
  <c r="G1466" i="12"/>
  <c r="G1465" i="12"/>
  <c r="G1464" i="12"/>
  <c r="G1463" i="12"/>
  <c r="G1462" i="12"/>
  <c r="G1461" i="12"/>
  <c r="G1460" i="12"/>
  <c r="G1459" i="12"/>
  <c r="G1458" i="12"/>
  <c r="G1457" i="12"/>
  <c r="G1456" i="12"/>
  <c r="G1453" i="12" s="1"/>
  <c r="G1455" i="12"/>
  <c r="G1451" i="12"/>
  <c r="G1450" i="12"/>
  <c r="G1448" i="12"/>
  <c r="G1447" i="12"/>
  <c r="G1446" i="12"/>
  <c r="G1445" i="12"/>
  <c r="G1444" i="12"/>
  <c r="G1443" i="12"/>
  <c r="G1442" i="12"/>
  <c r="G1441" i="12"/>
  <c r="G1440" i="12"/>
  <c r="G1439" i="12"/>
  <c r="G1438" i="12"/>
  <c r="G1437" i="12"/>
  <c r="G1436" i="12"/>
  <c r="G1434" i="12"/>
  <c r="G1432" i="12"/>
  <c r="G1431" i="12"/>
  <c r="G1429" i="12" s="1"/>
  <c r="G1427" i="12"/>
  <c r="G1426" i="12"/>
  <c r="G1424" i="12" s="1"/>
  <c r="G1418" i="12"/>
  <c r="G1416" i="12" s="1"/>
  <c r="G1414" i="12"/>
  <c r="G1412" i="12" s="1"/>
  <c r="G1410" i="12"/>
  <c r="G1409" i="12"/>
  <c r="G1407" i="12"/>
  <c r="G1405" i="12"/>
  <c r="G1404" i="12"/>
  <c r="G1402" i="12" s="1"/>
  <c r="G1400" i="12"/>
  <c r="G1398" i="12" s="1"/>
  <c r="G1391" i="12"/>
  <c r="G1390" i="12"/>
  <c r="G1389" i="12"/>
  <c r="G1388" i="12"/>
  <c r="G1387" i="12"/>
  <c r="G1386" i="12"/>
  <c r="G1385" i="12"/>
  <c r="G1384" i="12"/>
  <c r="G1383" i="12"/>
  <c r="G1382" i="12"/>
  <c r="G1381" i="12"/>
  <c r="G1380" i="12"/>
  <c r="G1379" i="12"/>
  <c r="G1378" i="12"/>
  <c r="G1377" i="12"/>
  <c r="G1375" i="12" s="1"/>
  <c r="G1373" i="12"/>
  <c r="G1371" i="12" s="1"/>
  <c r="G1369" i="12"/>
  <c r="G1367" i="12" s="1"/>
  <c r="G1365" i="12"/>
  <c r="G1363" i="12" s="1"/>
  <c r="G1361" i="12"/>
  <c r="G1359" i="12" s="1"/>
  <c r="G1357" i="12"/>
  <c r="G1355" i="12" s="1"/>
  <c r="G1353" i="12"/>
  <c r="G1351" i="12" s="1"/>
  <c r="G1349" i="12"/>
  <c r="G1347" i="12" s="1"/>
  <c r="G1345" i="12"/>
  <c r="G1343" i="12" s="1"/>
  <c r="G1341" i="12"/>
  <c r="G1339" i="12" s="1"/>
  <c r="G1337" i="12"/>
  <c r="G1335" i="12" s="1"/>
  <c r="G1333" i="12"/>
  <c r="G1331" i="12" s="1"/>
  <c r="G1329" i="12"/>
  <c r="G1327" i="12" s="1"/>
  <c r="G1325" i="12"/>
  <c r="G1323" i="12" s="1"/>
  <c r="G1321" i="12"/>
  <c r="G1319" i="12" s="1"/>
  <c r="G1317" i="12"/>
  <c r="G1315" i="12" s="1"/>
  <c r="G1308" i="12"/>
  <c r="G1307" i="12"/>
  <c r="G1306" i="12"/>
  <c r="G1305" i="12"/>
  <c r="G1304" i="12"/>
  <c r="G1303" i="12"/>
  <c r="G1302" i="12"/>
  <c r="G1301" i="12"/>
  <c r="G1300" i="12"/>
  <c r="G1299" i="12"/>
  <c r="G1298" i="12"/>
  <c r="G1297" i="12"/>
  <c r="G1295" i="12"/>
  <c r="G1293" i="12"/>
  <c r="G1291" i="12"/>
  <c r="G1289" i="12"/>
  <c r="G1287" i="12"/>
  <c r="G1285" i="12"/>
  <c r="G1283" i="12" s="1"/>
  <c r="G1281" i="12"/>
  <c r="G1279" i="12"/>
  <c r="G1277" i="12"/>
  <c r="G1275" i="12"/>
  <c r="G1273" i="12"/>
  <c r="G1271" i="12"/>
  <c r="G1269" i="12"/>
  <c r="G1267" i="12"/>
  <c r="G1265" i="12"/>
  <c r="G1263" i="12"/>
  <c r="G1261" i="12"/>
  <c r="G1259" i="12"/>
  <c r="G1257" i="12"/>
  <c r="G1255" i="12"/>
  <c r="G1253" i="12"/>
  <c r="G1251" i="12"/>
  <c r="G1249" i="12"/>
  <c r="G1247" i="12"/>
  <c r="G1245" i="12"/>
  <c r="G1243" i="12"/>
  <c r="G1241" i="12"/>
  <c r="G1239" i="12" s="1"/>
  <c r="G1232" i="12"/>
  <c r="G1231" i="12" s="1"/>
  <c r="G1229" i="12"/>
  <c r="G1228" i="12" s="1"/>
  <c r="G1226" i="12"/>
  <c r="G1225" i="12"/>
  <c r="G1224" i="12"/>
  <c r="G1222" i="12" s="1"/>
  <c r="G1220" i="12"/>
  <c r="G1218" i="12"/>
  <c r="G1216" i="12"/>
  <c r="G1213" i="12" s="1"/>
  <c r="G1211" i="12"/>
  <c r="G1210" i="12"/>
  <c r="G1209" i="12"/>
  <c r="G1207" i="12" s="1"/>
  <c r="G1205" i="12"/>
  <c r="G1204" i="12"/>
  <c r="G1203" i="12"/>
  <c r="G1201" i="12" s="1"/>
  <c r="G1199" i="12"/>
  <c r="G1198" i="12"/>
  <c r="G1197" i="12"/>
  <c r="G1195" i="12" s="1"/>
  <c r="G1193" i="12"/>
  <c r="G1192" i="12"/>
  <c r="G1191" i="12"/>
  <c r="G1189" i="12" s="1"/>
  <c r="G1187" i="12"/>
  <c r="G1186" i="12"/>
  <c r="G1185" i="12"/>
  <c r="G1183" i="12" s="1"/>
  <c r="G1181" i="12"/>
  <c r="G1180" i="12"/>
  <c r="G1179" i="12"/>
  <c r="G1177" i="12" s="1"/>
  <c r="G1175" i="12"/>
  <c r="G1174" i="12"/>
  <c r="G1172" i="12"/>
  <c r="G1170" i="12"/>
  <c r="G1169" i="12"/>
  <c r="G1167" i="12" s="1"/>
  <c r="G1165" i="12"/>
  <c r="G1164" i="12"/>
  <c r="G1162" i="12" s="1"/>
  <c r="G1160" i="12"/>
  <c r="G1158" i="12"/>
  <c r="G1156" i="12"/>
  <c r="G1154" i="12" s="1"/>
  <c r="G1148" i="12"/>
  <c r="G1147" i="12"/>
  <c r="G1146" i="12"/>
  <c r="G1145" i="12"/>
  <c r="G1144" i="12"/>
  <c r="G1143" i="12"/>
  <c r="G1142" i="12"/>
  <c r="G1140" i="12" s="1"/>
  <c r="G1138" i="12"/>
  <c r="G1137" i="12"/>
  <c r="G1136" i="12"/>
  <c r="G1135" i="12"/>
  <c r="G1134" i="12"/>
  <c r="G1133" i="12"/>
  <c r="G1132" i="12"/>
  <c r="G1130" i="12" s="1"/>
  <c r="G1128" i="12"/>
  <c r="G1126" i="12" s="1"/>
  <c r="G1124" i="12"/>
  <c r="G1122" i="12" s="1"/>
  <c r="G1115" i="12"/>
  <c r="G1113" i="12" s="1"/>
  <c r="G1111" i="12"/>
  <c r="G1109" i="12" s="1"/>
  <c r="G1107" i="12"/>
  <c r="G1105" i="12" s="1"/>
  <c r="G1103" i="12"/>
  <c r="G1101" i="12" s="1"/>
  <c r="G1099" i="12"/>
  <c r="G1097" i="12" s="1"/>
  <c r="G1095" i="12"/>
  <c r="G1093" i="12" s="1"/>
  <c r="G1086" i="12"/>
  <c r="G1084" i="12" s="1"/>
  <c r="G1082" i="12"/>
  <c r="G1080" i="12"/>
  <c r="G1078" i="12"/>
  <c r="G1076" i="12" s="1"/>
  <c r="G1074" i="12"/>
  <c r="G1072" i="12" s="1"/>
  <c r="G1070" i="12"/>
  <c r="G1068" i="12" s="1"/>
  <c r="G1066" i="12"/>
  <c r="G1064" i="12" s="1"/>
  <c r="G1062" i="12"/>
  <c r="G1060" i="12" s="1"/>
  <c r="G1058" i="12"/>
  <c r="G1056" i="12" s="1"/>
  <c r="G1054" i="12"/>
  <c r="G1052" i="12" s="1"/>
  <c r="G1050" i="12"/>
  <c r="G1048" i="12" s="1"/>
  <c r="G1046" i="12"/>
  <c r="G1044" i="12" s="1"/>
  <c r="G1042" i="12"/>
  <c r="G1040" i="12" s="1"/>
  <c r="G1038" i="12"/>
  <c r="G1036" i="12" s="1"/>
  <c r="G1034" i="12"/>
  <c r="G1032" i="12" s="1"/>
  <c r="G1030" i="12"/>
  <c r="G1028" i="12" s="1"/>
  <c r="G1026" i="12"/>
  <c r="G1024" i="12" s="1"/>
  <c r="G1017" i="12"/>
  <c r="G1015" i="12" s="1"/>
  <c r="G1013" i="12"/>
  <c r="G1011" i="12" s="1"/>
  <c r="G1009" i="12"/>
  <c r="G1007" i="12" s="1"/>
  <c r="G1005" i="12"/>
  <c r="G1003" i="12" s="1"/>
  <c r="G1001" i="12"/>
  <c r="G999" i="12" s="1"/>
  <c r="G992" i="12"/>
  <c r="G990" i="12" s="1"/>
  <c r="G988" i="12"/>
  <c r="G986" i="12" s="1"/>
  <c r="G984" i="12"/>
  <c r="G982" i="12" s="1"/>
  <c r="G980" i="12"/>
  <c r="G978" i="12" s="1"/>
  <c r="G976" i="12"/>
  <c r="G974" i="12" s="1"/>
  <c r="G972" i="12"/>
  <c r="G970" i="12" s="1"/>
  <c r="G968" i="12"/>
  <c r="G966" i="12" s="1"/>
  <c r="G964" i="12"/>
  <c r="G962" i="12" s="1"/>
  <c r="G960" i="12"/>
  <c r="G958" i="12" s="1"/>
  <c r="G956" i="12"/>
  <c r="G954" i="12" s="1"/>
  <c r="G947" i="12"/>
  <c r="G945" i="12" s="1"/>
  <c r="G943" i="12"/>
  <c r="G941" i="12" s="1"/>
  <c r="G939" i="12"/>
  <c r="G937" i="12" s="1"/>
  <c r="G935" i="12"/>
  <c r="G933" i="12" s="1"/>
  <c r="G931" i="12"/>
  <c r="G929" i="12" s="1"/>
  <c r="G927" i="12"/>
  <c r="G925" i="12" s="1"/>
  <c r="G923" i="12"/>
  <c r="G921" i="12" s="1"/>
  <c r="G919" i="12"/>
  <c r="G917" i="12" s="1"/>
  <c r="G915" i="12"/>
  <c r="G913" i="12" s="1"/>
  <c r="G911" i="12"/>
  <c r="G909" i="12" s="1"/>
  <c r="G907" i="12"/>
  <c r="G905" i="12" s="1"/>
  <c r="G903" i="12"/>
  <c r="G901" i="12" s="1"/>
  <c r="G899" i="12"/>
  <c r="G897" i="12" s="1"/>
  <c r="G895" i="12"/>
  <c r="G893" i="12" s="1"/>
  <c r="G891" i="12"/>
  <c r="G889" i="12" s="1"/>
  <c r="G887" i="12"/>
  <c r="G885" i="12" s="1"/>
  <c r="G883" i="12"/>
  <c r="G881" i="12" s="1"/>
  <c r="G879" i="12"/>
  <c r="G877" i="12" s="1"/>
  <c r="G875" i="12"/>
  <c r="G873" i="12" s="1"/>
  <c r="G871" i="12"/>
  <c r="G869" i="12" s="1"/>
  <c r="G867" i="12"/>
  <c r="G865" i="12" s="1"/>
  <c r="G863" i="12"/>
  <c r="G861" i="12" s="1"/>
  <c r="G859" i="12"/>
  <c r="G857" i="12" s="1"/>
  <c r="G855" i="12"/>
  <c r="G853" i="12" s="1"/>
  <c r="G851" i="12"/>
  <c r="G849" i="12" s="1"/>
  <c r="G847" i="12"/>
  <c r="G845" i="12" s="1"/>
  <c r="G843" i="12"/>
  <c r="G841" i="12" s="1"/>
  <c r="G839" i="12"/>
  <c r="G837" i="12" s="1"/>
  <c r="G835" i="12"/>
  <c r="G833" i="12" s="1"/>
  <c r="G831" i="12"/>
  <c r="G829" i="12" s="1"/>
  <c r="G827" i="12"/>
  <c r="G825" i="12" s="1"/>
  <c r="G823" i="12"/>
  <c r="G821" i="12" s="1"/>
  <c r="G819" i="12"/>
  <c r="G817" i="12" s="1"/>
  <c r="G815" i="12"/>
  <c r="G813" i="12" s="1"/>
  <c r="G811" i="12"/>
  <c r="G809" i="12" s="1"/>
  <c r="G807" i="12"/>
  <c r="G805" i="12" s="1"/>
  <c r="G803" i="12"/>
  <c r="G801" i="12" s="1"/>
  <c r="G799" i="12"/>
  <c r="G797" i="12" s="1"/>
  <c r="G795" i="12"/>
  <c r="G793" i="12" s="1"/>
  <c r="G791" i="12"/>
  <c r="G789" i="12" s="1"/>
  <c r="G787" i="12"/>
  <c r="G785" i="12" s="1"/>
  <c r="G783" i="12"/>
  <c r="G781" i="12" s="1"/>
  <c r="G779" i="12"/>
  <c r="G777" i="12" s="1"/>
  <c r="G775" i="12"/>
  <c r="G773" i="12" s="1"/>
  <c r="G771" i="12"/>
  <c r="G769" i="12" s="1"/>
  <c r="G767" i="12"/>
  <c r="G765" i="12" s="1"/>
  <c r="G763" i="12"/>
  <c r="G761" i="12" s="1"/>
  <c r="G754" i="12"/>
  <c r="G752" i="12" s="1"/>
  <c r="G750" i="12"/>
  <c r="G748" i="12" s="1"/>
  <c r="G746" i="12"/>
  <c r="G744" i="12" s="1"/>
  <c r="G742" i="12"/>
  <c r="G740" i="12" s="1"/>
  <c r="G738" i="12"/>
  <c r="G736" i="12" s="1"/>
  <c r="G734" i="12"/>
  <c r="G732" i="12" s="1"/>
  <c r="G730" i="12"/>
  <c r="G728" i="12" s="1"/>
  <c r="G726" i="12"/>
  <c r="G724" i="12" s="1"/>
  <c r="G722" i="12"/>
  <c r="G720" i="12" s="1"/>
  <c r="G718" i="12"/>
  <c r="G716" i="12" s="1"/>
  <c r="G714" i="12"/>
  <c r="G712" i="12" s="1"/>
  <c r="G710" i="12"/>
  <c r="G708" i="12" s="1"/>
  <c r="G706" i="12"/>
  <c r="G704" i="12" s="1"/>
  <c r="G702" i="12"/>
  <c r="G700" i="12" s="1"/>
  <c r="G698" i="12"/>
  <c r="G696" i="12" s="1"/>
  <c r="G694" i="12"/>
  <c r="G692" i="12" s="1"/>
  <c r="G690" i="12"/>
  <c r="G688" i="12" s="1"/>
  <c r="G686" i="12"/>
  <c r="G684" i="12" s="1"/>
  <c r="G682" i="12"/>
  <c r="G680" i="12" s="1"/>
  <c r="G678" i="12"/>
  <c r="G676" i="12" s="1"/>
  <c r="G669" i="12"/>
  <c r="G667" i="12"/>
  <c r="G666" i="12"/>
  <c r="G665" i="12"/>
  <c r="G664" i="12"/>
  <c r="G663" i="12"/>
  <c r="G662" i="12"/>
  <c r="G661" i="12"/>
  <c r="G660" i="12"/>
  <c r="G659" i="12"/>
  <c r="G658" i="12"/>
  <c r="G656" i="12"/>
  <c r="G655" i="12"/>
  <c r="G653" i="12"/>
  <c r="G652" i="12"/>
  <c r="G651" i="12"/>
  <c r="G650" i="12"/>
  <c r="G649" i="12"/>
  <c r="G646" i="12" s="1"/>
  <c r="G644" i="12"/>
  <c r="G642" i="12"/>
  <c r="G641" i="12"/>
  <c r="G640" i="12"/>
  <c r="G639" i="12"/>
  <c r="G638" i="12"/>
  <c r="G637" i="12"/>
  <c r="G636" i="12"/>
  <c r="G635" i="12"/>
  <c r="G633" i="12"/>
  <c r="G631" i="12"/>
  <c r="G630" i="12"/>
  <c r="G628" i="12"/>
  <c r="G627" i="12"/>
  <c r="G626" i="12"/>
  <c r="G625" i="12"/>
  <c r="G624" i="12"/>
  <c r="G621" i="12"/>
  <c r="G619" i="12"/>
  <c r="G617" i="12"/>
  <c r="G616" i="12"/>
  <c r="G614" i="12"/>
  <c r="G613" i="12"/>
  <c r="G612" i="12"/>
  <c r="G611" i="12"/>
  <c r="G610" i="12"/>
  <c r="G608" i="12" s="1"/>
  <c r="G606" i="12"/>
  <c r="G604" i="12"/>
  <c r="G603" i="12"/>
  <c r="G601" i="12"/>
  <c r="G600" i="12"/>
  <c r="G599" i="12"/>
  <c r="G598" i="12"/>
  <c r="G595" i="12" s="1"/>
  <c r="G597" i="12"/>
  <c r="G593" i="12"/>
  <c r="G591" i="12"/>
  <c r="G590" i="12"/>
  <c r="G588" i="12"/>
  <c r="G587" i="12"/>
  <c r="G586" i="12"/>
  <c r="G585" i="12"/>
  <c r="G584" i="12"/>
  <c r="G582" i="12" s="1"/>
  <c r="G576" i="12"/>
  <c r="G574" i="12"/>
  <c r="G573" i="12"/>
  <c r="G571" i="12"/>
  <c r="G569" i="12"/>
  <c r="G566" i="12" s="1"/>
  <c r="G564" i="12"/>
  <c r="G563" i="12" s="1"/>
  <c r="G556" i="12"/>
  <c r="G552" i="12" s="1"/>
  <c r="G555" i="12"/>
  <c r="G545" i="12"/>
  <c r="G543" i="12"/>
  <c r="G538" i="12" s="1"/>
  <c r="G541" i="12"/>
  <c r="G536" i="12"/>
  <c r="G535" i="12"/>
  <c r="G531" i="12" s="1"/>
  <c r="G534" i="12"/>
  <c r="G524" i="12"/>
  <c r="G523" i="12"/>
  <c r="G521" i="12"/>
  <c r="G519" i="12"/>
  <c r="G517" i="12"/>
  <c r="G515" i="12"/>
  <c r="G514" i="12"/>
  <c r="G513" i="12"/>
  <c r="G511" i="12"/>
  <c r="G508" i="12"/>
  <c r="G506" i="12"/>
  <c r="G504" i="12"/>
  <c r="G503" i="12"/>
  <c r="G502" i="12"/>
  <c r="G500" i="12"/>
  <c r="G497" i="12" s="1"/>
  <c r="G490" i="12"/>
  <c r="G488" i="12"/>
  <c r="G486" i="12"/>
  <c r="G484" i="12" s="1"/>
  <c r="G482" i="12"/>
  <c r="G480" i="12"/>
  <c r="G477" i="12" s="1"/>
  <c r="G475" i="12"/>
  <c r="G472" i="12"/>
  <c r="G470" i="12"/>
  <c r="G468" i="12"/>
  <c r="G467" i="12"/>
  <c r="G465" i="12"/>
  <c r="G463" i="12"/>
  <c r="G460" i="12" s="1"/>
  <c r="G458" i="12"/>
  <c r="G457" i="12"/>
  <c r="G454" i="12"/>
  <c r="G452" i="12"/>
  <c r="G449" i="12"/>
  <c r="G447" i="12"/>
  <c r="G444" i="12"/>
  <c r="G442" i="12"/>
  <c r="G441" i="12"/>
  <c r="G438" i="12" s="1"/>
  <c r="G431" i="12"/>
  <c r="G429" i="12" s="1"/>
  <c r="G427" i="12"/>
  <c r="G424" i="12" s="1"/>
  <c r="G422" i="12"/>
  <c r="G420" i="12"/>
  <c r="G417" i="12" s="1"/>
  <c r="G410" i="12"/>
  <c r="G407" i="12"/>
  <c r="G405" i="12"/>
  <c r="G404" i="12"/>
  <c r="G401" i="12"/>
  <c r="G399" i="12"/>
  <c r="G396" i="12" s="1"/>
  <c r="G389" i="12"/>
  <c r="G388" i="12"/>
  <c r="G385" i="12"/>
  <c r="G383" i="12"/>
  <c r="G381" i="12"/>
  <c r="G378" i="12"/>
  <c r="G375" i="12"/>
  <c r="G373" i="12"/>
  <c r="G370" i="12"/>
  <c r="G368" i="12"/>
  <c r="G366" i="12"/>
  <c r="G363" i="12"/>
  <c r="G360" i="12" s="1"/>
  <c r="G358" i="12"/>
  <c r="G355" i="12"/>
  <c r="G353" i="12"/>
  <c r="G351" i="12"/>
  <c r="G348" i="12"/>
  <c r="G345" i="12"/>
  <c r="G338" i="12"/>
  <c r="G335" i="12"/>
  <c r="G328" i="12"/>
  <c r="G327" i="12"/>
  <c r="G326" i="12"/>
  <c r="G325" i="12"/>
  <c r="G324" i="12"/>
  <c r="G323" i="12"/>
  <c r="G322" i="12"/>
  <c r="G321" i="12"/>
  <c r="G320" i="12"/>
  <c r="G318" i="12"/>
  <c r="G317" i="12"/>
  <c r="G316" i="12"/>
  <c r="G315" i="12"/>
  <c r="G314" i="12"/>
  <c r="G312" i="12"/>
  <c r="G311" i="12"/>
  <c r="G310" i="12"/>
  <c r="G309" i="12"/>
  <c r="G307" i="12"/>
  <c r="G305" i="12"/>
  <c r="G304" i="12"/>
  <c r="G303" i="12"/>
  <c r="G300" i="12" s="1"/>
  <c r="G298" i="12"/>
  <c r="G297" i="12"/>
  <c r="G296" i="12"/>
  <c r="G295" i="12"/>
  <c r="G294" i="12"/>
  <c r="G293" i="12"/>
  <c r="G292" i="12"/>
  <c r="G291" i="12"/>
  <c r="G290" i="12"/>
  <c r="G289" i="12"/>
  <c r="G287" i="12"/>
  <c r="G286" i="12"/>
  <c r="G285" i="12"/>
  <c r="G284" i="12"/>
  <c r="G283" i="12"/>
  <c r="G281" i="12"/>
  <c r="G280" i="12"/>
  <c r="G279" i="12"/>
  <c r="G278" i="12"/>
  <c r="G276" i="12"/>
  <c r="G274" i="12"/>
  <c r="G273" i="12"/>
  <c r="G272" i="12"/>
  <c r="G269" i="12" s="1"/>
  <c r="G267" i="12"/>
  <c r="G263" i="12"/>
  <c r="G259" i="12"/>
  <c r="G257" i="12"/>
  <c r="G255" i="12"/>
  <c r="G254" i="12"/>
  <c r="G253" i="12"/>
  <c r="G252" i="12"/>
  <c r="G250" i="12"/>
  <c r="G249" i="12"/>
  <c r="G248" i="12"/>
  <c r="G247" i="12"/>
  <c r="G246" i="12"/>
  <c r="G242" i="12"/>
  <c r="G240" i="12"/>
  <c r="G238" i="12"/>
  <c r="G237" i="12"/>
  <c r="G235" i="12"/>
  <c r="G234" i="12"/>
  <c r="G233" i="12"/>
  <c r="G232" i="12"/>
  <c r="G231" i="12"/>
  <c r="G227" i="12"/>
  <c r="G225" i="12"/>
  <c r="G223" i="12"/>
  <c r="G221" i="12"/>
  <c r="G220" i="12"/>
  <c r="G218" i="12"/>
  <c r="G217" i="12"/>
  <c r="G216" i="12"/>
  <c r="G215" i="12"/>
  <c r="G214" i="12"/>
  <c r="G213" i="12"/>
  <c r="G211" i="12"/>
  <c r="G208" i="12"/>
  <c r="G206" i="12"/>
  <c r="G205" i="12"/>
  <c r="G204" i="12"/>
  <c r="G203" i="12"/>
  <c r="G201" i="12" s="1"/>
  <c r="G199" i="12"/>
  <c r="G198" i="12"/>
  <c r="G197" i="12"/>
  <c r="G194" i="12" s="1"/>
  <c r="G196" i="12"/>
  <c r="G188" i="12"/>
  <c r="G187" i="12"/>
  <c r="G185" i="12" s="1"/>
  <c r="G183" i="12"/>
  <c r="G182" i="12"/>
  <c r="G181" i="12"/>
  <c r="G180" i="12"/>
  <c r="G179" i="12"/>
  <c r="G177" i="12"/>
  <c r="G176" i="12"/>
  <c r="G175" i="12"/>
  <c r="G174" i="12"/>
  <c r="G173" i="12"/>
  <c r="G172" i="12"/>
  <c r="G171" i="12"/>
  <c r="G170" i="12"/>
  <c r="G169" i="12"/>
  <c r="G167" i="12"/>
  <c r="G165" i="12"/>
  <c r="G164" i="12"/>
  <c r="G163" i="12"/>
  <c r="G162" i="12"/>
  <c r="G161" i="12"/>
  <c r="G160" i="12"/>
  <c r="G159" i="12"/>
  <c r="G158" i="12"/>
  <c r="G157" i="12"/>
  <c r="G156" i="12"/>
  <c r="G154" i="12" s="1"/>
  <c r="G152" i="12"/>
  <c r="G150" i="12" s="1"/>
  <c r="G148" i="12"/>
  <c r="G146" i="12" s="1"/>
  <c r="G144" i="12"/>
  <c r="G143" i="12"/>
  <c r="G142" i="12"/>
  <c r="G141" i="12"/>
  <c r="G140" i="12"/>
  <c r="G139" i="12"/>
  <c r="G138" i="12"/>
  <c r="G137" i="12"/>
  <c r="G136" i="12"/>
  <c r="G135" i="12"/>
  <c r="G134" i="12"/>
  <c r="G132" i="12" s="1"/>
  <c r="G130" i="12"/>
  <c r="G127" i="12" s="1"/>
  <c r="G129" i="12"/>
  <c r="G125" i="12"/>
  <c r="G123" i="12"/>
  <c r="G121" i="12"/>
  <c r="G119" i="12"/>
  <c r="G117" i="12"/>
  <c r="G115" i="12"/>
  <c r="G113" i="12"/>
  <c r="G112" i="12"/>
  <c r="G110" i="12" s="1"/>
  <c r="G108" i="12"/>
  <c r="G105" i="12" s="1"/>
  <c r="G107" i="12"/>
  <c r="G103" i="12"/>
  <c r="G102" i="12"/>
  <c r="G99" i="12" s="1"/>
  <c r="G101" i="12"/>
  <c r="G97" i="12"/>
  <c r="G96" i="12"/>
  <c r="G94" i="12" s="1"/>
  <c r="G92" i="12"/>
  <c r="G90" i="12" s="1"/>
  <c r="G88" i="12"/>
  <c r="G87" i="12"/>
  <c r="G86" i="12"/>
  <c r="G85" i="12"/>
  <c r="G83" i="12"/>
  <c r="G81" i="12"/>
  <c r="G80" i="12"/>
  <c r="G78" i="12" s="1"/>
  <c r="G76" i="12"/>
  <c r="G73" i="12" s="1"/>
  <c r="G75" i="12"/>
  <c r="G71" i="12"/>
  <c r="G70" i="12"/>
  <c r="G69" i="12"/>
  <c r="G68" i="12"/>
  <c r="G67" i="12"/>
  <c r="G66" i="12"/>
  <c r="G62" i="12" s="1"/>
  <c r="G65" i="12"/>
  <c r="G64" i="12"/>
  <c r="G60" i="12"/>
  <c r="G59" i="12"/>
  <c r="G58" i="12"/>
  <c r="G57" i="12"/>
  <c r="G56" i="12"/>
  <c r="G55" i="12"/>
  <c r="G54" i="12"/>
  <c r="G53" i="12"/>
  <c r="G52" i="12"/>
  <c r="G48" i="12" s="1"/>
  <c r="G51" i="12"/>
  <c r="G50" i="12"/>
  <c r="G46" i="12"/>
  <c r="G44" i="12" s="1"/>
  <c r="G38" i="12"/>
  <c r="G37" i="12"/>
  <c r="G35" i="12"/>
  <c r="G33" i="12"/>
  <c r="G32" i="12"/>
  <c r="G30" i="12"/>
  <c r="G28" i="12"/>
  <c r="G27" i="12"/>
  <c r="G26" i="12"/>
  <c r="G25" i="12"/>
  <c r="G24" i="12"/>
  <c r="G18" i="12" s="1"/>
  <c r="G23" i="12"/>
  <c r="G22" i="12"/>
  <c r="G16" i="12"/>
  <c r="G14" i="12" s="1"/>
  <c r="J5437" i="10"/>
  <c r="J5436" i="10"/>
  <c r="J5435" i="10"/>
  <c r="J5434" i="10"/>
  <c r="J5433" i="10"/>
  <c r="K5438" i="10" s="1"/>
  <c r="J5432" i="10"/>
  <c r="J5431" i="10"/>
  <c r="J5423" i="10"/>
  <c r="J5422" i="10"/>
  <c r="J5421" i="10"/>
  <c r="J5420" i="10"/>
  <c r="J5419" i="10"/>
  <c r="K5425" i="10" s="1"/>
  <c r="J5418" i="10"/>
  <c r="J5410" i="10"/>
  <c r="K5411" i="10" s="1"/>
  <c r="J5407" i="10"/>
  <c r="J5406" i="10"/>
  <c r="J5405" i="10"/>
  <c r="J5404" i="10"/>
  <c r="K5408" i="10" s="1"/>
  <c r="J5403" i="10"/>
  <c r="K5412" i="10" s="1"/>
  <c r="J5395" i="10"/>
  <c r="J5394" i="10"/>
  <c r="J5393" i="10"/>
  <c r="J5392" i="10"/>
  <c r="J5391" i="10"/>
  <c r="K5397" i="10" s="1"/>
  <c r="J5383" i="10"/>
  <c r="J5382" i="10"/>
  <c r="J5381" i="10"/>
  <c r="J5380" i="10"/>
  <c r="K5385" i="10" s="1"/>
  <c r="J5379" i="10"/>
  <c r="J5378" i="10"/>
  <c r="K5369" i="10"/>
  <c r="J5368" i="10"/>
  <c r="J5365" i="10"/>
  <c r="J5364" i="10"/>
  <c r="K5366" i="10" s="1"/>
  <c r="J5361" i="10"/>
  <c r="J5360" i="10"/>
  <c r="K5362" i="10" s="1"/>
  <c r="J5371" i="10" s="1"/>
  <c r="K5350" i="10"/>
  <c r="J5336" i="10"/>
  <c r="J5335" i="10"/>
  <c r="K5337" i="10" s="1"/>
  <c r="J5339" i="10" s="1"/>
  <c r="J5325" i="10"/>
  <c r="K5326" i="10" s="1"/>
  <c r="J5322" i="10"/>
  <c r="K5323" i="10" s="1"/>
  <c r="J5321" i="10"/>
  <c r="J5320" i="10"/>
  <c r="J5317" i="10"/>
  <c r="J5316" i="10"/>
  <c r="J5306" i="10"/>
  <c r="K5307" i="10" s="1"/>
  <c r="J5303" i="10"/>
  <c r="K5294" i="10"/>
  <c r="J5293" i="10"/>
  <c r="J5290" i="10"/>
  <c r="J5280" i="10"/>
  <c r="K5281" i="10" s="1"/>
  <c r="J5277" i="10"/>
  <c r="J5276" i="10"/>
  <c r="J5258" i="10"/>
  <c r="K5259" i="10" s="1"/>
  <c r="J5255" i="10"/>
  <c r="J5254" i="10"/>
  <c r="J5243" i="10"/>
  <c r="K5244" i="10" s="1"/>
  <c r="J5240" i="10"/>
  <c r="J5239" i="10"/>
  <c r="J5229" i="10"/>
  <c r="K5230" i="10" s="1"/>
  <c r="J5226" i="10"/>
  <c r="K5217" i="10"/>
  <c r="J5216" i="10"/>
  <c r="J5213" i="10"/>
  <c r="J5203" i="10"/>
  <c r="K5204" i="10" s="1"/>
  <c r="J5200" i="10"/>
  <c r="J5199" i="10"/>
  <c r="J5189" i="10"/>
  <c r="K5190" i="10" s="1"/>
  <c r="J5186" i="10"/>
  <c r="J5178" i="10"/>
  <c r="K5179" i="10" s="1"/>
  <c r="J5175" i="10"/>
  <c r="J5174" i="10"/>
  <c r="K5176" i="10" s="1"/>
  <c r="J5164" i="10"/>
  <c r="K5165" i="10" s="1"/>
  <c r="J5161" i="10"/>
  <c r="J5160" i="10"/>
  <c r="J5150" i="10"/>
  <c r="K5151" i="10" s="1"/>
  <c r="J5147" i="10"/>
  <c r="J5146" i="10"/>
  <c r="J5136" i="10"/>
  <c r="K5137" i="10" s="1"/>
  <c r="J5133" i="10"/>
  <c r="J5132" i="10"/>
  <c r="J5122" i="10"/>
  <c r="K5123" i="10" s="1"/>
  <c r="J5119" i="10"/>
  <c r="J5118" i="10"/>
  <c r="J5108" i="10"/>
  <c r="K5109" i="10" s="1"/>
  <c r="J5105" i="10"/>
  <c r="J5104" i="10"/>
  <c r="J5094" i="10"/>
  <c r="K5095" i="10" s="1"/>
  <c r="J5091" i="10"/>
  <c r="J5090" i="10"/>
  <c r="J5080" i="10"/>
  <c r="K5081" i="10" s="1"/>
  <c r="J5077" i="10"/>
  <c r="J5076" i="10"/>
  <c r="J5066" i="10"/>
  <c r="K5067" i="10" s="1"/>
  <c r="J5063" i="10"/>
  <c r="J5062" i="10"/>
  <c r="J5052" i="10"/>
  <c r="K5053" i="10" s="1"/>
  <c r="J5049" i="10"/>
  <c r="J5048" i="10"/>
  <c r="J5035" i="10"/>
  <c r="K5036" i="10" s="1"/>
  <c r="J5032" i="10"/>
  <c r="J5031" i="10"/>
  <c r="J5021" i="10"/>
  <c r="K5022" i="10" s="1"/>
  <c r="J5018" i="10"/>
  <c r="J5008" i="10"/>
  <c r="K5009" i="10" s="1"/>
  <c r="K5006" i="10"/>
  <c r="J5011" i="10" s="1"/>
  <c r="K5012" i="10" s="1"/>
  <c r="J5005" i="10"/>
  <c r="J4995" i="10"/>
  <c r="K4996" i="10" s="1"/>
  <c r="J4992" i="10"/>
  <c r="K4983" i="10"/>
  <c r="J4982" i="10"/>
  <c r="J4979" i="10"/>
  <c r="J4978" i="10"/>
  <c r="J4968" i="10"/>
  <c r="K4969" i="10" s="1"/>
  <c r="K4966" i="10"/>
  <c r="J4971" i="10" s="1"/>
  <c r="K4972" i="10" s="1"/>
  <c r="J4965" i="10"/>
  <c r="J4964" i="10"/>
  <c r="K4955" i="10"/>
  <c r="J4954" i="10"/>
  <c r="J4953" i="10"/>
  <c r="J4950" i="10"/>
  <c r="K4951" i="10" s="1"/>
  <c r="J4957" i="10" s="1"/>
  <c r="J4949" i="10"/>
  <c r="K4958" i="10" s="1"/>
  <c r="J4939" i="10"/>
  <c r="K4940" i="10" s="1"/>
  <c r="J4936" i="10"/>
  <c r="J4935" i="10"/>
  <c r="J4928" i="10"/>
  <c r="J4925" i="10"/>
  <c r="J4924" i="10"/>
  <c r="K4926" i="10" s="1"/>
  <c r="K4922" i="10"/>
  <c r="J4921" i="10"/>
  <c r="J4920" i="10"/>
  <c r="K4911" i="10"/>
  <c r="J4910" i="10"/>
  <c r="J4909" i="10"/>
  <c r="J4906" i="10"/>
  <c r="K4907" i="10" s="1"/>
  <c r="J4913" i="10" s="1"/>
  <c r="J4905" i="10"/>
  <c r="K4914" i="10" s="1"/>
  <c r="K4915" i="10" s="1"/>
  <c r="J4895" i="10"/>
  <c r="K4896" i="10" s="1"/>
  <c r="J4894" i="10"/>
  <c r="J4891" i="10"/>
  <c r="K4882" i="10"/>
  <c r="J4881" i="10"/>
  <c r="J4878" i="10"/>
  <c r="K4872" i="10"/>
  <c r="J4868" i="10"/>
  <c r="K4869" i="10" s="1"/>
  <c r="K4866" i="10"/>
  <c r="J4871" i="10" s="1"/>
  <c r="J4865" i="10"/>
  <c r="J4855" i="10"/>
  <c r="K4856" i="10" s="1"/>
  <c r="J4854" i="10"/>
  <c r="J4853" i="10"/>
  <c r="J4850" i="10"/>
  <c r="K4851" i="10" s="1"/>
  <c r="J4858" i="10" s="1"/>
  <c r="J4849" i="10"/>
  <c r="J4839" i="10"/>
  <c r="K4837" i="10"/>
  <c r="J4842" i="10" s="1"/>
  <c r="J4836" i="10"/>
  <c r="K4827" i="10"/>
  <c r="J4826" i="10"/>
  <c r="J4823" i="10"/>
  <c r="K4814" i="10"/>
  <c r="J4813" i="10"/>
  <c r="J4810" i="10"/>
  <c r="K4804" i="10"/>
  <c r="J4800" i="10"/>
  <c r="K4801" i="10" s="1"/>
  <c r="K4798" i="10"/>
  <c r="J4803" i="10" s="1"/>
  <c r="J4797" i="10"/>
  <c r="K4788" i="10"/>
  <c r="J4787" i="10"/>
  <c r="J4784" i="10"/>
  <c r="K4775" i="10"/>
  <c r="J4774" i="10"/>
  <c r="J4771" i="10"/>
  <c r="K4762" i="10"/>
  <c r="J4761" i="10"/>
  <c r="J4758" i="10"/>
  <c r="J4748" i="10"/>
  <c r="K4749" i="10" s="1"/>
  <c r="J4745" i="10"/>
  <c r="K4746" i="10" s="1"/>
  <c r="J4751" i="10" s="1"/>
  <c r="J4744" i="10"/>
  <c r="J4734" i="10"/>
  <c r="K4735" i="10" s="1"/>
  <c r="J4731" i="10"/>
  <c r="J4730" i="10"/>
  <c r="J4720" i="10"/>
  <c r="K4721" i="10" s="1"/>
  <c r="J4717" i="10"/>
  <c r="J4716" i="10"/>
  <c r="J4706" i="10"/>
  <c r="K4707" i="10" s="1"/>
  <c r="J4703" i="10"/>
  <c r="J4702" i="10"/>
  <c r="J4692" i="10"/>
  <c r="K4693" i="10" s="1"/>
  <c r="J4689" i="10"/>
  <c r="J4688" i="10"/>
  <c r="J4678" i="10"/>
  <c r="K4679" i="10" s="1"/>
  <c r="J4675" i="10"/>
  <c r="J4674" i="10"/>
  <c r="J4664" i="10"/>
  <c r="K4665" i="10" s="1"/>
  <c r="J4661" i="10"/>
  <c r="J4660" i="10"/>
  <c r="J4650" i="10"/>
  <c r="K4651" i="10" s="1"/>
  <c r="J4647" i="10"/>
  <c r="J4646" i="10"/>
  <c r="J4636" i="10"/>
  <c r="K4637" i="10" s="1"/>
  <c r="J4633" i="10"/>
  <c r="J4632" i="10"/>
  <c r="J4622" i="10"/>
  <c r="K4623" i="10" s="1"/>
  <c r="J4621" i="10"/>
  <c r="J4620" i="10"/>
  <c r="J4617" i="10"/>
  <c r="K4618" i="10" s="1"/>
  <c r="J4625" i="10" s="1"/>
  <c r="J4616" i="10"/>
  <c r="K4626" i="10" s="1"/>
  <c r="J4606" i="10"/>
  <c r="K4607" i="10" s="1"/>
  <c r="J4605" i="10"/>
  <c r="J4602" i="10"/>
  <c r="J4601" i="10"/>
  <c r="J4591" i="10"/>
  <c r="J4590" i="10"/>
  <c r="K4592" i="10" s="1"/>
  <c r="J4587" i="10"/>
  <c r="J4586" i="10"/>
  <c r="K4588" i="10" s="1"/>
  <c r="J4594" i="10" s="1"/>
  <c r="J4579" i="10"/>
  <c r="J4576" i="10"/>
  <c r="J4575" i="10"/>
  <c r="K4573" i="10"/>
  <c r="J4572" i="10"/>
  <c r="J4571" i="10"/>
  <c r="K4562" i="10"/>
  <c r="J4561" i="10"/>
  <c r="J4558" i="10"/>
  <c r="J4557" i="10"/>
  <c r="K4559" i="10" s="1"/>
  <c r="J4554" i="10"/>
  <c r="J4553" i="10"/>
  <c r="J4552" i="10"/>
  <c r="J4551" i="10"/>
  <c r="K4555" i="10" s="1"/>
  <c r="J4564" i="10" s="1"/>
  <c r="K4542" i="10"/>
  <c r="J4541" i="10"/>
  <c r="J4538" i="10"/>
  <c r="J4537" i="10"/>
  <c r="K4539" i="10" s="1"/>
  <c r="J4534" i="10"/>
  <c r="J4533" i="10"/>
  <c r="J4532" i="10"/>
  <c r="J4531" i="10"/>
  <c r="K4522" i="10"/>
  <c r="J4521" i="10"/>
  <c r="K4519" i="10"/>
  <c r="J4518" i="10"/>
  <c r="K4516" i="10"/>
  <c r="J4524" i="10" s="1"/>
  <c r="K4525" i="10" s="1"/>
  <c r="J4515" i="10"/>
  <c r="J4514" i="10"/>
  <c r="J4504" i="10"/>
  <c r="J4503" i="10"/>
  <c r="K4505" i="10" s="1"/>
  <c r="J4500" i="10"/>
  <c r="J4499" i="10"/>
  <c r="K4501" i="10" s="1"/>
  <c r="J4507" i="10" s="1"/>
  <c r="J4489" i="10"/>
  <c r="K4490" i="10" s="1"/>
  <c r="K4487" i="10"/>
  <c r="J4492" i="10" s="1"/>
  <c r="J4486" i="10"/>
  <c r="J4485" i="10"/>
  <c r="K4476" i="10"/>
  <c r="J4475" i="10"/>
  <c r="J4472" i="10"/>
  <c r="J4471" i="10"/>
  <c r="J4461" i="10"/>
  <c r="K4462" i="10" s="1"/>
  <c r="K4459" i="10"/>
  <c r="J4464" i="10" s="1"/>
  <c r="J4458" i="10"/>
  <c r="J4457" i="10"/>
  <c r="K4448" i="10"/>
  <c r="J4447" i="10"/>
  <c r="J4444" i="10"/>
  <c r="J4443" i="10"/>
  <c r="J4433" i="10"/>
  <c r="K4434" i="10" s="1"/>
  <c r="K4431" i="10"/>
  <c r="J4436" i="10" s="1"/>
  <c r="J4430" i="10"/>
  <c r="J4429" i="10"/>
  <c r="K4420" i="10"/>
  <c r="J4419" i="10"/>
  <c r="J4416" i="10"/>
  <c r="J4415" i="10"/>
  <c r="J4405" i="10"/>
  <c r="K4406" i="10" s="1"/>
  <c r="K4403" i="10"/>
  <c r="J4408" i="10" s="1"/>
  <c r="J4402" i="10"/>
  <c r="J4401" i="10"/>
  <c r="K4392" i="10"/>
  <c r="J4391" i="10"/>
  <c r="J4388" i="10"/>
  <c r="J4387" i="10"/>
  <c r="J4377" i="10"/>
  <c r="K4378" i="10" s="1"/>
  <c r="K4375" i="10"/>
  <c r="J4380" i="10" s="1"/>
  <c r="J4374" i="10"/>
  <c r="J4373" i="10"/>
  <c r="K4364" i="10"/>
  <c r="J4363" i="10"/>
  <c r="J4360" i="10"/>
  <c r="J4359" i="10"/>
  <c r="J4349" i="10"/>
  <c r="K4350" i="10" s="1"/>
  <c r="K4347" i="10"/>
  <c r="J4352" i="10" s="1"/>
  <c r="J4346" i="10"/>
  <c r="J4345" i="10"/>
  <c r="J4337" i="10"/>
  <c r="K4338" i="10" s="1"/>
  <c r="K4335" i="10"/>
  <c r="J4334" i="10"/>
  <c r="J4333" i="10"/>
  <c r="J4325" i="10"/>
  <c r="K4326" i="10" s="1"/>
  <c r="J4322" i="10"/>
  <c r="J4321" i="10"/>
  <c r="K4314" i="10"/>
  <c r="J4313" i="10"/>
  <c r="K4311" i="10"/>
  <c r="J4310" i="10"/>
  <c r="K4315" i="10" s="1"/>
  <c r="J4309" i="10"/>
  <c r="K4299" i="10"/>
  <c r="J4298" i="10"/>
  <c r="K4296" i="10"/>
  <c r="J4301" i="10" s="1"/>
  <c r="K4302" i="10" s="1"/>
  <c r="J4295" i="10"/>
  <c r="J4294" i="10"/>
  <c r="J4284" i="10"/>
  <c r="J4283" i="10"/>
  <c r="K4281" i="10"/>
  <c r="J4287" i="10" s="1"/>
  <c r="J4280" i="10"/>
  <c r="J4279" i="10"/>
  <c r="K4270" i="10"/>
  <c r="J4269" i="10"/>
  <c r="J4268" i="10"/>
  <c r="J4265" i="10"/>
  <c r="K4266" i="10" s="1"/>
  <c r="J4272" i="10" s="1"/>
  <c r="J4264" i="10"/>
  <c r="K4258" i="10"/>
  <c r="K4255" i="10"/>
  <c r="J4254" i="10"/>
  <c r="K4252" i="10"/>
  <c r="J4257" i="10" s="1"/>
  <c r="J4251" i="10"/>
  <c r="J4250" i="10"/>
  <c r="K4244" i="10"/>
  <c r="K4245" i="10" s="1"/>
  <c r="K4241" i="10"/>
  <c r="J4240" i="10"/>
  <c r="K4238" i="10"/>
  <c r="J4243" i="10" s="1"/>
  <c r="J4237" i="10"/>
  <c r="J4236" i="10"/>
  <c r="J4226" i="10"/>
  <c r="K4224" i="10"/>
  <c r="J4229" i="10" s="1"/>
  <c r="J4223" i="10"/>
  <c r="J4222" i="10"/>
  <c r="K4213" i="10"/>
  <c r="J4212" i="10"/>
  <c r="J4209" i="10"/>
  <c r="J4208" i="10"/>
  <c r="J4198" i="10"/>
  <c r="K4199" i="10" s="1"/>
  <c r="J4197" i="10"/>
  <c r="J4194" i="10"/>
  <c r="J4193" i="10"/>
  <c r="J4183" i="10"/>
  <c r="J4182" i="10"/>
  <c r="J4179" i="10"/>
  <c r="J4178" i="10"/>
  <c r="J4168" i="10"/>
  <c r="J4167" i="10"/>
  <c r="K4169" i="10" s="1"/>
  <c r="J4164" i="10"/>
  <c r="J4163" i="10"/>
  <c r="K4165" i="10" s="1"/>
  <c r="J4171" i="10" s="1"/>
  <c r="K4154" i="10"/>
  <c r="J4153" i="10"/>
  <c r="J4150" i="10"/>
  <c r="J4149" i="10"/>
  <c r="K4140" i="10"/>
  <c r="J4139" i="10"/>
  <c r="J4138" i="10"/>
  <c r="J4135" i="10"/>
  <c r="J4134" i="10"/>
  <c r="J4124" i="10"/>
  <c r="J4123" i="10"/>
  <c r="K4125" i="10" s="1"/>
  <c r="J4120" i="10"/>
  <c r="J4119" i="10"/>
  <c r="K4121" i="10" s="1"/>
  <c r="J4127" i="10" s="1"/>
  <c r="K4110" i="10"/>
  <c r="J4109" i="10"/>
  <c r="K4107" i="10"/>
  <c r="J4112" i="10" s="1"/>
  <c r="K4113" i="10" s="1"/>
  <c r="J4106" i="10"/>
  <c r="J4105" i="10"/>
  <c r="J4095" i="10"/>
  <c r="K4096" i="10" s="1"/>
  <c r="J4092" i="10"/>
  <c r="J4091" i="10"/>
  <c r="J4081" i="10"/>
  <c r="J4080" i="10"/>
  <c r="J4079" i="10"/>
  <c r="K4082" i="10" s="1"/>
  <c r="J4076" i="10"/>
  <c r="J4075" i="10"/>
  <c r="K4077" i="10" s="1"/>
  <c r="J4084" i="10" s="1"/>
  <c r="J4068" i="10"/>
  <c r="K4069" i="10" s="1"/>
  <c r="J4065" i="10"/>
  <c r="J4064" i="10"/>
  <c r="K4066" i="10" s="1"/>
  <c r="K4062" i="10"/>
  <c r="J4061" i="10"/>
  <c r="J4060" i="10"/>
  <c r="K4051" i="10"/>
  <c r="J4050" i="10"/>
  <c r="J4049" i="10"/>
  <c r="J4046" i="10"/>
  <c r="K4047" i="10" s="1"/>
  <c r="J4053" i="10" s="1"/>
  <c r="J4045" i="10"/>
  <c r="K4036" i="10"/>
  <c r="J4035" i="10"/>
  <c r="J4034" i="10"/>
  <c r="J4031" i="10"/>
  <c r="J4030" i="10"/>
  <c r="J4020" i="10"/>
  <c r="J4019" i="10"/>
  <c r="K4021" i="10" s="1"/>
  <c r="J4016" i="10"/>
  <c r="J4015" i="10"/>
  <c r="K4017" i="10" s="1"/>
  <c r="J4023" i="10" s="1"/>
  <c r="J4005" i="10"/>
  <c r="J4004" i="10"/>
  <c r="K4006" i="10" s="1"/>
  <c r="K4002" i="10"/>
  <c r="J4008" i="10" s="1"/>
  <c r="K4009" i="10" s="1"/>
  <c r="J4001" i="10"/>
  <c r="J4000" i="10"/>
  <c r="K3991" i="10"/>
  <c r="J3990" i="10"/>
  <c r="J3987" i="10"/>
  <c r="J3986" i="10"/>
  <c r="J3976" i="10"/>
  <c r="K3977" i="10" s="1"/>
  <c r="K3974" i="10"/>
  <c r="J3979" i="10" s="1"/>
  <c r="J3973" i="10"/>
  <c r="J3972" i="10"/>
  <c r="K3963" i="10"/>
  <c r="J3962" i="10"/>
  <c r="J3959" i="10"/>
  <c r="J3958" i="10"/>
  <c r="K3952" i="10"/>
  <c r="J3948" i="10"/>
  <c r="K3949" i="10" s="1"/>
  <c r="K3946" i="10"/>
  <c r="J3951" i="10" s="1"/>
  <c r="J3945" i="10"/>
  <c r="J3944" i="10"/>
  <c r="K3935" i="10"/>
  <c r="J3934" i="10"/>
  <c r="J3931" i="10"/>
  <c r="J3930" i="10"/>
  <c r="J3920" i="10"/>
  <c r="K3921" i="10" s="1"/>
  <c r="K3918" i="10"/>
  <c r="J3923" i="10" s="1"/>
  <c r="J3917" i="10"/>
  <c r="J3916" i="10"/>
  <c r="K3907" i="10"/>
  <c r="J3906" i="10"/>
  <c r="J3903" i="10"/>
  <c r="J3902" i="10"/>
  <c r="J3892" i="10"/>
  <c r="K3893" i="10" s="1"/>
  <c r="K3890" i="10"/>
  <c r="J3895" i="10" s="1"/>
  <c r="J3889" i="10"/>
  <c r="J3888" i="10"/>
  <c r="K3879" i="10"/>
  <c r="J3878" i="10"/>
  <c r="J3875" i="10"/>
  <c r="J3874" i="10"/>
  <c r="J3864" i="10"/>
  <c r="J3863" i="10"/>
  <c r="J3860" i="10"/>
  <c r="J3859" i="10"/>
  <c r="K3861" i="10" s="1"/>
  <c r="J3867" i="10" s="1"/>
  <c r="J3852" i="10"/>
  <c r="J3849" i="10"/>
  <c r="J3848" i="10"/>
  <c r="K3850" i="10" s="1"/>
  <c r="K3846" i="10"/>
  <c r="J3845" i="10"/>
  <c r="J3844" i="10"/>
  <c r="K3835" i="10"/>
  <c r="J3834" i="10"/>
  <c r="J3833" i="10"/>
  <c r="J3830" i="10"/>
  <c r="K3831" i="10" s="1"/>
  <c r="J3837" i="10" s="1"/>
  <c r="J3829" i="10"/>
  <c r="J3819" i="10"/>
  <c r="K3820" i="10" s="1"/>
  <c r="J3816" i="10"/>
  <c r="J3815" i="10"/>
  <c r="J3805" i="10"/>
  <c r="K3806" i="10" s="1"/>
  <c r="J3802" i="10"/>
  <c r="K3803" i="10" s="1"/>
  <c r="J3808" i="10" s="1"/>
  <c r="J3801" i="10"/>
  <c r="K3792" i="10"/>
  <c r="J3791" i="10"/>
  <c r="J3788" i="10"/>
  <c r="J3787" i="10"/>
  <c r="J3777" i="10"/>
  <c r="K3778" i="10" s="1"/>
  <c r="K3775" i="10"/>
  <c r="J3780" i="10" s="1"/>
  <c r="J3774" i="10"/>
  <c r="J3773" i="10"/>
  <c r="K3764" i="10"/>
  <c r="J3763" i="10"/>
  <c r="J3762" i="10"/>
  <c r="J3761" i="10"/>
  <c r="K3759" i="10"/>
  <c r="J3766" i="10" s="1"/>
  <c r="J3758" i="10"/>
  <c r="J3757" i="10"/>
  <c r="K3748" i="10"/>
  <c r="J3747" i="10"/>
  <c r="J3744" i="10"/>
  <c r="J3743" i="10"/>
  <c r="J3733" i="10"/>
  <c r="J3732" i="10"/>
  <c r="K3734" i="10" s="1"/>
  <c r="J3729" i="10"/>
  <c r="J3728" i="10"/>
  <c r="K3730" i="10" s="1"/>
  <c r="J3736" i="10" s="1"/>
  <c r="J3718" i="10"/>
  <c r="K3719" i="10" s="1"/>
  <c r="J3715" i="10"/>
  <c r="J3714" i="10"/>
  <c r="J3704" i="10"/>
  <c r="K3705" i="10" s="1"/>
  <c r="J3703" i="10"/>
  <c r="J3700" i="10"/>
  <c r="J3699" i="10"/>
  <c r="J3691" i="10"/>
  <c r="K3692" i="10" s="1"/>
  <c r="J3688" i="10"/>
  <c r="K3689" i="10" s="1"/>
  <c r="J3687" i="10"/>
  <c r="J3679" i="10"/>
  <c r="K3680" i="10" s="1"/>
  <c r="K3677" i="10"/>
  <c r="J3676" i="10"/>
  <c r="J3675" i="10"/>
  <c r="K3681" i="10" s="1"/>
  <c r="J3667" i="10"/>
  <c r="K3668" i="10" s="1"/>
  <c r="J3664" i="10"/>
  <c r="J3663" i="10"/>
  <c r="K3665" i="10" s="1"/>
  <c r="J3653" i="10"/>
  <c r="J3652" i="10"/>
  <c r="K3654" i="10" s="1"/>
  <c r="K3650" i="10"/>
  <c r="J3656" i="10" s="1"/>
  <c r="J3649" i="10"/>
  <c r="J3648" i="10"/>
  <c r="K3639" i="10"/>
  <c r="J3638" i="10"/>
  <c r="J3637" i="10"/>
  <c r="J3634" i="10"/>
  <c r="J3633" i="10"/>
  <c r="J3623" i="10"/>
  <c r="K3624" i="10" s="1"/>
  <c r="J3622" i="10"/>
  <c r="J3619" i="10"/>
  <c r="J3618" i="10"/>
  <c r="J3608" i="10"/>
  <c r="J3607" i="10"/>
  <c r="K3609" i="10" s="1"/>
  <c r="J3604" i="10"/>
  <c r="J3603" i="10"/>
  <c r="K3605" i="10" s="1"/>
  <c r="J3611" i="10" s="1"/>
  <c r="J3593" i="10"/>
  <c r="J3592" i="10"/>
  <c r="K3594" i="10" s="1"/>
  <c r="K3590" i="10"/>
  <c r="J3596" i="10" s="1"/>
  <c r="J3589" i="10"/>
  <c r="J3588" i="10"/>
  <c r="K3579" i="10"/>
  <c r="J3578" i="10"/>
  <c r="J3577" i="10"/>
  <c r="J3576" i="10"/>
  <c r="K3574" i="10"/>
  <c r="J3573" i="10"/>
  <c r="J3570" i="10"/>
  <c r="J3569" i="10"/>
  <c r="J3559" i="10"/>
  <c r="J3558" i="10"/>
  <c r="K3560" i="10" s="1"/>
  <c r="J3557" i="10"/>
  <c r="J3554" i="10"/>
  <c r="K3555" i="10" s="1"/>
  <c r="K3552" i="10"/>
  <c r="J3562" i="10" s="1"/>
  <c r="J3551" i="10"/>
  <c r="J3550" i="10"/>
  <c r="K3541" i="10"/>
  <c r="J3540" i="10"/>
  <c r="J3539" i="10"/>
  <c r="J3538" i="10"/>
  <c r="K3536" i="10"/>
  <c r="J3535" i="10"/>
  <c r="J3532" i="10"/>
  <c r="J3531" i="10"/>
  <c r="J3521" i="10"/>
  <c r="J3520" i="10"/>
  <c r="J3519" i="10"/>
  <c r="J3518" i="10"/>
  <c r="K3522" i="10" s="1"/>
  <c r="J3515" i="10"/>
  <c r="K3516" i="10" s="1"/>
  <c r="J3524" i="10" s="1"/>
  <c r="J3514" i="10"/>
  <c r="J3504" i="10"/>
  <c r="J3503" i="10"/>
  <c r="J3502" i="10"/>
  <c r="J3501" i="10"/>
  <c r="K3505" i="10" s="1"/>
  <c r="K3499" i="10"/>
  <c r="J3507" i="10" s="1"/>
  <c r="J3498" i="10"/>
  <c r="J3497" i="10"/>
  <c r="J3487" i="10"/>
  <c r="J3486" i="10"/>
  <c r="J3485" i="10"/>
  <c r="J3484" i="10"/>
  <c r="K3488" i="10" s="1"/>
  <c r="J3481" i="10"/>
  <c r="J3480" i="10"/>
  <c r="K3482" i="10" s="1"/>
  <c r="J3490" i="10" s="1"/>
  <c r="J3469" i="10"/>
  <c r="J3468" i="10"/>
  <c r="K3470" i="10" s="1"/>
  <c r="K3466" i="10"/>
  <c r="J3472" i="10" s="1"/>
  <c r="J3465" i="10"/>
  <c r="J3464" i="10"/>
  <c r="K3455" i="10"/>
  <c r="J3454" i="10"/>
  <c r="J3451" i="10"/>
  <c r="J3450" i="10"/>
  <c r="J3440" i="10"/>
  <c r="K3441" i="10" s="1"/>
  <c r="K3438" i="10"/>
  <c r="J3443" i="10" s="1"/>
  <c r="J3437" i="10"/>
  <c r="J3436" i="10"/>
  <c r="K3427" i="10"/>
  <c r="J3426" i="10"/>
  <c r="J3423" i="10"/>
  <c r="J3422" i="10"/>
  <c r="J3412" i="10"/>
  <c r="K3413" i="10" s="1"/>
  <c r="K3410" i="10"/>
  <c r="J3415" i="10" s="1"/>
  <c r="J3409" i="10"/>
  <c r="J3408" i="10"/>
  <c r="K3399" i="10"/>
  <c r="J3398" i="10"/>
  <c r="J3395" i="10"/>
  <c r="K3396" i="10" s="1"/>
  <c r="K3393" i="10"/>
  <c r="J3401" i="10" s="1"/>
  <c r="J3392" i="10"/>
  <c r="J3391" i="10"/>
  <c r="K3382" i="10"/>
  <c r="J3381" i="10"/>
  <c r="J3378" i="10"/>
  <c r="K3379" i="10" s="1"/>
  <c r="K3376" i="10"/>
  <c r="J3384" i="10" s="1"/>
  <c r="J3375" i="10"/>
  <c r="J3374" i="10"/>
  <c r="K3385" i="10" s="1"/>
  <c r="K3365" i="10"/>
  <c r="J3364" i="10"/>
  <c r="J3361" i="10"/>
  <c r="J3360" i="10"/>
  <c r="J3350" i="10"/>
  <c r="K3351" i="10" s="1"/>
  <c r="K3348" i="10"/>
  <c r="J3353" i="10" s="1"/>
  <c r="J3347" i="10"/>
  <c r="J3346" i="10"/>
  <c r="K3337" i="10"/>
  <c r="J3336" i="10"/>
  <c r="J3333" i="10"/>
  <c r="J3332" i="10"/>
  <c r="J3322" i="10"/>
  <c r="K3323" i="10" s="1"/>
  <c r="K3320" i="10"/>
  <c r="J3325" i="10" s="1"/>
  <c r="J3319" i="10"/>
  <c r="J3318" i="10"/>
  <c r="K3309" i="10"/>
  <c r="J3308" i="10"/>
  <c r="J3305" i="10"/>
  <c r="J3304" i="10"/>
  <c r="J3294" i="10"/>
  <c r="K3295" i="10" s="1"/>
  <c r="K3292" i="10"/>
  <c r="J3297" i="10" s="1"/>
  <c r="J3291" i="10"/>
  <c r="J3290" i="10"/>
  <c r="K3281" i="10"/>
  <c r="J3280" i="10"/>
  <c r="J3277" i="10"/>
  <c r="J3276" i="10"/>
  <c r="J3266" i="10"/>
  <c r="K3267" i="10" s="1"/>
  <c r="K3264" i="10"/>
  <c r="J3269" i="10" s="1"/>
  <c r="J3263" i="10"/>
  <c r="J3262" i="10"/>
  <c r="J3254" i="10"/>
  <c r="K3256" i="10" s="1"/>
  <c r="K3248" i="10"/>
  <c r="J3246" i="10"/>
  <c r="K3247" i="10" s="1"/>
  <c r="K3237" i="10"/>
  <c r="J3236" i="10"/>
  <c r="J3233" i="10"/>
  <c r="J3232" i="10"/>
  <c r="J3222" i="10"/>
  <c r="K3223" i="10" s="1"/>
  <c r="K3220" i="10"/>
  <c r="J3225" i="10" s="1"/>
  <c r="J3219" i="10"/>
  <c r="J3218" i="10"/>
  <c r="K3209" i="10"/>
  <c r="J3208" i="10"/>
  <c r="J3205" i="10"/>
  <c r="J3204" i="10"/>
  <c r="J3194" i="10"/>
  <c r="K3195" i="10" s="1"/>
  <c r="K3192" i="10"/>
  <c r="J3197" i="10" s="1"/>
  <c r="J3191" i="10"/>
  <c r="J3190" i="10"/>
  <c r="J3182" i="10"/>
  <c r="K3184" i="10" s="1"/>
  <c r="J3172" i="10"/>
  <c r="K3173" i="10" s="1"/>
  <c r="K3170" i="10"/>
  <c r="J3175" i="10" s="1"/>
  <c r="K3176" i="10" s="1"/>
  <c r="J3169" i="10"/>
  <c r="J3168" i="10"/>
  <c r="K3159" i="10"/>
  <c r="J3158" i="10"/>
  <c r="J3155" i="10"/>
  <c r="J3154" i="10"/>
  <c r="J3144" i="10"/>
  <c r="K3145" i="10" s="1"/>
  <c r="K3142" i="10"/>
  <c r="J3147" i="10" s="1"/>
  <c r="J3141" i="10"/>
  <c r="J3140" i="10"/>
  <c r="J3130" i="10"/>
  <c r="J3129" i="10"/>
  <c r="J3128" i="10"/>
  <c r="K3131" i="10" s="1"/>
  <c r="K3126" i="10"/>
  <c r="J3133" i="10" s="1"/>
  <c r="J3125" i="10"/>
  <c r="J3124" i="10"/>
  <c r="K3115" i="10"/>
  <c r="J3114" i="10"/>
  <c r="J3113" i="10"/>
  <c r="J3110" i="10"/>
  <c r="J3109" i="10"/>
  <c r="J3099" i="10"/>
  <c r="K3100" i="10" s="1"/>
  <c r="J3098" i="10"/>
  <c r="J3095" i="10"/>
  <c r="J3094" i="10"/>
  <c r="J3084" i="10"/>
  <c r="J3083" i="10"/>
  <c r="J3080" i="10"/>
  <c r="J3079" i="10"/>
  <c r="K3081" i="10" s="1"/>
  <c r="J3087" i="10" s="1"/>
  <c r="J3072" i="10"/>
  <c r="J3069" i="10"/>
  <c r="J3068" i="10"/>
  <c r="K3070" i="10" s="1"/>
  <c r="K3066" i="10"/>
  <c r="J3065" i="10"/>
  <c r="J3064" i="10"/>
  <c r="K3055" i="10"/>
  <c r="J3054" i="10"/>
  <c r="J3051" i="10"/>
  <c r="J3050" i="10"/>
  <c r="K3044" i="10"/>
  <c r="J3040" i="10"/>
  <c r="K3041" i="10" s="1"/>
  <c r="K3038" i="10"/>
  <c r="J3043" i="10" s="1"/>
  <c r="J3037" i="10"/>
  <c r="J3036" i="10"/>
  <c r="J3024" i="10"/>
  <c r="J3023" i="10"/>
  <c r="J3022" i="10"/>
  <c r="J3021" i="10"/>
  <c r="K3025" i="10" s="1"/>
  <c r="J3018" i="10"/>
  <c r="J3017" i="10"/>
  <c r="K3019" i="10" s="1"/>
  <c r="J3014" i="10"/>
  <c r="J3013" i="10"/>
  <c r="J3012" i="10"/>
  <c r="J3011" i="10"/>
  <c r="J3010" i="10"/>
  <c r="J3000" i="10"/>
  <c r="J2999" i="10"/>
  <c r="J2998" i="10"/>
  <c r="J2997" i="10"/>
  <c r="K3001" i="10" s="1"/>
  <c r="K2995" i="10"/>
  <c r="J2994" i="10"/>
  <c r="J2993" i="10"/>
  <c r="J2990" i="10"/>
  <c r="J2989" i="10"/>
  <c r="J2988" i="10"/>
  <c r="J2987" i="10"/>
  <c r="J2986" i="10"/>
  <c r="J2976" i="10"/>
  <c r="J2975" i="10"/>
  <c r="J2974" i="10"/>
  <c r="J2973" i="10"/>
  <c r="J2970" i="10"/>
  <c r="K2971" i="10" s="1"/>
  <c r="J2969" i="10"/>
  <c r="J2966" i="10"/>
  <c r="J2965" i="10"/>
  <c r="J2964" i="10"/>
  <c r="J2963" i="10"/>
  <c r="J2962" i="10"/>
  <c r="J2952" i="10"/>
  <c r="K2953" i="10" s="1"/>
  <c r="J2949" i="10"/>
  <c r="K2950" i="10" s="1"/>
  <c r="J2955" i="10" s="1"/>
  <c r="J2948" i="10"/>
  <c r="J2938" i="10"/>
  <c r="K2939" i="10" s="1"/>
  <c r="J2937" i="10"/>
  <c r="J2934" i="10"/>
  <c r="J2933" i="10"/>
  <c r="J2923" i="10"/>
  <c r="K2924" i="10" s="1"/>
  <c r="J2922" i="10"/>
  <c r="J2919" i="10"/>
  <c r="J2918" i="10"/>
  <c r="K2920" i="10" s="1"/>
  <c r="J2926" i="10" s="1"/>
  <c r="J2908" i="10"/>
  <c r="J2907" i="10"/>
  <c r="J2906" i="10"/>
  <c r="J2903" i="10"/>
  <c r="J2902" i="10"/>
  <c r="K2904" i="10" s="1"/>
  <c r="J2911" i="10" s="1"/>
  <c r="J2892" i="10"/>
  <c r="J2891" i="10"/>
  <c r="J2890" i="10"/>
  <c r="K2893" i="10" s="1"/>
  <c r="J2887" i="10"/>
  <c r="J2886" i="10"/>
  <c r="J2876" i="10"/>
  <c r="J2875" i="10"/>
  <c r="J2874" i="10"/>
  <c r="K2877" i="10" s="1"/>
  <c r="J2871" i="10"/>
  <c r="J2870" i="10"/>
  <c r="K2872" i="10" s="1"/>
  <c r="J2879" i="10" s="1"/>
  <c r="J2860" i="10"/>
  <c r="J2859" i="10"/>
  <c r="J2858" i="10"/>
  <c r="J2855" i="10"/>
  <c r="J2854" i="10"/>
  <c r="K2856" i="10" s="1"/>
  <c r="J2863" i="10" s="1"/>
  <c r="J2844" i="10"/>
  <c r="J2843" i="10"/>
  <c r="J2842" i="10"/>
  <c r="J2841" i="10"/>
  <c r="K2839" i="10"/>
  <c r="J2847" i="10" s="1"/>
  <c r="J2838" i="10"/>
  <c r="J2837" i="10"/>
  <c r="J2827" i="10"/>
  <c r="J2826" i="10"/>
  <c r="J2825" i="10"/>
  <c r="J2824" i="10"/>
  <c r="K2828" i="10" s="1"/>
  <c r="J2821" i="10"/>
  <c r="J2820" i="10"/>
  <c r="J2810" i="10"/>
  <c r="J2809" i="10"/>
  <c r="J2808" i="10"/>
  <c r="J2807" i="10"/>
  <c r="K2811" i="10" s="1"/>
  <c r="K2805" i="10"/>
  <c r="J2813" i="10" s="1"/>
  <c r="J2804" i="10"/>
  <c r="J2803" i="10"/>
  <c r="K2794" i="10"/>
  <c r="J2793" i="10"/>
  <c r="K2791" i="10"/>
  <c r="J2796" i="10" s="1"/>
  <c r="K2797" i="10" s="1"/>
  <c r="J2790" i="10"/>
  <c r="J2780" i="10"/>
  <c r="K2781" i="10" s="1"/>
  <c r="J2777" i="10"/>
  <c r="K2778" i="10" s="1"/>
  <c r="J2783" i="10" s="1"/>
  <c r="K2768" i="10"/>
  <c r="J2767" i="10"/>
  <c r="J2764" i="10"/>
  <c r="J2763" i="10"/>
  <c r="K2765" i="10" s="1"/>
  <c r="J2770" i="10" s="1"/>
  <c r="J2762" i="10"/>
  <c r="J2752" i="10"/>
  <c r="K2753" i="10" s="1"/>
  <c r="J2749" i="10"/>
  <c r="K2750" i="10" s="1"/>
  <c r="J2755" i="10" s="1"/>
  <c r="K2740" i="10"/>
  <c r="J2739" i="10"/>
  <c r="J2738" i="10"/>
  <c r="J2737" i="10"/>
  <c r="K2735" i="10"/>
  <c r="J2742" i="10" s="1"/>
  <c r="K2743" i="10" s="1"/>
  <c r="J2734" i="10"/>
  <c r="J2724" i="10"/>
  <c r="K2725" i="10" s="1"/>
  <c r="J2721" i="10"/>
  <c r="K2722" i="10" s="1"/>
  <c r="J2727" i="10" s="1"/>
  <c r="J2720" i="10"/>
  <c r="J2710" i="10"/>
  <c r="K2711" i="10" s="1"/>
  <c r="J2707" i="10"/>
  <c r="J2706" i="10"/>
  <c r="J2696" i="10"/>
  <c r="K2697" i="10" s="1"/>
  <c r="J2693" i="10"/>
  <c r="K2694" i="10" s="1"/>
  <c r="J2699" i="10" s="1"/>
  <c r="J2692" i="10"/>
  <c r="J2682" i="10"/>
  <c r="K2683" i="10" s="1"/>
  <c r="J2679" i="10"/>
  <c r="J2678" i="10"/>
  <c r="J2668" i="10"/>
  <c r="K2669" i="10" s="1"/>
  <c r="J2665" i="10"/>
  <c r="K2666" i="10" s="1"/>
  <c r="J2671" i="10" s="1"/>
  <c r="J2664" i="10"/>
  <c r="J2654" i="10"/>
  <c r="K2655" i="10" s="1"/>
  <c r="J2653" i="10"/>
  <c r="J2650" i="10"/>
  <c r="J2649" i="10"/>
  <c r="J2630" i="10"/>
  <c r="K2631" i="10" s="1"/>
  <c r="J2627" i="10"/>
  <c r="J2626" i="10"/>
  <c r="J2625" i="10"/>
  <c r="J2624" i="10"/>
  <c r="J2623" i="10"/>
  <c r="J2622" i="10"/>
  <c r="K2628" i="10" s="1"/>
  <c r="J2633" i="10" s="1"/>
  <c r="K2613" i="10"/>
  <c r="J2612" i="10"/>
  <c r="J2609" i="10"/>
  <c r="J2608" i="10"/>
  <c r="J2607" i="10"/>
  <c r="J2606" i="10"/>
  <c r="J2605" i="10"/>
  <c r="J2604" i="10"/>
  <c r="K2595" i="10"/>
  <c r="J2594" i="10"/>
  <c r="J2591" i="10"/>
  <c r="J2590" i="10"/>
  <c r="J2589" i="10"/>
  <c r="J2588" i="10"/>
  <c r="J2587" i="10"/>
  <c r="J2586" i="10"/>
  <c r="K2592" i="10" s="1"/>
  <c r="J2597" i="10" s="1"/>
  <c r="K2577" i="10"/>
  <c r="J2576" i="10"/>
  <c r="J2573" i="10"/>
  <c r="J2572" i="10"/>
  <c r="J2571" i="10"/>
  <c r="J2570" i="10"/>
  <c r="J2569" i="10"/>
  <c r="J2568" i="10"/>
  <c r="J2558" i="10"/>
  <c r="K2559" i="10" s="1"/>
  <c r="J2555" i="10"/>
  <c r="J2554" i="10"/>
  <c r="J2553" i="10"/>
  <c r="J2552" i="10"/>
  <c r="K2556" i="10" s="1"/>
  <c r="J2561" i="10" s="1"/>
  <c r="K2562" i="10" s="1"/>
  <c r="J2551" i="10"/>
  <c r="J2550" i="10"/>
  <c r="K2541" i="10"/>
  <c r="J2540" i="10"/>
  <c r="J2537" i="10"/>
  <c r="J2536" i="10"/>
  <c r="J2535" i="10"/>
  <c r="J2534" i="10"/>
  <c r="J2533" i="10"/>
  <c r="J2532" i="10"/>
  <c r="J2522" i="10"/>
  <c r="K2523" i="10" s="1"/>
  <c r="J2519" i="10"/>
  <c r="J2518" i="10"/>
  <c r="J2517" i="10"/>
  <c r="J2516" i="10"/>
  <c r="K2520" i="10" s="1"/>
  <c r="J2525" i="10" s="1"/>
  <c r="J2515" i="10"/>
  <c r="J2514" i="10"/>
  <c r="K2505" i="10"/>
  <c r="J2504" i="10"/>
  <c r="J2501" i="10"/>
  <c r="J2491" i="10"/>
  <c r="K2492" i="10" s="1"/>
  <c r="J2488" i="10"/>
  <c r="J2478" i="10"/>
  <c r="K2479" i="10" s="1"/>
  <c r="K2476" i="10"/>
  <c r="J2481" i="10" s="1"/>
  <c r="K2482" i="10" s="1"/>
  <c r="J2475" i="10"/>
  <c r="J2465" i="10"/>
  <c r="K2466" i="10" s="1"/>
  <c r="J2462" i="10"/>
  <c r="K2453" i="10"/>
  <c r="J2452" i="10"/>
  <c r="J2449" i="10"/>
  <c r="J2439" i="10"/>
  <c r="K2440" i="10" s="1"/>
  <c r="J2436" i="10"/>
  <c r="J2426" i="10"/>
  <c r="K2427" i="10" s="1"/>
  <c r="K2424" i="10"/>
  <c r="J2429" i="10" s="1"/>
  <c r="K2430" i="10" s="1"/>
  <c r="J2423" i="10"/>
  <c r="J2413" i="10"/>
  <c r="K2414" i="10" s="1"/>
  <c r="J2410" i="10"/>
  <c r="K2401" i="10"/>
  <c r="J2400" i="10"/>
  <c r="J2397" i="10"/>
  <c r="J2387" i="10"/>
  <c r="K2388" i="10" s="1"/>
  <c r="J2384" i="10"/>
  <c r="J2374" i="10"/>
  <c r="K2375" i="10" s="1"/>
  <c r="K2372" i="10"/>
  <c r="J2377" i="10" s="1"/>
  <c r="K2378" i="10" s="1"/>
  <c r="J2371" i="10"/>
  <c r="J2361" i="10"/>
  <c r="K2362" i="10" s="1"/>
  <c r="J2358" i="10"/>
  <c r="K2349" i="10"/>
  <c r="J2348" i="10"/>
  <c r="J2345" i="10"/>
  <c r="J2335" i="10"/>
  <c r="K2336" i="10" s="1"/>
  <c r="J2332" i="10"/>
  <c r="J2322" i="10"/>
  <c r="K2323" i="10" s="1"/>
  <c r="K2320" i="10"/>
  <c r="J2325" i="10" s="1"/>
  <c r="K2326" i="10" s="1"/>
  <c r="J2319" i="10"/>
  <c r="J2309" i="10"/>
  <c r="K2310" i="10" s="1"/>
  <c r="J2306" i="10"/>
  <c r="J2296" i="10"/>
  <c r="J2295" i="10"/>
  <c r="J2294" i="10"/>
  <c r="J2293" i="10"/>
  <c r="J2292" i="10"/>
  <c r="J2291" i="10"/>
  <c r="J2290" i="10"/>
  <c r="J2289" i="10"/>
  <c r="K2297" i="10" s="1"/>
  <c r="J2286" i="10"/>
  <c r="J2285" i="10"/>
  <c r="J2284" i="10"/>
  <c r="J2283" i="10"/>
  <c r="J2282" i="10"/>
  <c r="J2281" i="10"/>
  <c r="J2280" i="10"/>
  <c r="K2287" i="10" s="1"/>
  <c r="J2299" i="10" s="1"/>
  <c r="J2270" i="10"/>
  <c r="J2269" i="10"/>
  <c r="J2268" i="10"/>
  <c r="J2267" i="10"/>
  <c r="J2266" i="10"/>
  <c r="J2265" i="10"/>
  <c r="J2264" i="10"/>
  <c r="J2263" i="10"/>
  <c r="K2271" i="10" s="1"/>
  <c r="J2260" i="10"/>
  <c r="J2259" i="10"/>
  <c r="J2258" i="10"/>
  <c r="J2257" i="10"/>
  <c r="J2256" i="10"/>
  <c r="K2261" i="10" s="1"/>
  <c r="J2273" i="10" s="1"/>
  <c r="J2255" i="10"/>
  <c r="J2254" i="10"/>
  <c r="J2244" i="10"/>
  <c r="J2243" i="10"/>
  <c r="J2242" i="10"/>
  <c r="J2241" i="10"/>
  <c r="J2240" i="10"/>
  <c r="J2239" i="10"/>
  <c r="J2238" i="10"/>
  <c r="J2237" i="10"/>
  <c r="K2245" i="10" s="1"/>
  <c r="J2234" i="10"/>
  <c r="J2233" i="10"/>
  <c r="J2232" i="10"/>
  <c r="J2231" i="10"/>
  <c r="J2230" i="10"/>
  <c r="J2229" i="10"/>
  <c r="J2228" i="10"/>
  <c r="K2235" i="10" s="1"/>
  <c r="J2247" i="10" s="1"/>
  <c r="J2218" i="10"/>
  <c r="J2217" i="10"/>
  <c r="J2216" i="10"/>
  <c r="J2215" i="10"/>
  <c r="J2214" i="10"/>
  <c r="J2213" i="10"/>
  <c r="J2212" i="10"/>
  <c r="J2211" i="10"/>
  <c r="K2219" i="10" s="1"/>
  <c r="J2208" i="10"/>
  <c r="J2207" i="10"/>
  <c r="J2206" i="10"/>
  <c r="J2205" i="10"/>
  <c r="J2204" i="10"/>
  <c r="K2209" i="10" s="1"/>
  <c r="J2221" i="10" s="1"/>
  <c r="J2203" i="10"/>
  <c r="J2202" i="10"/>
  <c r="J2192" i="10"/>
  <c r="J2191" i="10"/>
  <c r="J2190" i="10"/>
  <c r="J2189" i="10"/>
  <c r="J2188" i="10"/>
  <c r="J2187" i="10"/>
  <c r="J2186" i="10"/>
  <c r="J2185" i="10"/>
  <c r="K2193" i="10" s="1"/>
  <c r="J2182" i="10"/>
  <c r="J2181" i="10"/>
  <c r="J2180" i="10"/>
  <c r="J2179" i="10"/>
  <c r="J2178" i="10"/>
  <c r="J2177" i="10"/>
  <c r="J2176" i="10"/>
  <c r="K2183" i="10" s="1"/>
  <c r="J2195" i="10" s="1"/>
  <c r="J2166" i="10"/>
  <c r="J2165" i="10"/>
  <c r="J2164" i="10"/>
  <c r="J2163" i="10"/>
  <c r="J2162" i="10"/>
  <c r="J2161" i="10"/>
  <c r="J2160" i="10"/>
  <c r="J2159" i="10"/>
  <c r="K2167" i="10" s="1"/>
  <c r="J2156" i="10"/>
  <c r="J2155" i="10"/>
  <c r="J2154" i="10"/>
  <c r="J2153" i="10"/>
  <c r="J2152" i="10"/>
  <c r="K2157" i="10" s="1"/>
  <c r="J2169" i="10" s="1"/>
  <c r="J2151" i="10"/>
  <c r="J2150" i="10"/>
  <c r="J2140" i="10"/>
  <c r="J2139" i="10"/>
  <c r="J2138" i="10"/>
  <c r="J2137" i="10"/>
  <c r="J2136" i="10"/>
  <c r="J2135" i="10"/>
  <c r="J2134" i="10"/>
  <c r="J2133" i="10"/>
  <c r="K2141" i="10" s="1"/>
  <c r="J2130" i="10"/>
  <c r="J2129" i="10"/>
  <c r="J2128" i="10"/>
  <c r="J2127" i="10"/>
  <c r="J2126" i="10"/>
  <c r="J2125" i="10"/>
  <c r="J2124" i="10"/>
  <c r="K2131" i="10" s="1"/>
  <c r="J2143" i="10" s="1"/>
  <c r="J2114" i="10"/>
  <c r="K2115" i="10" s="1"/>
  <c r="K2112" i="10"/>
  <c r="J2117" i="10" s="1"/>
  <c r="K2118" i="10" s="1"/>
  <c r="J2111" i="10"/>
  <c r="J2110" i="10"/>
  <c r="J2100" i="10"/>
  <c r="J2099" i="10"/>
  <c r="J2098" i="10"/>
  <c r="J2097" i="10"/>
  <c r="K2101" i="10" s="1"/>
  <c r="J2094" i="10"/>
  <c r="J2093" i="10"/>
  <c r="K2095" i="10" s="1"/>
  <c r="J2103" i="10" s="1"/>
  <c r="J2083" i="10"/>
  <c r="J2082" i="10"/>
  <c r="K2084" i="10" s="1"/>
  <c r="K2080" i="10"/>
  <c r="J2086" i="10" s="1"/>
  <c r="J2079" i="10"/>
  <c r="J2078" i="10"/>
  <c r="K2069" i="10"/>
  <c r="J2068" i="10"/>
  <c r="J2067" i="10"/>
  <c r="J2064" i="10"/>
  <c r="J2063" i="10"/>
  <c r="J2053" i="10"/>
  <c r="K2054" i="10" s="1"/>
  <c r="J2052" i="10"/>
  <c r="J2049" i="10"/>
  <c r="J2048" i="10"/>
  <c r="J2038" i="10"/>
  <c r="J2037" i="10"/>
  <c r="K2039" i="10" s="1"/>
  <c r="J2034" i="10"/>
  <c r="J2033" i="10"/>
  <c r="K2035" i="10" s="1"/>
  <c r="J2041" i="10" s="1"/>
  <c r="J2021" i="10"/>
  <c r="K2022" i="10" s="1"/>
  <c r="J2018" i="10"/>
  <c r="K2019" i="10" s="1"/>
  <c r="J2015" i="10"/>
  <c r="J2014" i="10"/>
  <c r="K2016" i="10" s="1"/>
  <c r="J2024" i="10" s="1"/>
  <c r="J2004" i="10"/>
  <c r="K2005" i="10" s="1"/>
  <c r="J2001" i="10"/>
  <c r="K2002" i="10" s="1"/>
  <c r="J2000" i="10"/>
  <c r="J1997" i="10"/>
  <c r="J1996" i="10"/>
  <c r="J1995" i="10"/>
  <c r="J1985" i="10"/>
  <c r="K1986" i="10" s="1"/>
  <c r="J1984" i="10"/>
  <c r="J1983" i="10"/>
  <c r="J1980" i="10"/>
  <c r="K1981" i="10" s="1"/>
  <c r="J1988" i="10" s="1"/>
  <c r="J1979" i="10"/>
  <c r="J1978" i="10"/>
  <c r="K1969" i="10"/>
  <c r="J1968" i="10"/>
  <c r="J1965" i="10"/>
  <c r="K1966" i="10" s="1"/>
  <c r="K1963" i="10"/>
  <c r="J1971" i="10" s="1"/>
  <c r="J1962" i="10"/>
  <c r="J1961" i="10"/>
  <c r="K1952" i="10"/>
  <c r="J1951" i="10"/>
  <c r="J1948" i="10"/>
  <c r="K1949" i="10" s="1"/>
  <c r="K1946" i="10"/>
  <c r="J1954" i="10" s="1"/>
  <c r="J1945" i="10"/>
  <c r="J1944" i="10"/>
  <c r="K1935" i="10"/>
  <c r="J1934" i="10"/>
  <c r="J1933" i="10"/>
  <c r="J1930" i="10"/>
  <c r="K1931" i="10" s="1"/>
  <c r="J1929" i="10"/>
  <c r="J1928" i="10"/>
  <c r="J1925" i="10"/>
  <c r="J1915" i="10"/>
  <c r="J1914" i="10"/>
  <c r="K1916" i="10" s="1"/>
  <c r="J1911" i="10"/>
  <c r="J1910" i="10"/>
  <c r="K1912" i="10" s="1"/>
  <c r="J1918" i="10" s="1"/>
  <c r="J1796" i="10"/>
  <c r="J1795" i="10"/>
  <c r="K1797" i="10" s="1"/>
  <c r="J1799" i="10" s="1"/>
  <c r="K1800" i="10" s="1"/>
  <c r="J1785" i="10"/>
  <c r="J1784" i="10"/>
  <c r="J1774" i="10"/>
  <c r="K1775" i="10" s="1"/>
  <c r="J1771" i="10"/>
  <c r="K1772" i="10" s="1"/>
  <c r="J1777" i="10" s="1"/>
  <c r="J1770" i="10"/>
  <c r="J1760" i="10"/>
  <c r="K1761" i="10" s="1"/>
  <c r="J1757" i="10"/>
  <c r="J1756" i="10"/>
  <c r="J1746" i="10"/>
  <c r="J1745" i="10"/>
  <c r="K1747" i="10" s="1"/>
  <c r="K1743" i="10"/>
  <c r="J1749" i="10" s="1"/>
  <c r="K1750" i="10" s="1"/>
  <c r="J1742" i="10"/>
  <c r="J1741" i="10"/>
  <c r="J1733" i="10"/>
  <c r="K1734" i="10" s="1"/>
  <c r="J1730" i="10"/>
  <c r="J1729" i="10"/>
  <c r="J1719" i="10"/>
  <c r="K1720" i="10" s="1"/>
  <c r="J1716" i="10"/>
  <c r="K1717" i="10" s="1"/>
  <c r="J1722" i="10" s="1"/>
  <c r="J1715" i="10"/>
  <c r="J1705" i="10"/>
  <c r="K1706" i="10" s="1"/>
  <c r="J1704" i="10"/>
  <c r="J1701" i="10"/>
  <c r="J1700" i="10"/>
  <c r="J1690" i="10"/>
  <c r="K1691" i="10" s="1"/>
  <c r="J1687" i="10"/>
  <c r="J1686" i="10"/>
  <c r="K1688" i="10" s="1"/>
  <c r="J1693" i="10" s="1"/>
  <c r="K1677" i="10"/>
  <c r="J1676" i="10"/>
  <c r="J1675" i="10"/>
  <c r="J1674" i="10"/>
  <c r="K1672" i="10"/>
  <c r="J1679" i="10" s="1"/>
  <c r="J1671" i="10"/>
  <c r="J1670" i="10"/>
  <c r="K1661" i="10"/>
  <c r="J1660" i="10"/>
  <c r="J1657" i="10"/>
  <c r="J1656" i="10"/>
  <c r="J1646" i="10"/>
  <c r="K1647" i="10" s="1"/>
  <c r="J1645" i="10"/>
  <c r="J1642" i="10"/>
  <c r="J1641" i="10"/>
  <c r="K1643" i="10" s="1"/>
  <c r="J1649" i="10" s="1"/>
  <c r="J1631" i="10"/>
  <c r="K1632" i="10" s="1"/>
  <c r="J1634" i="10" s="1"/>
  <c r="J1621" i="10"/>
  <c r="J1620" i="10"/>
  <c r="K1622" i="10" s="1"/>
  <c r="K1618" i="10"/>
  <c r="J1617" i="10"/>
  <c r="J1616" i="10"/>
  <c r="J1613" i="10"/>
  <c r="J1612" i="10"/>
  <c r="J1602" i="10"/>
  <c r="J1601" i="10"/>
  <c r="J1600" i="10"/>
  <c r="J1599" i="10"/>
  <c r="K1603" i="10" s="1"/>
  <c r="J1596" i="10"/>
  <c r="K1597" i="10" s="1"/>
  <c r="J1605" i="10" s="1"/>
  <c r="K1606" i="10" s="1"/>
  <c r="J1595" i="10"/>
  <c r="J1585" i="10"/>
  <c r="K1586" i="10" s="1"/>
  <c r="J1588" i="10" s="1"/>
  <c r="J1584" i="10"/>
  <c r="J1574" i="10"/>
  <c r="J1573" i="10"/>
  <c r="J1572" i="10"/>
  <c r="J1571" i="10"/>
  <c r="K1575" i="10" s="1"/>
  <c r="J1570" i="10"/>
  <c r="J1569" i="10"/>
  <c r="J1568" i="10"/>
  <c r="K1566" i="10"/>
  <c r="J1577" i="10" s="1"/>
  <c r="J1565" i="10"/>
  <c r="J1564" i="10"/>
  <c r="J1554" i="10"/>
  <c r="J1553" i="10"/>
  <c r="J1552" i="10"/>
  <c r="J1551" i="10"/>
  <c r="K1555" i="10" s="1"/>
  <c r="K1549" i="10"/>
  <c r="J1557" i="10" s="1"/>
  <c r="J1548" i="10"/>
  <c r="J1547" i="10"/>
  <c r="K1538" i="10"/>
  <c r="J1537" i="10"/>
  <c r="J1536" i="10"/>
  <c r="J1535" i="10"/>
  <c r="K1533" i="10"/>
  <c r="J1540" i="10" s="1"/>
  <c r="J1532" i="10"/>
  <c r="J1531" i="10"/>
  <c r="J1521" i="10"/>
  <c r="J1520" i="10"/>
  <c r="K1522" i="10" s="1"/>
  <c r="J1517" i="10"/>
  <c r="K1518" i="10" s="1"/>
  <c r="J1524" i="10" s="1"/>
  <c r="J1516" i="10"/>
  <c r="K1507" i="10"/>
  <c r="J1506" i="10"/>
  <c r="J1505" i="10"/>
  <c r="J1502" i="10"/>
  <c r="K1503" i="10" s="1"/>
  <c r="J1509" i="10" s="1"/>
  <c r="J1501" i="10"/>
  <c r="J1491" i="10"/>
  <c r="J1490" i="10"/>
  <c r="K1492" i="10" s="1"/>
  <c r="J1487" i="10"/>
  <c r="J1486" i="10"/>
  <c r="J1476" i="10"/>
  <c r="J1475" i="10"/>
  <c r="K1477" i="10" s="1"/>
  <c r="K1473" i="10"/>
  <c r="J1479" i="10" s="1"/>
  <c r="K1480" i="10" s="1"/>
  <c r="J1472" i="10"/>
  <c r="J1471" i="10"/>
  <c r="K1462" i="10"/>
  <c r="J1461" i="10"/>
  <c r="J1460" i="10"/>
  <c r="J1457" i="10"/>
  <c r="J1456" i="10"/>
  <c r="J1446" i="10"/>
  <c r="K1447" i="10" s="1"/>
  <c r="J1445" i="10"/>
  <c r="K1443" i="10"/>
  <c r="J1449" i="10" s="1"/>
  <c r="J1442" i="10"/>
  <c r="J1441" i="10"/>
  <c r="J1431" i="10"/>
  <c r="K1432" i="10" s="1"/>
  <c r="K1429" i="10"/>
  <c r="J1434" i="10" s="1"/>
  <c r="J1428" i="10"/>
  <c r="J1427" i="10"/>
  <c r="K1435" i="10" s="1"/>
  <c r="K1418" i="10"/>
  <c r="J1417" i="10"/>
  <c r="J1414" i="10"/>
  <c r="J1413" i="10"/>
  <c r="J1403" i="10"/>
  <c r="K1404" i="10" s="1"/>
  <c r="J1400" i="10"/>
  <c r="J1399" i="10"/>
  <c r="K1401" i="10" s="1"/>
  <c r="J1406" i="10" s="1"/>
  <c r="J1389" i="10"/>
  <c r="J1388" i="10"/>
  <c r="K1390" i="10" s="1"/>
  <c r="K1386" i="10"/>
  <c r="J1392" i="10" s="1"/>
  <c r="J1385" i="10"/>
  <c r="J1384" i="10"/>
  <c r="K1375" i="10"/>
  <c r="J1374" i="10"/>
  <c r="J1371" i="10"/>
  <c r="J1370" i="10"/>
  <c r="J1360" i="10"/>
  <c r="K1361" i="10" s="1"/>
  <c r="K1358" i="10"/>
  <c r="J1363" i="10" s="1"/>
  <c r="K1364" i="10" s="1"/>
  <c r="J1357" i="10"/>
  <c r="J1356" i="10"/>
  <c r="K1347" i="10"/>
  <c r="J1346" i="10"/>
  <c r="J1345" i="10"/>
  <c r="J1344" i="10"/>
  <c r="K1342" i="10"/>
  <c r="J1349" i="10" s="1"/>
  <c r="J1341" i="10"/>
  <c r="J1340" i="10"/>
  <c r="J1339" i="10"/>
  <c r="J1329" i="10"/>
  <c r="J1328" i="10"/>
  <c r="K1330" i="10" s="1"/>
  <c r="K1326" i="10"/>
  <c r="J1332" i="10" s="1"/>
  <c r="J1325" i="10"/>
  <c r="J1324" i="10"/>
  <c r="K1315" i="10"/>
  <c r="J1314" i="10"/>
  <c r="J1313" i="10"/>
  <c r="J1310" i="10"/>
  <c r="J1309" i="10"/>
  <c r="J1299" i="10"/>
  <c r="K1300" i="10" s="1"/>
  <c r="J1296" i="10"/>
  <c r="J1295" i="10"/>
  <c r="J1285" i="10"/>
  <c r="K1286" i="10" s="1"/>
  <c r="J1282" i="10"/>
  <c r="J1281" i="10"/>
  <c r="J1271" i="10"/>
  <c r="K1272" i="10" s="1"/>
  <c r="J1268" i="10"/>
  <c r="K1269" i="10" s="1"/>
  <c r="J1265" i="10"/>
  <c r="K1266" i="10" s="1"/>
  <c r="J1274" i="10" s="1"/>
  <c r="J1264" i="10"/>
  <c r="J1254" i="10"/>
  <c r="K1255" i="10" s="1"/>
  <c r="J1253" i="10"/>
  <c r="J1250" i="10"/>
  <c r="J1249" i="10"/>
  <c r="J1239" i="10"/>
  <c r="J1238" i="10"/>
  <c r="K1240" i="10" s="1"/>
  <c r="J1235" i="10"/>
  <c r="J1234" i="10"/>
  <c r="K1236" i="10" s="1"/>
  <c r="J1242" i="10" s="1"/>
  <c r="J1224" i="10"/>
  <c r="K1225" i="10" s="1"/>
  <c r="J1221" i="10"/>
  <c r="J1220" i="10"/>
  <c r="J1212" i="10"/>
  <c r="J1211" i="10"/>
  <c r="K1214" i="10" s="1"/>
  <c r="J1203" i="10"/>
  <c r="J1202" i="10"/>
  <c r="J1201" i="10"/>
  <c r="K1204" i="10" s="1"/>
  <c r="J1193" i="10"/>
  <c r="J1192" i="10"/>
  <c r="J1191" i="10"/>
  <c r="K1194" i="10" s="1"/>
  <c r="J1183" i="10"/>
  <c r="J1182" i="10"/>
  <c r="J1181" i="10"/>
  <c r="K1184" i="10" s="1"/>
  <c r="J1171" i="10"/>
  <c r="K1172" i="10" s="1"/>
  <c r="K1169" i="10"/>
  <c r="J1174" i="10" s="1"/>
  <c r="K1175" i="10" s="1"/>
  <c r="J1168" i="10"/>
  <c r="J1158" i="10"/>
  <c r="K1159" i="10" s="1"/>
  <c r="J1155" i="10"/>
  <c r="K1156" i="10" s="1"/>
  <c r="J1152" i="10"/>
  <c r="K1153" i="10" s="1"/>
  <c r="J1161" i="10" s="1"/>
  <c r="J1151" i="10"/>
  <c r="K1162" i="10" s="1"/>
  <c r="J1141" i="10"/>
  <c r="K1142" i="10" s="1"/>
  <c r="J1138" i="10"/>
  <c r="K1139" i="10" s="1"/>
  <c r="J1135" i="10"/>
  <c r="K1136" i="10" s="1"/>
  <c r="J1144" i="10" s="1"/>
  <c r="J1134" i="10"/>
  <c r="K1145" i="10" s="1"/>
  <c r="J1124" i="10"/>
  <c r="K1125" i="10" s="1"/>
  <c r="J1121" i="10"/>
  <c r="J1120" i="10"/>
  <c r="J1110" i="10"/>
  <c r="K1111" i="10" s="1"/>
  <c r="J1107" i="10"/>
  <c r="K1108" i="10" s="1"/>
  <c r="J1104" i="10"/>
  <c r="J1103" i="10"/>
  <c r="K1105" i="10" s="1"/>
  <c r="J1113" i="10" s="1"/>
  <c r="J1093" i="10"/>
  <c r="K1094" i="10" s="1"/>
  <c r="J1090" i="10"/>
  <c r="K1091" i="10" s="1"/>
  <c r="J1087" i="10"/>
  <c r="J1086" i="10"/>
  <c r="K1088" i="10" s="1"/>
  <c r="J1096" i="10" s="1"/>
  <c r="J1073" i="10"/>
  <c r="J1072" i="10"/>
  <c r="K1074" i="10" s="1"/>
  <c r="K1070" i="10"/>
  <c r="J1076" i="10" s="1"/>
  <c r="J1069" i="10"/>
  <c r="J1068" i="10"/>
  <c r="K1059" i="10"/>
  <c r="J1058" i="10"/>
  <c r="J1057" i="10"/>
  <c r="J1054" i="10"/>
  <c r="J1053" i="10"/>
  <c r="J1043" i="10"/>
  <c r="K1044" i="10" s="1"/>
  <c r="J1040" i="10"/>
  <c r="J1039" i="10"/>
  <c r="J1029" i="10"/>
  <c r="J1028" i="10"/>
  <c r="K1030" i="10" s="1"/>
  <c r="K1026" i="10"/>
  <c r="J1032" i="10" s="1"/>
  <c r="J1025" i="10"/>
  <c r="J1024" i="10"/>
  <c r="K1015" i="10"/>
  <c r="J1014" i="10"/>
  <c r="J1013" i="10"/>
  <c r="J1010" i="10"/>
  <c r="J1009" i="10"/>
  <c r="J999" i="10"/>
  <c r="K1000" i="10" s="1"/>
  <c r="J996" i="10"/>
  <c r="J995" i="10"/>
  <c r="J985" i="10"/>
  <c r="J984" i="10"/>
  <c r="K986" i="10" s="1"/>
  <c r="J988" i="10" s="1"/>
  <c r="J974" i="10"/>
  <c r="K975" i="10" s="1"/>
  <c r="K972" i="10"/>
  <c r="J977" i="10" s="1"/>
  <c r="J971" i="10"/>
  <c r="K978" i="10" s="1"/>
  <c r="J970" i="10"/>
  <c r="J960" i="10"/>
  <c r="K961" i="10" s="1"/>
  <c r="J957" i="10"/>
  <c r="K958" i="10" s="1"/>
  <c r="J954" i="10"/>
  <c r="K955" i="10" s="1"/>
  <c r="J963" i="10" s="1"/>
  <c r="J953" i="10"/>
  <c r="J943" i="10"/>
  <c r="K944" i="10" s="1"/>
  <c r="J940" i="10"/>
  <c r="J939" i="10"/>
  <c r="J929" i="10"/>
  <c r="K930" i="10" s="1"/>
  <c r="J926" i="10"/>
  <c r="J925" i="10"/>
  <c r="J915" i="10"/>
  <c r="K916" i="10" s="1"/>
  <c r="J914" i="10"/>
  <c r="J911" i="10"/>
  <c r="J910" i="10"/>
  <c r="J900" i="10"/>
  <c r="K901" i="10" s="1"/>
  <c r="K898" i="10"/>
  <c r="J897" i="10"/>
  <c r="J894" i="10"/>
  <c r="J893" i="10"/>
  <c r="K895" i="10" s="1"/>
  <c r="J903" i="10" s="1"/>
  <c r="J883" i="10"/>
  <c r="J882" i="10"/>
  <c r="J881" i="10"/>
  <c r="J880" i="10"/>
  <c r="J879" i="10"/>
  <c r="J878" i="10"/>
  <c r="K884" i="10" s="1"/>
  <c r="J875" i="10"/>
  <c r="J874" i="10"/>
  <c r="K876" i="10" s="1"/>
  <c r="J886" i="10" s="1"/>
  <c r="J864" i="10"/>
  <c r="K865" i="10" s="1"/>
  <c r="J861" i="10"/>
  <c r="K862" i="10" s="1"/>
  <c r="J858" i="10"/>
  <c r="J857" i="10"/>
  <c r="K859" i="10" s="1"/>
  <c r="J867" i="10" s="1"/>
  <c r="J847" i="10"/>
  <c r="K848" i="10" s="1"/>
  <c r="K845" i="10"/>
  <c r="J850" i="10" s="1"/>
  <c r="J844" i="10"/>
  <c r="K851" i="10" s="1"/>
  <c r="J843" i="10"/>
  <c r="J833" i="10"/>
  <c r="K834" i="10" s="1"/>
  <c r="J830" i="10"/>
  <c r="K831" i="10" s="1"/>
  <c r="J827" i="10"/>
  <c r="K828" i="10" s="1"/>
  <c r="J836" i="10" s="1"/>
  <c r="J826" i="10"/>
  <c r="K837" i="10" s="1"/>
  <c r="J816" i="10"/>
  <c r="K817" i="10" s="1"/>
  <c r="J813" i="10"/>
  <c r="K814" i="10" s="1"/>
  <c r="J810" i="10"/>
  <c r="K811" i="10" s="1"/>
  <c r="J819" i="10" s="1"/>
  <c r="J809" i="10"/>
  <c r="K820" i="10" s="1"/>
  <c r="J801" i="10"/>
  <c r="K803" i="10" s="1"/>
  <c r="K795" i="10"/>
  <c r="K794" i="10"/>
  <c r="J793" i="10"/>
  <c r="J785" i="10"/>
  <c r="K787" i="10" s="1"/>
  <c r="K779" i="10"/>
  <c r="K778" i="10"/>
  <c r="J777" i="10"/>
  <c r="J769" i="10"/>
  <c r="K771" i="10" s="1"/>
  <c r="K763" i="10"/>
  <c r="K762" i="10"/>
  <c r="J761" i="10"/>
  <c r="J753" i="10"/>
  <c r="K755" i="10" s="1"/>
  <c r="K747" i="10"/>
  <c r="K746" i="10"/>
  <c r="J745" i="10"/>
  <c r="J737" i="10"/>
  <c r="K739" i="10" s="1"/>
  <c r="K731" i="10"/>
  <c r="K730" i="10"/>
  <c r="J729" i="10"/>
  <c r="J721" i="10"/>
  <c r="K723" i="10" s="1"/>
  <c r="K715" i="10"/>
  <c r="K714" i="10"/>
  <c r="J713" i="10"/>
  <c r="J705" i="10"/>
  <c r="K707" i="10" s="1"/>
  <c r="K699" i="10"/>
  <c r="K698" i="10"/>
  <c r="J697" i="10"/>
  <c r="K688" i="10"/>
  <c r="J690" i="10" s="1"/>
  <c r="J687" i="10"/>
  <c r="K691" i="10" s="1"/>
  <c r="J677" i="10"/>
  <c r="J676" i="10"/>
  <c r="K678" i="10" s="1"/>
  <c r="J673" i="10"/>
  <c r="J672" i="10"/>
  <c r="K674" i="10" s="1"/>
  <c r="J680" i="10" s="1"/>
  <c r="J662" i="10"/>
  <c r="K663" i="10" s="1"/>
  <c r="K660" i="10"/>
  <c r="J659" i="10"/>
  <c r="J656" i="10"/>
  <c r="K657" i="10" s="1"/>
  <c r="J665" i="10" s="1"/>
  <c r="K666" i="10" s="1"/>
  <c r="J649" i="10"/>
  <c r="K650" i="10" s="1"/>
  <c r="K647" i="10"/>
  <c r="J646" i="10"/>
  <c r="K637" i="10"/>
  <c r="J639" i="10" s="1"/>
  <c r="J636" i="10"/>
  <c r="K640" i="10" s="1"/>
  <c r="J626" i="10"/>
  <c r="K627" i="10" s="1"/>
  <c r="K624" i="10"/>
  <c r="J629" i="10" s="1"/>
  <c r="J623" i="10"/>
  <c r="J622" i="10"/>
  <c r="K615" i="10"/>
  <c r="J614" i="10"/>
  <c r="K616" i="10" s="1"/>
  <c r="K609" i="10"/>
  <c r="K608" i="10"/>
  <c r="K610" i="10" s="1"/>
  <c r="K604" i="10" s="1"/>
  <c r="J606" i="10"/>
  <c r="K607" i="10" s="1"/>
  <c r="K599" i="10"/>
  <c r="J598" i="10"/>
  <c r="K600" i="10" s="1"/>
  <c r="K593" i="10"/>
  <c r="K592" i="10"/>
  <c r="K594" i="10" s="1"/>
  <c r="K588" i="10" s="1"/>
  <c r="J590" i="10"/>
  <c r="K591" i="10" s="1"/>
  <c r="J583" i="10"/>
  <c r="K581" i="10"/>
  <c r="J580" i="10"/>
  <c r="J579" i="10"/>
  <c r="K584" i="10" s="1"/>
  <c r="K570" i="10"/>
  <c r="J569" i="10"/>
  <c r="J568" i="10"/>
  <c r="K566" i="10"/>
  <c r="J565" i="10"/>
  <c r="J564" i="10"/>
  <c r="J561" i="10"/>
  <c r="J560" i="10"/>
  <c r="J550" i="10"/>
  <c r="K551" i="10" s="1"/>
  <c r="K548" i="10"/>
  <c r="J553" i="10" s="1"/>
  <c r="J547" i="10"/>
  <c r="K538" i="10"/>
  <c r="J540" i="10" s="1"/>
  <c r="J537" i="10"/>
  <c r="K541" i="10" s="1"/>
  <c r="J527" i="10"/>
  <c r="J517" i="10"/>
  <c r="K518" i="10" s="1"/>
  <c r="J520" i="10" s="1"/>
  <c r="K521" i="10" s="1"/>
  <c r="J510" i="10"/>
  <c r="K508" i="10"/>
  <c r="J507" i="10"/>
  <c r="J506" i="10"/>
  <c r="K497" i="10"/>
  <c r="J499" i="10" s="1"/>
  <c r="J496" i="10"/>
  <c r="J495" i="10"/>
  <c r="K486" i="10"/>
  <c r="J485" i="10"/>
  <c r="J482" i="10"/>
  <c r="J481" i="10"/>
  <c r="J471" i="10"/>
  <c r="K472" i="10" s="1"/>
  <c r="J474" i="10" s="1"/>
  <c r="J461" i="10"/>
  <c r="J460" i="10"/>
  <c r="K462" i="10" s="1"/>
  <c r="K458" i="10"/>
  <c r="J464" i="10" s="1"/>
  <c r="K465" i="10" s="1"/>
  <c r="J457" i="10"/>
  <c r="K448" i="10"/>
  <c r="J447" i="10"/>
  <c r="J444" i="10"/>
  <c r="J443" i="10"/>
  <c r="J433" i="10"/>
  <c r="K434" i="10" s="1"/>
  <c r="J436" i="10" s="1"/>
  <c r="K437" i="10" s="1"/>
  <c r="K424" i="10"/>
  <c r="J423" i="10"/>
  <c r="J422" i="10"/>
  <c r="J419" i="10"/>
  <c r="J418" i="10"/>
  <c r="K409" i="10"/>
  <c r="J408" i="10"/>
  <c r="J405" i="10"/>
  <c r="J404" i="10"/>
  <c r="J394" i="10"/>
  <c r="K395" i="10" s="1"/>
  <c r="J397" i="10" s="1"/>
  <c r="K398" i="10" s="1"/>
  <c r="K385" i="10"/>
  <c r="J384" i="10"/>
  <c r="J381" i="10"/>
  <c r="J380" i="10"/>
  <c r="K371" i="10"/>
  <c r="J373" i="10" s="1"/>
  <c r="K374" i="10" s="1"/>
  <c r="J370" i="10"/>
  <c r="J360" i="10"/>
  <c r="K361" i="10" s="1"/>
  <c r="J357" i="10"/>
  <c r="K358" i="10" s="1"/>
  <c r="J363" i="10" s="1"/>
  <c r="K348" i="10"/>
  <c r="J347" i="10"/>
  <c r="J344" i="10"/>
  <c r="J343" i="10"/>
  <c r="K345" i="10" s="1"/>
  <c r="J350" i="10" s="1"/>
  <c r="K337" i="10"/>
  <c r="K338" i="10" s="1"/>
  <c r="K336" i="10"/>
  <c r="J335" i="10"/>
  <c r="J325" i="10"/>
  <c r="J324" i="10"/>
  <c r="J323" i="10"/>
  <c r="J322" i="10"/>
  <c r="K326" i="10" s="1"/>
  <c r="J319" i="10"/>
  <c r="K320" i="10" s="1"/>
  <c r="J328" i="10" s="1"/>
  <c r="K329" i="10" s="1"/>
  <c r="J318" i="10"/>
  <c r="J317" i="10"/>
  <c r="J307" i="10"/>
  <c r="J306" i="10"/>
  <c r="K308" i="10" s="1"/>
  <c r="J303" i="10"/>
  <c r="K304" i="10" s="1"/>
  <c r="J310" i="10" s="1"/>
  <c r="J302" i="10"/>
  <c r="K293" i="10"/>
  <c r="J292" i="10"/>
  <c r="J289" i="10"/>
  <c r="K290" i="10" s="1"/>
  <c r="J286" i="10"/>
  <c r="K287" i="10" s="1"/>
  <c r="J295" i="10" s="1"/>
  <c r="J285" i="10"/>
  <c r="J275" i="10"/>
  <c r="K276" i="10" s="1"/>
  <c r="J278" i="10" s="1"/>
  <c r="J274" i="10"/>
  <c r="J273" i="10"/>
  <c r="K263" i="10"/>
  <c r="J262" i="10"/>
  <c r="K260" i="10"/>
  <c r="J265" i="10" s="1"/>
  <c r="K266" i="10" s="1"/>
  <c r="J259" i="10"/>
  <c r="J258" i="10"/>
  <c r="J250" i="10"/>
  <c r="K251" i="10" s="1"/>
  <c r="J242" i="10"/>
  <c r="K244" i="10" s="1"/>
  <c r="J228" i="10"/>
  <c r="K229" i="10" s="1"/>
  <c r="J225" i="10"/>
  <c r="J224" i="10"/>
  <c r="K226" i="10" s="1"/>
  <c r="J231" i="10" s="1"/>
  <c r="K215" i="10"/>
  <c r="J214" i="10"/>
  <c r="J211" i="10"/>
  <c r="J210" i="10"/>
  <c r="K201" i="10"/>
  <c r="J200" i="10"/>
  <c r="J199" i="10"/>
  <c r="J196" i="10"/>
  <c r="J195" i="10"/>
  <c r="K197" i="10" s="1"/>
  <c r="J203" i="10" s="1"/>
  <c r="K187" i="10"/>
  <c r="J186" i="10"/>
  <c r="J183" i="10"/>
  <c r="J182" i="10"/>
  <c r="K184" i="10" s="1"/>
  <c r="J174" i="10"/>
  <c r="K175" i="10" s="1"/>
  <c r="J171" i="10"/>
  <c r="K172" i="10" s="1"/>
  <c r="J170" i="10"/>
  <c r="J162" i="10"/>
  <c r="K163" i="10" s="1"/>
  <c r="J159" i="10"/>
  <c r="J158" i="10"/>
  <c r="J150" i="10"/>
  <c r="K151" i="10" s="1"/>
  <c r="J147" i="10"/>
  <c r="J146" i="10"/>
  <c r="K148" i="10" s="1"/>
  <c r="K140" i="10"/>
  <c r="K141" i="10" s="1"/>
  <c r="K139" i="10" s="1"/>
  <c r="K134" i="10"/>
  <c r="J133" i="10"/>
  <c r="J132" i="10"/>
  <c r="J129" i="10"/>
  <c r="K135" i="10" s="1"/>
  <c r="J128" i="10"/>
  <c r="K122" i="10"/>
  <c r="K124" i="10" s="1"/>
  <c r="K109" i="10" s="1"/>
  <c r="J120" i="10"/>
  <c r="J119" i="10"/>
  <c r="J118" i="10"/>
  <c r="J117" i="10"/>
  <c r="K121" i="10" s="1"/>
  <c r="J114" i="10"/>
  <c r="K115" i="10" s="1"/>
  <c r="K112" i="10"/>
  <c r="K123" i="10" s="1"/>
  <c r="J111" i="10"/>
  <c r="K106" i="10"/>
  <c r="K104" i="10"/>
  <c r="J103" i="10"/>
  <c r="J102" i="10"/>
  <c r="J101" i="10"/>
  <c r="K99" i="10"/>
  <c r="J98" i="10"/>
  <c r="K96" i="10"/>
  <c r="J95" i="10"/>
  <c r="K105" i="10" s="1"/>
  <c r="K107" i="10" s="1"/>
  <c r="K93" i="10" s="1"/>
  <c r="K90" i="10"/>
  <c r="J87" i="10"/>
  <c r="K88" i="10" s="1"/>
  <c r="J86" i="10"/>
  <c r="J85" i="10"/>
  <c r="J82" i="10"/>
  <c r="K83" i="10" s="1"/>
  <c r="K80" i="10"/>
  <c r="J79" i="10"/>
  <c r="J71" i="10"/>
  <c r="J70" i="10"/>
  <c r="J69" i="10"/>
  <c r="J68" i="10"/>
  <c r="K72" i="10" s="1"/>
  <c r="J65" i="10"/>
  <c r="K66" i="10" s="1"/>
  <c r="J62" i="10"/>
  <c r="J54" i="10"/>
  <c r="J53" i="10"/>
  <c r="J52" i="10"/>
  <c r="K55" i="10" s="1"/>
  <c r="J49" i="10"/>
  <c r="K50" i="10" s="1"/>
  <c r="J46" i="10"/>
  <c r="K47" i="10" s="1"/>
  <c r="K57" i="10" s="1"/>
  <c r="J38" i="10"/>
  <c r="K39" i="10" s="1"/>
  <c r="J37" i="10"/>
  <c r="J36" i="10"/>
  <c r="J33" i="10"/>
  <c r="K40" i="10" s="1"/>
  <c r="K42" i="10" s="1"/>
  <c r="K28" i="10" s="1"/>
  <c r="J30" i="10"/>
  <c r="K31" i="10" s="1"/>
  <c r="K41" i="10" s="1"/>
  <c r="J22" i="10"/>
  <c r="J21" i="10"/>
  <c r="J20" i="10"/>
  <c r="K24" i="10" s="1"/>
  <c r="K26" i="10" s="1"/>
  <c r="K11" i="10" s="1"/>
  <c r="J19" i="10"/>
  <c r="K23" i="10" s="1"/>
  <c r="K17" i="10"/>
  <c r="J16" i="10"/>
  <c r="K14" i="10"/>
  <c r="K25" i="10" s="1"/>
  <c r="J13" i="10"/>
  <c r="Z329" i="2"/>
  <c r="Y329" i="2"/>
  <c r="V339" i="2"/>
  <c r="T339" i="2"/>
  <c r="K522" i="10" l="1"/>
  <c r="K523" i="10" s="1"/>
  <c r="K515" i="10" s="1"/>
  <c r="K267" i="10"/>
  <c r="K268" i="10"/>
  <c r="K256" i="10" s="1"/>
  <c r="K245" i="10"/>
  <c r="K246" i="10"/>
  <c r="K240" i="10" s="1"/>
  <c r="K399" i="10"/>
  <c r="K400" i="10" s="1"/>
  <c r="K392" i="10" s="1"/>
  <c r="K375" i="10"/>
  <c r="K376" i="10" s="1"/>
  <c r="K368" i="10" s="1"/>
  <c r="K331" i="10"/>
  <c r="K315" i="10" s="1"/>
  <c r="K330" i="10"/>
  <c r="K466" i="10"/>
  <c r="K467" i="10" s="1"/>
  <c r="K455" i="10" s="1"/>
  <c r="K438" i="10"/>
  <c r="K439" i="10" s="1"/>
  <c r="K431" i="10" s="1"/>
  <c r="K311" i="10"/>
  <c r="K364" i="10"/>
  <c r="K500" i="10"/>
  <c r="K528" i="10"/>
  <c r="J530" i="10" s="1"/>
  <c r="K531" i="10"/>
  <c r="K822" i="10"/>
  <c r="K807" i="10" s="1"/>
  <c r="K821" i="10"/>
  <c r="K838" i="10"/>
  <c r="K839" i="10" s="1"/>
  <c r="K824" i="10" s="1"/>
  <c r="K947" i="10"/>
  <c r="K979" i="10"/>
  <c r="K980" i="10" s="1"/>
  <c r="K968" i="10" s="1"/>
  <c r="K1801" i="10"/>
  <c r="K1802" i="10" s="1"/>
  <c r="K1793" i="10" s="1"/>
  <c r="K34" i="10"/>
  <c r="K130" i="10"/>
  <c r="K136" i="10" s="1"/>
  <c r="K137" i="10" s="1"/>
  <c r="K126" i="10" s="1"/>
  <c r="K188" i="10"/>
  <c r="K204" i="10"/>
  <c r="K351" i="10"/>
  <c r="K427" i="10"/>
  <c r="K445" i="10"/>
  <c r="J450" i="10" s="1"/>
  <c r="K451" i="10" s="1"/>
  <c r="K483" i="10"/>
  <c r="J488" i="10" s="1"/>
  <c r="K489" i="10" s="1"/>
  <c r="K511" i="10"/>
  <c r="K641" i="10"/>
  <c r="K642" i="10" s="1"/>
  <c r="K634" i="10" s="1"/>
  <c r="K651" i="10"/>
  <c r="K652" i="10" s="1"/>
  <c r="K644" i="10" s="1"/>
  <c r="K852" i="10"/>
  <c r="K853" i="10" s="1"/>
  <c r="K841" i="10" s="1"/>
  <c r="K1366" i="10"/>
  <c r="K1354" i="10" s="1"/>
  <c r="K1365" i="10"/>
  <c r="K1751" i="10"/>
  <c r="K1752" i="10" s="1"/>
  <c r="K1739" i="10" s="1"/>
  <c r="K176" i="10"/>
  <c r="K89" i="10"/>
  <c r="K91" i="10" s="1"/>
  <c r="K77" i="10" s="1"/>
  <c r="K152" i="10"/>
  <c r="K232" i="10"/>
  <c r="K420" i="10"/>
  <c r="J426" i="10" s="1"/>
  <c r="K933" i="10"/>
  <c r="K1146" i="10"/>
  <c r="K1147" i="10" s="1"/>
  <c r="K1132" i="10" s="1"/>
  <c r="K1163" i="10"/>
  <c r="K1164" i="10" s="1"/>
  <c r="K1149" i="10" s="1"/>
  <c r="K1215" i="10"/>
  <c r="K1216" i="10" s="1"/>
  <c r="K1209" i="10" s="1"/>
  <c r="K1607" i="10"/>
  <c r="K1608" i="10" s="1"/>
  <c r="K1593" i="10" s="1"/>
  <c r="K56" i="10"/>
  <c r="K58" i="10" s="1"/>
  <c r="K44" i="10" s="1"/>
  <c r="K164" i="10"/>
  <c r="K212" i="10"/>
  <c r="J217" i="10" s="1"/>
  <c r="K218" i="10" s="1"/>
  <c r="K243" i="10"/>
  <c r="K339" i="10"/>
  <c r="K333" i="10" s="1"/>
  <c r="K406" i="10"/>
  <c r="J411" i="10" s="1"/>
  <c r="K412" i="10" s="1"/>
  <c r="K543" i="10"/>
  <c r="K535" i="10" s="1"/>
  <c r="K542" i="10"/>
  <c r="K601" i="10"/>
  <c r="K602" i="10"/>
  <c r="K596" i="10" s="1"/>
  <c r="K668" i="10"/>
  <c r="K654" i="10" s="1"/>
  <c r="K667" i="10"/>
  <c r="K692" i="10"/>
  <c r="K693" i="10" s="1"/>
  <c r="K685" i="10" s="1"/>
  <c r="K73" i="10"/>
  <c r="K63" i="10"/>
  <c r="K74" i="10" s="1"/>
  <c r="K160" i="10"/>
  <c r="K252" i="10"/>
  <c r="K279" i="10"/>
  <c r="K296" i="10"/>
  <c r="K382" i="10"/>
  <c r="J387" i="10" s="1"/>
  <c r="K388" i="10" s="1"/>
  <c r="K475" i="10"/>
  <c r="K573" i="10"/>
  <c r="K585" i="10"/>
  <c r="K586" i="10"/>
  <c r="K577" i="10" s="1"/>
  <c r="K617" i="10"/>
  <c r="K618" i="10"/>
  <c r="K612" i="10" s="1"/>
  <c r="K708" i="10"/>
  <c r="K709" i="10" s="1"/>
  <c r="K703" i="10" s="1"/>
  <c r="K724" i="10"/>
  <c r="K725" i="10" s="1"/>
  <c r="K719" i="10" s="1"/>
  <c r="K740" i="10"/>
  <c r="K741" i="10" s="1"/>
  <c r="K735" i="10" s="1"/>
  <c r="K756" i="10"/>
  <c r="K757" i="10" s="1"/>
  <c r="K751" i="10" s="1"/>
  <c r="K772" i="10"/>
  <c r="K773" i="10" s="1"/>
  <c r="K767" i="10" s="1"/>
  <c r="K788" i="10"/>
  <c r="K789" i="10" s="1"/>
  <c r="K783" i="10" s="1"/>
  <c r="K804" i="10"/>
  <c r="K805" i="10" s="1"/>
  <c r="K799" i="10" s="1"/>
  <c r="K964" i="10"/>
  <c r="K1176" i="10"/>
  <c r="K1177" i="10" s="1"/>
  <c r="K1166" i="10" s="1"/>
  <c r="K1275" i="10"/>
  <c r="K1350" i="10"/>
  <c r="K1378" i="10"/>
  <c r="K1436" i="10"/>
  <c r="K1437" i="10" s="1"/>
  <c r="K1425" i="10" s="1"/>
  <c r="K1482" i="10"/>
  <c r="K1469" i="10" s="1"/>
  <c r="K1481" i="10"/>
  <c r="K1541" i="10"/>
  <c r="K1664" i="10"/>
  <c r="K1680" i="10"/>
  <c r="K554" i="10"/>
  <c r="K630" i="10"/>
  <c r="K681" i="10"/>
  <c r="K887" i="10"/>
  <c r="K904" i="10"/>
  <c r="K1185" i="10"/>
  <c r="K1195" i="10"/>
  <c r="K1205" i="10"/>
  <c r="K1243" i="10"/>
  <c r="K1525" i="10"/>
  <c r="K1723" i="10"/>
  <c r="K1778" i="10"/>
  <c r="K1938" i="10"/>
  <c r="K1955" i="10"/>
  <c r="K2616" i="10"/>
  <c r="K868" i="10"/>
  <c r="K927" i="10"/>
  <c r="J932" i="10" s="1"/>
  <c r="K989" i="10"/>
  <c r="K1011" i="10"/>
  <c r="J1017" i="10" s="1"/>
  <c r="K1018" i="10" s="1"/>
  <c r="K1033" i="10"/>
  <c r="K1055" i="10"/>
  <c r="J1061" i="10" s="1"/>
  <c r="K1062" i="10" s="1"/>
  <c r="K1077" i="10"/>
  <c r="K1097" i="10"/>
  <c r="K1114" i="10"/>
  <c r="K1222" i="10"/>
  <c r="J1227" i="10" s="1"/>
  <c r="K1228" i="10" s="1"/>
  <c r="K1283" i="10"/>
  <c r="J1288" i="10" s="1"/>
  <c r="K1289" i="10" s="1"/>
  <c r="K1311" i="10"/>
  <c r="J1317" i="10" s="1"/>
  <c r="K1318" i="10" s="1"/>
  <c r="K1333" i="10"/>
  <c r="K1393" i="10"/>
  <c r="K1589" i="10"/>
  <c r="K1614" i="10"/>
  <c r="J1624" i="10" s="1"/>
  <c r="K1625" i="10" s="1"/>
  <c r="K1926" i="10"/>
  <c r="J1937" i="10" s="1"/>
  <c r="K1972" i="10"/>
  <c r="K1998" i="10"/>
  <c r="J2007" i="10" s="1"/>
  <c r="K2008" i="10" s="1"/>
  <c r="K2327" i="10"/>
  <c r="K2328" i="10" s="1"/>
  <c r="K2317" i="10" s="1"/>
  <c r="K2431" i="10"/>
  <c r="K2432" i="10" s="1"/>
  <c r="K2421" i="10" s="1"/>
  <c r="K2580" i="10"/>
  <c r="K2831" i="10"/>
  <c r="K562" i="10"/>
  <c r="J572" i="10" s="1"/>
  <c r="K700" i="10"/>
  <c r="K701" i="10" s="1"/>
  <c r="K695" i="10" s="1"/>
  <c r="K706" i="10"/>
  <c r="K716" i="10"/>
  <c r="K717" i="10" s="1"/>
  <c r="K711" i="10" s="1"/>
  <c r="K722" i="10"/>
  <c r="K732" i="10"/>
  <c r="K733" i="10" s="1"/>
  <c r="K727" i="10" s="1"/>
  <c r="K738" i="10"/>
  <c r="K748" i="10"/>
  <c r="K749" i="10" s="1"/>
  <c r="K743" i="10" s="1"/>
  <c r="K754" i="10"/>
  <c r="K764" i="10"/>
  <c r="K765" i="10" s="1"/>
  <c r="K759" i="10" s="1"/>
  <c r="K770" i="10"/>
  <c r="K780" i="10"/>
  <c r="K781" i="10" s="1"/>
  <c r="K775" i="10" s="1"/>
  <c r="K786" i="10"/>
  <c r="K796" i="10"/>
  <c r="K797" i="10" s="1"/>
  <c r="K791" i="10" s="1"/>
  <c r="K802" i="10"/>
  <c r="K912" i="10"/>
  <c r="J918" i="10" s="1"/>
  <c r="K919" i="10" s="1"/>
  <c r="K1213" i="10"/>
  <c r="K1251" i="10"/>
  <c r="J1257" i="10" s="1"/>
  <c r="K1258" i="10" s="1"/>
  <c r="K1372" i="10"/>
  <c r="J1377" i="10" s="1"/>
  <c r="K1407" i="10"/>
  <c r="K1450" i="10"/>
  <c r="K1458" i="10"/>
  <c r="J1464" i="10" s="1"/>
  <c r="K1465" i="10" s="1"/>
  <c r="K1558" i="10"/>
  <c r="K1578" i="10"/>
  <c r="K1635" i="10"/>
  <c r="K1650" i="10"/>
  <c r="K1694" i="10"/>
  <c r="K1919" i="10"/>
  <c r="K1989" i="10"/>
  <c r="K2417" i="10"/>
  <c r="K2526" i="10"/>
  <c r="K2798" i="10"/>
  <c r="K2799" i="10"/>
  <c r="K2788" i="10" s="1"/>
  <c r="K2848" i="10"/>
  <c r="K941" i="10"/>
  <c r="J946" i="10" s="1"/>
  <c r="K997" i="10"/>
  <c r="J1002" i="10" s="1"/>
  <c r="K1003" i="10" s="1"/>
  <c r="K1041" i="10"/>
  <c r="J1046" i="10" s="1"/>
  <c r="K1047" i="10" s="1"/>
  <c r="K1122" i="10"/>
  <c r="J1127" i="10" s="1"/>
  <c r="K1128" i="10" s="1"/>
  <c r="K1297" i="10"/>
  <c r="J1302" i="10" s="1"/>
  <c r="K1303" i="10" s="1"/>
  <c r="K1415" i="10"/>
  <c r="J1420" i="10" s="1"/>
  <c r="K1421" i="10" s="1"/>
  <c r="K1488" i="10"/>
  <c r="J1494" i="10" s="1"/>
  <c r="K1495" i="10" s="1"/>
  <c r="K1510" i="10"/>
  <c r="K1658" i="10"/>
  <c r="J1663" i="10" s="1"/>
  <c r="K1702" i="10"/>
  <c r="J1708" i="10" s="1"/>
  <c r="K1709" i="10" s="1"/>
  <c r="K1731" i="10"/>
  <c r="K1735" i="10"/>
  <c r="K1758" i="10"/>
  <c r="J1763" i="10" s="1"/>
  <c r="K1764" i="10" s="1"/>
  <c r="K1786" i="10"/>
  <c r="J1788" i="10" s="1"/>
  <c r="K1789" i="10" s="1"/>
  <c r="K2120" i="10"/>
  <c r="K2108" i="10" s="1"/>
  <c r="K2119" i="10"/>
  <c r="K2339" i="10"/>
  <c r="K2379" i="10"/>
  <c r="K2380" i="10" s="1"/>
  <c r="K2369" i="10" s="1"/>
  <c r="K2483" i="10"/>
  <c r="K2484" i="10" s="1"/>
  <c r="K2473" i="10" s="1"/>
  <c r="K2563" i="10"/>
  <c r="K2564" i="10" s="1"/>
  <c r="K2548" i="10" s="1"/>
  <c r="K2744" i="10"/>
  <c r="K2745" i="10" s="1"/>
  <c r="K2732" i="10" s="1"/>
  <c r="K2042" i="10"/>
  <c r="K2170" i="10"/>
  <c r="K2222" i="10"/>
  <c r="K2274" i="10"/>
  <c r="K2538" i="10"/>
  <c r="J2543" i="10" s="1"/>
  <c r="K2544" i="10" s="1"/>
  <c r="K2672" i="10"/>
  <c r="K2700" i="10"/>
  <c r="K2728" i="10"/>
  <c r="K2756" i="10"/>
  <c r="K2784" i="10"/>
  <c r="K2880" i="10"/>
  <c r="K2956" i="10"/>
  <c r="K3046" i="10"/>
  <c r="K3034" i="10" s="1"/>
  <c r="K3185" i="10"/>
  <c r="K3186" i="10"/>
  <c r="K3180" i="10" s="1"/>
  <c r="K3284" i="10"/>
  <c r="K3368" i="10"/>
  <c r="K3386" i="10"/>
  <c r="K3387" i="10" s="1"/>
  <c r="K3372" i="10" s="1"/>
  <c r="K3544" i="10"/>
  <c r="K3708" i="10"/>
  <c r="K4070" i="10"/>
  <c r="K4071" i="10" s="1"/>
  <c r="K4058" i="10" s="1"/>
  <c r="K2025" i="10"/>
  <c r="K2065" i="10"/>
  <c r="J2071" i="10" s="1"/>
  <c r="K2072" i="10" s="1"/>
  <c r="K2087" i="10"/>
  <c r="K2333" i="10"/>
  <c r="J2338" i="10" s="1"/>
  <c r="K2385" i="10"/>
  <c r="J2390" i="10" s="1"/>
  <c r="K2391" i="10" s="1"/>
  <c r="K2437" i="10"/>
  <c r="J2442" i="10" s="1"/>
  <c r="K2443" i="10" s="1"/>
  <c r="K2489" i="10"/>
  <c r="J2494" i="10" s="1"/>
  <c r="K2495" i="10" s="1"/>
  <c r="K2574" i="10"/>
  <c r="J2579" i="10" s="1"/>
  <c r="K2598" i="10"/>
  <c r="K2771" i="10"/>
  <c r="K2822" i="10"/>
  <c r="J2830" i="10" s="1"/>
  <c r="K2845" i="10"/>
  <c r="K2942" i="10"/>
  <c r="K2991" i="10"/>
  <c r="J3003" i="10" s="1"/>
  <c r="K3004" i="10" s="1"/>
  <c r="K3015" i="10"/>
  <c r="J3027" i="10" s="1"/>
  <c r="K3028" i="10" s="1"/>
  <c r="K3045" i="10"/>
  <c r="K3088" i="10"/>
  <c r="K3240" i="10"/>
  <c r="K3683" i="10"/>
  <c r="K3673" i="10" s="1"/>
  <c r="K3682" i="10"/>
  <c r="K3722" i="10"/>
  <c r="K2050" i="10"/>
  <c r="J2056" i="10" s="1"/>
  <c r="K2057" i="10" s="1"/>
  <c r="K2104" i="10"/>
  <c r="K2144" i="10"/>
  <c r="K2196" i="10"/>
  <c r="K2248" i="10"/>
  <c r="K2300" i="10"/>
  <c r="K2346" i="10"/>
  <c r="J2351" i="10" s="1"/>
  <c r="K2352" i="10" s="1"/>
  <c r="K2398" i="10"/>
  <c r="J2403" i="10" s="1"/>
  <c r="K2404" i="10" s="1"/>
  <c r="K2450" i="10"/>
  <c r="J2455" i="10" s="1"/>
  <c r="K2456" i="10" s="1"/>
  <c r="K2502" i="10"/>
  <c r="J2507" i="10" s="1"/>
  <c r="K2508" i="10" s="1"/>
  <c r="K2610" i="10"/>
  <c r="J2615" i="10" s="1"/>
  <c r="K2634" i="10"/>
  <c r="K2909" i="10"/>
  <c r="K2912" i="10"/>
  <c r="K2927" i="10"/>
  <c r="K2967" i="10"/>
  <c r="J2979" i="10" s="1"/>
  <c r="K2977" i="10"/>
  <c r="K2980" i="10"/>
  <c r="K3052" i="10"/>
  <c r="J3057" i="10" s="1"/>
  <c r="K3058" i="10" s="1"/>
  <c r="K3118" i="10"/>
  <c r="K3134" i="10"/>
  <c r="K3177" i="10"/>
  <c r="K3178" i="10" s="1"/>
  <c r="K3166" i="10" s="1"/>
  <c r="K3402" i="10"/>
  <c r="K3781" i="10"/>
  <c r="K4010" i="10"/>
  <c r="K4011" i="10" s="1"/>
  <c r="K3998" i="10" s="1"/>
  <c r="K2307" i="10"/>
  <c r="J2312" i="10" s="1"/>
  <c r="K2313" i="10" s="1"/>
  <c r="K2359" i="10"/>
  <c r="J2364" i="10" s="1"/>
  <c r="K2365" i="10" s="1"/>
  <c r="K2411" i="10"/>
  <c r="J2416" i="10" s="1"/>
  <c r="K2463" i="10"/>
  <c r="J2468" i="10" s="1"/>
  <c r="K2469" i="10" s="1"/>
  <c r="K2651" i="10"/>
  <c r="J2657" i="10" s="1"/>
  <c r="K2658" i="10" s="1"/>
  <c r="K2680" i="10"/>
  <c r="J2685" i="10" s="1"/>
  <c r="K2686" i="10" s="1"/>
  <c r="K2708" i="10"/>
  <c r="J2713" i="10" s="1"/>
  <c r="K2714" i="10" s="1"/>
  <c r="K2814" i="10"/>
  <c r="K2861" i="10"/>
  <c r="K2864" i="10"/>
  <c r="K2888" i="10"/>
  <c r="J2895" i="10" s="1"/>
  <c r="K2896" i="10" s="1"/>
  <c r="K2935" i="10"/>
  <c r="J2941" i="10" s="1"/>
  <c r="K3073" i="10"/>
  <c r="K3085" i="10"/>
  <c r="K3103" i="10"/>
  <c r="K3096" i="10"/>
  <c r="J3102" i="10" s="1"/>
  <c r="K3257" i="10"/>
  <c r="K3258" i="10"/>
  <c r="K3252" i="10" s="1"/>
  <c r="K3508" i="10"/>
  <c r="K3767" i="10"/>
  <c r="K4115" i="10"/>
  <c r="K4103" i="10" s="1"/>
  <c r="K4114" i="10"/>
  <c r="K3148" i="10"/>
  <c r="K3198" i="10"/>
  <c r="K3226" i="10"/>
  <c r="K3270" i="10"/>
  <c r="K3298" i="10"/>
  <c r="K3326" i="10"/>
  <c r="K3354" i="10"/>
  <c r="K3416" i="10"/>
  <c r="K3444" i="10"/>
  <c r="K3525" i="10"/>
  <c r="K3563" i="10"/>
  <c r="K3612" i="10"/>
  <c r="K3693" i="10"/>
  <c r="K3737" i="10"/>
  <c r="K3809" i="10"/>
  <c r="K3838" i="10"/>
  <c r="K3904" i="10"/>
  <c r="J3909" i="10" s="1"/>
  <c r="K3910" i="10" s="1"/>
  <c r="K3954" i="10"/>
  <c r="K3942" i="10" s="1"/>
  <c r="K4032" i="10"/>
  <c r="J4038" i="10" s="1"/>
  <c r="K4039" i="10" s="1"/>
  <c r="K4093" i="10"/>
  <c r="J4098" i="10" s="1"/>
  <c r="K4099" i="10" s="1"/>
  <c r="K4136" i="10"/>
  <c r="J4142" i="10" s="1"/>
  <c r="K4143" i="10" s="1"/>
  <c r="K4526" i="10"/>
  <c r="K4527" i="10" s="1"/>
  <c r="K4512" i="10" s="1"/>
  <c r="K3111" i="10"/>
  <c r="J3117" i="10" s="1"/>
  <c r="K3183" i="10"/>
  <c r="K3249" i="10"/>
  <c r="K3250" i="10" s="1"/>
  <c r="K3244" i="10" s="1"/>
  <c r="K3255" i="10"/>
  <c r="K3473" i="10"/>
  <c r="K3597" i="10"/>
  <c r="K3635" i="10"/>
  <c r="J3641" i="10" s="1"/>
  <c r="K3642" i="10" s="1"/>
  <c r="K3657" i="10"/>
  <c r="K3716" i="10"/>
  <c r="J3721" i="10" s="1"/>
  <c r="K3789" i="10"/>
  <c r="J3794" i="10" s="1"/>
  <c r="K3795" i="10" s="1"/>
  <c r="K3868" i="10"/>
  <c r="K3932" i="10"/>
  <c r="J3937" i="10" s="1"/>
  <c r="K3938" i="10" s="1"/>
  <c r="K3953" i="10"/>
  <c r="K3980" i="10"/>
  <c r="K4151" i="10"/>
  <c r="J4156" i="10" s="1"/>
  <c r="K4157" i="10" s="1"/>
  <c r="K4180" i="10"/>
  <c r="J4186" i="10" s="1"/>
  <c r="K4187" i="10" s="1"/>
  <c r="K4216" i="10"/>
  <c r="K4210" i="10"/>
  <c r="J4215" i="10" s="1"/>
  <c r="K4260" i="10"/>
  <c r="K4248" i="10" s="1"/>
  <c r="K3156" i="10"/>
  <c r="J3161" i="10" s="1"/>
  <c r="K3162" i="10" s="1"/>
  <c r="K3206" i="10"/>
  <c r="J3211" i="10" s="1"/>
  <c r="K3212" i="10" s="1"/>
  <c r="K3234" i="10"/>
  <c r="J3239" i="10" s="1"/>
  <c r="K3278" i="10"/>
  <c r="J3283" i="10" s="1"/>
  <c r="K3306" i="10"/>
  <c r="J3311" i="10" s="1"/>
  <c r="K3312" i="10" s="1"/>
  <c r="K3334" i="10"/>
  <c r="J3339" i="10" s="1"/>
  <c r="K3340" i="10" s="1"/>
  <c r="K3362" i="10"/>
  <c r="J3367" i="10" s="1"/>
  <c r="K3424" i="10"/>
  <c r="J3429" i="10" s="1"/>
  <c r="K3430" i="10" s="1"/>
  <c r="K3452" i="10"/>
  <c r="J3457" i="10" s="1"/>
  <c r="K3458" i="10" s="1"/>
  <c r="K3491" i="10"/>
  <c r="K3533" i="10"/>
  <c r="J3543" i="10" s="1"/>
  <c r="K3571" i="10"/>
  <c r="J3581" i="10" s="1"/>
  <c r="K3582" i="10" s="1"/>
  <c r="K3620" i="10"/>
  <c r="J3626" i="10" s="1"/>
  <c r="K3627" i="10" s="1"/>
  <c r="K3669" i="10"/>
  <c r="K3701" i="10"/>
  <c r="J3707" i="10" s="1"/>
  <c r="K3745" i="10"/>
  <c r="J3750" i="10" s="1"/>
  <c r="K3751" i="10" s="1"/>
  <c r="K3817" i="10"/>
  <c r="J3822" i="10" s="1"/>
  <c r="K3823" i="10" s="1"/>
  <c r="K3896" i="10"/>
  <c r="K3960" i="10"/>
  <c r="J3965" i="10" s="1"/>
  <c r="K3966" i="10" s="1"/>
  <c r="K4024" i="10"/>
  <c r="K4085" i="10"/>
  <c r="K4128" i="10"/>
  <c r="K4230" i="10"/>
  <c r="K4227" i="10"/>
  <c r="K4259" i="10"/>
  <c r="K4285" i="10"/>
  <c r="K4288" i="10"/>
  <c r="K3853" i="10"/>
  <c r="K3865" i="10"/>
  <c r="K3876" i="10"/>
  <c r="J3881" i="10" s="1"/>
  <c r="K3882" i="10" s="1"/>
  <c r="K3924" i="10"/>
  <c r="K3988" i="10"/>
  <c r="J3993" i="10" s="1"/>
  <c r="K3994" i="10" s="1"/>
  <c r="K4054" i="10"/>
  <c r="K4172" i="10"/>
  <c r="K4195" i="10"/>
  <c r="J4201" i="10" s="1"/>
  <c r="K4202" i="10"/>
  <c r="K4246" i="10"/>
  <c r="K4234" i="10" s="1"/>
  <c r="K4304" i="10"/>
  <c r="K4292" i="10" s="1"/>
  <c r="K4303" i="10"/>
  <c r="K4316" i="10"/>
  <c r="K4317" i="10" s="1"/>
  <c r="K4307" i="10" s="1"/>
  <c r="K4353" i="10"/>
  <c r="K4381" i="10"/>
  <c r="K4409" i="10"/>
  <c r="K4437" i="10"/>
  <c r="K4465" i="10"/>
  <c r="K4493" i="10"/>
  <c r="K4535" i="10"/>
  <c r="J4544" i="10" s="1"/>
  <c r="K4545" i="10" s="1"/>
  <c r="K4610" i="10"/>
  <c r="K4603" i="10"/>
  <c r="J4609" i="10" s="1"/>
  <c r="K4634" i="10"/>
  <c r="J4639" i="10" s="1"/>
  <c r="K4640" i="10" s="1"/>
  <c r="K4654" i="10"/>
  <c r="K4752" i="10"/>
  <c r="K4662" i="10"/>
  <c r="J4667" i="10" s="1"/>
  <c r="K4668" i="10" s="1"/>
  <c r="K4738" i="10"/>
  <c r="K4339" i="10"/>
  <c r="K4367" i="10"/>
  <c r="K4361" i="10"/>
  <c r="J4366" i="10" s="1"/>
  <c r="K4389" i="10"/>
  <c r="J4394" i="10" s="1"/>
  <c r="K4395" i="10" s="1"/>
  <c r="K4423" i="10"/>
  <c r="K4417" i="10"/>
  <c r="J4422" i="10" s="1"/>
  <c r="K4445" i="10"/>
  <c r="J4450" i="10" s="1"/>
  <c r="K4451" i="10" s="1"/>
  <c r="K4479" i="10"/>
  <c r="K4473" i="10"/>
  <c r="J4478" i="10" s="1"/>
  <c r="K4565" i="10"/>
  <c r="K4627" i="10"/>
  <c r="K4628" i="10" s="1"/>
  <c r="K4614" i="10" s="1"/>
  <c r="K4696" i="10"/>
  <c r="K4690" i="10"/>
  <c r="J4695" i="10" s="1"/>
  <c r="K4184" i="10"/>
  <c r="K4273" i="10"/>
  <c r="K4323" i="10"/>
  <c r="K4327" i="10"/>
  <c r="K4508" i="10"/>
  <c r="K4577" i="10"/>
  <c r="K4580" i="10"/>
  <c r="K4595" i="10"/>
  <c r="K4718" i="10"/>
  <c r="J4723" i="10" s="1"/>
  <c r="K4724" i="10" s="1"/>
  <c r="K4772" i="10"/>
  <c r="J4777" i="10" s="1"/>
  <c r="K4778" i="10" s="1"/>
  <c r="K4874" i="10"/>
  <c r="K4863" i="10" s="1"/>
  <c r="K4873" i="10"/>
  <c r="K5084" i="10"/>
  <c r="K5262" i="10"/>
  <c r="K5386" i="10"/>
  <c r="K5387" i="10" s="1"/>
  <c r="K5376" i="10" s="1"/>
  <c r="K5398" i="10"/>
  <c r="K5399" i="10" s="1"/>
  <c r="K5389" i="10" s="1"/>
  <c r="K5426" i="10"/>
  <c r="K5427" i="10"/>
  <c r="K5416" i="10" s="1"/>
  <c r="K4805" i="10"/>
  <c r="K4806" i="10" s="1"/>
  <c r="K4795" i="10" s="1"/>
  <c r="K4843" i="10"/>
  <c r="K4840" i="10"/>
  <c r="K4879" i="10"/>
  <c r="J4884" i="10" s="1"/>
  <c r="K4885" i="10" s="1"/>
  <c r="K4973" i="10"/>
  <c r="K4974" i="10" s="1"/>
  <c r="K4962" i="10" s="1"/>
  <c r="K5413" i="10"/>
  <c r="K5414" i="10" s="1"/>
  <c r="K5401" i="10" s="1"/>
  <c r="K4759" i="10"/>
  <c r="J4764" i="10" s="1"/>
  <c r="K4765" i="10" s="1"/>
  <c r="K4811" i="10"/>
  <c r="J4816" i="10" s="1"/>
  <c r="K4817" i="10" s="1"/>
  <c r="K4959" i="10"/>
  <c r="K4960" i="10"/>
  <c r="K4947" i="10" s="1"/>
  <c r="K5013" i="10"/>
  <c r="K5014" i="10" s="1"/>
  <c r="K5003" i="10" s="1"/>
  <c r="K5098" i="10"/>
  <c r="K5112" i="10"/>
  <c r="K5207" i="10"/>
  <c r="K5247" i="10"/>
  <c r="K4648" i="10"/>
  <c r="J4653" i="10" s="1"/>
  <c r="K4676" i="10"/>
  <c r="J4681" i="10" s="1"/>
  <c r="K4682" i="10" s="1"/>
  <c r="K4704" i="10"/>
  <c r="J4709" i="10" s="1"/>
  <c r="K4710" i="10" s="1"/>
  <c r="K4732" i="10"/>
  <c r="J4737" i="10" s="1"/>
  <c r="K4859" i="10"/>
  <c r="K4916" i="10"/>
  <c r="K4903" i="10" s="1"/>
  <c r="K4986" i="10"/>
  <c r="K4999" i="10"/>
  <c r="K5352" i="10"/>
  <c r="K5349" i="10" s="1"/>
  <c r="K5439" i="10"/>
  <c r="K5440" i="10" s="1"/>
  <c r="K5429" i="10" s="1"/>
  <c r="K5384" i="10"/>
  <c r="K4929" i="10"/>
  <c r="K5019" i="10"/>
  <c r="J5024" i="10" s="1"/>
  <c r="K5025" i="10" s="1"/>
  <c r="K5050" i="10"/>
  <c r="J5055" i="10" s="1"/>
  <c r="K5056" i="10" s="1"/>
  <c r="K5078" i="10"/>
  <c r="J5083" i="10" s="1"/>
  <c r="K5106" i="10"/>
  <c r="J5111" i="10" s="1"/>
  <c r="K5134" i="10"/>
  <c r="J5139" i="10" s="1"/>
  <c r="K5140" i="10" s="1"/>
  <c r="K5162" i="10"/>
  <c r="J5167" i="10" s="1"/>
  <c r="K5168" i="10" s="1"/>
  <c r="K5201" i="10"/>
  <c r="J5206" i="10" s="1"/>
  <c r="K5241" i="10"/>
  <c r="J5246" i="10" s="1"/>
  <c r="K5278" i="10"/>
  <c r="J5283" i="10" s="1"/>
  <c r="K5284" i="10" s="1"/>
  <c r="K5318" i="10"/>
  <c r="J5328" i="10" s="1"/>
  <c r="K5329" i="10" s="1"/>
  <c r="K5340" i="10"/>
  <c r="K5424" i="10"/>
  <c r="K4824" i="10"/>
  <c r="J4829" i="10" s="1"/>
  <c r="K4830" i="10" s="1"/>
  <c r="K4892" i="10"/>
  <c r="J4898" i="10" s="1"/>
  <c r="K4899" i="10" s="1"/>
  <c r="K4980" i="10"/>
  <c r="J4985" i="10" s="1"/>
  <c r="K5180" i="10"/>
  <c r="K5214" i="10"/>
  <c r="J5219" i="10" s="1"/>
  <c r="K5220" i="10" s="1"/>
  <c r="K5291" i="10"/>
  <c r="J5296" i="10" s="1"/>
  <c r="K5297" i="10" s="1"/>
  <c r="K5351" i="10"/>
  <c r="K5372" i="10"/>
  <c r="K5396" i="10"/>
  <c r="K4785" i="10"/>
  <c r="J4790" i="10" s="1"/>
  <c r="K4791" i="10" s="1"/>
  <c r="K4937" i="10"/>
  <c r="J4942" i="10" s="1"/>
  <c r="K4943" i="10" s="1"/>
  <c r="K4993" i="10"/>
  <c r="J4998" i="10" s="1"/>
  <c r="K5033" i="10"/>
  <c r="J5038" i="10" s="1"/>
  <c r="K5039" i="10" s="1"/>
  <c r="K5064" i="10"/>
  <c r="J5069" i="10" s="1"/>
  <c r="K5070" i="10" s="1"/>
  <c r="K5092" i="10"/>
  <c r="J5097" i="10" s="1"/>
  <c r="K5120" i="10"/>
  <c r="J5125" i="10" s="1"/>
  <c r="K5126" i="10" s="1"/>
  <c r="K5148" i="10"/>
  <c r="J5153" i="10" s="1"/>
  <c r="K5154" i="10" s="1"/>
  <c r="K5187" i="10"/>
  <c r="J5192" i="10" s="1"/>
  <c r="K5193" i="10" s="1"/>
  <c r="K5227" i="10"/>
  <c r="J5232" i="10" s="1"/>
  <c r="K5233" i="10" s="1"/>
  <c r="K5256" i="10"/>
  <c r="J5261" i="10" s="1"/>
  <c r="K5304" i="10"/>
  <c r="J5309" i="10" s="1"/>
  <c r="K5310" i="10" s="1"/>
  <c r="H383" i="2"/>
  <c r="S383" i="2"/>
  <c r="U634" i="2"/>
  <c r="V634" i="2" s="1"/>
  <c r="K636" i="2"/>
  <c r="L636" i="2" s="1"/>
  <c r="U635" i="2"/>
  <c r="V635" i="2" s="1"/>
  <c r="Z635" i="2" s="1"/>
  <c r="S634" i="2"/>
  <c r="T634" i="2" s="1"/>
  <c r="T637" i="2" s="1"/>
  <c r="K634" i="2"/>
  <c r="L634" i="2" s="1"/>
  <c r="Q952" i="2"/>
  <c r="R952" i="2"/>
  <c r="R953" i="2" s="1"/>
  <c r="H952" i="2"/>
  <c r="H953" i="2" s="1"/>
  <c r="Q945" i="2"/>
  <c r="R945" i="2" s="1"/>
  <c r="R946" i="2" s="1"/>
  <c r="R933" i="2"/>
  <c r="Q938" i="2"/>
  <c r="R938" i="2" s="1"/>
  <c r="Q937" i="2"/>
  <c r="R937" i="2" s="1"/>
  <c r="Q936" i="2"/>
  <c r="R936" i="2" s="1"/>
  <c r="Q935" i="2"/>
  <c r="R935" i="2" s="1"/>
  <c r="Q934" i="2"/>
  <c r="R934" i="2" s="1"/>
  <c r="Q933" i="2"/>
  <c r="Q932" i="2"/>
  <c r="R932" i="2" s="1"/>
  <c r="Q925" i="2"/>
  <c r="R925" i="2" s="1"/>
  <c r="Q924" i="2"/>
  <c r="R924" i="2" s="1"/>
  <c r="Q923" i="2"/>
  <c r="R923" i="2" s="1"/>
  <c r="H925" i="2"/>
  <c r="H924" i="2"/>
  <c r="H923" i="2"/>
  <c r="Q916" i="2"/>
  <c r="R916" i="2" s="1"/>
  <c r="Q915" i="2"/>
  <c r="R915" i="2" s="1"/>
  <c r="H916" i="2"/>
  <c r="H915" i="2"/>
  <c r="Q908" i="2"/>
  <c r="R908" i="2" s="1"/>
  <c r="Q907" i="2"/>
  <c r="R907" i="2" s="1"/>
  <c r="Q900" i="2"/>
  <c r="R900" i="2" s="1"/>
  <c r="R901" i="2" s="1"/>
  <c r="T871" i="2"/>
  <c r="S873" i="2"/>
  <c r="T873" i="2" s="1"/>
  <c r="S872" i="2"/>
  <c r="T872" i="2" s="1"/>
  <c r="S871" i="2"/>
  <c r="H873" i="2"/>
  <c r="H872" i="2"/>
  <c r="H871" i="2"/>
  <c r="H870" i="2"/>
  <c r="K462" i="2"/>
  <c r="S462" i="2"/>
  <c r="T462" i="2" s="1"/>
  <c r="U462" i="2"/>
  <c r="V462" i="2" s="1"/>
  <c r="S463" i="2"/>
  <c r="T463" i="2" s="1"/>
  <c r="K463" i="2"/>
  <c r="L463" i="2" s="1"/>
  <c r="U461" i="2"/>
  <c r="V461" i="2" s="1"/>
  <c r="S461" i="2"/>
  <c r="T461" i="2" s="1"/>
  <c r="U460" i="2"/>
  <c r="V460" i="2" s="1"/>
  <c r="S460" i="2"/>
  <c r="T460" i="2" s="1"/>
  <c r="K460" i="2"/>
  <c r="U459" i="2"/>
  <c r="V459" i="2" s="1"/>
  <c r="S459" i="2"/>
  <c r="T459" i="2" s="1"/>
  <c r="K459" i="2"/>
  <c r="K458" i="2"/>
  <c r="S458" i="2"/>
  <c r="T458" i="2" s="1"/>
  <c r="U458" i="2"/>
  <c r="V458" i="2" s="1"/>
  <c r="K457" i="2"/>
  <c r="S457" i="2"/>
  <c r="T457" i="2" s="1"/>
  <c r="U457" i="2"/>
  <c r="V457" i="2" s="1"/>
  <c r="U456" i="2"/>
  <c r="V456" i="2" s="1"/>
  <c r="S456" i="2"/>
  <c r="T456" i="2" s="1"/>
  <c r="K456" i="2"/>
  <c r="L456" i="2" s="1"/>
  <c r="K455" i="2"/>
  <c r="S455" i="2"/>
  <c r="T455" i="2" s="1"/>
  <c r="U455" i="2"/>
  <c r="V455" i="2" s="1"/>
  <c r="H463" i="2"/>
  <c r="U447" i="2"/>
  <c r="V447" i="2" s="1"/>
  <c r="U446" i="2"/>
  <c r="V446" i="2" s="1"/>
  <c r="S446" i="2"/>
  <c r="T446" i="2" s="1"/>
  <c r="K446" i="2"/>
  <c r="S445" i="2"/>
  <c r="T445" i="2" s="1"/>
  <c r="S444" i="2"/>
  <c r="K444" i="2"/>
  <c r="L444" i="2" s="1"/>
  <c r="U443" i="2"/>
  <c r="V443" i="2" s="1"/>
  <c r="S442" i="2"/>
  <c r="T442" i="2" s="1"/>
  <c r="K442" i="2"/>
  <c r="U441" i="2"/>
  <c r="V441" i="2" s="1"/>
  <c r="S441" i="2"/>
  <c r="T441" i="2" s="1"/>
  <c r="H447" i="2"/>
  <c r="H446" i="2"/>
  <c r="H445" i="2"/>
  <c r="H444" i="2"/>
  <c r="H443" i="2"/>
  <c r="H442" i="2"/>
  <c r="H441" i="2"/>
  <c r="V150" i="2"/>
  <c r="T150" i="2"/>
  <c r="N150" i="2"/>
  <c r="H149" i="2"/>
  <c r="H131" i="2"/>
  <c r="K5194" i="10" l="1"/>
  <c r="K5195" i="10" s="1"/>
  <c r="K5184" i="10" s="1"/>
  <c r="K5169" i="10"/>
  <c r="K5170" i="10" s="1"/>
  <c r="K5158" i="10" s="1"/>
  <c r="K2659" i="10"/>
  <c r="K2660" i="10" s="1"/>
  <c r="K2647" i="10" s="1"/>
  <c r="K1765" i="10"/>
  <c r="K1766" i="10" s="1"/>
  <c r="K1754" i="10" s="1"/>
  <c r="K1304" i="10"/>
  <c r="K1305" i="10" s="1"/>
  <c r="K1293" i="10" s="1"/>
  <c r="K1229" i="10"/>
  <c r="K1230" i="10" s="1"/>
  <c r="K1218" i="10" s="1"/>
  <c r="K1063" i="10"/>
  <c r="K1064" i="10"/>
  <c r="K1051" i="10" s="1"/>
  <c r="K5071" i="10"/>
  <c r="K5072" i="10" s="1"/>
  <c r="K5060" i="10" s="1"/>
  <c r="K5285" i="10"/>
  <c r="K5286" i="10" s="1"/>
  <c r="K5274" i="10" s="1"/>
  <c r="K4188" i="10"/>
  <c r="K4189" i="10" s="1"/>
  <c r="K4176" i="10" s="1"/>
  <c r="K5298" i="10"/>
  <c r="K5299" i="10"/>
  <c r="K5288" i="10" s="1"/>
  <c r="K5330" i="10"/>
  <c r="K5331" i="10" s="1"/>
  <c r="K5314" i="10" s="1"/>
  <c r="K4683" i="10"/>
  <c r="K4684" i="10" s="1"/>
  <c r="K4672" i="10" s="1"/>
  <c r="K4396" i="10"/>
  <c r="K4397" i="10"/>
  <c r="K4385" i="10" s="1"/>
  <c r="K3883" i="10"/>
  <c r="K3884" i="10"/>
  <c r="K3872" i="10" s="1"/>
  <c r="K3341" i="10"/>
  <c r="K3342" i="10"/>
  <c r="K3330" i="10" s="1"/>
  <c r="K4040" i="10"/>
  <c r="K4041" i="10" s="1"/>
  <c r="K4028" i="10" s="1"/>
  <c r="K2509" i="10"/>
  <c r="K2510" i="10"/>
  <c r="K2499" i="10" s="1"/>
  <c r="K5311" i="10"/>
  <c r="K5312" i="10" s="1"/>
  <c r="K5301" i="10" s="1"/>
  <c r="K5221" i="10"/>
  <c r="K5222" i="10"/>
  <c r="K5211" i="10" s="1"/>
  <c r="K5141" i="10"/>
  <c r="K5142" i="10" s="1"/>
  <c r="K5130" i="10" s="1"/>
  <c r="K4886" i="10"/>
  <c r="K4887" i="10" s="1"/>
  <c r="K4876" i="10" s="1"/>
  <c r="K4779" i="10"/>
  <c r="K4780" i="10"/>
  <c r="K4769" i="10" s="1"/>
  <c r="K4452" i="10"/>
  <c r="K4453" i="10"/>
  <c r="K4441" i="10" s="1"/>
  <c r="K3824" i="10"/>
  <c r="K3825" i="10" s="1"/>
  <c r="K3813" i="10" s="1"/>
  <c r="K3459" i="10"/>
  <c r="K3460" i="10"/>
  <c r="K3448" i="10" s="1"/>
  <c r="K3163" i="10"/>
  <c r="K3164" i="10"/>
  <c r="K3152" i="10" s="1"/>
  <c r="K3939" i="10"/>
  <c r="K3940" i="10"/>
  <c r="K3928" i="10" s="1"/>
  <c r="K3005" i="10"/>
  <c r="K3006" i="10" s="1"/>
  <c r="K2984" i="10" s="1"/>
  <c r="K1466" i="10"/>
  <c r="K1467" i="10"/>
  <c r="K1454" i="10" s="1"/>
  <c r="K3752" i="10"/>
  <c r="K3753" i="10"/>
  <c r="K3741" i="10" s="1"/>
  <c r="K2897" i="10"/>
  <c r="K2898" i="10" s="1"/>
  <c r="K2884" i="10" s="1"/>
  <c r="K1626" i="10"/>
  <c r="K1627" i="10"/>
  <c r="K1610" i="10" s="1"/>
  <c r="K490" i="10"/>
  <c r="K491" i="10"/>
  <c r="K479" i="10" s="1"/>
  <c r="K4792" i="10"/>
  <c r="K4793" i="10" s="1"/>
  <c r="K4782" i="10" s="1"/>
  <c r="K4900" i="10"/>
  <c r="K4901" i="10" s="1"/>
  <c r="K4889" i="10" s="1"/>
  <c r="K5057" i="10"/>
  <c r="K5058" i="10" s="1"/>
  <c r="K5046" i="10" s="1"/>
  <c r="K4641" i="10"/>
  <c r="K4642" i="10" s="1"/>
  <c r="K4630" i="10" s="1"/>
  <c r="K3213" i="10"/>
  <c r="K3214" i="10"/>
  <c r="K3202" i="10" s="1"/>
  <c r="K2314" i="10"/>
  <c r="K2315" i="10" s="1"/>
  <c r="K2304" i="10" s="1"/>
  <c r="K3029" i="10"/>
  <c r="K3030" i="10"/>
  <c r="K3008" i="10" s="1"/>
  <c r="K2496" i="10"/>
  <c r="K2497" i="10" s="1"/>
  <c r="K2486" i="10" s="1"/>
  <c r="K5155" i="10"/>
  <c r="K5156" i="10" s="1"/>
  <c r="K5144" i="10" s="1"/>
  <c r="K5040" i="10"/>
  <c r="K5041" i="10" s="1"/>
  <c r="K5029" i="10" s="1"/>
  <c r="K4831" i="10"/>
  <c r="K4832" i="10"/>
  <c r="K4821" i="10" s="1"/>
  <c r="K5026" i="10"/>
  <c r="K5027" i="10" s="1"/>
  <c r="K5016" i="10" s="1"/>
  <c r="K4818" i="10"/>
  <c r="K4819" i="10" s="1"/>
  <c r="K4808" i="10" s="1"/>
  <c r="K4669" i="10"/>
  <c r="K4670" i="10" s="1"/>
  <c r="K4658" i="10" s="1"/>
  <c r="K3628" i="10"/>
  <c r="K3629" i="10" s="1"/>
  <c r="K3616" i="10" s="1"/>
  <c r="K3313" i="10"/>
  <c r="K3314" i="10"/>
  <c r="K3302" i="10" s="1"/>
  <c r="K2470" i="10"/>
  <c r="K2471" i="10" s="1"/>
  <c r="K2460" i="10" s="1"/>
  <c r="K2457" i="10"/>
  <c r="K2458" i="10"/>
  <c r="K2447" i="10" s="1"/>
  <c r="K2058" i="10"/>
  <c r="K2059" i="10" s="1"/>
  <c r="K2046" i="10" s="1"/>
  <c r="K2444" i="10"/>
  <c r="K2445" i="10" s="1"/>
  <c r="K2434" i="10" s="1"/>
  <c r="K2073" i="10"/>
  <c r="K2074" i="10"/>
  <c r="K2061" i="10" s="1"/>
  <c r="K1129" i="10"/>
  <c r="K1130" i="10" s="1"/>
  <c r="K1118" i="10" s="1"/>
  <c r="K1259" i="10"/>
  <c r="K1260" i="10" s="1"/>
  <c r="K1247" i="10" s="1"/>
  <c r="K389" i="10"/>
  <c r="K390" i="10"/>
  <c r="K378" i="10" s="1"/>
  <c r="K5127" i="10"/>
  <c r="K5128" i="10" s="1"/>
  <c r="K5116" i="10" s="1"/>
  <c r="K4766" i="10"/>
  <c r="K4767" i="10" s="1"/>
  <c r="K4756" i="10" s="1"/>
  <c r="K4725" i="10"/>
  <c r="K4726" i="10" s="1"/>
  <c r="K4714" i="10" s="1"/>
  <c r="K3995" i="10"/>
  <c r="K3996" i="10"/>
  <c r="K3984" i="10" s="1"/>
  <c r="K3583" i="10"/>
  <c r="K3584" i="10"/>
  <c r="K3567" i="10" s="1"/>
  <c r="K3431" i="10"/>
  <c r="K3432" i="10"/>
  <c r="K3420" i="10" s="1"/>
  <c r="K4158" i="10"/>
  <c r="K4159" i="10" s="1"/>
  <c r="K4147" i="10" s="1"/>
  <c r="K3643" i="10"/>
  <c r="K3644" i="10"/>
  <c r="K3631" i="10" s="1"/>
  <c r="K4144" i="10"/>
  <c r="K4145" i="10" s="1"/>
  <c r="K4132" i="10" s="1"/>
  <c r="K3911" i="10"/>
  <c r="K3912" i="10"/>
  <c r="K3900" i="10" s="1"/>
  <c r="K2715" i="10"/>
  <c r="K2716" i="10" s="1"/>
  <c r="K2704" i="10" s="1"/>
  <c r="K2405" i="10"/>
  <c r="K2406" i="10"/>
  <c r="K2395" i="10" s="1"/>
  <c r="K2392" i="10"/>
  <c r="K2393" i="10" s="1"/>
  <c r="K2382" i="10" s="1"/>
  <c r="K1496" i="10"/>
  <c r="K1497" i="10" s="1"/>
  <c r="K1484" i="10" s="1"/>
  <c r="K1048" i="10"/>
  <c r="K1049" i="10" s="1"/>
  <c r="K1037" i="10" s="1"/>
  <c r="K1319" i="10"/>
  <c r="K1320" i="10"/>
  <c r="K1307" i="10" s="1"/>
  <c r="K1019" i="10"/>
  <c r="K1020" i="10"/>
  <c r="K1007" i="10" s="1"/>
  <c r="K219" i="10"/>
  <c r="K220" i="10"/>
  <c r="K208" i="10" s="1"/>
  <c r="K5234" i="10"/>
  <c r="K5235" i="10" s="1"/>
  <c r="K5224" i="10" s="1"/>
  <c r="K4944" i="10"/>
  <c r="K4945" i="10" s="1"/>
  <c r="K4933" i="10" s="1"/>
  <c r="K4711" i="10"/>
  <c r="K4712" i="10" s="1"/>
  <c r="K4700" i="10" s="1"/>
  <c r="K4546" i="10"/>
  <c r="K4547" i="10" s="1"/>
  <c r="K4529" i="10" s="1"/>
  <c r="K3967" i="10"/>
  <c r="K3968" i="10"/>
  <c r="K3956" i="10" s="1"/>
  <c r="K3796" i="10"/>
  <c r="K3797" i="10" s="1"/>
  <c r="K3785" i="10" s="1"/>
  <c r="K4100" i="10"/>
  <c r="K4101" i="10" s="1"/>
  <c r="K4089" i="10" s="1"/>
  <c r="K2687" i="10"/>
  <c r="K2688" i="10" s="1"/>
  <c r="K2676" i="10" s="1"/>
  <c r="K2366" i="10"/>
  <c r="K2367" i="10" s="1"/>
  <c r="K2356" i="10" s="1"/>
  <c r="K3059" i="10"/>
  <c r="K3060" i="10"/>
  <c r="K3048" i="10" s="1"/>
  <c r="K2353" i="10"/>
  <c r="K2354" i="10"/>
  <c r="K2343" i="10" s="1"/>
  <c r="K2545" i="10"/>
  <c r="K2546" i="10"/>
  <c r="K2530" i="10" s="1"/>
  <c r="K1790" i="10"/>
  <c r="K1791" i="10" s="1"/>
  <c r="K1782" i="10" s="1"/>
  <c r="K1710" i="10"/>
  <c r="K1711" i="10" s="1"/>
  <c r="K1698" i="10" s="1"/>
  <c r="K1422" i="10"/>
  <c r="K1423" i="10"/>
  <c r="K1411" i="10" s="1"/>
  <c r="K1004" i="10"/>
  <c r="K1005" i="10" s="1"/>
  <c r="K993" i="10" s="1"/>
  <c r="K920" i="10"/>
  <c r="K921" i="10" s="1"/>
  <c r="K908" i="10" s="1"/>
  <c r="K2009" i="10"/>
  <c r="K2010" i="10" s="1"/>
  <c r="K1993" i="10" s="1"/>
  <c r="K1290" i="10"/>
  <c r="K1291" i="10" s="1"/>
  <c r="K1279" i="10" s="1"/>
  <c r="K413" i="10"/>
  <c r="K414" i="10" s="1"/>
  <c r="K402" i="10" s="1"/>
  <c r="K452" i="10"/>
  <c r="K453" i="10" s="1"/>
  <c r="K441" i="10" s="1"/>
  <c r="K4173" i="10"/>
  <c r="K4174" i="10" s="1"/>
  <c r="K4161" i="10" s="1"/>
  <c r="K3854" i="10"/>
  <c r="K3855" i="10" s="1"/>
  <c r="K3842" i="10" s="1"/>
  <c r="K3670" i="10"/>
  <c r="K3671" i="10"/>
  <c r="K3661" i="10" s="1"/>
  <c r="K3492" i="10"/>
  <c r="K3493" i="10"/>
  <c r="K3478" i="10" s="1"/>
  <c r="K4217" i="10"/>
  <c r="K4218" i="10"/>
  <c r="K4206" i="10" s="1"/>
  <c r="K3981" i="10"/>
  <c r="K3982" i="10" s="1"/>
  <c r="K3970" i="10" s="1"/>
  <c r="K3869" i="10"/>
  <c r="K3870" i="10" s="1"/>
  <c r="K3857" i="10" s="1"/>
  <c r="K3658" i="10"/>
  <c r="K3659" i="10" s="1"/>
  <c r="K3646" i="10" s="1"/>
  <c r="K3810" i="10"/>
  <c r="K3811" i="10" s="1"/>
  <c r="K3799" i="10" s="1"/>
  <c r="K3564" i="10"/>
  <c r="K3565" i="10" s="1"/>
  <c r="K3548" i="10" s="1"/>
  <c r="K3355" i="10"/>
  <c r="K3356" i="10" s="1"/>
  <c r="K3344" i="10" s="1"/>
  <c r="K3227" i="10"/>
  <c r="K3228" i="10" s="1"/>
  <c r="K3216" i="10" s="1"/>
  <c r="K3509" i="10"/>
  <c r="K3510" i="10" s="1"/>
  <c r="K3495" i="10" s="1"/>
  <c r="K3104" i="10"/>
  <c r="K3105" i="10" s="1"/>
  <c r="K3092" i="10" s="1"/>
  <c r="K3403" i="10"/>
  <c r="K3404" i="10"/>
  <c r="K3389" i="10" s="1"/>
  <c r="K3135" i="10"/>
  <c r="K3136" i="10"/>
  <c r="K3122" i="10" s="1"/>
  <c r="K2981" i="10"/>
  <c r="K2982" i="10" s="1"/>
  <c r="K2960" i="10" s="1"/>
  <c r="K2913" i="10"/>
  <c r="K2914" i="10" s="1"/>
  <c r="K2900" i="10" s="1"/>
  <c r="K2301" i="10"/>
  <c r="K2302" i="10"/>
  <c r="K2278" i="10" s="1"/>
  <c r="K2105" i="10"/>
  <c r="K2106" i="10"/>
  <c r="K2091" i="10" s="1"/>
  <c r="K3089" i="10"/>
  <c r="K3090" i="10" s="1"/>
  <c r="K3077" i="10" s="1"/>
  <c r="K2772" i="10"/>
  <c r="K2773" i="10" s="1"/>
  <c r="K2760" i="10" s="1"/>
  <c r="K2088" i="10"/>
  <c r="K2089" i="10" s="1"/>
  <c r="K2076" i="10" s="1"/>
  <c r="K3545" i="10"/>
  <c r="K3546" i="10"/>
  <c r="K3529" i="10" s="1"/>
  <c r="K3285" i="10"/>
  <c r="K3286" i="10"/>
  <c r="K3274" i="10" s="1"/>
  <c r="K2785" i="10"/>
  <c r="K2786" i="10" s="1"/>
  <c r="K2775" i="10" s="1"/>
  <c r="K2673" i="10"/>
  <c r="K2674" i="10" s="1"/>
  <c r="K2662" i="10" s="1"/>
  <c r="K2171" i="10"/>
  <c r="K2172" i="10" s="1"/>
  <c r="K2148" i="10" s="1"/>
  <c r="K1736" i="10"/>
  <c r="K1737" i="10"/>
  <c r="K1727" i="10" s="1"/>
  <c r="K1511" i="10"/>
  <c r="K1512" i="10" s="1"/>
  <c r="K1499" i="10" s="1"/>
  <c r="K2849" i="10"/>
  <c r="K2850" i="10" s="1"/>
  <c r="K2835" i="10" s="1"/>
  <c r="K2418" i="10"/>
  <c r="K2419" i="10" s="1"/>
  <c r="K2408" i="10" s="1"/>
  <c r="K1920" i="10"/>
  <c r="K1921" i="10" s="1"/>
  <c r="K1908" i="10" s="1"/>
  <c r="K1579" i="10"/>
  <c r="K1580" i="10" s="1"/>
  <c r="K1562" i="10" s="1"/>
  <c r="K1408" i="10"/>
  <c r="K1409" i="10"/>
  <c r="K1397" i="10" s="1"/>
  <c r="K2832" i="10"/>
  <c r="K2833" i="10" s="1"/>
  <c r="K2818" i="10" s="1"/>
  <c r="K1098" i="10"/>
  <c r="K1099" i="10" s="1"/>
  <c r="K1084" i="10" s="1"/>
  <c r="K1956" i="10"/>
  <c r="K1957" i="10"/>
  <c r="K1942" i="10" s="1"/>
  <c r="K1526" i="10"/>
  <c r="K1527" i="10"/>
  <c r="K1514" i="10" s="1"/>
  <c r="K1186" i="10"/>
  <c r="K1187" i="10" s="1"/>
  <c r="K1179" i="10" s="1"/>
  <c r="K631" i="10"/>
  <c r="K632" i="10" s="1"/>
  <c r="K620" i="10" s="1"/>
  <c r="K1665" i="10"/>
  <c r="K1666" i="10"/>
  <c r="K1654" i="10" s="1"/>
  <c r="K1379" i="10"/>
  <c r="K1380" i="10"/>
  <c r="K1368" i="10" s="1"/>
  <c r="K253" i="10"/>
  <c r="K254" i="10" s="1"/>
  <c r="K248" i="10" s="1"/>
  <c r="K934" i="10"/>
  <c r="K935" i="10" s="1"/>
  <c r="K923" i="10" s="1"/>
  <c r="K233" i="10"/>
  <c r="K234" i="10"/>
  <c r="K222" i="10" s="1"/>
  <c r="K428" i="10"/>
  <c r="K429" i="10"/>
  <c r="K416" i="10" s="1"/>
  <c r="K948" i="10"/>
  <c r="K949" i="10" s="1"/>
  <c r="K937" i="10" s="1"/>
  <c r="K365" i="10"/>
  <c r="K366" i="10" s="1"/>
  <c r="K355" i="10" s="1"/>
  <c r="K5263" i="10"/>
  <c r="K5264" i="10" s="1"/>
  <c r="K5252" i="10" s="1"/>
  <c r="K4274" i="10"/>
  <c r="K4275" i="10" s="1"/>
  <c r="K4262" i="10" s="1"/>
  <c r="K4368" i="10"/>
  <c r="K4369" i="10"/>
  <c r="K4357" i="10" s="1"/>
  <c r="K4466" i="10"/>
  <c r="K4467" i="10" s="1"/>
  <c r="K4455" i="10" s="1"/>
  <c r="K3925" i="10"/>
  <c r="K3926" i="10" s="1"/>
  <c r="K3914" i="10" s="1"/>
  <c r="K4860" i="10"/>
  <c r="K4861" i="10" s="1"/>
  <c r="K4847" i="10" s="1"/>
  <c r="K4438" i="10"/>
  <c r="K4439" i="10" s="1"/>
  <c r="K4427" i="10" s="1"/>
  <c r="K4055" i="10"/>
  <c r="K4056" i="10"/>
  <c r="K4043" i="10" s="1"/>
  <c r="K4289" i="10"/>
  <c r="K4290" i="10"/>
  <c r="K4277" i="10" s="1"/>
  <c r="K4231" i="10"/>
  <c r="K4232" i="10"/>
  <c r="K4220" i="10" s="1"/>
  <c r="K3738" i="10"/>
  <c r="K3739" i="10" s="1"/>
  <c r="K3726" i="10" s="1"/>
  <c r="K3526" i="10"/>
  <c r="K3527" i="10" s="1"/>
  <c r="K3512" i="10" s="1"/>
  <c r="K3327" i="10"/>
  <c r="K3328" i="10" s="1"/>
  <c r="K3316" i="10" s="1"/>
  <c r="K3199" i="10"/>
  <c r="K3200" i="10" s="1"/>
  <c r="K3188" i="10" s="1"/>
  <c r="K3768" i="10"/>
  <c r="K3769" i="10"/>
  <c r="K3755" i="10" s="1"/>
  <c r="K2865" i="10"/>
  <c r="K2866" i="10" s="1"/>
  <c r="K2852" i="10" s="1"/>
  <c r="K3119" i="10"/>
  <c r="K3120" i="10"/>
  <c r="K3107" i="10" s="1"/>
  <c r="K2249" i="10"/>
  <c r="K2250" i="10"/>
  <c r="K2226" i="10" s="1"/>
  <c r="K2943" i="10"/>
  <c r="K2944" i="10" s="1"/>
  <c r="K2931" i="10" s="1"/>
  <c r="K3369" i="10"/>
  <c r="K3370" i="10"/>
  <c r="K3358" i="10" s="1"/>
  <c r="K2757" i="10"/>
  <c r="K2758" i="10" s="1"/>
  <c r="K2747" i="10" s="1"/>
  <c r="K2043" i="10"/>
  <c r="K2044" i="10" s="1"/>
  <c r="K2031" i="10" s="1"/>
  <c r="K1695" i="10"/>
  <c r="K1696" i="10"/>
  <c r="K1684" i="10" s="1"/>
  <c r="K1559" i="10"/>
  <c r="K1560" i="10"/>
  <c r="K1545" i="10" s="1"/>
  <c r="K2581" i="10"/>
  <c r="K2582" i="10"/>
  <c r="K2566" i="10" s="1"/>
  <c r="K1973" i="10"/>
  <c r="K1974" i="10"/>
  <c r="K1959" i="10" s="1"/>
  <c r="K1590" i="10"/>
  <c r="K1591" i="10" s="1"/>
  <c r="K1582" i="10" s="1"/>
  <c r="K1078" i="10"/>
  <c r="K1079" i="10" s="1"/>
  <c r="K1066" i="10" s="1"/>
  <c r="K990" i="10"/>
  <c r="K991" i="10" s="1"/>
  <c r="K982" i="10" s="1"/>
  <c r="K2617" i="10"/>
  <c r="K2618" i="10"/>
  <c r="K2602" i="10" s="1"/>
  <c r="K1939" i="10"/>
  <c r="K1940" i="10"/>
  <c r="K1923" i="10" s="1"/>
  <c r="K1244" i="10"/>
  <c r="K1245" i="10" s="1"/>
  <c r="K1232" i="10" s="1"/>
  <c r="K905" i="10"/>
  <c r="K906" i="10" s="1"/>
  <c r="K891" i="10" s="1"/>
  <c r="K555" i="10"/>
  <c r="K556" i="10" s="1"/>
  <c r="K545" i="10" s="1"/>
  <c r="K1542" i="10"/>
  <c r="K1543" i="10"/>
  <c r="K1529" i="10" s="1"/>
  <c r="K1351" i="10"/>
  <c r="K1352" i="10"/>
  <c r="K1337" i="10" s="1"/>
  <c r="K153" i="10"/>
  <c r="K154" i="10"/>
  <c r="K144" i="10" s="1"/>
  <c r="K352" i="10"/>
  <c r="K353" i="10" s="1"/>
  <c r="K341" i="10" s="1"/>
  <c r="K532" i="10"/>
  <c r="K533" i="10" s="1"/>
  <c r="K525" i="10" s="1"/>
  <c r="K312" i="10"/>
  <c r="K313" i="10"/>
  <c r="K300" i="10" s="1"/>
  <c r="K5113" i="10"/>
  <c r="K5114" i="10" s="1"/>
  <c r="K5102" i="10" s="1"/>
  <c r="K4697" i="10"/>
  <c r="K4698" i="10" s="1"/>
  <c r="K4686" i="10" s="1"/>
  <c r="K4424" i="10"/>
  <c r="K4425" i="10"/>
  <c r="K4413" i="10" s="1"/>
  <c r="K4655" i="10"/>
  <c r="K4656" i="10" s="1"/>
  <c r="K4644" i="10" s="1"/>
  <c r="K4354" i="10"/>
  <c r="K4355" i="10" s="1"/>
  <c r="K4343" i="10" s="1"/>
  <c r="K5000" i="10"/>
  <c r="K5001" i="10" s="1"/>
  <c r="K4990" i="10" s="1"/>
  <c r="K5208" i="10"/>
  <c r="K5209" i="10" s="1"/>
  <c r="K5197" i="10" s="1"/>
  <c r="K4340" i="10"/>
  <c r="K4341" i="10"/>
  <c r="K4331" i="10" s="1"/>
  <c r="K4930" i="10"/>
  <c r="K4931" i="10" s="1"/>
  <c r="K4918" i="10" s="1"/>
  <c r="K4328" i="10"/>
  <c r="K4329" i="10"/>
  <c r="K4319" i="10" s="1"/>
  <c r="K4739" i="10"/>
  <c r="K4740" i="10" s="1"/>
  <c r="K4728" i="10" s="1"/>
  <c r="K4203" i="10"/>
  <c r="K4204" i="10"/>
  <c r="K4191" i="10" s="1"/>
  <c r="K3598" i="10"/>
  <c r="K3599" i="10" s="1"/>
  <c r="K3586" i="10" s="1"/>
  <c r="K3694" i="10"/>
  <c r="K3695" i="10" s="1"/>
  <c r="K3685" i="10" s="1"/>
  <c r="K3149" i="10"/>
  <c r="K3150" i="10" s="1"/>
  <c r="K3138" i="10" s="1"/>
  <c r="K2197" i="10"/>
  <c r="K2198" i="10"/>
  <c r="K2174" i="10" s="1"/>
  <c r="K3723" i="10"/>
  <c r="K3724" i="10" s="1"/>
  <c r="K3712" i="10" s="1"/>
  <c r="K3241" i="10"/>
  <c r="K3242" i="10"/>
  <c r="K3230" i="10" s="1"/>
  <c r="K2599" i="10"/>
  <c r="K2600" i="10" s="1"/>
  <c r="K2584" i="10" s="1"/>
  <c r="K2026" i="10"/>
  <c r="K2027" i="10" s="1"/>
  <c r="K2012" i="10" s="1"/>
  <c r="K3709" i="10"/>
  <c r="K3710" i="10" s="1"/>
  <c r="K3697" i="10" s="1"/>
  <c r="K2957" i="10"/>
  <c r="K2958" i="10" s="1"/>
  <c r="K2946" i="10" s="1"/>
  <c r="K2729" i="10"/>
  <c r="K2730" i="10" s="1"/>
  <c r="K2718" i="10" s="1"/>
  <c r="K2275" i="10"/>
  <c r="K2276" i="10" s="1"/>
  <c r="K2252" i="10" s="1"/>
  <c r="K2340" i="10"/>
  <c r="K2341" i="10" s="1"/>
  <c r="K2330" i="10" s="1"/>
  <c r="K1651" i="10"/>
  <c r="K1652" i="10"/>
  <c r="K1639" i="10" s="1"/>
  <c r="K1394" i="10"/>
  <c r="K1395" i="10" s="1"/>
  <c r="K1382" i="10" s="1"/>
  <c r="K1779" i="10"/>
  <c r="K1780" i="10" s="1"/>
  <c r="K1768" i="10" s="1"/>
  <c r="K1206" i="10"/>
  <c r="K1207" i="10" s="1"/>
  <c r="K1199" i="10" s="1"/>
  <c r="K888" i="10"/>
  <c r="K889" i="10" s="1"/>
  <c r="K872" i="10" s="1"/>
  <c r="K1276" i="10"/>
  <c r="K1277" i="10" s="1"/>
  <c r="K1262" i="10" s="1"/>
  <c r="K574" i="10"/>
  <c r="K575" i="10"/>
  <c r="K558" i="10" s="1"/>
  <c r="K297" i="10"/>
  <c r="K298" i="10" s="1"/>
  <c r="K283" i="10" s="1"/>
  <c r="K165" i="10"/>
  <c r="K166" i="10" s="1"/>
  <c r="K156" i="10" s="1"/>
  <c r="K205" i="10"/>
  <c r="K206" i="10" s="1"/>
  <c r="K193" i="10" s="1"/>
  <c r="K5248" i="10"/>
  <c r="K5249" i="10" s="1"/>
  <c r="K5237" i="10" s="1"/>
  <c r="K5085" i="10"/>
  <c r="K5086" i="10" s="1"/>
  <c r="K5074" i="10" s="1"/>
  <c r="K4480" i="10"/>
  <c r="K4481" i="10"/>
  <c r="K4469" i="10" s="1"/>
  <c r="K4611" i="10"/>
  <c r="K4612" i="10" s="1"/>
  <c r="K4599" i="10" s="1"/>
  <c r="K4025" i="10"/>
  <c r="K4026" i="10" s="1"/>
  <c r="K4013" i="10" s="1"/>
  <c r="K5099" i="10"/>
  <c r="K5100" i="10" s="1"/>
  <c r="K5088" i="10" s="1"/>
  <c r="K4844" i="10"/>
  <c r="K4845" i="10" s="1"/>
  <c r="K4834" i="10" s="1"/>
  <c r="K4509" i="10"/>
  <c r="K4510" i="10" s="1"/>
  <c r="K4497" i="10" s="1"/>
  <c r="K5373" i="10"/>
  <c r="K5374" i="10"/>
  <c r="K5358" i="10" s="1"/>
  <c r="K5181" i="10"/>
  <c r="K5182" i="10"/>
  <c r="K5172" i="10" s="1"/>
  <c r="K4987" i="10"/>
  <c r="K4988" i="10"/>
  <c r="K4976" i="10" s="1"/>
  <c r="K4596" i="10"/>
  <c r="K4597" i="10" s="1"/>
  <c r="K4584" i="10" s="1"/>
  <c r="K4566" i="10"/>
  <c r="K4567" i="10"/>
  <c r="K4549" i="10" s="1"/>
  <c r="K4410" i="10"/>
  <c r="K4411" i="10" s="1"/>
  <c r="K4399" i="10" s="1"/>
  <c r="K4129" i="10"/>
  <c r="K4130" i="10" s="1"/>
  <c r="K4117" i="10" s="1"/>
  <c r="K3445" i="10"/>
  <c r="K3446" i="10" s="1"/>
  <c r="K3434" i="10" s="1"/>
  <c r="K3299" i="10"/>
  <c r="K3300" i="10" s="1"/>
  <c r="K3288" i="10" s="1"/>
  <c r="K3074" i="10"/>
  <c r="K3075" i="10" s="1"/>
  <c r="K3062" i="10" s="1"/>
  <c r="K2635" i="10"/>
  <c r="K2636" i="10"/>
  <c r="K2620" i="10" s="1"/>
  <c r="K5341" i="10"/>
  <c r="K5342" i="10" s="1"/>
  <c r="K5333" i="10" s="1"/>
  <c r="K4581" i="10"/>
  <c r="K4582" i="10" s="1"/>
  <c r="K4569" i="10" s="1"/>
  <c r="K4753" i="10"/>
  <c r="K4754" i="10" s="1"/>
  <c r="K4742" i="10" s="1"/>
  <c r="K4494" i="10"/>
  <c r="K4495" i="10" s="1"/>
  <c r="K4483" i="10" s="1"/>
  <c r="K4382" i="10"/>
  <c r="K4383" i="10" s="1"/>
  <c r="K4371" i="10" s="1"/>
  <c r="K4086" i="10"/>
  <c r="K4087" i="10" s="1"/>
  <c r="K4073" i="10" s="1"/>
  <c r="K3897" i="10"/>
  <c r="K3898" i="10" s="1"/>
  <c r="K3886" i="10" s="1"/>
  <c r="K3474" i="10"/>
  <c r="K3475" i="10" s="1"/>
  <c r="K3462" i="10" s="1"/>
  <c r="K3839" i="10"/>
  <c r="K3840" i="10"/>
  <c r="K3827" i="10" s="1"/>
  <c r="K3613" i="10"/>
  <c r="K3614" i="10" s="1"/>
  <c r="K3601" i="10" s="1"/>
  <c r="K3417" i="10"/>
  <c r="K3418" i="10" s="1"/>
  <c r="K3406" i="10" s="1"/>
  <c r="K3271" i="10"/>
  <c r="K3272" i="10" s="1"/>
  <c r="K3260" i="10" s="1"/>
  <c r="K2815" i="10"/>
  <c r="K2816" i="10" s="1"/>
  <c r="K2801" i="10" s="1"/>
  <c r="K3782" i="10"/>
  <c r="K3783" i="10" s="1"/>
  <c r="K3771" i="10" s="1"/>
  <c r="K2928" i="10"/>
  <c r="K2929" i="10"/>
  <c r="K2916" i="10" s="1"/>
  <c r="K2145" i="10"/>
  <c r="K2146" i="10"/>
  <c r="K2122" i="10" s="1"/>
  <c r="K2881" i="10"/>
  <c r="K2882" i="10" s="1"/>
  <c r="K2868" i="10" s="1"/>
  <c r="K2701" i="10"/>
  <c r="K2702" i="10" s="1"/>
  <c r="K2690" i="10" s="1"/>
  <c r="K2223" i="10"/>
  <c r="K2224" i="10" s="1"/>
  <c r="K2200" i="10" s="1"/>
  <c r="K2527" i="10"/>
  <c r="K2528" i="10" s="1"/>
  <c r="K2512" i="10" s="1"/>
  <c r="K1990" i="10"/>
  <c r="K1991" i="10" s="1"/>
  <c r="K1976" i="10" s="1"/>
  <c r="K1636" i="10"/>
  <c r="K1637" i="10" s="1"/>
  <c r="K1629" i="10" s="1"/>
  <c r="K1451" i="10"/>
  <c r="K1452" i="10" s="1"/>
  <c r="K1439" i="10" s="1"/>
  <c r="K1334" i="10"/>
  <c r="K1335" i="10" s="1"/>
  <c r="K1322" i="10" s="1"/>
  <c r="K1115" i="10"/>
  <c r="K1116" i="10" s="1"/>
  <c r="K1101" i="10" s="1"/>
  <c r="K1034" i="10"/>
  <c r="K1035" i="10" s="1"/>
  <c r="K1022" i="10" s="1"/>
  <c r="K869" i="10"/>
  <c r="K870" i="10" s="1"/>
  <c r="K855" i="10" s="1"/>
  <c r="K1724" i="10"/>
  <c r="K1725" i="10" s="1"/>
  <c r="K1713" i="10" s="1"/>
  <c r="K1196" i="10"/>
  <c r="K1197" i="10" s="1"/>
  <c r="K1189" i="10" s="1"/>
  <c r="K682" i="10"/>
  <c r="K683" i="10" s="1"/>
  <c r="K670" i="10" s="1"/>
  <c r="K1681" i="10"/>
  <c r="K1682" i="10"/>
  <c r="K1668" i="10" s="1"/>
  <c r="K965" i="10"/>
  <c r="K966" i="10" s="1"/>
  <c r="K951" i="10" s="1"/>
  <c r="K476" i="10"/>
  <c r="K477" i="10" s="1"/>
  <c r="K469" i="10" s="1"/>
  <c r="K280" i="10"/>
  <c r="K281" i="10" s="1"/>
  <c r="K271" i="10" s="1"/>
  <c r="K75" i="10"/>
  <c r="K60" i="10" s="1"/>
  <c r="K177" i="10"/>
  <c r="K178" i="10" s="1"/>
  <c r="K168" i="10" s="1"/>
  <c r="K512" i="10"/>
  <c r="K513" i="10" s="1"/>
  <c r="K504" i="10" s="1"/>
  <c r="K189" i="10"/>
  <c r="K190" i="10" s="1"/>
  <c r="K180" i="10" s="1"/>
  <c r="K501" i="10"/>
  <c r="K502" i="10" s="1"/>
  <c r="K493" i="10" s="1"/>
  <c r="Y634" i="2"/>
  <c r="R926" i="2"/>
  <c r="R939" i="2"/>
  <c r="L637" i="2"/>
  <c r="H926" i="2"/>
  <c r="Z634" i="2"/>
  <c r="H917" i="2"/>
  <c r="V637" i="2"/>
  <c r="Z637" i="2" s="1"/>
  <c r="R917" i="2"/>
  <c r="Y446" i="2"/>
  <c r="R909" i="2"/>
  <c r="Y444" i="2"/>
  <c r="Y460" i="2"/>
  <c r="Y455" i="2"/>
  <c r="Y459" i="2"/>
  <c r="Z463" i="2"/>
  <c r="T444" i="2"/>
  <c r="L455" i="2"/>
  <c r="Z455" i="2" s="1"/>
  <c r="Y457" i="2"/>
  <c r="Y458" i="2"/>
  <c r="Y462" i="2"/>
  <c r="Y442" i="2"/>
  <c r="L457" i="2"/>
  <c r="L458" i="2"/>
  <c r="Z458" i="2" s="1"/>
  <c r="Y463" i="2"/>
  <c r="L462" i="2"/>
  <c r="Z462" i="2" s="1"/>
  <c r="V464" i="2"/>
  <c r="T464" i="2"/>
  <c r="Z456" i="2"/>
  <c r="Z461" i="2"/>
  <c r="L459" i="2"/>
  <c r="Z459" i="2" s="1"/>
  <c r="L460" i="2"/>
  <c r="Z460" i="2" s="1"/>
  <c r="Y461" i="2"/>
  <c r="Z444" i="2"/>
  <c r="Y456" i="2"/>
  <c r="Z441" i="2"/>
  <c r="L442" i="2"/>
  <c r="Z442" i="2" s="1"/>
  <c r="Y441" i="2"/>
  <c r="L446" i="2"/>
  <c r="Z446" i="2" s="1"/>
  <c r="L464" i="2" l="1"/>
  <c r="Z464" i="2" s="1"/>
  <c r="Z457" i="2"/>
  <c r="P59" i="2"/>
  <c r="P77" i="2"/>
  <c r="P87" i="2" s="1"/>
  <c r="P97" i="2" s="1"/>
  <c r="P113" i="2"/>
  <c r="P124" i="2" s="1"/>
  <c r="P161" i="2"/>
  <c r="P242" i="2"/>
  <c r="P318" i="2"/>
  <c r="P361" i="2"/>
  <c r="P384" i="2"/>
  <c r="P409" i="2"/>
  <c r="P448" i="2"/>
  <c r="P499" i="2"/>
  <c r="P511" i="2" s="1"/>
  <c r="P535" i="2"/>
  <c r="P543" i="2" s="1"/>
  <c r="P554" i="2" s="1"/>
  <c r="P566" i="2" s="1"/>
  <c r="P599" i="2"/>
  <c r="P611" i="2" s="1"/>
  <c r="P626" i="2"/>
  <c r="P675" i="2"/>
  <c r="P692" i="2"/>
  <c r="P705" i="2" s="1"/>
  <c r="P729" i="2"/>
  <c r="P754" i="2"/>
  <c r="P776" i="2"/>
  <c r="P789" i="2" s="1"/>
  <c r="P801" i="2" s="1"/>
  <c r="P822" i="2"/>
  <c r="P836" i="2"/>
  <c r="P847" i="2" s="1"/>
  <c r="P875" i="2"/>
  <c r="P894" i="2"/>
  <c r="U132" i="2" l="1"/>
  <c r="V132" i="2" s="1"/>
  <c r="U131" i="2"/>
  <c r="V131" i="2" s="1"/>
  <c r="Y39" i="2"/>
  <c r="Y33" i="2"/>
  <c r="P1014" i="2"/>
  <c r="P1015" i="2" s="1"/>
  <c r="N789" i="2"/>
  <c r="N754" i="2"/>
  <c r="V334" i="2"/>
  <c r="U338" i="2"/>
  <c r="V338" i="2" s="1"/>
  <c r="U337" i="2"/>
  <c r="V337" i="2" s="1"/>
  <c r="U336" i="2"/>
  <c r="V336" i="2" s="1"/>
  <c r="U335" i="2"/>
  <c r="V335" i="2" s="1"/>
  <c r="U334" i="2"/>
  <c r="U333" i="2"/>
  <c r="V333" i="2" s="1"/>
  <c r="U332" i="2"/>
  <c r="V332" i="2" s="1"/>
  <c r="U331" i="2"/>
  <c r="V331" i="2" s="1"/>
  <c r="U330" i="2"/>
  <c r="V330" i="2" s="1"/>
  <c r="U329" i="2"/>
  <c r="S338" i="2"/>
  <c r="T338" i="2" s="1"/>
  <c r="M38" i="2"/>
  <c r="M37" i="2"/>
  <c r="M36" i="2"/>
  <c r="V133" i="2" l="1"/>
  <c r="P39" i="2" l="1"/>
  <c r="P33" i="2"/>
  <c r="P30" i="2"/>
  <c r="O42" i="2"/>
  <c r="P42" i="2" s="1"/>
  <c r="O41" i="2"/>
  <c r="P41" i="2" s="1"/>
  <c r="O40" i="2"/>
  <c r="P40" i="2" s="1"/>
  <c r="O26" i="2"/>
  <c r="P26" i="2" s="1"/>
  <c r="N38" i="2"/>
  <c r="N37" i="2"/>
  <c r="N36" i="2"/>
  <c r="N33" i="2"/>
  <c r="N32" i="2"/>
  <c r="N30" i="2"/>
  <c r="N1014" i="2"/>
  <c r="N1015" i="2" s="1"/>
  <c r="N1000" i="2"/>
  <c r="N985" i="2"/>
  <c r="N894" i="2"/>
  <c r="N875" i="2"/>
  <c r="N808" i="2"/>
  <c r="N599" i="2"/>
  <c r="N535" i="2"/>
  <c r="N511" i="2"/>
  <c r="N499" i="2"/>
  <c r="N448" i="2"/>
  <c r="S337" i="2"/>
  <c r="T337" i="2" s="1"/>
  <c r="S336" i="2"/>
  <c r="T336" i="2" s="1"/>
  <c r="S335" i="2"/>
  <c r="T335" i="2" s="1"/>
  <c r="S334" i="2"/>
  <c r="T334" i="2" s="1"/>
  <c r="S333" i="2"/>
  <c r="T333" i="2" s="1"/>
  <c r="S332" i="2"/>
  <c r="T332" i="2" s="1"/>
  <c r="S331" i="2"/>
  <c r="T331" i="2" s="1"/>
  <c r="S330" i="2"/>
  <c r="T330" i="2" s="1"/>
  <c r="S329" i="2"/>
  <c r="T329" i="2" s="1"/>
  <c r="N318" i="2"/>
  <c r="N242" i="2"/>
  <c r="N141" i="2"/>
  <c r="S132" i="2"/>
  <c r="T132" i="2" s="1"/>
  <c r="S131" i="2"/>
  <c r="T131" i="2" s="1"/>
  <c r="M44" i="2"/>
  <c r="N44" i="2" s="1"/>
  <c r="M26" i="2"/>
  <c r="N26" i="2" s="1"/>
  <c r="Y3" i="2"/>
  <c r="Q1014" i="2"/>
  <c r="U1014" i="2"/>
  <c r="S1014" i="2"/>
  <c r="K1014" i="2"/>
  <c r="S892" i="2"/>
  <c r="T892" i="2" s="1"/>
  <c r="K892" i="2"/>
  <c r="L892" i="2" s="1"/>
  <c r="U893" i="2"/>
  <c r="V893" i="2" s="1"/>
  <c r="S893" i="2"/>
  <c r="T893" i="2" s="1"/>
  <c r="K893" i="2"/>
  <c r="L893" i="2" s="1"/>
  <c r="U890" i="2"/>
  <c r="V890" i="2" s="1"/>
  <c r="S890" i="2"/>
  <c r="T890" i="2" s="1"/>
  <c r="K890" i="2"/>
  <c r="L890" i="2" s="1"/>
  <c r="U891" i="2"/>
  <c r="V891" i="2" s="1"/>
  <c r="U892" i="2"/>
  <c r="V892" i="2" s="1"/>
  <c r="S891" i="2"/>
  <c r="T891" i="2" s="1"/>
  <c r="K891" i="2"/>
  <c r="L891" i="2" s="1"/>
  <c r="U889" i="2"/>
  <c r="V889" i="2" s="1"/>
  <c r="U888" i="2"/>
  <c r="V888" i="2" s="1"/>
  <c r="U887" i="2"/>
  <c r="V887" i="2" s="1"/>
  <c r="U886" i="2"/>
  <c r="V886" i="2" s="1"/>
  <c r="K886" i="2"/>
  <c r="L886" i="2" s="1"/>
  <c r="U885" i="2"/>
  <c r="V885" i="2" s="1"/>
  <c r="S885" i="2"/>
  <c r="T885" i="2" s="1"/>
  <c r="K885" i="2"/>
  <c r="L885" i="2" s="1"/>
  <c r="U884" i="2"/>
  <c r="V884" i="2" s="1"/>
  <c r="S883" i="2"/>
  <c r="T883" i="2" s="1"/>
  <c r="K883" i="2"/>
  <c r="L883" i="2" s="1"/>
  <c r="S882" i="2"/>
  <c r="T882" i="2" s="1"/>
  <c r="K882" i="2"/>
  <c r="U881" i="2"/>
  <c r="V881" i="2" s="1"/>
  <c r="S881" i="2"/>
  <c r="T881" i="2" s="1"/>
  <c r="K881" i="2"/>
  <c r="L881" i="2" s="1"/>
  <c r="U870" i="2"/>
  <c r="V870" i="2" s="1"/>
  <c r="S869" i="2"/>
  <c r="T869" i="2" s="1"/>
  <c r="S868" i="2"/>
  <c r="T868" i="2" s="1"/>
  <c r="U867" i="2"/>
  <c r="V867" i="2" s="1"/>
  <c r="U866" i="2"/>
  <c r="V866" i="2" s="1"/>
  <c r="U865" i="2"/>
  <c r="V865" i="2" s="1"/>
  <c r="S864" i="2"/>
  <c r="T864" i="2" s="1"/>
  <c r="K863" i="2"/>
  <c r="L863" i="2" s="1"/>
  <c r="L875" i="2" s="1"/>
  <c r="H893" i="2"/>
  <c r="H892" i="2"/>
  <c r="H891" i="2"/>
  <c r="H890" i="2"/>
  <c r="H889" i="2"/>
  <c r="H888" i="2"/>
  <c r="H887" i="2"/>
  <c r="H886" i="2"/>
  <c r="H885" i="2"/>
  <c r="H884" i="2"/>
  <c r="H883" i="2"/>
  <c r="H882" i="2"/>
  <c r="H881" i="2"/>
  <c r="H869" i="2"/>
  <c r="H868" i="2"/>
  <c r="H867" i="2"/>
  <c r="H866" i="2"/>
  <c r="H865" i="2"/>
  <c r="H864" i="2"/>
  <c r="H863" i="2"/>
  <c r="U440" i="2"/>
  <c r="V440" i="2" s="1"/>
  <c r="S440" i="2"/>
  <c r="T440" i="2" s="1"/>
  <c r="U439" i="2"/>
  <c r="V439" i="2" s="1"/>
  <c r="S439" i="2"/>
  <c r="U438" i="2"/>
  <c r="V438" i="2" s="1"/>
  <c r="U437" i="2"/>
  <c r="V437" i="2" s="1"/>
  <c r="U436" i="2"/>
  <c r="V436" i="2" s="1"/>
  <c r="U435" i="2"/>
  <c r="V435" i="2" s="1"/>
  <c r="S435" i="2"/>
  <c r="T435" i="2" s="1"/>
  <c r="K435" i="2"/>
  <c r="L435" i="2" s="1"/>
  <c r="S434" i="2"/>
  <c r="T434" i="2" s="1"/>
  <c r="K434" i="2"/>
  <c r="L434" i="2" s="1"/>
  <c r="S433" i="2"/>
  <c r="T433" i="2" s="1"/>
  <c r="K433" i="2"/>
  <c r="L433" i="2" s="1"/>
  <c r="S432" i="2"/>
  <c r="T432" i="2" s="1"/>
  <c r="K432" i="2"/>
  <c r="S431" i="2"/>
  <c r="T431" i="2" s="1"/>
  <c r="K431" i="2"/>
  <c r="U430" i="2"/>
  <c r="V430" i="2" s="1"/>
  <c r="S430" i="2"/>
  <c r="T430" i="2" s="1"/>
  <c r="K430" i="2"/>
  <c r="L430" i="2" s="1"/>
  <c r="H440" i="2"/>
  <c r="H439" i="2"/>
  <c r="H438" i="2"/>
  <c r="H437" i="2"/>
  <c r="H436" i="2"/>
  <c r="H435" i="2"/>
  <c r="H434" i="2"/>
  <c r="H433" i="2"/>
  <c r="H432" i="2"/>
  <c r="H431" i="2"/>
  <c r="H430" i="2"/>
  <c r="T875" i="2" l="1"/>
  <c r="V875" i="2"/>
  <c r="H875" i="2"/>
  <c r="Z875" i="2"/>
  <c r="H448" i="2"/>
  <c r="V448" i="2"/>
  <c r="N87" i="2"/>
  <c r="P46" i="2"/>
  <c r="N611" i="2"/>
  <c r="T133" i="2"/>
  <c r="N97" i="2"/>
  <c r="N59" i="2"/>
  <c r="N361" i="2"/>
  <c r="N675" i="2"/>
  <c r="N801" i="2"/>
  <c r="N847" i="2"/>
  <c r="N554" i="2"/>
  <c r="N113" i="2"/>
  <c r="N729" i="2"/>
  <c r="N822" i="2"/>
  <c r="N77" i="2"/>
  <c r="N566" i="2"/>
  <c r="N836" i="2"/>
  <c r="N161" i="2"/>
  <c r="N692" i="2"/>
  <c r="N384" i="2"/>
  <c r="N626" i="2"/>
  <c r="N776" i="2"/>
  <c r="N124" i="2"/>
  <c r="Y1014" i="2"/>
  <c r="Y881" i="2"/>
  <c r="Y882" i="2"/>
  <c r="Z886" i="2"/>
  <c r="Z893" i="2"/>
  <c r="Z885" i="2"/>
  <c r="L882" i="2"/>
  <c r="Z882" i="2" s="1"/>
  <c r="Z892" i="2"/>
  <c r="T894" i="2"/>
  <c r="Z891" i="2"/>
  <c r="V894" i="2"/>
  <c r="Z883" i="2"/>
  <c r="Z890" i="2"/>
  <c r="Z433" i="2"/>
  <c r="Y885" i="2"/>
  <c r="Y890" i="2"/>
  <c r="Y432" i="2"/>
  <c r="Y439" i="2"/>
  <c r="H894" i="2"/>
  <c r="Y891" i="2"/>
  <c r="Y883" i="2"/>
  <c r="Y886" i="2"/>
  <c r="Y893" i="2"/>
  <c r="Z881" i="2"/>
  <c r="Z434" i="2"/>
  <c r="Y430" i="2"/>
  <c r="Y431" i="2"/>
  <c r="Y434" i="2"/>
  <c r="Z435" i="2"/>
  <c r="Z430" i="2"/>
  <c r="Z440" i="2"/>
  <c r="Y435" i="2"/>
  <c r="Y433" i="2"/>
  <c r="Y440" i="2"/>
  <c r="L432" i="2"/>
  <c r="Z432" i="2" s="1"/>
  <c r="T439" i="2"/>
  <c r="Z439" i="2" s="1"/>
  <c r="L431" i="2"/>
  <c r="Z431" i="2" s="1"/>
  <c r="T448" i="2" l="1"/>
  <c r="L448" i="2"/>
  <c r="L894" i="2"/>
  <c r="Z894" i="2" s="1"/>
  <c r="Q992" i="2"/>
  <c r="R992" i="2" s="1"/>
  <c r="U992" i="2"/>
  <c r="V992" i="2" s="1"/>
  <c r="S992" i="2"/>
  <c r="T992" i="2" s="1"/>
  <c r="K992" i="2"/>
  <c r="L992" i="2" s="1"/>
  <c r="Q998" i="2"/>
  <c r="U998" i="2"/>
  <c r="S998" i="2"/>
  <c r="K998" i="2"/>
  <c r="Q997" i="2"/>
  <c r="U997" i="2"/>
  <c r="S997" i="2"/>
  <c r="K997" i="2"/>
  <c r="L997" i="2" s="1"/>
  <c r="Q996" i="2"/>
  <c r="R996" i="2" s="1"/>
  <c r="Q999" i="2"/>
  <c r="R999" i="2" s="1"/>
  <c r="U999" i="2"/>
  <c r="V999" i="2" s="1"/>
  <c r="S999" i="2"/>
  <c r="T999" i="2" s="1"/>
  <c r="K999" i="2"/>
  <c r="L999" i="2" s="1"/>
  <c r="U996" i="2"/>
  <c r="V996" i="2" s="1"/>
  <c r="S996" i="2"/>
  <c r="T996" i="2" s="1"/>
  <c r="K996" i="2"/>
  <c r="Q995" i="2"/>
  <c r="R995" i="2" s="1"/>
  <c r="U995" i="2"/>
  <c r="V995" i="2" s="1"/>
  <c r="S995" i="2"/>
  <c r="T995" i="2" s="1"/>
  <c r="K995" i="2"/>
  <c r="L995" i="2" s="1"/>
  <c r="Q994" i="2"/>
  <c r="R994" i="2" s="1"/>
  <c r="U994" i="2"/>
  <c r="S994" i="2"/>
  <c r="T994" i="2" s="1"/>
  <c r="K994" i="2"/>
  <c r="L994" i="2" s="1"/>
  <c r="X3" i="2"/>
  <c r="Q993" i="2"/>
  <c r="U993" i="2"/>
  <c r="V993" i="2" s="1"/>
  <c r="S993" i="2"/>
  <c r="K993" i="2"/>
  <c r="V5" i="2"/>
  <c r="T5" i="2"/>
  <c r="L5" i="2"/>
  <c r="V4" i="2"/>
  <c r="T4" i="2"/>
  <c r="L4" i="2"/>
  <c r="Z448" i="2" l="1"/>
  <c r="Y4" i="2"/>
  <c r="S991" i="2"/>
  <c r="T991" i="2" s="1"/>
  <c r="Y998" i="2"/>
  <c r="Z999" i="2"/>
  <c r="Y996" i="2"/>
  <c r="Q991" i="2"/>
  <c r="R991" i="2" s="1"/>
  <c r="U991" i="2"/>
  <c r="V991" i="2" s="1"/>
  <c r="Z995" i="2"/>
  <c r="R993" i="2"/>
  <c r="Y999" i="2"/>
  <c r="V994" i="2"/>
  <c r="L996" i="2"/>
  <c r="Z996" i="2" s="1"/>
  <c r="Y997" i="2"/>
  <c r="Y993" i="2"/>
  <c r="L993" i="2"/>
  <c r="Y994" i="2"/>
  <c r="T993" i="2"/>
  <c r="K991" i="2"/>
  <c r="L991" i="2" s="1"/>
  <c r="Y992" i="2"/>
  <c r="Y6" i="2"/>
  <c r="Z6" i="2" s="1"/>
  <c r="T3" i="2" s="1"/>
  <c r="Y995" i="2"/>
  <c r="T1000" i="2" l="1"/>
  <c r="Y991" i="2"/>
  <c r="L1000" i="2"/>
  <c r="R1000" i="2"/>
  <c r="V1000" i="2"/>
  <c r="L3" i="2"/>
  <c r="V3" i="2"/>
  <c r="Z994" i="2"/>
  <c r="Z993" i="2"/>
  <c r="O974" i="2"/>
  <c r="K974" i="2"/>
  <c r="K973" i="2"/>
  <c r="L973" i="2" s="1"/>
  <c r="O973" i="2"/>
  <c r="Q972" i="2"/>
  <c r="Q970" i="2" s="1"/>
  <c r="R970" i="2" s="1"/>
  <c r="O972" i="2"/>
  <c r="P972" i="2" s="1"/>
  <c r="M972" i="2"/>
  <c r="N972" i="2" s="1"/>
  <c r="K972" i="2"/>
  <c r="L972" i="2" s="1"/>
  <c r="I972" i="2"/>
  <c r="M973" i="2"/>
  <c r="N973" i="2" s="1"/>
  <c r="M974" i="2"/>
  <c r="O975" i="2"/>
  <c r="P975" i="2" s="1"/>
  <c r="I975" i="2"/>
  <c r="I971" i="2"/>
  <c r="J971" i="2" s="1"/>
  <c r="M971" i="2"/>
  <c r="N971" i="2" s="1"/>
  <c r="K971" i="2"/>
  <c r="O971" i="2"/>
  <c r="P971" i="2" s="1"/>
  <c r="I984" i="2"/>
  <c r="J984" i="2" s="1"/>
  <c r="Q984" i="2"/>
  <c r="R984" i="2" s="1"/>
  <c r="U984" i="2"/>
  <c r="V984" i="2" s="1"/>
  <c r="S984" i="2"/>
  <c r="T984" i="2" s="1"/>
  <c r="K984" i="2"/>
  <c r="L984" i="2" s="1"/>
  <c r="I983" i="2"/>
  <c r="J983" i="2" s="1"/>
  <c r="I982" i="2"/>
  <c r="J982" i="2" s="1"/>
  <c r="K982" i="2"/>
  <c r="L982" i="2" s="1"/>
  <c r="S982" i="2"/>
  <c r="T982" i="2" s="1"/>
  <c r="Q982" i="2"/>
  <c r="R982" i="2" s="1"/>
  <c r="U982" i="2"/>
  <c r="V982" i="2" s="1"/>
  <c r="I1007" i="2"/>
  <c r="J1007" i="2" s="1"/>
  <c r="I1006" i="2"/>
  <c r="J1006" i="2" s="1"/>
  <c r="I959" i="2"/>
  <c r="J959" i="2" s="1"/>
  <c r="Q856" i="2"/>
  <c r="R856" i="2" s="1"/>
  <c r="K856" i="2"/>
  <c r="L856" i="2" s="1"/>
  <c r="Q855" i="2"/>
  <c r="R855" i="2" s="1"/>
  <c r="K854" i="2"/>
  <c r="L854" i="2" s="1"/>
  <c r="U846" i="2"/>
  <c r="V846" i="2" s="1"/>
  <c r="S846" i="2"/>
  <c r="T846" i="2" s="1"/>
  <c r="K846" i="2"/>
  <c r="U845" i="2"/>
  <c r="V845" i="2" s="1"/>
  <c r="S845" i="2"/>
  <c r="T845" i="2" s="1"/>
  <c r="K845" i="2"/>
  <c r="U844" i="2"/>
  <c r="V844" i="2" s="1"/>
  <c r="S844" i="2"/>
  <c r="T844" i="2" s="1"/>
  <c r="K844" i="2"/>
  <c r="U843" i="2"/>
  <c r="V843" i="2" s="1"/>
  <c r="S843" i="2"/>
  <c r="T843" i="2" s="1"/>
  <c r="K843" i="2"/>
  <c r="U835" i="2"/>
  <c r="V835" i="2" s="1"/>
  <c r="S835" i="2"/>
  <c r="T835" i="2" s="1"/>
  <c r="K835" i="2"/>
  <c r="L835" i="2" s="1"/>
  <c r="U834" i="2"/>
  <c r="V834" i="2" s="1"/>
  <c r="S834" i="2"/>
  <c r="T834" i="2" s="1"/>
  <c r="K834" i="2"/>
  <c r="L834" i="2" s="1"/>
  <c r="U833" i="2"/>
  <c r="V833" i="2" s="1"/>
  <c r="S833" i="2"/>
  <c r="T833" i="2" s="1"/>
  <c r="K833" i="2"/>
  <c r="L833" i="2" s="1"/>
  <c r="I832" i="2"/>
  <c r="J832" i="2" s="1"/>
  <c r="J836" i="2" s="1"/>
  <c r="Q831" i="2"/>
  <c r="R831" i="2" s="1"/>
  <c r="R836" i="2" s="1"/>
  <c r="U831" i="2"/>
  <c r="V831" i="2" s="1"/>
  <c r="S831" i="2"/>
  <c r="T831" i="2" s="1"/>
  <c r="K831" i="2"/>
  <c r="L831" i="2" s="1"/>
  <c r="U830" i="2"/>
  <c r="V830" i="2" s="1"/>
  <c r="S830" i="2"/>
  <c r="T830" i="2" s="1"/>
  <c r="K830" i="2"/>
  <c r="L830" i="2" s="1"/>
  <c r="K829" i="2"/>
  <c r="L829" i="2" s="1"/>
  <c r="S821" i="2"/>
  <c r="T821" i="2" s="1"/>
  <c r="K821" i="2"/>
  <c r="S820" i="2"/>
  <c r="T820" i="2" s="1"/>
  <c r="K820" i="2"/>
  <c r="L820" i="2" s="1"/>
  <c r="S819" i="2"/>
  <c r="T819" i="2" s="1"/>
  <c r="K819" i="2"/>
  <c r="L819" i="2" s="1"/>
  <c r="S818" i="2"/>
  <c r="T818" i="2" s="1"/>
  <c r="K818" i="2"/>
  <c r="L818" i="2" s="1"/>
  <c r="S817" i="2"/>
  <c r="T817" i="2" s="1"/>
  <c r="K817" i="2"/>
  <c r="U816" i="2"/>
  <c r="V816" i="2" s="1"/>
  <c r="V822" i="2" s="1"/>
  <c r="S815" i="2"/>
  <c r="T815" i="2" s="1"/>
  <c r="S807" i="2"/>
  <c r="T807" i="2" s="1"/>
  <c r="T808" i="2" s="1"/>
  <c r="Q800" i="2"/>
  <c r="R800" i="2" s="1"/>
  <c r="U799" i="2"/>
  <c r="V799" i="2" s="1"/>
  <c r="S799" i="2"/>
  <c r="T799" i="2" s="1"/>
  <c r="K799" i="2"/>
  <c r="U798" i="2"/>
  <c r="V798" i="2" s="1"/>
  <c r="S798" i="2"/>
  <c r="T798" i="2" s="1"/>
  <c r="K798" i="2"/>
  <c r="Q797" i="2"/>
  <c r="R797" i="2" s="1"/>
  <c r="U797" i="2"/>
  <c r="V797" i="2" s="1"/>
  <c r="S797" i="2"/>
  <c r="T797" i="2" s="1"/>
  <c r="K797" i="2"/>
  <c r="L797" i="2" s="1"/>
  <c r="Q796" i="2"/>
  <c r="R796" i="2" s="1"/>
  <c r="U796" i="2"/>
  <c r="V796" i="2" s="1"/>
  <c r="S796" i="2"/>
  <c r="T796" i="2" s="1"/>
  <c r="K796" i="2"/>
  <c r="L796" i="2" s="1"/>
  <c r="Q795" i="2"/>
  <c r="R795" i="2" s="1"/>
  <c r="U795" i="2"/>
  <c r="V795" i="2" s="1"/>
  <c r="S795" i="2"/>
  <c r="T795" i="2" s="1"/>
  <c r="K795" i="2"/>
  <c r="L795" i="2" s="1"/>
  <c r="Q775" i="2"/>
  <c r="R775" i="2" s="1"/>
  <c r="R776" i="2" s="1"/>
  <c r="V775" i="2"/>
  <c r="S775" i="2"/>
  <c r="T775" i="2" s="1"/>
  <c r="K775" i="2"/>
  <c r="L775" i="2" s="1"/>
  <c r="U774" i="2"/>
  <c r="V774" i="2" s="1"/>
  <c r="S774" i="2"/>
  <c r="T774" i="2" s="1"/>
  <c r="K774" i="2"/>
  <c r="L774" i="2" s="1"/>
  <c r="S773" i="2"/>
  <c r="T773" i="2" s="1"/>
  <c r="S772" i="2"/>
  <c r="T772" i="2" s="1"/>
  <c r="S771" i="2"/>
  <c r="T771" i="2" s="1"/>
  <c r="S770" i="2"/>
  <c r="T770" i="2" s="1"/>
  <c r="S769" i="2"/>
  <c r="T769" i="2" s="1"/>
  <c r="I739" i="2"/>
  <c r="J739" i="2" s="1"/>
  <c r="U738" i="2"/>
  <c r="V738" i="2" s="1"/>
  <c r="U737" i="2"/>
  <c r="V737" i="2" s="1"/>
  <c r="I736" i="2"/>
  <c r="J736" i="2" s="1"/>
  <c r="Q728" i="2"/>
  <c r="R728" i="2" s="1"/>
  <c r="U728" i="2"/>
  <c r="V728" i="2" s="1"/>
  <c r="S728" i="2"/>
  <c r="T728" i="2" s="1"/>
  <c r="K728" i="2"/>
  <c r="L728" i="2" s="1"/>
  <c r="Q727" i="2"/>
  <c r="R727" i="2" s="1"/>
  <c r="S727" i="2"/>
  <c r="T727" i="2" s="1"/>
  <c r="U726" i="2"/>
  <c r="V726" i="2" s="1"/>
  <c r="K726" i="2"/>
  <c r="L726" i="2" s="1"/>
  <c r="S725" i="2"/>
  <c r="T725" i="2" s="1"/>
  <c r="U724" i="2"/>
  <c r="V724" i="2" s="1"/>
  <c r="S724" i="2"/>
  <c r="T724" i="2" s="1"/>
  <c r="K724" i="2"/>
  <c r="L724" i="2" s="1"/>
  <c r="S723" i="2"/>
  <c r="T723" i="2" s="1"/>
  <c r="K722" i="2"/>
  <c r="L722" i="2" s="1"/>
  <c r="K721" i="2"/>
  <c r="L721" i="2" s="1"/>
  <c r="Q720" i="2"/>
  <c r="R720" i="2" s="1"/>
  <c r="I713" i="2"/>
  <c r="J713" i="2" s="1"/>
  <c r="I712" i="2"/>
  <c r="J712" i="2" s="1"/>
  <c r="U691" i="2"/>
  <c r="V691" i="2" s="1"/>
  <c r="S691" i="2"/>
  <c r="T691" i="2" s="1"/>
  <c r="K690" i="2"/>
  <c r="L690" i="2" s="1"/>
  <c r="U689" i="2"/>
  <c r="V689" i="2" s="1"/>
  <c r="S689" i="2"/>
  <c r="T689" i="2" s="1"/>
  <c r="U688" i="2"/>
  <c r="V688" i="2" s="1"/>
  <c r="S688" i="2"/>
  <c r="T688" i="2" s="1"/>
  <c r="K688" i="2"/>
  <c r="S687" i="2"/>
  <c r="T687" i="2" s="1"/>
  <c r="K687" i="2"/>
  <c r="U686" i="2"/>
  <c r="V686" i="2" s="1"/>
  <c r="U685" i="2"/>
  <c r="V685" i="2" s="1"/>
  <c r="S685" i="2"/>
  <c r="S684" i="2"/>
  <c r="T684" i="2" s="1"/>
  <c r="K684" i="2"/>
  <c r="L684" i="2" s="1"/>
  <c r="Q683" i="2"/>
  <c r="R683" i="2" s="1"/>
  <c r="R692" i="2" s="1"/>
  <c r="U682" i="2"/>
  <c r="V682" i="2" s="1"/>
  <c r="S682" i="2"/>
  <c r="T682" i="2" s="1"/>
  <c r="K682" i="2"/>
  <c r="L682" i="2" s="1"/>
  <c r="Q674" i="2"/>
  <c r="R674" i="2" s="1"/>
  <c r="U674" i="2"/>
  <c r="V674" i="2" s="1"/>
  <c r="S674" i="2"/>
  <c r="T674" i="2" s="1"/>
  <c r="K674" i="2"/>
  <c r="L674" i="2" s="1"/>
  <c r="Q673" i="2"/>
  <c r="R673" i="2" s="1"/>
  <c r="U673" i="2"/>
  <c r="V673" i="2" s="1"/>
  <c r="S673" i="2"/>
  <c r="T673" i="2" s="1"/>
  <c r="K673" i="2"/>
  <c r="L673" i="2" s="1"/>
  <c r="U672" i="2"/>
  <c r="V672" i="2" s="1"/>
  <c r="S672" i="2"/>
  <c r="T672" i="2" s="1"/>
  <c r="K672" i="2"/>
  <c r="L672" i="2" s="1"/>
  <c r="U671" i="2"/>
  <c r="V671" i="2" s="1"/>
  <c r="S671" i="2"/>
  <c r="T671" i="2" s="1"/>
  <c r="K671" i="2"/>
  <c r="L671" i="2" s="1"/>
  <c r="K670" i="2"/>
  <c r="L670" i="2" s="1"/>
  <c r="K669" i="2"/>
  <c r="L669" i="2" s="1"/>
  <c r="I668" i="2"/>
  <c r="J668" i="2" s="1"/>
  <c r="I667" i="2"/>
  <c r="J667" i="2" s="1"/>
  <c r="K666" i="2"/>
  <c r="L666" i="2" s="1"/>
  <c r="K665" i="2"/>
  <c r="L665" i="2" s="1"/>
  <c r="Q664" i="2"/>
  <c r="R664" i="2" s="1"/>
  <c r="U664" i="2"/>
  <c r="V664" i="2" s="1"/>
  <c r="S664" i="2"/>
  <c r="T664" i="2" s="1"/>
  <c r="K664" i="2"/>
  <c r="L664" i="2" s="1"/>
  <c r="Q663" i="2"/>
  <c r="R663" i="2" s="1"/>
  <c r="U663" i="2"/>
  <c r="V663" i="2" s="1"/>
  <c r="S663" i="2"/>
  <c r="T663" i="2" s="1"/>
  <c r="K663" i="2"/>
  <c r="L663" i="2" s="1"/>
  <c r="I655" i="2"/>
  <c r="J655" i="2" s="1"/>
  <c r="I654" i="2"/>
  <c r="J654" i="2" s="1"/>
  <c r="I653" i="2"/>
  <c r="J653" i="2" s="1"/>
  <c r="I652" i="2"/>
  <c r="J652" i="2" s="1"/>
  <c r="S625" i="2"/>
  <c r="T625" i="2" s="1"/>
  <c r="U624" i="2"/>
  <c r="V624" i="2" s="1"/>
  <c r="S624" i="2"/>
  <c r="T624" i="2" s="1"/>
  <c r="K624" i="2"/>
  <c r="L624" i="2" s="1"/>
  <c r="U623" i="2"/>
  <c r="V623" i="2" s="1"/>
  <c r="S623" i="2"/>
  <c r="T623" i="2" s="1"/>
  <c r="S622" i="2"/>
  <c r="T622" i="2" s="1"/>
  <c r="U621" i="2"/>
  <c r="V621" i="2" s="1"/>
  <c r="S621" i="2"/>
  <c r="T621" i="2" s="1"/>
  <c r="U620" i="2"/>
  <c r="V620" i="2" s="1"/>
  <c r="S620" i="2"/>
  <c r="T620" i="2" s="1"/>
  <c r="K620" i="2"/>
  <c r="S619" i="2"/>
  <c r="T619" i="2" s="1"/>
  <c r="K619" i="2"/>
  <c r="L619" i="2" s="1"/>
  <c r="S610" i="2"/>
  <c r="T610" i="2" s="1"/>
  <c r="K610" i="2"/>
  <c r="L610" i="2" s="1"/>
  <c r="U609" i="2"/>
  <c r="V609" i="2" s="1"/>
  <c r="V611" i="2" s="1"/>
  <c r="S608" i="2"/>
  <c r="T608" i="2" s="1"/>
  <c r="K607" i="2"/>
  <c r="L607" i="2" s="1"/>
  <c r="U598" i="2"/>
  <c r="V598" i="2" s="1"/>
  <c r="S598" i="2"/>
  <c r="T598" i="2" s="1"/>
  <c r="K598" i="2"/>
  <c r="U597" i="2"/>
  <c r="V597" i="2" s="1"/>
  <c r="S597" i="2"/>
  <c r="T597" i="2" s="1"/>
  <c r="K597" i="2"/>
  <c r="U596" i="2"/>
  <c r="V596" i="2" s="1"/>
  <c r="S596" i="2"/>
  <c r="T596" i="2" s="1"/>
  <c r="K596" i="2"/>
  <c r="V595" i="2"/>
  <c r="T595" i="2"/>
  <c r="K595" i="2"/>
  <c r="L595" i="2" s="1"/>
  <c r="U594" i="2"/>
  <c r="V594" i="2" s="1"/>
  <c r="S594" i="2"/>
  <c r="T594" i="2" s="1"/>
  <c r="K594" i="2"/>
  <c r="L594" i="2" s="1"/>
  <c r="U593" i="2"/>
  <c r="V593" i="2" s="1"/>
  <c r="S593" i="2"/>
  <c r="T593" i="2" s="1"/>
  <c r="K593" i="2"/>
  <c r="L593" i="2" s="1"/>
  <c r="U592" i="2"/>
  <c r="V592" i="2" s="1"/>
  <c r="S592" i="2"/>
  <c r="T592" i="2" s="1"/>
  <c r="K592" i="2"/>
  <c r="L592" i="2" s="1"/>
  <c r="U591" i="2"/>
  <c r="V591" i="2" s="1"/>
  <c r="S591" i="2"/>
  <c r="T591" i="2" s="1"/>
  <c r="K591" i="2"/>
  <c r="L591" i="2" s="1"/>
  <c r="K590" i="2"/>
  <c r="L590" i="2" s="1"/>
  <c r="U589" i="2"/>
  <c r="V589" i="2" s="1"/>
  <c r="S589" i="2"/>
  <c r="T589" i="2" s="1"/>
  <c r="K588" i="2"/>
  <c r="L588" i="2" s="1"/>
  <c r="U587" i="2"/>
  <c r="V587" i="2" s="1"/>
  <c r="S587" i="2"/>
  <c r="T587" i="2" s="1"/>
  <c r="I579" i="2"/>
  <c r="J579" i="2" s="1"/>
  <c r="I578" i="2"/>
  <c r="J578" i="2" s="1"/>
  <c r="Q577" i="2"/>
  <c r="R577" i="2" s="1"/>
  <c r="I576" i="2"/>
  <c r="J576" i="2" s="1"/>
  <c r="I575" i="2"/>
  <c r="J575" i="2" s="1"/>
  <c r="Q574" i="2"/>
  <c r="R574" i="2" s="1"/>
  <c r="Q573" i="2"/>
  <c r="R573" i="2" s="1"/>
  <c r="I565" i="2"/>
  <c r="J565" i="2" s="1"/>
  <c r="I564" i="2"/>
  <c r="J564" i="2" s="1"/>
  <c r="I563" i="2"/>
  <c r="J563" i="2" s="1"/>
  <c r="U562" i="2"/>
  <c r="V562" i="2" s="1"/>
  <c r="S562" i="2"/>
  <c r="T562" i="2" s="1"/>
  <c r="K562" i="2"/>
  <c r="U561" i="2"/>
  <c r="V561" i="2" s="1"/>
  <c r="S561" i="2"/>
  <c r="T561" i="2" s="1"/>
  <c r="K561" i="2"/>
  <c r="V553" i="2"/>
  <c r="S553" i="2"/>
  <c r="T553" i="2" s="1"/>
  <c r="K553" i="2"/>
  <c r="U552" i="2"/>
  <c r="V552" i="2" s="1"/>
  <c r="S552" i="2"/>
  <c r="T552" i="2" s="1"/>
  <c r="K552" i="2"/>
  <c r="U551" i="2"/>
  <c r="V551" i="2" s="1"/>
  <c r="U550" i="2"/>
  <c r="V550" i="2" s="1"/>
  <c r="S550" i="2"/>
  <c r="T550" i="2" s="1"/>
  <c r="K550" i="2"/>
  <c r="L550" i="2" s="1"/>
  <c r="V599" i="2" l="1"/>
  <c r="V554" i="2"/>
  <c r="V626" i="2"/>
  <c r="J714" i="2"/>
  <c r="R675" i="2"/>
  <c r="R985" i="2"/>
  <c r="Z1000" i="2"/>
  <c r="Z856" i="2"/>
  <c r="Y685" i="2"/>
  <c r="V836" i="2"/>
  <c r="Y974" i="2"/>
  <c r="Z610" i="2"/>
  <c r="Y687" i="2"/>
  <c r="Z835" i="2"/>
  <c r="T847" i="2"/>
  <c r="Y846" i="2"/>
  <c r="J1008" i="2"/>
  <c r="T985" i="2"/>
  <c r="K970" i="2"/>
  <c r="L970" i="2" s="1"/>
  <c r="Y596" i="2"/>
  <c r="Y620" i="2"/>
  <c r="Z624" i="2"/>
  <c r="Y817" i="2"/>
  <c r="T836" i="2"/>
  <c r="Y975" i="2"/>
  <c r="Y972" i="2"/>
  <c r="Z959" i="2"/>
  <c r="Z984" i="2"/>
  <c r="L985" i="2"/>
  <c r="Z982" i="2"/>
  <c r="V985" i="2"/>
  <c r="J985" i="2"/>
  <c r="J675" i="2"/>
  <c r="Z724" i="2"/>
  <c r="Y821" i="2"/>
  <c r="Y843" i="2"/>
  <c r="L857" i="2"/>
  <c r="I970" i="2"/>
  <c r="J970" i="2" s="1"/>
  <c r="O970" i="2"/>
  <c r="P970" i="2" s="1"/>
  <c r="L971" i="2"/>
  <c r="Z971" i="2" s="1"/>
  <c r="J972" i="2"/>
  <c r="R972" i="2"/>
  <c r="R976" i="2" s="1"/>
  <c r="P973" i="2"/>
  <c r="Z973" i="2" s="1"/>
  <c r="Y984" i="2"/>
  <c r="M970" i="2"/>
  <c r="N970" i="2" s="1"/>
  <c r="K969" i="2"/>
  <c r="V566" i="2"/>
  <c r="Y982" i="2"/>
  <c r="M969" i="2"/>
  <c r="N969" i="2" s="1"/>
  <c r="N976" i="2" s="1"/>
  <c r="J975" i="2"/>
  <c r="Z975" i="2" s="1"/>
  <c r="Y688" i="2"/>
  <c r="V776" i="2"/>
  <c r="V801" i="2"/>
  <c r="O969" i="2"/>
  <c r="P969" i="2" s="1"/>
  <c r="Y973" i="2"/>
  <c r="Z550" i="2"/>
  <c r="T675" i="2"/>
  <c r="Z672" i="2"/>
  <c r="Z689" i="2"/>
  <c r="R729" i="2"/>
  <c r="T729" i="2"/>
  <c r="Z726" i="2"/>
  <c r="J740" i="2"/>
  <c r="R801" i="2"/>
  <c r="Z797" i="2"/>
  <c r="Y819" i="2"/>
  <c r="Z691" i="2"/>
  <c r="V729" i="2"/>
  <c r="T801" i="2"/>
  <c r="Y798" i="2"/>
  <c r="Y799" i="2"/>
  <c r="Z818" i="2"/>
  <c r="Z591" i="2"/>
  <c r="Z595" i="2"/>
  <c r="Z684" i="2"/>
  <c r="T685" i="2"/>
  <c r="Z685" i="2" s="1"/>
  <c r="L687" i="2"/>
  <c r="Z687" i="2" s="1"/>
  <c r="Z728" i="2"/>
  <c r="Y845" i="2"/>
  <c r="R857" i="2"/>
  <c r="Z589" i="2"/>
  <c r="Z623" i="2"/>
  <c r="Z664" i="2"/>
  <c r="Z673" i="2"/>
  <c r="Z674" i="2"/>
  <c r="Y727" i="2"/>
  <c r="Y795" i="2"/>
  <c r="Y797" i="2"/>
  <c r="L817" i="2"/>
  <c r="Z817" i="2" s="1"/>
  <c r="Z820" i="2"/>
  <c r="L821" i="2"/>
  <c r="Z821" i="2" s="1"/>
  <c r="Y844" i="2"/>
  <c r="Y856" i="2"/>
  <c r="V847" i="2"/>
  <c r="L843" i="2"/>
  <c r="L844" i="2"/>
  <c r="Z844" i="2" s="1"/>
  <c r="L845" i="2"/>
  <c r="Z845" i="2" s="1"/>
  <c r="L846" i="2"/>
  <c r="Z846" i="2" s="1"/>
  <c r="L836" i="2"/>
  <c r="Z831" i="2"/>
  <c r="Z834" i="2"/>
  <c r="Z830" i="2"/>
  <c r="Z833" i="2"/>
  <c r="Y830" i="2"/>
  <c r="Y833" i="2"/>
  <c r="Y834" i="2"/>
  <c r="Y835" i="2"/>
  <c r="Y831" i="2"/>
  <c r="Z819" i="2"/>
  <c r="T822" i="2"/>
  <c r="Y818" i="2"/>
  <c r="Y820" i="2"/>
  <c r="Z796" i="2"/>
  <c r="Z795" i="2"/>
  <c r="Y796" i="2"/>
  <c r="L798" i="2"/>
  <c r="Z798" i="2" s="1"/>
  <c r="L799" i="2"/>
  <c r="Z799" i="2" s="1"/>
  <c r="L776" i="2"/>
  <c r="Z774" i="2"/>
  <c r="T776" i="2"/>
  <c r="Z775" i="2"/>
  <c r="Y774" i="2"/>
  <c r="Y775" i="2"/>
  <c r="V740" i="2"/>
  <c r="Z727" i="2"/>
  <c r="L729" i="2"/>
  <c r="Y724" i="2"/>
  <c r="Y726" i="2"/>
  <c r="Y728" i="2"/>
  <c r="V692" i="2"/>
  <c r="Y682" i="2"/>
  <c r="Y684" i="2"/>
  <c r="Y689" i="2"/>
  <c r="Y691" i="2"/>
  <c r="Z682" i="2"/>
  <c r="L688" i="2"/>
  <c r="Z688" i="2" s="1"/>
  <c r="L675" i="2"/>
  <c r="Z663" i="2"/>
  <c r="V675" i="2"/>
  <c r="Z671" i="2"/>
  <c r="Y664" i="2"/>
  <c r="Y671" i="2"/>
  <c r="Y672" i="2"/>
  <c r="Y674" i="2"/>
  <c r="Y663" i="2"/>
  <c r="Y673" i="2"/>
  <c r="J656" i="2"/>
  <c r="T566" i="2"/>
  <c r="R580" i="2"/>
  <c r="J580" i="2"/>
  <c r="T554" i="2"/>
  <c r="Z594" i="2"/>
  <c r="Y598" i="2"/>
  <c r="T611" i="2"/>
  <c r="Y552" i="2"/>
  <c r="Y553" i="2"/>
  <c r="Y561" i="2"/>
  <c r="Y562" i="2"/>
  <c r="J566" i="2"/>
  <c r="Y597" i="2"/>
  <c r="Z619" i="2"/>
  <c r="T626" i="2"/>
  <c r="Z621" i="2"/>
  <c r="Y621" i="2"/>
  <c r="Y623" i="2"/>
  <c r="Y624" i="2"/>
  <c r="L620" i="2"/>
  <c r="Z620" i="2" s="1"/>
  <c r="Y619" i="2"/>
  <c r="L611" i="2"/>
  <c r="Y610" i="2"/>
  <c r="Z587" i="2"/>
  <c r="T599" i="2"/>
  <c r="Z593" i="2"/>
  <c r="Z592" i="2"/>
  <c r="Y591" i="2"/>
  <c r="Y592" i="2"/>
  <c r="Y593" i="2"/>
  <c r="Y594" i="2"/>
  <c r="L596" i="2"/>
  <c r="Z596" i="2" s="1"/>
  <c r="L597" i="2"/>
  <c r="Z597" i="2" s="1"/>
  <c r="L598" i="2"/>
  <c r="Z598" i="2" s="1"/>
  <c r="Y587" i="2"/>
  <c r="Y589" i="2"/>
  <c r="Y595" i="2"/>
  <c r="Y550" i="2"/>
  <c r="L561" i="2"/>
  <c r="L562" i="2"/>
  <c r="Z562" i="2" s="1"/>
  <c r="L552" i="2"/>
  <c r="Z552" i="2" s="1"/>
  <c r="L553" i="2"/>
  <c r="Z553" i="2" s="1"/>
  <c r="U531" i="2"/>
  <c r="V531" i="2" s="1"/>
  <c r="U534" i="2"/>
  <c r="V534" i="2" s="1"/>
  <c r="S534" i="2"/>
  <c r="T534" i="2" s="1"/>
  <c r="S533" i="2"/>
  <c r="T533" i="2" s="1"/>
  <c r="S532" i="2"/>
  <c r="T532" i="2" s="1"/>
  <c r="U530" i="2"/>
  <c r="V530" i="2" s="1"/>
  <c r="K529" i="2"/>
  <c r="L529" i="2" s="1"/>
  <c r="K528" i="2"/>
  <c r="L528" i="2" s="1"/>
  <c r="K527" i="2"/>
  <c r="L527" i="2" s="1"/>
  <c r="U526" i="2"/>
  <c r="U525" i="2"/>
  <c r="V525" i="2" s="1"/>
  <c r="U524" i="2"/>
  <c r="V524" i="2" s="1"/>
  <c r="S524" i="2"/>
  <c r="T524" i="2" s="1"/>
  <c r="K524" i="2"/>
  <c r="U523" i="2"/>
  <c r="V523" i="2" s="1"/>
  <c r="S523" i="2"/>
  <c r="T523" i="2" s="1"/>
  <c r="K523" i="2"/>
  <c r="U522" i="2"/>
  <c r="V522" i="2" s="1"/>
  <c r="K522" i="2"/>
  <c r="L522" i="2" s="1"/>
  <c r="U521" i="2"/>
  <c r="V521" i="2" s="1"/>
  <c r="S521" i="2"/>
  <c r="T521" i="2" s="1"/>
  <c r="K521" i="2"/>
  <c r="U520" i="2"/>
  <c r="V520" i="2" s="1"/>
  <c r="S520" i="2"/>
  <c r="T520" i="2" s="1"/>
  <c r="K520" i="2"/>
  <c r="L520" i="2" s="1"/>
  <c r="U519" i="2"/>
  <c r="V519" i="2" s="1"/>
  <c r="S519" i="2"/>
  <c r="T519" i="2" s="1"/>
  <c r="K519" i="2"/>
  <c r="L519" i="2" s="1"/>
  <c r="U518" i="2"/>
  <c r="V518" i="2" s="1"/>
  <c r="S518" i="2"/>
  <c r="T518" i="2" s="1"/>
  <c r="K518" i="2"/>
  <c r="L518" i="2" s="1"/>
  <c r="H534" i="2"/>
  <c r="H533" i="2"/>
  <c r="H532" i="2"/>
  <c r="H531" i="2"/>
  <c r="H530" i="2"/>
  <c r="H529" i="2"/>
  <c r="H528" i="2"/>
  <c r="H527" i="2"/>
  <c r="H526" i="2"/>
  <c r="V526" i="2" s="1"/>
  <c r="H525" i="2"/>
  <c r="H524" i="2"/>
  <c r="H523" i="2"/>
  <c r="H522" i="2"/>
  <c r="H521" i="2"/>
  <c r="H520" i="2"/>
  <c r="H519" i="2"/>
  <c r="H518" i="2"/>
  <c r="R467" i="2" l="1"/>
  <c r="Z836" i="2"/>
  <c r="Z857" i="2"/>
  <c r="Z740" i="2"/>
  <c r="Z675" i="2"/>
  <c r="Z985" i="2"/>
  <c r="L822" i="2"/>
  <c r="Z822" i="2" s="1"/>
  <c r="Y970" i="2"/>
  <c r="Z520" i="2"/>
  <c r="Y523" i="2"/>
  <c r="L626" i="2"/>
  <c r="Z626" i="2" s="1"/>
  <c r="T692" i="2"/>
  <c r="Z580" i="2"/>
  <c r="P976" i="2"/>
  <c r="L969" i="2"/>
  <c r="Y969" i="2"/>
  <c r="Z970" i="2"/>
  <c r="J976" i="2"/>
  <c r="Y521" i="2"/>
  <c r="Y524" i="2"/>
  <c r="Z972" i="2"/>
  <c r="Z522" i="2"/>
  <c r="Z519" i="2"/>
  <c r="Y522" i="2"/>
  <c r="L521" i="2"/>
  <c r="Z521" i="2" s="1"/>
  <c r="Z729" i="2"/>
  <c r="Z843" i="2"/>
  <c r="L847" i="2"/>
  <c r="Z847" i="2" s="1"/>
  <c r="L801" i="2"/>
  <c r="Z801" i="2" s="1"/>
  <c r="Z776" i="2"/>
  <c r="L692" i="2"/>
  <c r="T535" i="2"/>
  <c r="V535" i="2"/>
  <c r="Z518" i="2"/>
  <c r="Y519" i="2"/>
  <c r="Y520" i="2"/>
  <c r="L524" i="2"/>
  <c r="Y534" i="2"/>
  <c r="L523" i="2"/>
  <c r="Z523" i="2" s="1"/>
  <c r="Y518" i="2"/>
  <c r="Z611" i="2"/>
  <c r="L599" i="2"/>
  <c r="Z599" i="2" s="1"/>
  <c r="L566" i="2"/>
  <c r="Z566" i="2" s="1"/>
  <c r="Z561" i="2"/>
  <c r="L554" i="2"/>
  <c r="Z554" i="2" s="1"/>
  <c r="H535" i="2"/>
  <c r="Z692" i="2" l="1"/>
  <c r="L535" i="2"/>
  <c r="Z535" i="2" s="1"/>
  <c r="L976" i="2"/>
  <c r="Z976" i="2" s="1"/>
  <c r="Z969" i="2"/>
  <c r="U383" i="2"/>
  <c r="V383" i="2" s="1"/>
  <c r="K383" i="2"/>
  <c r="U424" i="2"/>
  <c r="V424" i="2" s="1"/>
  <c r="U423" i="2"/>
  <c r="V423" i="2" s="1"/>
  <c r="U422" i="2"/>
  <c r="V422" i="2" s="1"/>
  <c r="K421" i="2"/>
  <c r="L421" i="2" s="1"/>
  <c r="K420" i="2"/>
  <c r="L420" i="2" s="1"/>
  <c r="K419" i="2"/>
  <c r="L419" i="2" s="1"/>
  <c r="S418" i="2"/>
  <c r="T418" i="2" s="1"/>
  <c r="U417" i="2"/>
  <c r="V417" i="2" s="1"/>
  <c r="U416" i="2"/>
  <c r="V416" i="2" s="1"/>
  <c r="S415" i="2"/>
  <c r="T415" i="2" s="1"/>
  <c r="U408" i="2"/>
  <c r="V408" i="2" s="1"/>
  <c r="S408" i="2"/>
  <c r="T408" i="2" s="1"/>
  <c r="K408" i="2"/>
  <c r="U407" i="2"/>
  <c r="V407" i="2" s="1"/>
  <c r="S407" i="2"/>
  <c r="T407" i="2" s="1"/>
  <c r="K407" i="2"/>
  <c r="U406" i="2"/>
  <c r="V406" i="2" s="1"/>
  <c r="S406" i="2"/>
  <c r="T406" i="2" s="1"/>
  <c r="K406" i="2"/>
  <c r="U405" i="2"/>
  <c r="V405" i="2" s="1"/>
  <c r="S405" i="2"/>
  <c r="T405" i="2" s="1"/>
  <c r="K405" i="2"/>
  <c r="S404" i="2"/>
  <c r="T404" i="2" s="1"/>
  <c r="U404" i="2"/>
  <c r="V404" i="2" s="1"/>
  <c r="K404" i="2"/>
  <c r="L404" i="2" s="1"/>
  <c r="U403" i="2"/>
  <c r="V403" i="2" s="1"/>
  <c r="S403" i="2"/>
  <c r="T403" i="2" s="1"/>
  <c r="S402" i="2"/>
  <c r="T402" i="2" s="1"/>
  <c r="U402" i="2"/>
  <c r="V402" i="2" s="1"/>
  <c r="V409" i="2" s="1"/>
  <c r="H424" i="2"/>
  <c r="U510" i="2"/>
  <c r="V510" i="2" s="1"/>
  <c r="S510" i="2"/>
  <c r="T510" i="2" s="1"/>
  <c r="K510" i="2"/>
  <c r="L510" i="2" s="1"/>
  <c r="I509" i="2"/>
  <c r="J509" i="2" s="1"/>
  <c r="U508" i="2"/>
  <c r="V508" i="2" s="1"/>
  <c r="S508" i="2"/>
  <c r="T508" i="2" s="1"/>
  <c r="K508" i="2"/>
  <c r="L508" i="2" s="1"/>
  <c r="I508" i="2"/>
  <c r="J508" i="2" s="1"/>
  <c r="U507" i="2"/>
  <c r="V507" i="2" s="1"/>
  <c r="K507" i="2"/>
  <c r="U506" i="2"/>
  <c r="V506" i="2" s="1"/>
  <c r="S506" i="2"/>
  <c r="T506" i="2" s="1"/>
  <c r="K506" i="2"/>
  <c r="L506" i="2" s="1"/>
  <c r="R499" i="2"/>
  <c r="V489" i="2"/>
  <c r="I498" i="2"/>
  <c r="J498" i="2" s="1"/>
  <c r="I497" i="2"/>
  <c r="J497" i="2" s="1"/>
  <c r="I496" i="2"/>
  <c r="J496" i="2" s="1"/>
  <c r="I495" i="2"/>
  <c r="J495" i="2" s="1"/>
  <c r="U494" i="2"/>
  <c r="V494" i="2" s="1"/>
  <c r="I494" i="2"/>
  <c r="J494" i="2" s="1"/>
  <c r="U493" i="2"/>
  <c r="V493" i="2" s="1"/>
  <c r="U492" i="2"/>
  <c r="V492" i="2" s="1"/>
  <c r="U491" i="2"/>
  <c r="V491" i="2" s="1"/>
  <c r="S491" i="2"/>
  <c r="T491" i="2" s="1"/>
  <c r="U490" i="2"/>
  <c r="V490" i="2" s="1"/>
  <c r="S489" i="2"/>
  <c r="T489" i="2" s="1"/>
  <c r="Z489" i="2" s="1"/>
  <c r="I488" i="2"/>
  <c r="J488" i="2" s="1"/>
  <c r="I486" i="2"/>
  <c r="J486" i="2" s="1"/>
  <c r="U487" i="2"/>
  <c r="V487" i="2" s="1"/>
  <c r="S487" i="2"/>
  <c r="T487" i="2" s="1"/>
  <c r="K487" i="2"/>
  <c r="L487" i="2" s="1"/>
  <c r="L499" i="2" s="1"/>
  <c r="I487" i="2"/>
  <c r="J487" i="2" s="1"/>
  <c r="S470" i="2"/>
  <c r="T470" i="2" s="1"/>
  <c r="T471" i="2" s="1"/>
  <c r="T383" i="2"/>
  <c r="K382" i="2"/>
  <c r="L382" i="2" s="1"/>
  <c r="K381" i="2"/>
  <c r="L381" i="2" s="1"/>
  <c r="S380" i="2"/>
  <c r="T380" i="2" s="1"/>
  <c r="S379" i="2"/>
  <c r="T379" i="2" s="1"/>
  <c r="S378" i="2"/>
  <c r="T378" i="2" s="1"/>
  <c r="S377" i="2"/>
  <c r="T377" i="2" s="1"/>
  <c r="S376" i="2"/>
  <c r="T376" i="2" s="1"/>
  <c r="S375" i="2"/>
  <c r="T375" i="2" s="1"/>
  <c r="S374" i="2"/>
  <c r="T374" i="2" s="1"/>
  <c r="U373" i="2"/>
  <c r="V373" i="2" s="1"/>
  <c r="K372" i="2"/>
  <c r="K371" i="2"/>
  <c r="K370" i="2"/>
  <c r="L370" i="2" s="1"/>
  <c r="K369" i="2"/>
  <c r="L369" i="2" s="1"/>
  <c r="K368" i="2"/>
  <c r="L368" i="2" s="1"/>
  <c r="U360" i="2"/>
  <c r="V360" i="2" s="1"/>
  <c r="S360" i="2"/>
  <c r="T360" i="2" s="1"/>
  <c r="K360" i="2"/>
  <c r="U359" i="2"/>
  <c r="V359" i="2" s="1"/>
  <c r="S358" i="2"/>
  <c r="T358" i="2" s="1"/>
  <c r="K357" i="2"/>
  <c r="L357" i="2" s="1"/>
  <c r="S356" i="2"/>
  <c r="T356" i="2" s="1"/>
  <c r="U355" i="2"/>
  <c r="V355" i="2" s="1"/>
  <c r="U354" i="2"/>
  <c r="V354" i="2" s="1"/>
  <c r="S353" i="2"/>
  <c r="T353" i="2" s="1"/>
  <c r="S352" i="2"/>
  <c r="T352" i="2" s="1"/>
  <c r="U351" i="2"/>
  <c r="V351" i="2" s="1"/>
  <c r="U350" i="2"/>
  <c r="V350" i="2" s="1"/>
  <c r="S349" i="2"/>
  <c r="T349" i="2" s="1"/>
  <c r="K348" i="2"/>
  <c r="L348" i="2" s="1"/>
  <c r="K347" i="2"/>
  <c r="L347" i="2" s="1"/>
  <c r="K346" i="2"/>
  <c r="L346" i="2" s="1"/>
  <c r="K338" i="2"/>
  <c r="Y338" i="2" s="1"/>
  <c r="K337" i="2"/>
  <c r="Y337" i="2" s="1"/>
  <c r="K336" i="2"/>
  <c r="Y336" i="2" s="1"/>
  <c r="K335" i="2"/>
  <c r="Y335" i="2" s="1"/>
  <c r="K334" i="2"/>
  <c r="Y334" i="2" s="1"/>
  <c r="K333" i="2"/>
  <c r="Y333" i="2" s="1"/>
  <c r="K332" i="2"/>
  <c r="Y332" i="2" s="1"/>
  <c r="K331" i="2"/>
  <c r="Y331" i="2" s="1"/>
  <c r="K330" i="2"/>
  <c r="Y330" i="2" s="1"/>
  <c r="K329" i="2"/>
  <c r="K328" i="2"/>
  <c r="L328" i="2" s="1"/>
  <c r="T327" i="2"/>
  <c r="K327" i="2"/>
  <c r="L327" i="2" s="1"/>
  <c r="K326" i="2"/>
  <c r="Y326" i="2" s="1"/>
  <c r="S325" i="2"/>
  <c r="T325" i="2" s="1"/>
  <c r="S324" i="2"/>
  <c r="T324" i="2" s="1"/>
  <c r="Q317" i="2"/>
  <c r="R317" i="2" s="1"/>
  <c r="U317" i="2"/>
  <c r="V317" i="2" s="1"/>
  <c r="S317" i="2"/>
  <c r="T317" i="2" s="1"/>
  <c r="K317" i="2"/>
  <c r="L317" i="2" s="1"/>
  <c r="Q316" i="2"/>
  <c r="R316" i="2" s="1"/>
  <c r="U316" i="2"/>
  <c r="V316" i="2" s="1"/>
  <c r="S316" i="2"/>
  <c r="T316" i="2" s="1"/>
  <c r="K316" i="2"/>
  <c r="L316" i="2" s="1"/>
  <c r="Q315" i="2"/>
  <c r="R315" i="2" s="1"/>
  <c r="R318" i="2" s="1"/>
  <c r="U315" i="2"/>
  <c r="V315" i="2" s="1"/>
  <c r="V318" i="2" s="1"/>
  <c r="S315" i="2"/>
  <c r="T315" i="2" s="1"/>
  <c r="T318" i="2" s="1"/>
  <c r="K315" i="2"/>
  <c r="L315" i="2" s="1"/>
  <c r="I314" i="2"/>
  <c r="J314" i="2" s="1"/>
  <c r="J318" i="2" s="1"/>
  <c r="U293" i="2"/>
  <c r="V293" i="2" s="1"/>
  <c r="U292" i="2"/>
  <c r="V292" i="2" s="1"/>
  <c r="U291" i="2"/>
  <c r="V291" i="2" s="1"/>
  <c r="U290" i="2"/>
  <c r="V290" i="2" s="1"/>
  <c r="U289" i="2"/>
  <c r="V289" i="2" s="1"/>
  <c r="U288" i="2"/>
  <c r="V288" i="2" s="1"/>
  <c r="U287" i="2"/>
  <c r="V287" i="2" s="1"/>
  <c r="U286" i="2"/>
  <c r="V286" i="2" s="1"/>
  <c r="U285" i="2"/>
  <c r="V285" i="2" s="1"/>
  <c r="U284" i="2"/>
  <c r="V284" i="2" s="1"/>
  <c r="U283" i="2"/>
  <c r="V283" i="2" s="1"/>
  <c r="U282" i="2"/>
  <c r="V282" i="2" s="1"/>
  <c r="U281" i="2"/>
  <c r="V281" i="2" s="1"/>
  <c r="U280" i="2"/>
  <c r="V280" i="2" s="1"/>
  <c r="U279" i="2"/>
  <c r="V279" i="2" s="1"/>
  <c r="U278" i="2"/>
  <c r="V278" i="2" s="1"/>
  <c r="Q270" i="2"/>
  <c r="R270" i="2" s="1"/>
  <c r="Q269" i="2"/>
  <c r="R269" i="2" s="1"/>
  <c r="Q268" i="2"/>
  <c r="R268" i="2" s="1"/>
  <c r="Q267" i="2"/>
  <c r="R267" i="2" s="1"/>
  <c r="Q266" i="2"/>
  <c r="R266" i="2" s="1"/>
  <c r="U258" i="2"/>
  <c r="V258" i="2" s="1"/>
  <c r="U257" i="2"/>
  <c r="V257" i="2" s="1"/>
  <c r="U256" i="2"/>
  <c r="V256" i="2" s="1"/>
  <c r="U255" i="2"/>
  <c r="V255" i="2" s="1"/>
  <c r="U254" i="2"/>
  <c r="V254" i="2" s="1"/>
  <c r="U253" i="2"/>
  <c r="V253" i="2" s="1"/>
  <c r="U252" i="2"/>
  <c r="V252" i="2" s="1"/>
  <c r="U251" i="2"/>
  <c r="V251" i="2" s="1"/>
  <c r="U250" i="2"/>
  <c r="V250" i="2" s="1"/>
  <c r="U249" i="2"/>
  <c r="U241" i="2"/>
  <c r="V241" i="2" s="1"/>
  <c r="U240" i="2"/>
  <c r="V240" i="2" s="1"/>
  <c r="U239" i="2"/>
  <c r="V239" i="2" s="1"/>
  <c r="U238" i="2"/>
  <c r="V237" i="2" s="1"/>
  <c r="U237" i="2"/>
  <c r="U236" i="2"/>
  <c r="V236" i="2" s="1"/>
  <c r="U235" i="2"/>
  <c r="V235" i="2" s="1"/>
  <c r="U234" i="2"/>
  <c r="V234" i="2" s="1"/>
  <c r="U233" i="2"/>
  <c r="V233" i="2" s="1"/>
  <c r="S232" i="2"/>
  <c r="T232" i="2" s="1"/>
  <c r="S231" i="2"/>
  <c r="T231" i="2" s="1"/>
  <c r="S230" i="2"/>
  <c r="T230" i="2" s="1"/>
  <c r="S229" i="2"/>
  <c r="T229" i="2" s="1"/>
  <c r="S228" i="2"/>
  <c r="T228" i="2" s="1"/>
  <c r="S227" i="2"/>
  <c r="T227" i="2" s="1"/>
  <c r="S226" i="2"/>
  <c r="T226" i="2" s="1"/>
  <c r="S225" i="2"/>
  <c r="T225" i="2" s="1"/>
  <c r="S224" i="2"/>
  <c r="T224" i="2" s="1"/>
  <c r="K223" i="2"/>
  <c r="L223" i="2" s="1"/>
  <c r="K222" i="2"/>
  <c r="L222" i="2" s="1"/>
  <c r="K221" i="2"/>
  <c r="L221" i="2" s="1"/>
  <c r="K220" i="2"/>
  <c r="L220" i="2" s="1"/>
  <c r="K219" i="2"/>
  <c r="L219" i="2" s="1"/>
  <c r="K218" i="2"/>
  <c r="L218" i="2" s="1"/>
  <c r="K217" i="2"/>
  <c r="L217" i="2" s="1"/>
  <c r="K216" i="2"/>
  <c r="L216" i="2" s="1"/>
  <c r="K215" i="2"/>
  <c r="L215" i="2" s="1"/>
  <c r="K214" i="2"/>
  <c r="L214" i="2" s="1"/>
  <c r="K213" i="2"/>
  <c r="L213" i="2" s="1"/>
  <c r="K212" i="2"/>
  <c r="L212" i="2" s="1"/>
  <c r="K211" i="2"/>
  <c r="L211" i="2" s="1"/>
  <c r="K210" i="2"/>
  <c r="L210" i="2" s="1"/>
  <c r="K209" i="2"/>
  <c r="L209" i="2" s="1"/>
  <c r="K208" i="2"/>
  <c r="L208" i="2" s="1"/>
  <c r="K207" i="2"/>
  <c r="L207" i="2" s="1"/>
  <c r="K206" i="2"/>
  <c r="L206" i="2" s="1"/>
  <c r="K205" i="2"/>
  <c r="L205" i="2" s="1"/>
  <c r="K204" i="2"/>
  <c r="L204" i="2" s="1"/>
  <c r="K203" i="2"/>
  <c r="L203" i="2" s="1"/>
  <c r="K202" i="2"/>
  <c r="L202" i="2" s="1"/>
  <c r="K201" i="2"/>
  <c r="L201" i="2" s="1"/>
  <c r="K200" i="2"/>
  <c r="L200" i="2" s="1"/>
  <c r="K199" i="2"/>
  <c r="L199" i="2" s="1"/>
  <c r="K198" i="2"/>
  <c r="L198" i="2" s="1"/>
  <c r="K197" i="2"/>
  <c r="L197" i="2" s="1"/>
  <c r="K196" i="2"/>
  <c r="L196" i="2" s="1"/>
  <c r="K195" i="2"/>
  <c r="L195"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U160" i="2"/>
  <c r="V160" i="2" s="1"/>
  <c r="S160" i="2"/>
  <c r="T160" i="2" s="1"/>
  <c r="K160" i="2"/>
  <c r="U159" i="2"/>
  <c r="V159" i="2" s="1"/>
  <c r="S159" i="2"/>
  <c r="T159" i="2" s="1"/>
  <c r="K159" i="2"/>
  <c r="U158" i="2"/>
  <c r="V158" i="2" s="1"/>
  <c r="S158" i="2"/>
  <c r="T158" i="2" s="1"/>
  <c r="K158" i="2"/>
  <c r="U157" i="2"/>
  <c r="V157" i="2" s="1"/>
  <c r="S157" i="2"/>
  <c r="T157" i="2" s="1"/>
  <c r="K157" i="2"/>
  <c r="U156" i="2"/>
  <c r="V156" i="2" s="1"/>
  <c r="S156" i="2"/>
  <c r="T156" i="2" s="1"/>
  <c r="K156" i="2"/>
  <c r="I149" i="2"/>
  <c r="J149" i="2" s="1"/>
  <c r="I148" i="2"/>
  <c r="J148" i="2" s="1"/>
  <c r="J150" i="2" s="1"/>
  <c r="S140" i="2"/>
  <c r="T140" i="2" s="1"/>
  <c r="T141" i="2" s="1"/>
  <c r="K140" i="2"/>
  <c r="K132" i="2"/>
  <c r="K131" i="2"/>
  <c r="Y131" i="2" s="1"/>
  <c r="S122" i="2"/>
  <c r="T122" i="2" s="1"/>
  <c r="K122" i="2"/>
  <c r="L122" i="2" s="1"/>
  <c r="S121" i="2"/>
  <c r="T121" i="2" s="1"/>
  <c r="K121" i="2"/>
  <c r="K123" i="2" s="1"/>
  <c r="S120" i="2"/>
  <c r="T120" i="2" s="1"/>
  <c r="K120" i="2"/>
  <c r="L120" i="2" s="1"/>
  <c r="K112" i="2"/>
  <c r="L112" i="2" s="1"/>
  <c r="S111" i="2"/>
  <c r="T111" i="2" s="1"/>
  <c r="S110" i="2"/>
  <c r="T110" i="2" s="1"/>
  <c r="K110" i="2"/>
  <c r="L110" i="2" s="1"/>
  <c r="S109" i="2"/>
  <c r="T109" i="2" s="1"/>
  <c r="U108" i="2"/>
  <c r="V108" i="2" s="1"/>
  <c r="S108" i="2"/>
  <c r="T108" i="2" s="1"/>
  <c r="K108" i="2"/>
  <c r="K107" i="2"/>
  <c r="L107" i="2" s="1"/>
  <c r="S106" i="2"/>
  <c r="T106" i="2" s="1"/>
  <c r="U105" i="2"/>
  <c r="V105" i="2" s="1"/>
  <c r="S104" i="2"/>
  <c r="T104" i="2" s="1"/>
  <c r="S96" i="2"/>
  <c r="T96" i="2" s="1"/>
  <c r="S95" i="2"/>
  <c r="T95" i="2" s="1"/>
  <c r="S94" i="2"/>
  <c r="T94" i="2" s="1"/>
  <c r="S86" i="2"/>
  <c r="T86" i="2" s="1"/>
  <c r="S85" i="2"/>
  <c r="T85" i="2" s="1"/>
  <c r="S84" i="2"/>
  <c r="T84" i="2" s="1"/>
  <c r="T87" i="2" s="1"/>
  <c r="Q76" i="2"/>
  <c r="R76" i="2" s="1"/>
  <c r="S76" i="2"/>
  <c r="Q75" i="2"/>
  <c r="R75" i="2" s="1"/>
  <c r="S75" i="2"/>
  <c r="T75" i="2" s="1"/>
  <c r="Q74" i="2"/>
  <c r="R74" i="2" s="1"/>
  <c r="S74" i="2"/>
  <c r="T74" i="2" s="1"/>
  <c r="Q66" i="2"/>
  <c r="R66" i="2" s="1"/>
  <c r="R67" i="2" s="1"/>
  <c r="I58" i="2"/>
  <c r="J58" i="2" s="1"/>
  <c r="I57" i="2"/>
  <c r="J57" i="2" s="1"/>
  <c r="S56" i="2"/>
  <c r="T56" i="2" s="1"/>
  <c r="Q55" i="2"/>
  <c r="R55" i="2" s="1"/>
  <c r="S55" i="2"/>
  <c r="T55" i="2" s="1"/>
  <c r="Q54" i="2"/>
  <c r="R54" i="2" s="1"/>
  <c r="S54" i="2"/>
  <c r="T54" i="2" s="1"/>
  <c r="Q53" i="2"/>
  <c r="R53" i="2" s="1"/>
  <c r="U53" i="2"/>
  <c r="V53" i="2" s="1"/>
  <c r="S53" i="2"/>
  <c r="T53" i="2" s="1"/>
  <c r="K53" i="2"/>
  <c r="L53" i="2" s="1"/>
  <c r="Q52" i="2"/>
  <c r="R52" i="2" s="1"/>
  <c r="U52" i="2"/>
  <c r="V52" i="2" s="1"/>
  <c r="V59" i="2" s="1"/>
  <c r="S52" i="2"/>
  <c r="T52" i="2" s="1"/>
  <c r="K52" i="2"/>
  <c r="L52" i="2" s="1"/>
  <c r="K45" i="2"/>
  <c r="L45" i="2" s="1"/>
  <c r="Q44" i="2"/>
  <c r="R44" i="2" s="1"/>
  <c r="T44" i="2"/>
  <c r="K44" i="2"/>
  <c r="Q43" i="2"/>
  <c r="R43" i="2" s="1"/>
  <c r="V42" i="2"/>
  <c r="V41" i="2"/>
  <c r="V40" i="2"/>
  <c r="K40" i="2"/>
  <c r="V39" i="2"/>
  <c r="L39" i="2"/>
  <c r="T38" i="2"/>
  <c r="T37" i="2"/>
  <c r="T36" i="2"/>
  <c r="K35" i="2"/>
  <c r="L35" i="2" s="1"/>
  <c r="K34" i="2"/>
  <c r="L34" i="2" s="1"/>
  <c r="V33" i="2"/>
  <c r="T33" i="2"/>
  <c r="L33" i="2"/>
  <c r="T32" i="2"/>
  <c r="K32" i="2"/>
  <c r="Y32" i="2" s="1"/>
  <c r="K31" i="2"/>
  <c r="L31" i="2" s="1"/>
  <c r="R30" i="2"/>
  <c r="V30" i="2"/>
  <c r="T30" i="2"/>
  <c r="K30" i="2"/>
  <c r="Y30" i="2" s="1"/>
  <c r="Q29" i="2"/>
  <c r="R29" i="2" s="1"/>
  <c r="Q28" i="2"/>
  <c r="R28" i="2" s="1"/>
  <c r="I27" i="2"/>
  <c r="J27" i="2" s="1"/>
  <c r="V26" i="2"/>
  <c r="T26" i="2"/>
  <c r="K26" i="2"/>
  <c r="Y26" i="2" s="1"/>
  <c r="J26" i="2"/>
  <c r="I25" i="2"/>
  <c r="J25" i="2" s="1"/>
  <c r="I18" i="2"/>
  <c r="J18" i="2" s="1"/>
  <c r="I17" i="2"/>
  <c r="J17" i="2" s="1"/>
  <c r="I16" i="2"/>
  <c r="J16" i="2" s="1"/>
  <c r="I15" i="2"/>
  <c r="J15" i="2" s="1"/>
  <c r="Q395" i="2"/>
  <c r="R395" i="2" s="1"/>
  <c r="Q394" i="2"/>
  <c r="R394" i="2" s="1"/>
  <c r="Q393" i="2"/>
  <c r="R393" i="2" s="1"/>
  <c r="Q392" i="2"/>
  <c r="R392" i="2" s="1"/>
  <c r="Q391" i="2"/>
  <c r="R391" i="2" s="1"/>
  <c r="H30" i="2"/>
  <c r="H44" i="2"/>
  <c r="H110" i="2"/>
  <c r="H112" i="2"/>
  <c r="H123" i="2"/>
  <c r="H176" i="2"/>
  <c r="H205" i="2"/>
  <c r="H217" i="2"/>
  <c r="H239" i="2"/>
  <c r="H268" i="2"/>
  <c r="H328" i="2"/>
  <c r="H330" i="2"/>
  <c r="H338" i="2"/>
  <c r="H487" i="2"/>
  <c r="H634" i="2"/>
  <c r="H783" i="2"/>
  <c r="H797" i="2"/>
  <c r="H799" i="2"/>
  <c r="H807" i="2"/>
  <c r="H808" i="2" s="1"/>
  <c r="H815" i="2"/>
  <c r="H821" i="2"/>
  <c r="H829" i="2"/>
  <c r="H831" i="2"/>
  <c r="H845" i="2"/>
  <c r="H855" i="2"/>
  <c r="H934" i="2"/>
  <c r="H936" i="2"/>
  <c r="H970" i="2"/>
  <c r="H972" i="2"/>
  <c r="H1014" i="2"/>
  <c r="H1007" i="2"/>
  <c r="H1006" i="2"/>
  <c r="H999" i="2"/>
  <c r="H998" i="2"/>
  <c r="H997" i="2"/>
  <c r="H996" i="2"/>
  <c r="H995" i="2"/>
  <c r="H994" i="2"/>
  <c r="H993" i="2"/>
  <c r="H992" i="2"/>
  <c r="H991" i="2"/>
  <c r="H984" i="2"/>
  <c r="H983" i="2"/>
  <c r="H982" i="2"/>
  <c r="H975" i="2"/>
  <c r="H974" i="2"/>
  <c r="H973" i="2"/>
  <c r="H971" i="2"/>
  <c r="H969" i="2"/>
  <c r="H962" i="2"/>
  <c r="H961" i="2"/>
  <c r="H960" i="2"/>
  <c r="H959" i="2"/>
  <c r="H945" i="2"/>
  <c r="H946" i="2" s="1"/>
  <c r="H938" i="2"/>
  <c r="H937" i="2"/>
  <c r="H935" i="2"/>
  <c r="H933" i="2"/>
  <c r="H932" i="2"/>
  <c r="H908" i="2"/>
  <c r="H907" i="2"/>
  <c r="H900" i="2"/>
  <c r="H901" i="2" s="1"/>
  <c r="H856" i="2"/>
  <c r="H854" i="2"/>
  <c r="H846" i="2"/>
  <c r="H844" i="2"/>
  <c r="H843" i="2"/>
  <c r="H835" i="2"/>
  <c r="H834" i="2"/>
  <c r="H833" i="2"/>
  <c r="H832" i="2"/>
  <c r="H830" i="2"/>
  <c r="H820" i="2"/>
  <c r="H819" i="2"/>
  <c r="H818" i="2"/>
  <c r="H817" i="2"/>
  <c r="H816" i="2"/>
  <c r="H800" i="2"/>
  <c r="H798" i="2"/>
  <c r="H796" i="2"/>
  <c r="H795" i="2"/>
  <c r="H788" i="2"/>
  <c r="H787" i="2"/>
  <c r="H786" i="2"/>
  <c r="H785" i="2"/>
  <c r="H784" i="2"/>
  <c r="H775" i="2"/>
  <c r="H774" i="2"/>
  <c r="H773" i="2"/>
  <c r="H772" i="2"/>
  <c r="H771" i="2"/>
  <c r="H770" i="2"/>
  <c r="H769" i="2"/>
  <c r="H761" i="2"/>
  <c r="H762" i="2" s="1"/>
  <c r="H753" i="2"/>
  <c r="H752" i="2"/>
  <c r="H751" i="2"/>
  <c r="H750" i="2"/>
  <c r="H749" i="2"/>
  <c r="H748" i="2"/>
  <c r="H747" i="2"/>
  <c r="H739" i="2"/>
  <c r="H738" i="2"/>
  <c r="H737" i="2"/>
  <c r="H736" i="2"/>
  <c r="H728" i="2"/>
  <c r="H727" i="2"/>
  <c r="H726" i="2"/>
  <c r="H725" i="2"/>
  <c r="H724" i="2"/>
  <c r="H723" i="2"/>
  <c r="H722" i="2"/>
  <c r="H721" i="2"/>
  <c r="H720" i="2"/>
  <c r="H713" i="2"/>
  <c r="H712" i="2"/>
  <c r="H704" i="2"/>
  <c r="H703" i="2"/>
  <c r="H702" i="2"/>
  <c r="H701" i="2"/>
  <c r="H700" i="2"/>
  <c r="H699" i="2"/>
  <c r="H691" i="2"/>
  <c r="H690" i="2"/>
  <c r="H689" i="2"/>
  <c r="H688" i="2"/>
  <c r="H687" i="2"/>
  <c r="H686" i="2"/>
  <c r="H685" i="2"/>
  <c r="H684" i="2"/>
  <c r="H683" i="2"/>
  <c r="H682" i="2"/>
  <c r="H674" i="2"/>
  <c r="H673" i="2"/>
  <c r="H672" i="2"/>
  <c r="H671" i="2"/>
  <c r="H670" i="2"/>
  <c r="H669" i="2"/>
  <c r="H668" i="2"/>
  <c r="H667" i="2"/>
  <c r="H666" i="2"/>
  <c r="H665" i="2"/>
  <c r="H664" i="2"/>
  <c r="H663" i="2"/>
  <c r="H655" i="2"/>
  <c r="H654" i="2"/>
  <c r="H653" i="2"/>
  <c r="H652" i="2"/>
  <c r="H644" i="2"/>
  <c r="H645" i="2" s="1"/>
  <c r="H636" i="2"/>
  <c r="H635" i="2"/>
  <c r="H625" i="2"/>
  <c r="H624" i="2"/>
  <c r="H623" i="2"/>
  <c r="H622" i="2"/>
  <c r="H621" i="2"/>
  <c r="H620" i="2"/>
  <c r="H619" i="2"/>
  <c r="H610" i="2"/>
  <c r="H609" i="2"/>
  <c r="H608" i="2"/>
  <c r="H607" i="2"/>
  <c r="H598" i="2"/>
  <c r="H597" i="2"/>
  <c r="H596" i="2"/>
  <c r="H595" i="2"/>
  <c r="H594" i="2"/>
  <c r="H593" i="2"/>
  <c r="H592" i="2"/>
  <c r="H591" i="2"/>
  <c r="H590" i="2"/>
  <c r="H589" i="2"/>
  <c r="H588" i="2"/>
  <c r="H587" i="2"/>
  <c r="H579" i="2"/>
  <c r="H578" i="2"/>
  <c r="H577" i="2"/>
  <c r="H576" i="2"/>
  <c r="H575" i="2"/>
  <c r="H574" i="2"/>
  <c r="H573" i="2"/>
  <c r="H565" i="2"/>
  <c r="H564" i="2"/>
  <c r="H563" i="2"/>
  <c r="H562" i="2"/>
  <c r="H561" i="2"/>
  <c r="H553" i="2"/>
  <c r="H552" i="2"/>
  <c r="H551" i="2"/>
  <c r="H550" i="2"/>
  <c r="H542" i="2"/>
  <c r="H543" i="2" s="1"/>
  <c r="H510" i="2"/>
  <c r="H509" i="2"/>
  <c r="H508" i="2"/>
  <c r="H507" i="2"/>
  <c r="H506" i="2"/>
  <c r="H498" i="2"/>
  <c r="H497" i="2"/>
  <c r="H496" i="2"/>
  <c r="H495" i="2"/>
  <c r="H494" i="2"/>
  <c r="H493" i="2"/>
  <c r="H492" i="2"/>
  <c r="H491" i="2"/>
  <c r="H490" i="2"/>
  <c r="H489" i="2"/>
  <c r="H488" i="2"/>
  <c r="H486" i="2"/>
  <c r="H478" i="2"/>
  <c r="H479" i="2" s="1"/>
  <c r="H470" i="2"/>
  <c r="H471" i="2" s="1"/>
  <c r="H462" i="2"/>
  <c r="H461" i="2"/>
  <c r="H460" i="2"/>
  <c r="H459" i="2"/>
  <c r="H458" i="2"/>
  <c r="H457" i="2"/>
  <c r="H456" i="2"/>
  <c r="H455" i="2"/>
  <c r="H423" i="2"/>
  <c r="H422" i="2"/>
  <c r="H421" i="2"/>
  <c r="H420" i="2"/>
  <c r="H419" i="2"/>
  <c r="H418" i="2"/>
  <c r="H417" i="2"/>
  <c r="H416" i="2"/>
  <c r="H415" i="2"/>
  <c r="H408" i="2"/>
  <c r="H407" i="2"/>
  <c r="H406" i="2"/>
  <c r="H405" i="2"/>
  <c r="H404" i="2"/>
  <c r="H403" i="2"/>
  <c r="H402" i="2"/>
  <c r="H395" i="2"/>
  <c r="H394" i="2"/>
  <c r="H393" i="2"/>
  <c r="H392" i="2"/>
  <c r="H391" i="2"/>
  <c r="H382" i="2"/>
  <c r="H381" i="2"/>
  <c r="H380" i="2"/>
  <c r="H379" i="2"/>
  <c r="H378" i="2"/>
  <c r="H377" i="2"/>
  <c r="H376" i="2"/>
  <c r="H375" i="2"/>
  <c r="H374" i="2"/>
  <c r="H373" i="2"/>
  <c r="H372" i="2"/>
  <c r="L372" i="2" s="1"/>
  <c r="H371" i="2"/>
  <c r="H370" i="2"/>
  <c r="H369" i="2"/>
  <c r="H368" i="2"/>
  <c r="H360" i="2"/>
  <c r="H359" i="2"/>
  <c r="H358" i="2"/>
  <c r="H357" i="2"/>
  <c r="H356" i="2"/>
  <c r="H355" i="2"/>
  <c r="H354" i="2"/>
  <c r="H353" i="2"/>
  <c r="H352" i="2"/>
  <c r="H351" i="2"/>
  <c r="H350" i="2"/>
  <c r="H349" i="2"/>
  <c r="H348" i="2"/>
  <c r="H347" i="2"/>
  <c r="H346" i="2"/>
  <c r="H337" i="2"/>
  <c r="H336" i="2"/>
  <c r="H335" i="2"/>
  <c r="H334" i="2"/>
  <c r="H333" i="2"/>
  <c r="H332" i="2"/>
  <c r="H331" i="2"/>
  <c r="H329" i="2"/>
  <c r="H327" i="2"/>
  <c r="H326" i="2"/>
  <c r="H325" i="2"/>
  <c r="H324" i="2"/>
  <c r="H317" i="2"/>
  <c r="H316" i="2"/>
  <c r="H315" i="2"/>
  <c r="H314" i="2"/>
  <c r="H306" i="2"/>
  <c r="H305" i="2"/>
  <c r="H304" i="2"/>
  <c r="H303" i="2"/>
  <c r="H302" i="2"/>
  <c r="H301" i="2"/>
  <c r="H293" i="2"/>
  <c r="H292" i="2"/>
  <c r="H291" i="2"/>
  <c r="H290" i="2"/>
  <c r="H289" i="2"/>
  <c r="H288" i="2"/>
  <c r="H287" i="2"/>
  <c r="H286" i="2"/>
  <c r="H285" i="2"/>
  <c r="H284" i="2"/>
  <c r="H283" i="2"/>
  <c r="H282" i="2"/>
  <c r="H281" i="2"/>
  <c r="H280" i="2"/>
  <c r="H279" i="2"/>
  <c r="H278" i="2"/>
  <c r="H270" i="2"/>
  <c r="H269" i="2"/>
  <c r="H267" i="2"/>
  <c r="H266" i="2"/>
  <c r="H258" i="2"/>
  <c r="H257" i="2"/>
  <c r="H256" i="2"/>
  <c r="H255" i="2"/>
  <c r="H254" i="2"/>
  <c r="H253" i="2"/>
  <c r="H252" i="2"/>
  <c r="H251" i="2"/>
  <c r="H250" i="2"/>
  <c r="H249" i="2"/>
  <c r="H241" i="2"/>
  <c r="H240" i="2"/>
  <c r="H238" i="2"/>
  <c r="H237" i="2"/>
  <c r="H236" i="2"/>
  <c r="H235" i="2"/>
  <c r="H234" i="2"/>
  <c r="H233" i="2"/>
  <c r="H232" i="2"/>
  <c r="H231" i="2"/>
  <c r="H230" i="2"/>
  <c r="H229" i="2"/>
  <c r="H228" i="2"/>
  <c r="H227" i="2"/>
  <c r="H226" i="2"/>
  <c r="H225" i="2"/>
  <c r="H224" i="2"/>
  <c r="H223" i="2"/>
  <c r="H222" i="2"/>
  <c r="H221" i="2"/>
  <c r="H220" i="2"/>
  <c r="H219" i="2"/>
  <c r="H218" i="2"/>
  <c r="H216" i="2"/>
  <c r="H215" i="2"/>
  <c r="H214" i="2"/>
  <c r="H213" i="2"/>
  <c r="H212" i="2"/>
  <c r="H211" i="2"/>
  <c r="H210" i="2"/>
  <c r="H209" i="2"/>
  <c r="H208" i="2"/>
  <c r="H207" i="2"/>
  <c r="H206" i="2"/>
  <c r="H204" i="2"/>
  <c r="H203" i="2"/>
  <c r="H202" i="2"/>
  <c r="H201" i="2"/>
  <c r="H200" i="2"/>
  <c r="H199" i="2"/>
  <c r="H198" i="2"/>
  <c r="H197" i="2"/>
  <c r="H196" i="2"/>
  <c r="H195" i="2"/>
  <c r="H187" i="2"/>
  <c r="H186" i="2"/>
  <c r="H185" i="2"/>
  <c r="H184" i="2"/>
  <c r="H183" i="2"/>
  <c r="H182" i="2"/>
  <c r="H181" i="2"/>
  <c r="H180" i="2"/>
  <c r="H179" i="2"/>
  <c r="H178" i="2"/>
  <c r="H177" i="2"/>
  <c r="H175" i="2"/>
  <c r="H174" i="2"/>
  <c r="H173" i="2"/>
  <c r="H172" i="2"/>
  <c r="H171" i="2"/>
  <c r="H170" i="2"/>
  <c r="H169" i="2"/>
  <c r="H168" i="2"/>
  <c r="H160" i="2"/>
  <c r="H159" i="2"/>
  <c r="H158" i="2"/>
  <c r="H157" i="2"/>
  <c r="H156" i="2"/>
  <c r="H148" i="2"/>
  <c r="H140" i="2"/>
  <c r="H141" i="2" s="1"/>
  <c r="H132" i="2"/>
  <c r="H122" i="2"/>
  <c r="H121" i="2"/>
  <c r="H120" i="2"/>
  <c r="H111" i="2"/>
  <c r="H109" i="2"/>
  <c r="H108" i="2"/>
  <c r="H107" i="2"/>
  <c r="H106" i="2"/>
  <c r="H105" i="2"/>
  <c r="H104" i="2"/>
  <c r="H96" i="2"/>
  <c r="H95" i="2"/>
  <c r="H94" i="2"/>
  <c r="H86" i="2"/>
  <c r="H85" i="2"/>
  <c r="H84" i="2"/>
  <c r="H76" i="2"/>
  <c r="H75" i="2"/>
  <c r="H74" i="2"/>
  <c r="H66" i="2"/>
  <c r="H67" i="2" s="1"/>
  <c r="H58" i="2"/>
  <c r="H57" i="2"/>
  <c r="H56" i="2"/>
  <c r="H55" i="2"/>
  <c r="H54" i="2"/>
  <c r="H53" i="2"/>
  <c r="H52" i="2"/>
  <c r="H45" i="2"/>
  <c r="H43" i="2"/>
  <c r="H42" i="2"/>
  <c r="H41" i="2"/>
  <c r="H40" i="2"/>
  <c r="H39" i="2"/>
  <c r="H38" i="2"/>
  <c r="H37" i="2"/>
  <c r="H36" i="2"/>
  <c r="H35" i="2"/>
  <c r="H34" i="2"/>
  <c r="H33" i="2"/>
  <c r="H32" i="2"/>
  <c r="H31" i="2"/>
  <c r="H29" i="2"/>
  <c r="H28" i="2"/>
  <c r="H27" i="2"/>
  <c r="H26" i="2"/>
  <c r="H25" i="2"/>
  <c r="H18" i="2"/>
  <c r="H17" i="2"/>
  <c r="H16" i="2"/>
  <c r="H15" i="2"/>
  <c r="V113" i="2" l="1"/>
  <c r="H464" i="2"/>
  <c r="Z33" i="2"/>
  <c r="Z39" i="2"/>
  <c r="L40" i="2"/>
  <c r="Z40" i="2" s="1"/>
  <c r="Y40" i="2"/>
  <c r="Y44" i="2"/>
  <c r="N963" i="2"/>
  <c r="H1015" i="2"/>
  <c r="T1014" i="2"/>
  <c r="T1015" i="2" s="1"/>
  <c r="V1014" i="2"/>
  <c r="V1015" i="2" s="1"/>
  <c r="L1014" i="2"/>
  <c r="R1014" i="2"/>
  <c r="R1015" i="2" s="1"/>
  <c r="Y406" i="2"/>
  <c r="Y405" i="2"/>
  <c r="H857" i="2"/>
  <c r="Y76" i="2"/>
  <c r="Y383" i="2"/>
  <c r="Y407" i="2"/>
  <c r="H97" i="2"/>
  <c r="H150" i="2"/>
  <c r="H259" i="2"/>
  <c r="T499" i="2"/>
  <c r="Y402" i="2"/>
  <c r="V425" i="2"/>
  <c r="Z403" i="2"/>
  <c r="V46" i="2"/>
  <c r="Y327" i="2"/>
  <c r="L425" i="2"/>
  <c r="H425" i="2"/>
  <c r="H1008" i="2"/>
  <c r="Z491" i="2"/>
  <c r="Y408" i="2"/>
  <c r="T409" i="2"/>
  <c r="T425" i="2"/>
  <c r="Z404" i="2"/>
  <c r="T511" i="2"/>
  <c r="H87" i="2"/>
  <c r="H133" i="2"/>
  <c r="L30" i="2"/>
  <c r="Z30" i="2" s="1"/>
  <c r="L326" i="2"/>
  <c r="Y404" i="2"/>
  <c r="L407" i="2"/>
  <c r="Z407" i="2" s="1"/>
  <c r="L408" i="2"/>
  <c r="Z408" i="2" s="1"/>
  <c r="R46" i="2"/>
  <c r="Z316" i="2"/>
  <c r="Z317" i="2"/>
  <c r="Y506" i="2"/>
  <c r="Z402" i="2"/>
  <c r="L405" i="2"/>
  <c r="Z405" i="2" s="1"/>
  <c r="L406" i="2"/>
  <c r="Z406" i="2" s="1"/>
  <c r="T46" i="2"/>
  <c r="J59" i="2"/>
  <c r="Y158" i="2"/>
  <c r="V384" i="2"/>
  <c r="Y491" i="2"/>
  <c r="Y507" i="2"/>
  <c r="Y403" i="2"/>
  <c r="V499" i="2"/>
  <c r="V511" i="2"/>
  <c r="Z487" i="2"/>
  <c r="Z508" i="2"/>
  <c r="Z510" i="2"/>
  <c r="J511" i="2"/>
  <c r="J499" i="2"/>
  <c r="Z494" i="2"/>
  <c r="Z506" i="2"/>
  <c r="Y508" i="2"/>
  <c r="H580" i="2"/>
  <c r="H729" i="2"/>
  <c r="H740" i="2"/>
  <c r="H754" i="2"/>
  <c r="H909" i="2"/>
  <c r="T76" i="2"/>
  <c r="Z76" i="2" s="1"/>
  <c r="Z122" i="2"/>
  <c r="Z150" i="2"/>
  <c r="Y157" i="2"/>
  <c r="Y487" i="2"/>
  <c r="Y489" i="2"/>
  <c r="Y494" i="2"/>
  <c r="Y510" i="2"/>
  <c r="H271" i="2"/>
  <c r="H554" i="2"/>
  <c r="H675" i="2"/>
  <c r="H705" i="2"/>
  <c r="H822" i="2"/>
  <c r="H939" i="2"/>
  <c r="R59" i="2"/>
  <c r="Y140" i="2"/>
  <c r="Y156" i="2"/>
  <c r="Y160" i="2"/>
  <c r="V249" i="2"/>
  <c r="V259" i="2" s="1"/>
  <c r="Y360" i="2"/>
  <c r="L371" i="2"/>
  <c r="L507" i="2"/>
  <c r="Z507" i="2" s="1"/>
  <c r="H384" i="2"/>
  <c r="H714" i="2"/>
  <c r="J46" i="2"/>
  <c r="Z54" i="2"/>
  <c r="T97" i="2"/>
  <c r="Y108" i="2"/>
  <c r="Z110" i="2"/>
  <c r="L121" i="2"/>
  <c r="Z121" i="2" s="1"/>
  <c r="Y132" i="2"/>
  <c r="L140" i="2"/>
  <c r="L141" i="2" s="1"/>
  <c r="Z141" i="2" s="1"/>
  <c r="Y159" i="2"/>
  <c r="T384" i="2"/>
  <c r="L383" i="2"/>
  <c r="T361" i="2"/>
  <c r="V361" i="2"/>
  <c r="L360" i="2"/>
  <c r="Z360" i="2" s="1"/>
  <c r="L329" i="2"/>
  <c r="L330" i="2"/>
  <c r="Z330" i="2" s="1"/>
  <c r="L331" i="2"/>
  <c r="Z331" i="2" s="1"/>
  <c r="L332" i="2"/>
  <c r="Z332" i="2" s="1"/>
  <c r="L333" i="2"/>
  <c r="Z333" i="2" s="1"/>
  <c r="L334" i="2"/>
  <c r="Z334" i="2" s="1"/>
  <c r="L335" i="2"/>
  <c r="Z335" i="2" s="1"/>
  <c r="L336" i="2"/>
  <c r="Z336" i="2" s="1"/>
  <c r="L337" i="2"/>
  <c r="Z337" i="2" s="1"/>
  <c r="L338" i="2"/>
  <c r="Z338" i="2" s="1"/>
  <c r="L318" i="2"/>
  <c r="Z318" i="2" s="1"/>
  <c r="Z315" i="2"/>
  <c r="Y315" i="2"/>
  <c r="Y317" i="2"/>
  <c r="Y316" i="2"/>
  <c r="V294" i="2"/>
  <c r="R271" i="2"/>
  <c r="L242" i="2"/>
  <c r="T242" i="2"/>
  <c r="V238" i="2"/>
  <c r="V242" i="2" s="1"/>
  <c r="L188" i="2"/>
  <c r="T161" i="2"/>
  <c r="V161" i="2"/>
  <c r="L156" i="2"/>
  <c r="L157" i="2"/>
  <c r="Z157" i="2" s="1"/>
  <c r="L158" i="2"/>
  <c r="Z158" i="2" s="1"/>
  <c r="L159" i="2"/>
  <c r="Z159" i="2" s="1"/>
  <c r="L160" i="2"/>
  <c r="Z160" i="2" s="1"/>
  <c r="L131" i="2"/>
  <c r="Z131" i="2" s="1"/>
  <c r="L132" i="2"/>
  <c r="Z132" i="2" s="1"/>
  <c r="L123" i="2"/>
  <c r="Z120" i="2"/>
  <c r="Y120" i="2"/>
  <c r="Y122" i="2"/>
  <c r="S123" i="2"/>
  <c r="T123" i="2" s="1"/>
  <c r="T124" i="2" s="1"/>
  <c r="Y121" i="2"/>
  <c r="T113" i="2"/>
  <c r="L108" i="2"/>
  <c r="Z108" i="2" s="1"/>
  <c r="Y110" i="2"/>
  <c r="R77" i="2"/>
  <c r="Y74" i="2"/>
  <c r="Y75" i="2"/>
  <c r="L59" i="2"/>
  <c r="Z52" i="2"/>
  <c r="Z53" i="2"/>
  <c r="T59" i="2"/>
  <c r="Z55" i="2"/>
  <c r="Y52" i="2"/>
  <c r="Y54" i="2"/>
  <c r="Y53" i="2"/>
  <c r="Y55" i="2"/>
  <c r="L32" i="2"/>
  <c r="Z32" i="2" s="1"/>
  <c r="L44" i="2"/>
  <c r="Z44" i="2" s="1"/>
  <c r="L26" i="2"/>
  <c r="Z26" i="2" s="1"/>
  <c r="J19" i="2"/>
  <c r="R396" i="2"/>
  <c r="H626" i="2"/>
  <c r="H637" i="2"/>
  <c r="H1000" i="2"/>
  <c r="H77" i="2"/>
  <c r="H188" i="2"/>
  <c r="H307" i="2"/>
  <c r="H656" i="2"/>
  <c r="H985" i="2"/>
  <c r="H59" i="2"/>
  <c r="U962" i="2" s="1"/>
  <c r="V962" i="2" s="1"/>
  <c r="H124" i="2"/>
  <c r="H161" i="2"/>
  <c r="H789" i="2"/>
  <c r="H801" i="2"/>
  <c r="H836" i="2"/>
  <c r="H963" i="2"/>
  <c r="H113" i="2"/>
  <c r="H339" i="2"/>
  <c r="H409" i="2"/>
  <c r="H499" i="2"/>
  <c r="H566" i="2"/>
  <c r="H692" i="2"/>
  <c r="H611" i="2"/>
  <c r="H46" i="2"/>
  <c r="H294" i="2"/>
  <c r="H511" i="2"/>
  <c r="H776" i="2"/>
  <c r="H19" i="2"/>
  <c r="H242" i="2"/>
  <c r="H976" i="2"/>
  <c r="H318" i="2"/>
  <c r="H361" i="2"/>
  <c r="H396" i="2"/>
  <c r="H599" i="2"/>
  <c r="H847" i="2"/>
  <c r="H1017" i="2" l="1"/>
  <c r="L1015" i="2"/>
  <c r="Z1014" i="2"/>
  <c r="I962" i="2"/>
  <c r="J962" i="2" s="1"/>
  <c r="J467" i="2"/>
  <c r="Z425" i="2"/>
  <c r="T467" i="2"/>
  <c r="K962" i="2"/>
  <c r="L962" i="2" s="1"/>
  <c r="Q962" i="2"/>
  <c r="R962" i="2" s="1"/>
  <c r="S962" i="2"/>
  <c r="T962" i="2" s="1"/>
  <c r="T77" i="2"/>
  <c r="Z77" i="2" s="1"/>
  <c r="L409" i="2"/>
  <c r="Z409" i="2" s="1"/>
  <c r="Z59" i="2"/>
  <c r="Z123" i="2"/>
  <c r="Z140" i="2"/>
  <c r="L361" i="2"/>
  <c r="Z361" i="2" s="1"/>
  <c r="L46" i="2"/>
  <c r="L511" i="2"/>
  <c r="L384" i="2"/>
  <c r="Z499" i="2"/>
  <c r="L339" i="2"/>
  <c r="Z339" i="2" s="1"/>
  <c r="Z242" i="2"/>
  <c r="Z156" i="2"/>
  <c r="L161" i="2"/>
  <c r="Z161" i="2" s="1"/>
  <c r="L133" i="2"/>
  <c r="Z133" i="2" s="1"/>
  <c r="Y123" i="2"/>
  <c r="L124" i="2"/>
  <c r="Z124" i="2" s="1"/>
  <c r="L113" i="2"/>
  <c r="Z113" i="2" s="1"/>
  <c r="Z384" i="2" l="1"/>
  <c r="Z511" i="2"/>
  <c r="L467" i="2"/>
  <c r="Y962" i="2"/>
  <c r="Z962" i="2"/>
  <c r="Z467" i="2" l="1"/>
  <c r="K960" i="2" s="1"/>
  <c r="L960" i="2" s="1"/>
  <c r="K961" i="2" l="1"/>
  <c r="L961" i="2" s="1"/>
  <c r="L963" i="2" s="1"/>
  <c r="L1017" i="2" s="1"/>
  <c r="Q961" i="2"/>
  <c r="R961" i="2" s="1"/>
  <c r="Q960" i="2"/>
  <c r="R960" i="2" s="1"/>
  <c r="I961" i="2"/>
  <c r="J961" i="2" s="1"/>
  <c r="S960" i="2"/>
  <c r="T960" i="2" s="1"/>
  <c r="I960" i="2"/>
  <c r="J960" i="2" s="1"/>
  <c r="S961" i="2"/>
  <c r="T961" i="2" s="1"/>
  <c r="U961" i="2"/>
  <c r="V961" i="2" s="1"/>
  <c r="U960" i="2"/>
  <c r="V960" i="2" s="1"/>
  <c r="R963" i="2" l="1"/>
  <c r="R1017" i="2" s="1"/>
  <c r="V963" i="2"/>
  <c r="T963" i="2"/>
  <c r="J963" i="2"/>
  <c r="Z961" i="2"/>
  <c r="Y961" i="2"/>
  <c r="Y960" i="2"/>
  <c r="Z963" i="2" l="1"/>
  <c r="J1017" i="2"/>
  <c r="Z960" i="2"/>
  <c r="N46" i="2" l="1"/>
  <c r="Z46" i="2" l="1"/>
</calcChain>
</file>

<file path=xl/sharedStrings.xml><?xml version="1.0" encoding="utf-8"?>
<sst xmlns="http://schemas.openxmlformats.org/spreadsheetml/2006/main" count="25126" uniqueCount="4314">
  <si>
    <t>PROJECTE EXECUTIU DE REHABILITACIÓ DE L’EDIFICI DE LA FABRIQUETA</t>
  </si>
  <si>
    <t>EL MASNOU</t>
  </si>
  <si>
    <t>PRESSUPOST</t>
  </si>
  <si>
    <t>Preu</t>
  </si>
  <si>
    <t>Amidament</t>
  </si>
  <si>
    <t>Import</t>
  </si>
  <si>
    <t>Obra</t>
  </si>
  <si>
    <t>01</t>
  </si>
  <si>
    <t>Pressupost</t>
  </si>
  <si>
    <t>Subobra</t>
  </si>
  <si>
    <t>TREBALLS PREVIS, ENDERROCS I MOVIMENT DE TERRES</t>
  </si>
  <si>
    <t>Capítol</t>
  </si>
  <si>
    <t>TREBALLS PREVIS</t>
  </si>
  <si>
    <t>01.01.01</t>
  </si>
  <si>
    <t>P2140-.URN</t>
  </si>
  <si>
    <t>m3</t>
  </si>
  <si>
    <t>Neteja i retirada d'elements existents a l'interior i exterior de les edificacions del conjunt i selecció de materials, amb mitjans manuals i càrrega manual i mecànica de runa sobre camió o contenidor.</t>
  </si>
  <si>
    <t>P1R2-.RJ6</t>
  </si>
  <si>
    <t>m2</t>
  </si>
  <si>
    <t>Neteja de plantes i herbes de parament vertical i horitzontal, aplicació de tractament herbicida i càrrega sobre camió o contenidor</t>
  </si>
  <si>
    <t>P1R2-.RJ7</t>
  </si>
  <si>
    <t>Neteja i esbrossada de plantes, herbes, matolls i arbres, amb mitjans manuals i amb minicarregadora de combustible, per a una alçària de brossa &lt;= 150 cm i càrrega manual i mecànica sobre camió o contenidor.</t>
  </si>
  <si>
    <t>PRE31-907A</t>
  </si>
  <si>
    <t>u</t>
  </si>
  <si>
    <t>Poda d'arbre planifoli o conífera de &lt; 4 m d'alçària, amb escala o perxa, aplec de la brossa generada i càrrega sobre camió grua amb pinça, i transport de la mateixa a planta de compostatge (no més lluny de 20 km)</t>
  </si>
  <si>
    <t>TOTAL</t>
  </si>
  <si>
    <t>02</t>
  </si>
  <si>
    <t>ENDERROCS I DESMUNTATGES</t>
  </si>
  <si>
    <t>01.01.02</t>
  </si>
  <si>
    <t>P2140-.ERN</t>
  </si>
  <si>
    <t>Desmuntatge, condicionament i retirada d'elements de fibrociment de tota l'àrea d'actuació de ´´La Fabriqueta´´, segons informe tècnic, per un total de 114.67 m2. Inclosa la confecció de pla de treball d’amiant específic, i posterior presentació, per a la seva aprovació per part de les autoritats legals pertinents. El transport i la gestió dels residus s'incorpora en capítol independent GR Gestió residus / 04 Residus especials. 
Elements identificats inclosos:
- Dipòsit interior 500 litres= 4.14 m2
- Canonada 3 ml DN 90 mm = 0.93 m2
- 2 canals DN 130 mm i 12 ml = 4.92 m2
- 2 baixants de les canals de 4 ml = 1.12 m2
- 3 teulades dent de serra = 95.2 m2
- Baixant de la canal exterior = 1.4 m2
- Sortida fums DN 150 mm i 6 ml = 2.82 m2
- Dipòsit exterior 500 litres = 4.14 m2
Treballs realitzats per personal especialitzat per a donar compliment al Real Decreto 396/2006, per empresa especialitzada i seguint totes les mesures de seguretat que prescriu en el Decret.
Els mitjans auxiliars i Equips de Protecció Individual E.P.I necessaris per al procés de desamiantat es detallaran i valoraran en el Pla de Treball d'acord a l'article 11 del RD. 396/2006.
Inclourà els següents llistats no exhaustius.
Equips de Protecció Individual:
- Mascareta autofiltrant tipus FFP, classe 3, (FFP3), factor de protecció FPN:50, no reutilitzable (NR), conforme la UNE-EN 149
- Parella de guants de goma de làtex, conforme la UNE-EN 374-3
- Parella de guants d'un sol ús, conforme la UNE-EN 455-1
- Parella de polaines d'un sol ús
- Granota d'un sol ús, amb caputxa i tancaments elàstics a la caputxa, canells i camals, categoria 3, tipus 5+6 , per a treballs amb amiant
Mitjans auxiliars:
- Transport, muntatge, desmuntatge i retirada d'unitat desmuntable de descontaminació de 3 compartiments, apta per a confinaments estàtics (extracció localitzada) o sense confinament, amb tancaments, paviment, sistema de filtració o extracció d’aire amb filtre HEPA, dispositius de control de seguretat, instal·lació elèctrica i d’enllumenat, instal·lació d’aigua freda i calenta, instal·lació de sanejament, aspirador de mà amb filtre HEPA, contenidor de residus EPI’s d’un sol ús, contenidor EPI’s a descontaminar, contenidor tovalloles a descontaminar, armari EPI’s, armari roba carrer i mirall.
Mesures higièniques i medioambientals:
- Determinació de la presència de fibres d’amiant d’una mostra personal ambiental, per microscòpia òptica de polarització dispersió (MPD), mètode MTA/PI, elaborat per laboratori autoritzat pel Ministeri de Treball pel recompte de fibres d’amiant.
- Es recomana la determinació de la presència de fibres d’amiant d’una mostra ambiental, per microscòpia electrònica d’escombrat (SEM -Scanning Electron Microscope), elaborat per laboratori autoritzat pel Ministeri de Treball pel recompte de fibres d’amiant.</t>
  </si>
  <si>
    <t>P2140-.RRN</t>
  </si>
  <si>
    <t>Arrencada de full i bastiment de fusteria de fusta amb envidrament, amb mitjans manuals i càrrega manual sobre camió o contenidor.</t>
  </si>
  <si>
    <t>P2110-.KWA</t>
  </si>
  <si>
    <t>Enderroc de volum d'edificació en interior i en exterior, incloent tot tipus de material (ceràmica, pedra, fusta, acer...), amb mitjans manuals i mecànics, i mitjans d'elevació, selecció de materials i càrrega manual i mecànica de runa sobre camió o contenidor.</t>
  </si>
  <si>
    <t>P214W-FEMK</t>
  </si>
  <si>
    <t>m</t>
  </si>
  <si>
    <t>Tall en paviment de formigó de 15 cm de fondària com a mínim amb Màquina tallajunts amb disc de diamant per a paviment, per a delimitar la zona a demolir</t>
  </si>
  <si>
    <t>P2146-HYDL</t>
  </si>
  <si>
    <t>Demolició de paviment de panots col·locats sobre base de formigó de fins a 10 cm de gruix, inclòs la demolició de la base, d'amplària fins a 2 m, amb compressor i càrrega sobre camió amb mitjans manuals, en Entorn urbà sense dificultat de mobilitat, en voreres &lt;= 3 m d'amplària o calçada/plataforma única &lt;= 7 m d'amplària, amb afectació per serveis o elements de mobiliari urbà, en Actuacions d'1 a 10 1 m2</t>
  </si>
  <si>
    <t>P2143-.RQT</t>
  </si>
  <si>
    <t>Enderroc de paviment existent i/o solera de formigó lleugerament armat, de fins a 15 cm de gruix, amb compressor i càrrega manual de runa sobre camió o contenidor</t>
  </si>
  <si>
    <t>P21GS-.RV9</t>
  </si>
  <si>
    <t>Enderroc d'aparell sanitari, ancoratges, aixetes, mecanismes, desguassos i desconnexió de les xarxes de subministrament i d'evacuació, amb mitjans manuals i càrrega manual de runa sobre camió o contenidor.</t>
  </si>
  <si>
    <t>P214C-.KVF</t>
  </si>
  <si>
    <t>Desmuntatge, inventariat i abassegament amb aprofitament de bigues de fusta que sustentaven el cel ras de canyís de la nau, amb mitjans manuals i d'elevació, neteja, eliminació de fixacions, aplec de material per a la seva reutilització i càrrega manual de runa sobre camió o contenidor.</t>
  </si>
  <si>
    <t>P214Q-.RPI</t>
  </si>
  <si>
    <t>Desmuntatge, inventariat i abassegament de teules àrabs, amb aprofitament per a recol·locació a l'obra, amb mitjans manuals, neteja, eliminació de fixacions, aplec de material per a la seva reutilització i càrrega manual de runa sobre camió o contenidor.</t>
  </si>
  <si>
    <t>P214Q-4RPQ</t>
  </si>
  <si>
    <t>Enderroc de solera de rajola ceràmica amb mitjans manuals i càrrega manual de runa sobre camió o contenidor</t>
  </si>
  <si>
    <t>P214Q-4RQ4</t>
  </si>
  <si>
    <t>Enderroc d'enllistonat de fusta de coberta, inclòs picat d'elements massissos i neteja del lloc de treball, amb mitjans manuals i càrrega manual de runa sobre camió o contenidor</t>
  </si>
  <si>
    <t>P214O-4ROD</t>
  </si>
  <si>
    <t>Enderroc d'escala de fusta, amb estructura, graons i barana de fusta, amb mitjans manuals i càrrega manual de runa sobre camió o contenidor</t>
  </si>
  <si>
    <t>P214M-.KZG</t>
  </si>
  <si>
    <t>Enderroc de sostre complet, incloent paviment, entrebigat, bigues de fusta i estructura de fals sostre, amb mitjans manuals i càrrega manual de runa sobre camió o contenidor</t>
  </si>
  <si>
    <t>P214O-4RO7</t>
  </si>
  <si>
    <t>Enderroc de pilar de maó massís, amb mitjans manuals i càrrega manual de runa sobre camió o contenidor</t>
  </si>
  <si>
    <t>P2140-4RRN</t>
  </si>
  <si>
    <t>Arrencada de full i bastiment de porta interior amb mitjans manuals i càrrega manual sobre camió o contenidor</t>
  </si>
  <si>
    <t>P214T-.RQF</t>
  </si>
  <si>
    <t>Enderroc d'envà o paret divisòria de ceràmica de 5 a 10 cm de gruix, amb mitjans manuals i càrrega manual de runa sobre camió o contenidor</t>
  </si>
  <si>
    <t>P214C-.TVF</t>
  </si>
  <si>
    <t>Enderroc de bancada de cuina existent i aplec d'aigüera per al reaprofitament, amb mitjans manuals, neteja, eliminació de fixacions i càrrega manual de runa sobre camió o contenidor.</t>
  </si>
  <si>
    <t>P2143-.RR2</t>
  </si>
  <si>
    <t>Desmuntatge, inventariat i abassegament de paviment de rajola hidràulica, amb aprofitament per a recol·locació a l'obra, amb mitjans manuals, neteja i càrrega manual de runa sobre camió o contenidor.</t>
  </si>
  <si>
    <t>P214X-.CP5</t>
  </si>
  <si>
    <t>Tall de mur de pedra per formació d'obertures amb forma definida en plànols, amb serra amb fil de diamant i càrrega manual i mecànica de runa sobre camió o contenidor.</t>
  </si>
  <si>
    <t>P214O-4RO9</t>
  </si>
  <si>
    <t>Enderroc de mur de maçoneria, amb compressor i càrrega manual de runa sobre camió o contenidor</t>
  </si>
  <si>
    <t>P214O-.RO1</t>
  </si>
  <si>
    <t>Enderroc de biga o bigueta de fusta, amb mitjans manuals i d'elevació i càrrega manual de runa sobre camió o contenidor</t>
  </si>
  <si>
    <t>03</t>
  </si>
  <si>
    <t>MOVIMENT DE TERRES</t>
  </si>
  <si>
    <t>01.01.03</t>
  </si>
  <si>
    <t>P221B-.L9I</t>
  </si>
  <si>
    <t>Excavació de caixa de paviment, en terreny compacte (SPT 20-50), realitzada amb minicarregadora amb accessori retroexcavador de combustible i càrrega mecànica sobre camió amb minicarregadora</t>
  </si>
  <si>
    <t>P2241-.2ST</t>
  </si>
  <si>
    <t>Repàs i piconatge de caixa de paviment, amb compactació del 95% PM</t>
  </si>
  <si>
    <t>P221B-EL9I</t>
  </si>
  <si>
    <t>Excavació de rasa i pou de fins a 2 m de fondària, en terreny compacte (SPT 20-50), realitzada amb minicarregadora amb accessori retroexcavador de combustible i càrrega mecànica sobre camió amb minicarregadora</t>
  </si>
  <si>
    <t>P2243-53AB</t>
  </si>
  <si>
    <t>Repàs de sols i parets de rases, pous i recalçats fins a 1,5 m de fondària</t>
  </si>
  <si>
    <t>P2243-53AC</t>
  </si>
  <si>
    <t>Repàs de sols i parets de rases, pous i recalçats fins a 2,5 m de fondària</t>
  </si>
  <si>
    <t>P221D-DZ32</t>
  </si>
  <si>
    <t>Excavació de rasa per a pas d'instal·lacions fins a 1 m de fondària, en terreny compacte (SPT 20-50), realitzada amb minicarregadora amb accessori retroexcavador de combustible i amb les terres deixades a la vora</t>
  </si>
  <si>
    <t>P2258-DRNF</t>
  </si>
  <si>
    <t>Terraplenat i piconatge en rases i pous amb terres adequades, en tongades de fins a 25 cm, amb una compactació del 95% del PM, amb picó vibrant de combustible i minicarregadora de combustible</t>
  </si>
  <si>
    <t>SISTEMA ESTRUCTURAL</t>
  </si>
  <si>
    <t>FONAMENTACIÓ</t>
  </si>
  <si>
    <t>Subcapítol</t>
  </si>
  <si>
    <t>FONAMENTACIÓ SEMIPROFUNDA</t>
  </si>
  <si>
    <t>01.02.01.01</t>
  </si>
  <si>
    <t>P312-I75W</t>
  </si>
  <si>
    <t>Formigonament de rases i pous, amb Formigó en massa HM - 25 / B / 20 / X0 amb una quantitat de ciment de 275 kg/m3 i relació aigua ciment =&lt; 0.6, abocat des de camió</t>
  </si>
  <si>
    <t>FONAMENTACIÓ SUPERFICIAL</t>
  </si>
  <si>
    <t>01.02.01.02</t>
  </si>
  <si>
    <t>P312-I1V9</t>
  </si>
  <si>
    <t>Formigonament de rases i pous, amb Formigó per armar HA - 25 / B / 20 / XC2 amb una quantitat de ciment de 275 kg/m3 i relació aigua ciment =&lt; 0.6, abocat amb bomba</t>
  </si>
  <si>
    <t>P3Z3-D53N</t>
  </si>
  <si>
    <t>Capa de neteja i anivellament 10 cm de gruix amb Formigó de neteja, amb una dosificació de 150 kg/m3 de ciment, consistència tova i grandària màxima del granulat 20 mm, HL-150 kg/m3/B/20, abocat des de camió</t>
  </si>
  <si>
    <t>P310-D51K</t>
  </si>
  <si>
    <t>kg</t>
  </si>
  <si>
    <t>Armadura de rases i pous AP500 S d'Acer en barres corrugades B500S de límit elàstic &gt;= 500 N/mm2</t>
  </si>
  <si>
    <t>MURS DE CONTENCIÓ</t>
  </si>
  <si>
    <t>01.02.01.03</t>
  </si>
  <si>
    <t>P324-LQTG</t>
  </si>
  <si>
    <t>Formigonament de murs de contenció, de 3 m d'alçària com a màxim, amb Formigó per armar HA - 25 / F / 20 / XC2 amb una quantitat de ciment de 275 kg/m3 i relació aigua ciment =&lt; 0.6 i abocat amb bomba</t>
  </si>
  <si>
    <t>P320-D6XX</t>
  </si>
  <si>
    <t>Armadura per a murs de contenció AP500 S, d'una alçària màxima de 3 m d'Acer en barres corrugades B500S de límit elàstic &gt;= 500 N/mm2</t>
  </si>
  <si>
    <t>P322-D74P</t>
  </si>
  <si>
    <t>Muntatge i desmuntatge d'una cara d'encofrat amb plafó metàl·lic de 250x50 cm, per a murs de contenció de base rectilínia encofrats a una cara, d'una alçària &lt;= 3 m</t>
  </si>
  <si>
    <t>ESTRUCTURA VERTICAL</t>
  </si>
  <si>
    <t>FUSTA</t>
  </si>
  <si>
    <t>01.02.02.01</t>
  </si>
  <si>
    <t>P43C-6UI8</t>
  </si>
  <si>
    <t>Pilar de fusta de 14x14 a 20x50 cm de secció, amb Element de fusta laminada combinada GL24c, amb gruix de laminat 33/45 mm, de 7x13 a 20x100 cm de secció constant i llargària fins a 5 m, treballada al taller i amb tractament insecticida-fungicida amb un nivell de penetració NP 1 segons UNE-EN 351-1, muntat sobre suport</t>
  </si>
  <si>
    <t>P43B-KXCF</t>
  </si>
  <si>
    <t>Paret estructural per a interior de Panell de fusta contralaminada de 140 mm de gruix formada per 5 capes de fusta d'avet C24, encolades amb adhesiu sense urea-formaldehíde amb la disposició transversal de la fusta en les dues cares del panell, sense tractament hidròfug, amb acabat superficial tipus habitatge en una de les cares amb fusta d'avet de Douglas amb lasur col·locat amb fixacions mecàniques, desolidarització del suport amb banda resilient de cautxú EPDM extruït, fixada amb grapes; unió entre panells encadellat fixats amb cargols d'acer i segellat de la cara interior dels junts amb cinta adhesiva de goma butílica, amb armadura de polièster i segellat de la cara exterior amb cinta autoadhessiva de polietilè amb adhesiu acrílic sense dissolvents, amb armadura de polietilè i pel·lícula de separació de paper siliconat, prèvia aplicació d'imprimació incolora a base d' una dispersió acrílica sense dissolvents; resolució de traves amb cargols d'acer; fixació de panells amb elements d'acer galvanitzat</t>
  </si>
  <si>
    <t>P430-OS01</t>
  </si>
  <si>
    <t>Ferramentes i junts per a fusta, inclou peces metàl·liques i connectors.</t>
  </si>
  <si>
    <t>ESTRUCTURA HORITZONTAL</t>
  </si>
  <si>
    <t>01.02.03.01</t>
  </si>
  <si>
    <t>P430-6UIX</t>
  </si>
  <si>
    <t>Biga de fusta de 20x100 cm de secció, com a màxim, amb Element de fusta laminada combinada GL24c, amb gruix de laminat 33/45 mm, de 7x13 a 20x100 cm de secció constant i llargària fins a 15 m, treballada al taller i amb tractament insecticida-fungicida amb un nivell de penetració NP 1 segons UNE-EN 351-1, muntada sobre suports</t>
  </si>
  <si>
    <t>P43J-OS1</t>
  </si>
  <si>
    <t>Sostre pla de Panell de fusta contralaminada de 60 mm de gruix formada per 3 capes de fusta d'avet C24, encolades amb adhesiu sense urea-formaldehíde amb la disposició longitudinal de la fusta en les dues cares del panell, sense tractament hidròfug, amb acabat superficial no vist per a revestir les 2 cares col·locat amb fixacions mecàniques, desolidarització del suport amb banda resilient de cautxú EPDM extruït, fixada amb grapes; unió entre panells encadellat fixats amb cargols d'acer i segellat de la cara interior dels junts amb cinta adhesiva de goma butílica, amb armadura de polièster i segellat de la cara exterior amb cinta autoadhessiva de polietilè amb adhesiu acrílic sense dissolvents, amb armadura de polietilè i pel·lícula de separació de paper siliconat, prèvia aplicació d'imprimació incolora a base d' una dispersió acrílica sense dissolvents; resolució de traves amb cargols d'acer; fixació de panells amb elements d'acer galvanitzat.Més treball de preparació del pla horitzontal en cas de deformacions amb cabiró de fusta C24 amb una alçada màxima de 10cm.</t>
  </si>
  <si>
    <t>P43J-.L7N</t>
  </si>
  <si>
    <t>Sostre pla de Panell de fusta contralaminada ´´Machihembrat´´ de 160 mm de gruix formada per 5 capes de fusta d'avet C24, encolades amb adhesiu sense urea-formaldehíde amb la disposició longitudinal de la fusta en les dues cares del panell, sense tractament hidròfug, amb acabat superficial tipus habitatge en una de les cares amb fusta d'avet de Douglas amb lasur col·locat amb fixacions mecàniques, desolidarització del suport amb banda resilient de cautxú EPDM extruït, fixada amb grapes; unió entre panells encadellat fixats amb cargols d'acer i segellat de la cara interior dels junts amb cinta adhesiva de goma butílica, amb armadura de polièster i segellat de la cara exterior amb cinta autoadhessiva de polietilè amb adhesiu acrílic sense dissolvents, amb armadura de polietilè i pel·lícula de separació de paper siliconat, prèvia aplicació d'imprimació incolora a base d' una dispersió acrílica sense dissolvents; resolució de traves amb cargols d'acer; fixació de panells amb elements d'acer galvanitzat</t>
  </si>
  <si>
    <t>P432-6UJF</t>
  </si>
  <si>
    <t>Bigueta de fusta amb Element de fusta laminada combinada GL24c, amb gruix de laminat 33/45 mm, de 7x13 a 20x100 cm de secció constant i llargària fins a 5 m, treballada al taller i amb tractament insecticida-fungicida amb un nivell de penetració NP 1 segons UNE-EN 351-1, col·locada sobre suports de fusta o acer</t>
  </si>
  <si>
    <t>P8B6-HAQW</t>
  </si>
  <si>
    <t>Tractament in situ preventiu contra xilòfags, en parament vertical de fusta o mobiliari sense policromia, amb fungicida incolor, aplicat amb brotxa</t>
  </si>
  <si>
    <t>P432-.UJF</t>
  </si>
  <si>
    <t>Muntatge de bigueta de fusta procedent d'abassegament de la pròpia intervenció.</t>
  </si>
  <si>
    <t>P45G0-.7DG</t>
  </si>
  <si>
    <t>Formigonament de dau de recolzament amb Formigó de calç NHL5</t>
  </si>
  <si>
    <t>P721-.QII</t>
  </si>
  <si>
    <t>Làmina de polietilè d'alta densitat de gruix 1mm no resistent a la intempèrie</t>
  </si>
  <si>
    <t>ESTINTOLAMENTS</t>
  </si>
  <si>
    <t>01.02.03.02</t>
  </si>
  <si>
    <t>P442-DFZP</t>
  </si>
  <si>
    <t>Acer S275JR segons UNE-EN 10025-2, per a bigues formades per peça simple, en perfils laminats en calent sèrie IPN, IPE, HEB, HEA, HEM i UPN, treballat a taller i amb una capa d'imprimació antioxidant, col·locat a l'obra amb soldadura</t>
  </si>
  <si>
    <t>P7D6-613L</t>
  </si>
  <si>
    <t>Pintat ignífug de perfils d'acer amb una capa d'imprimació per a pintura intumescent i tres capes de pintura intumescent, amb un gruix total de 1500 µm</t>
  </si>
  <si>
    <t>P8B2-G2EJ</t>
  </si>
  <si>
    <t>Pintat d'estructures d'acer amb sistemes de protecció amb grau de durabilitat M, per a classe d'exposició C2, segons UNE-EN ISO 12944-1, format per 2 capes, capa d'imprimació de 80 µm i capa d'acabat de 40 µm, amb un gruix total de protecció de 120 µm, aplicat de forma manual</t>
  </si>
  <si>
    <t>CÈRCOLS</t>
  </si>
  <si>
    <t>01.02.03.03</t>
  </si>
  <si>
    <t>P4FG-EEBC</t>
  </si>
  <si>
    <t>P4Z1-3LY3</t>
  </si>
  <si>
    <t>Armadura prefabricada en gelosia per a parets d'obra de fàbrica, d'acer galvanitzat de 280 mm d'amplària, amb rodó longitudinal de 5 mm de diàmetre i rodó transversal de 3,75 mm de, col·locada amb el mateix morter de la paret</t>
  </si>
  <si>
    <t>04</t>
  </si>
  <si>
    <t>ESCALES</t>
  </si>
  <si>
    <t>01.02.04.01</t>
  </si>
  <si>
    <t>P43J-KBYZ</t>
  </si>
  <si>
    <t>Panell inclinat de fusta contralaminada de 140 mm de gruix formada per 5 capes de fusta d'avet C24, encolades amb adhesiu sense urea-formaldehíde amb la disposició longitudinal de la fusta en les dues cares del panell, sense tractament hidròfug, amb acabat superficial tipus habitatge en una de les cares amb fusta d'avet de Douglas amb lasur col·locat amb fixacions mecàniques, desolidarització del suport amb banda resilient de cautxú EPDM extruït, fixada amb grapes; unió entre panells encadellat fixats amb cargols d'acer i segellat de la cara interior dels junts amb cinta adhesiva de goma butílica, amb armadura de polièster i segellat de la cara exterior amb cinta autoadhessiva de polietilè amb adhesiu acrílic sense dissolvents, amb armadura de polietilè i pel·lícula de separació de paper siliconat, prèvia aplicació d'imprimació incolora a base d' una dispersió acrílica sense dissolvents; resolució de traves amb cargols d'acer; fixació de panells amb elements d'acer galvanitzat</t>
  </si>
  <si>
    <t>05</t>
  </si>
  <si>
    <t>ALTRES ELEMENTS ESTRUCTURALS</t>
  </si>
  <si>
    <t>01.02.05.01</t>
  </si>
  <si>
    <t>P43L-.ES1</t>
  </si>
  <si>
    <t>Avaluació del sistema estructural: pilars i bigues de fusta, murs paredat i fonamentació de les edificacions.</t>
  </si>
  <si>
    <t>Protecció curativa/preventiva atacs xil·lòfags i altres, en els elements de fusta estructural:
Tractament curatiu amb nivell de penetració NP5 (prèvia neteja, raspallat de les incrustacions orgàniques), per a bigues de fusta de 10 a 20 cm de gruix, amb protector químic insecticida-fungicida per a fusta (TP8), aplicat mitjançant injecció i polvorització en caps i tota la longitud de l'element.</t>
  </si>
  <si>
    <t>P43L-.E13</t>
  </si>
  <si>
    <t>SISTEMA ENVOLUPANT I ACABATS EXTERIORS</t>
  </si>
  <si>
    <t>ELEMENTS EN CONTACTE AMB TERRENY, SOLERES I PROTECCIÓ RADÓ</t>
  </si>
  <si>
    <t>01.03.01</t>
  </si>
  <si>
    <t>P7B1-6Q52</t>
  </si>
  <si>
    <t>Geotèxtil format per feltre de polipropilè/polietilè no teixit lligat térmicament de 110 a 130 g/m2, col·locat sense adherir</t>
  </si>
  <si>
    <t>P92A-DX8O</t>
  </si>
  <si>
    <t>Subbase de Tot-u artificial, amb estesa i piconatge del material al 98% del PM</t>
  </si>
  <si>
    <t>P7R6-.IYZ</t>
  </si>
  <si>
    <t>Barrera front al gas radó amb làmina polimèrica Radbar 300 Conbud o equivalent, amb coeficient de difusió front al gas radó, col·locada autoadherida sobre superfície horitzontal, amb segellat hermètic de juntes i solapaments mitjançant cintes de butil i de tancament, preparada per rebre el formigó de la llosa.</t>
  </si>
  <si>
    <t>P45C1-1.CQA</t>
  </si>
  <si>
    <t>Formigonament de solera de formigó per armar HA - 25 / B / 10 / XC1 amb una quantitat de ciment de 275 kg/m3 i relació aigua ciment =&lt; 0.6, abocat amb bomba</t>
  </si>
  <si>
    <t>P3C1-D6VY</t>
  </si>
  <si>
    <t>Armadura de lloses AP500 T amb malla electrosoldada de barres corrugades d'acer ME 15x15 cm D:6-6 mm 6x2,2 m B500T UNE-EN 10080</t>
  </si>
  <si>
    <t>FAÇANES</t>
  </si>
  <si>
    <t>ÀMBIT 1 FAÇANA BONAVENTURA BASSEGODA</t>
  </si>
  <si>
    <t>01.03.02.01</t>
  </si>
  <si>
    <t>P8RN-1.P1</t>
  </si>
  <si>
    <t>Actuació tipus A1.P.01 de l'àmbit 1 de façana Bonaventura Bassegoda, en parament, segons indicacions de documentació gràfica, incloent mà d'obra i materials:
Retirada de cables i elements d'instal·lacions en desús, claus, tacs i restes d'elements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</si>
  <si>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P8RN-1.P2</t>
  </si>
  <si>
    <t>Actuació tipus A1.P.02 de l'àmbit 1 de façana Bonaventura Bassegoda, en parament, segons indicacions de documentació gràfica, incloent mà d'obra i materials:
Neteja en sec sobre parament de pols, restes orgàniques, microorganismes, fongs i algues, amb preparat concentrat líquid de substàncies actives per a emprar, prèvia dilució, en la preservació i la reparació d'atacs micro-biològics en superfícies de revestiment, aplicat amb pincell o equip polvoritzador de motxilla i neteja amb mitjans manuals.
El preu unitari global de la partida inclou el % de despeses indirectes considerat al pressupost.</t>
  </si>
  <si>
    <t>P8RN-1.P3</t>
  </si>
  <si>
    <t>Actuació tipus A1.P.03 de l'àmbit 1 de façana Bonaventura Bassegoda, en parament, segons indicacions de documentació gràfica, incloent mà d'obra i materials:
Consolidació d'esquerda en parament amb injecció de morter amb base de calç natural, exempt de sals eflorescents, sanejat i obertura de la discontinuïtat, obertura del recorregut de l'esquerda, infiltració de consolidant superficial a base de nanocalç, concretament hidroxid de calci nanofàsic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</si>
  <si>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P8RN-1.P4</t>
  </si>
  <si>
    <t>Actuació tipus A1.P.04 de l'àmbit 1 de façana Bonaventura Bassegoda, en parament, segons indicacions de documentació gràfica, incloent mà d'obra i materials:
Repicat de revestiment existent en mal estat i reparacions anteriors amb materials inadequats, amb mitjans manuals i càrrega manual de runa sobre camió o contenidor. S'ha contabilitzat 50% localitzat a la part inferior i reparacions anteriors vàries.
El preu unitari global de la partida inclou el % de despeses indirectes considerat al pressupost.</t>
  </si>
  <si>
    <t>P8RN-1.P5</t>
  </si>
  <si>
    <t>Actuació tipus A1.P.05 de l'àmbit 1 de façana Bonaventura Bassegoda, en parament, segons indicacions de documentació gràfica, incloent mà d'obra i materials:
Arrebossat reglejat sobre parament vertical, a 2,00 m d'alçària, com a màxim, amb morter per arrebossats transpirables, resistent a les sals, a base de calç i ECO-PUZZOLANA, per aplicar com a primera capa. S'ha comptabilitzat 50% localitzat a la part inferior. (tipus MAPEI ANTIQUE RINZAFFO o equivalent).
El preu unitari global de la partida inclou el % de despeses indirectes considerat al pressupost.</t>
  </si>
  <si>
    <t>P8RN-1.P6</t>
  </si>
  <si>
    <t>Actuació tipus A1.P.06 de l'àmbit 1 de façana Bonaventura Bassegoda, en parament, segons indicacions de documentació gràfica, incloent mà d'obra i materials:
Estucat amb 2ª capa amb morter de calç grassa apagada i sorra fina de dosificació 1:3, de 5 mm de gruix i 3ª capa d'emblanquinat amb pasta de calç grassa i pols de marbre d'1 mm de gruix amb acabat fi (reapretat). 100%. Inclou mostres d'estuc (color i acabat).
El preu unitari global de la partida inclou el % de despeses indirectes considerat al pressupost.</t>
  </si>
  <si>
    <t>P8RN-1.C1</t>
  </si>
  <si>
    <t>Actuació tipus A1.C.01 de l'àmbit 1 de façana Bonaventura Bassegoda, en cornisa, segons indicacions de documentació gràfica, incloent mà d'obra i materials:
Neteja en sec de pols, restes orgàniques i biodipòsits-detritus amb mitjans manuals no agressius i instruments desincrustants.
El preu unitari global de la partida inclou el % de despeses indirectes considerat al pressupost.</t>
  </si>
  <si>
    <t>P8RN-1.C2</t>
  </si>
  <si>
    <t>Actuació tipus A1.C.02 de l'àmbit 1 de façana Bonaventura Bassegoda, en cornisa, segons indicacions de documentació gràfica, incloent mà d'obra i materials:
Extracció de concrecions de sals insolubles en estuc fi, mecànicament amb bisturí i micromartellines, amb grau de dificultat mitjà i amb la intervenció del conservador- restaurador responsable de la intervenció.
El preu unitari global de la partida inclou el % de despeses indirectes considerat al pressupost.</t>
  </si>
  <si>
    <t>P8RN-1.C3</t>
  </si>
  <si>
    <t>Actuació tipus A1.C.03 de l'àmbit 1 de façana Bonaventura Bassegoda, en cornisa, segons indicacions de documentació gràfica, incloent mà d'obra i materials:
Reparació de cornisa ceràmica, substitució de peces trencades i soltes, repàs de junts.
El preu unitari global de la partida inclou el % de despeses indirectes considerat al pressupost.</t>
  </si>
  <si>
    <t>P8RN-1.C4</t>
  </si>
  <si>
    <t>Actuació tipus A1.C.04 de l'àmbit 1 de façana Bonaventura Bassegoda, en cornisa, segons indicacions de documentació gràfica, incloent mà d'obra i materials:
Repicat de morters afegits a la tortugada existent, recuperació de les llacunes d'estuc.
El preu unitari global de la partida inclou el % de despeses indirectes considerat al pressupost.</t>
  </si>
  <si>
    <t>P8RN-1.C5</t>
  </si>
  <si>
    <t>Actuació tipus A1.C.05 de l'àmbit 1 de façana Bonaventura Bassegoda, en cornisa,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</si>
  <si>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P8RN-1.B1</t>
  </si>
  <si>
    <t>Actuació tipus A1.B.01 de l'àmbit 1 de façana Bonaventura Bassegoda, en buits i emmarcaments de maó massís, segons indicacions de documentació gràfica, incloent mà d'obra i materials:
Substitució puntual de peça deteriorada (65%) de maó massís d'elaboració manual, amb morter de ciment, inclou càrrega manual de runa sobre camió o contenidor i transport a dipòsit controlat. 
S'ha contemplat  un màxim de 10 uts de peces.
El preu unitari global de la partida inclou el % de despeses indirectes considerat al pressupost.</t>
  </si>
  <si>
    <t>P8RN-1.B2</t>
  </si>
  <si>
    <t>Actuació tipus A1.B.02 de l'àmbit 1 de façana Bonaventura Bassegoda, en buits i emmarcaments de maó massís, segons indicacions de documentació gràfica, incloent mà d'obra i materials:
Eliminació d'elements embeguts, en peces i/o morters, d'instal.lacions en desús.
El preu unitari global de la partida inclou el % de despeses indirectes considerat al pressupost.</t>
  </si>
  <si>
    <t>P8RN-1.B3</t>
  </si>
  <si>
    <t>Actuació tipus A1.B.03 de l'àmbit 1 de façana Bonaventura Bassegoda, en buits i emmarcaments de maó massís, segons indicacions de documentació gràfica, incloent mà d'obra i materials:
Neteja en sec de pols, restes orgàniques, microorganismes, fongs i algues, amb preparat concentrat líquid de substàncies actives per a emprar, prèvia dilució, en la preservació i la reparació d'atacs micro-biològics en superfícies de materials petris, morters, arrebossats, maons, aplicat amb pincell o equip polvoritzador de motxilla i neteja amb mitjans manuals.
El preu unitari global de la partida inclou el % de despeses indirectes considerat al pressupost.</t>
  </si>
  <si>
    <t>P8RN-1.B4</t>
  </si>
  <si>
    <t>Actuació tipus A1.B.04 de l'àmbit 1 de façana Bonaventura Bassegoda, en buits i emmarcaments de maó massís, segons indicacions de documentació gràfica, incloent mà d'obra i materials:
Neteja de crostes superficials sobre maó massís amb mitjans manuals, grau de dificultat baix, amb la intervenció del conservador-restaurador.
El preu unitari global de la partida inclou el % de despeses indirectes considerat al pressupost.</t>
  </si>
  <si>
    <t>P8RN-1.B5</t>
  </si>
  <si>
    <t>Actuació tipus A1.B.05 de l'àmbit 1 de façana Bonaventura Bassegoda, en buits i emmarcaments de maó massís, segons indicacions de documentació gràfica, incloent mà d'obra i materials:
Eliminació mecànica de morters d’intervencions anteriors, de juntes i/o reintegracions volumètriques,  en mal estat o de material inadequat, amb mitjans manuals i càrrega manual de runa sobre camió o contenidor.
El preu unitari global de la partida inclou el % de despeses indirectes considerat al pressupost.</t>
  </si>
  <si>
    <t>P8RN-1.B6</t>
  </si>
  <si>
    <t>Actuació tipus A1.B.06 de l'àmbit 1 de façana Bonaventura Bassegoda, en buits i emmarcaments de maó massís, segons indicacions de documentació gràfica, incloent mà d'obra i materials:
Reintegració volumètrica mitjançant morter tixotròpic.  Inclou texturització del morter i tractament cromàtic de la zona reconstruïda amb pintures amb veladures i/o tenyit reintegrador superficial per igualar el color al revestiment existent. Inclou mostres prèvies.
El preu unitari global de la partida inclou el % de despeses indirectes considerat al pressupost.</t>
  </si>
  <si>
    <t>P8RN-1.B7</t>
  </si>
  <si>
    <t>Actuació tipus A1.B.07 de l'àmbit 1 de façana Bonaventura Bassegoda, en buits i emmarcaments de maó massís, segons indicacions de documentació gràfica, incloent mà d'obra i materials:
Morter de juntes de nova execució, amb morter de calç hidraúlic NHL3,5 (1:3), seguint la geometria i proporció dels originals conservats.
El preu unitari global de la partida inclou el % de despeses indirectes considerat al pressupost.</t>
  </si>
  <si>
    <t>P8RN-1.B8</t>
  </si>
  <si>
    <t>Actuació tipus A1.B.08 de l'àmbit 1 de façana Bonaventura Bassegoda, en buits i emmarcaments de maó massís, segons indicacions de documentació gràfica, incloent mà d'obra i materials:
Formació de pendents a pla a pla horitzontal amb morter de calç de 3 cm de gruix mitjà per evitar l’estancament de les aigües a la part superior de l’element, acabat ´´repretat´´ i lliscat.
El preu unitari global de la partida inclou el % de despeses indirectes considerat al pressupost.</t>
  </si>
  <si>
    <t>P8RN-1.B9</t>
  </si>
  <si>
    <t>Actuació tipus A1.B.09 de l'àmbit 1 de façana Bonaventura Bassegoda, en buits i emmarcaments de maó massís, segons indicacions de documentació gràfica, incloent mà d'obra i materials:
Aplicació de producte hidrofugant al maó, material sense efecte ´´pel·lícula´´.
El preu unitari global de la partida inclou el % de despeses indirectes considerat al pressupost.</t>
  </si>
  <si>
    <t>ÀMBIT 2 FAÇANA CARRER JOAN ROIG</t>
  </si>
  <si>
    <t>01.03.02.02</t>
  </si>
  <si>
    <t>P8RN-2.P1</t>
  </si>
  <si>
    <t>Actuació tipus A2.P1.01 de l'àmbit 2 de façana carrer Joan Roig, en façana tester nau, segons indicacions de documentació gràfica, incloent mà d'obra i materials:
Retirada de cables i elements d'instal·lacions en desús, claus, tacs i 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</si>
  <si>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P8RN-2.P2</t>
  </si>
  <si>
    <t>Actuació tipus A2.P1.02 de l'àmbit 2 de façana carrer Joan Roig, en façana tester nau, segons indicacions de documentació gràfica, incloent mà d'obra i materials:
Escatat i decapat químic per eliminar capes de pintura i grafits existents.
El preu unitari global de la partida inclou el % de despeses indirectes considerat al pressupost.</t>
  </si>
  <si>
    <t>P8RN-2.P3</t>
  </si>
  <si>
    <t>Actuació tipus A2.P1.03 de l'àmbit 2 de façana carrer Joan Roig, en façana tester nau, segons indicacions de documentació gràfica, incloent mà d'obra i materials:
Neteja en sec sobre parament de pols, restes orgàniques, microorganismes, fongs i algues, amb preparat concentrat líquid de substàncies actives per a emprar, prèvia dilució, en la preservació i la reparació d'atacs micro-biològics en superfícies de revestiment, aplicat amb pincell o equip polvoritzador de motxilla i neteja amb mitjans manuals.
El preu unitari global de la partida inclou el % de despeses indirectes considerat al pressupost.</t>
  </si>
  <si>
    <t>P8RN-2.P4</t>
  </si>
  <si>
    <t>Actuació tipus A2.P1.04 de l'àmbit 2 de façana carrer Joan Roig, en façana tester nau, segons indicacions de documentació gràfica, incloent mà d'obra i materials:
Obertura buit tapiat.
El preu unitari global de la partida inclou el % de despeses indirectes considerat al pressupost.</t>
  </si>
  <si>
    <t>P8RN-2.P5</t>
  </si>
  <si>
    <t>Actuació tipus A2.P1.05 de l'àmbit 2 de façana carrer Joan Roig, en façana tester nau, segons indicacions de documentació gràfica, incloent mà d'obra i materials:
Consolidació d'esquerda en parament amb injecció de morter amb base de calç natural, exempt de sals eflorescents, sanejat i obertura de la discontinuïtat, obertura del recorregut de l'esquerda, infiltració de consolidant superficial a base de nanocalç, concretament hidroxid de calci nanofàsic  en el substrat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</si>
  <si>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P8RN-2.P6</t>
  </si>
  <si>
    <t>Actuació tipus A2.P1.06 de l'àmbit 2 de façana carrer Joan Roig, en façana tester nau, segons indicacions de documentació gràfica, incloent mà d'obra i materials:
Repicat de revestiment existent en mal estat i reparacions anteriors amb materials inadequats, amb mitjans manuals i càrrega manual de runa sobre camió o contenidor. S'ha contabilitzat 35% localitzat a la part inferior i reparacions anteriors varies.
El preu unitari global de la partida inclou el % de despeses indirectes considerat al pressupost.</t>
  </si>
  <si>
    <t>P8RN-2.P7</t>
  </si>
  <si>
    <t>Actuació tipus A2.P1.07 de l'àmbit 2 de façana carrer Joan Roig, en façana tester nau, segons indicacions de documentació gràfica, incloent mà d'obra i materials:
Arrebossat reglejat sobre parament vertical, a 2,00 m d'alçària, com a màxim, amb morter per arrebossats transpirables, resistent a les sals, a base de calç i ECO-PUZZOLANA, per aplicar com a primera capa. S'ha comptabilitzat 25% localitzat a la part inferior. (tipus MAPEI ANTIQUE RINZAFFO o equivalent).
El preu unitari global de la partida inclou el % de despeses indirectes considerat al pressupost.</t>
  </si>
  <si>
    <t>P8RN-2.P8</t>
  </si>
  <si>
    <t>Actuació tipus A2.P1.08 de l'àmbit 2 de façana carrer Joan Roig, en façana tester nau, segons indicacions de documentació gràfica, incloent mà d'obra i materials:
Estucat amb 2ª capa amb morter de calç grassa apagada i sorra fina de dosificació 1:3, de 5 mm de gruix i 3ª capa d'emblanquinat amb pasta de calç grassa i pols de marbre d'1 mm de gruix amb acabat fi (reapretat). 25%. Inclou mostres d'estuc (color i acabat).
El preu unitari global de la partida inclou el % de despeses indirectes considerat al pressupost.</t>
  </si>
  <si>
    <t>P8RN-2.P9</t>
  </si>
  <si>
    <t>Actuació tipus A2.P1.09 de l'àmbit 2 de façana carrer Joan Roig, en façana tester nau,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</si>
  <si>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P8RN-2.P0</t>
  </si>
  <si>
    <t>Actuació tipus A2.P1.10 de l'àmbit 2 de façana carrer Joan Roig, en façana tester nau, segons indicacions de documentació gràfica, incloent mà d'obra i materials:
Restes de decoració pictòrica: Neteja en sec suau; consolidació i fixació; reintegració cromàtica  arqueològica.
El preu unitari global de la partida inclou el % de despeses indirectes considerat al pressupost.</t>
  </si>
  <si>
    <t>P8RN-2.C1</t>
  </si>
  <si>
    <t>Actuació tipus A2.C1.01 de l'àmbit 2 de façana carrer Joan Roig, en cornisa de façana tester nau, segons indicacions de documentació gràfica, incloent mà d'obra i materials:
Neteja en sec de pols, restes orgàniques i biodipòsits-detritus amb mitjans manuals no agressius i instruments desincrustants.
El preu unitari global de la partida inclou el % de despeses indirectes considerat al pressupost.</t>
  </si>
  <si>
    <t>P8RN-2.C2</t>
  </si>
  <si>
    <t>Actuació tipus A2.C1.02 de l'àmbit 2 de façana carrer Joan Roig, en cornisa de façana tester nau, segons indicacions de documentació gràfica, incloent mà d'obra i materials:
Extracció de concrecions de sals insolubles en element singular de pedra treballada, mecànicament amb bisturí i micromartellines, amb grau de dificultat mitjà i amb la intervenció del conservador- restaurador responsable de la intervenció.
El preu unitari global de la partida inclou el % de despeses indirectes considerat al pressupost.</t>
  </si>
  <si>
    <t>P8RN-2.C3</t>
  </si>
  <si>
    <t>Actuació tipus A2.C1.03 de l'àmbit 2 de façana carrer Joan Roig, en cornisa de façana tester nau, segons indicacions de documentació gràfica, incloent mà d'obra i materials:
Neteja de crostes superficials  amb mitjans manuals, grau de dificultat baix, amb la intervenció del conservador-restaurador.
El preu unitari global de la partida inclou el % de despeses indirectes considerat al pressupost.</t>
  </si>
  <si>
    <t>P8RN-2.C4</t>
  </si>
  <si>
    <t>Actuació tipus A2.C1.04 de l'àmbit 2 de façana carrer Joan Roig, en cornisa de façana tester nau, segons indicacions de documentació gràfica, incloent mà d'obra i materials:
Repicat de morters en mal estat existent, reparació puntual de peces deteriorades (65% de pèrdua), reconstrucció volumètrica amb morters tixotròpics i revestiment amb morter de calç (similar a l'estuc de restauració).
El preu unitari global de la partida inclou el % de despeses indirectes considerat al pressupost.</t>
  </si>
  <si>
    <t>P8RN-2.C5</t>
  </si>
  <si>
    <t>Actuació tipus A2.C1.05 de l'àmbit 2 de façana carrer Joan Roig, en cornisa de façana tester nau, segons indicacions de documentació gràfica, incloent mà d'obra i materials:
Reparació de cornisa ceràmica, substitució de peces trencades i soltes, repàs de junts i estucat (3 capes).
El preu unitari global de la partida inclou el % de despeses indirectes considerat al pressupost.</t>
  </si>
  <si>
    <t>P8RN-2.C6</t>
  </si>
  <si>
    <t>Actuació tipus A2.C1.06 de l'àmbit 2 de façana carrer Joan Roig, en cornisa de façana tester nau,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</si>
  <si>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P8RN-2.B1</t>
  </si>
  <si>
    <t>Actuació tipus A2.B1.01 de l'àmbit 2 de façana carrer Joan Roig, en buits i emmarcaments de maó massís, segons indicacions de documentació gràfica, incloent mà d'obra i materials:
Substitució puntual de peça deteriorada (65%) de maó massís d'elaboaració manual, amb morter de ciment, inclou càrrega manual de runa sobre camió o contenidor i transport a dipòsit controlat.
El preu unitari global de la partida inclou el % de despeses indirectes considerat al pressupost.</t>
  </si>
  <si>
    <t>P8RN-2.B2</t>
  </si>
  <si>
    <t>Actuació tipus A2.B1.02 de l'àmbit 2 de façana carrer Joan Roig, en buits i emmarcaments de maó massís, segons indicacions de documentació gràfica, incloent mà d'obra i materials:
Eliminació d'elements embeguts, en pecesi/o morters, d'instal.lacions en desús.
El preu unitari global de la partida inclou el % de despeses indirectes considerat al pressupost.</t>
  </si>
  <si>
    <t>P8RN-2.B3</t>
  </si>
  <si>
    <t>Actuació tipus A2.B1.03 de l'àmbit 2 de façana carrer Joan Roig, en buits i emmarcaments de maó massís, segons indicacions de documentació gràfica, incloent mà d'obra i materials:
Neteja en sec de pols, restes orgàniques, microorganismes, fongs i algues, amb preparat concentrat líquid de substàncies actives per a emprar, prèvia dilució, en la preservació i la reparació d'atacs micro-biològics en superfícies de materials petris, morters, arrebossats, maons, aplicat amb pincell o equip polvoritzador de motxilla i neteja amb mitjans manuals.
El preu unitari global de la partida inclou el % de despeses indirectes considerat al pressupost.</t>
  </si>
  <si>
    <t>P8RN-2.B4</t>
  </si>
  <si>
    <t>Actuació tipus A2.B1.04 de l'àmbit 2 de façana carrer Joan Roig, en buits i emmarcaments de maó massís, segons indicacions de documentació gràfica, incloent mà d'obra i materials:
Neteja de crostes superficials  amb mitjans manuals, grau de dificultat baix, amb la intervenció del conservador-restaurador.
El preu unitari global de la partida inclou el % de despeses indirectes considerat al pressupost.</t>
  </si>
  <si>
    <t>P8RN-2.B5</t>
  </si>
  <si>
    <t>Actuació tipus A2.B1.05 de l'àmbit 2 de façana carrer Joan Roig, en buits i emmarcaments de maó massís, segons indicacions de documentació gràfica, incloent mà d'obra i materials:
Eliminació mecànica de morters d’intervencions anteriors, de juntes i/o reintegracions volumètriques,  en mal estat o de material inadequat, amb mitjans manuals i càrrega manual de runa sobre camió o contenidor.
El preu unitari global de la partida inclou el % de despeses indirectes considerat al pressupost.</t>
  </si>
  <si>
    <t>P8RN-2.B6</t>
  </si>
  <si>
    <t>Actuació tipus A2.B1.06 de l'àmbit 2 de façana carrer Joan Roig, en buits i emmarcaments de maó massís, segons indicacions de documentació gràfica, incloent mà d'obra i materials:
Reintegració volumètrica mitjançant morter tixotròpic.  Inclou texturització del morter i tractament cromàtic de la zona reconstruïda amb pintures amb veladures i/o tenyit reintegrador superficial per igualar el color al revestiment existent. Inclou mostres prèvies.
El preu unitari global de la partida inclou el % de despeses indirectes considerat al pressupost.</t>
  </si>
  <si>
    <t>P8RN-2.B7</t>
  </si>
  <si>
    <t>Actuació tipus A2.B1.07 de l'àmbit 2 de façana carrer Joan Roig, en buits i emmarcaments de maó massís, segons indicacions de documentació gràfica, incloent mà d'obra i materials:
Morter de juntes de nova execució, amb morter de calç hidraúlic NHL3,5 (1:3), seguint la geometria i proporció dels originals conservats.
El preu unitari global de la partida inclou el % de despeses indirectes considerat al pressupost.</t>
  </si>
  <si>
    <t>P8RN-2.B8</t>
  </si>
  <si>
    <t>Actuació tipus A2.B1.08 de l'àmbit 2 de façana carrer Joan Roig, en buits i emmarcaments de maó massís, segons indicacions de documentació gràfica, incloent mà d'obra i materials:
Formació de pendents a pla a pla horitzontal amb morter de calç de 3 cm de gruix mitjà per evitar l’estancament de les aigües a la part superior de l’element, acabat ´´repretat´´ i lliscat.
El preu unitari global de la partida inclou el % de despeses indirectes considerat al pressupost.</t>
  </si>
  <si>
    <t>P8RN-2.B9</t>
  </si>
  <si>
    <t>Actuació tipus A2.B1.09 de l'àmbit 2 de façana carrer Joan Roig, en buits i emmarcaments de maó massís, segons indicacions de documentació gràfica, incloent mà d'obra i materials:
Aplicació de producte hidrofugant, sense efecte pel·lícula.
El preu unitari global de la partida inclou el % de despeses indirectes considerat al pressupost.</t>
  </si>
  <si>
    <t>P8RN-2.M1</t>
  </si>
  <si>
    <t>Actuació tipus A2.M1.01 de l'àmbit 2 de façana carrer Joan Roig, en elements metàl·lics, segons indicacions de documentació gràfica, incloent mà d'obra i materials:
Decapat de pintures i òxids existents sobre REIXA, forja o fosa, amb decapant químic i pistola d'aire calent, inclòs el desgreixat i neteja amb alcohol.
Intervenció en reixes tipus R01 de 98x274 cm, R02 de 98x274 cm, R03 de 100x83 cm, R04 de 54x92 cm i R05 de 91x124 cm.
El preu unitari global de la partida inclou el % de despeses indirectes considerat al pressupost.</t>
  </si>
  <si>
    <t>P8RN-2.M2</t>
  </si>
  <si>
    <t>Actuació tipus A2.M1.02 de l'àmbit 2 de façana carrer Joan Roig, en elements metàl·lics, segons indicacions de documentació gràfica, incloent mà d'obra i materials:
Envernissat de reixa d'acer de barrots, amb vernís antioxidant incolor tipus gras, de baixa viscositat, basat en resines tipus alquídiques i olis vegetals en base dissolvent, amb una capa de base i dues capes d'acabat, amb la superfície mat. Prèvia aplicació de producte inhibidor d'òxid.
Intervenció en reixes tipus R01 de 98x274 cm, R02 de 98x274 cm, R03 de 100x83 cm, R04 de 54x92 cm i R05 de 91x124 cm.
El preu unitari global de la partida inclou el % de despeses indirectes considerat al pressupost.</t>
  </si>
  <si>
    <t>P8RN-2.M3</t>
  </si>
  <si>
    <t>Actuació tipus A2.M1.03 de l'àmbit 2 de façana carrer Joan Roig, en elements metàl·lics, segons indicacions de documentació gràfica, incloent mà d'obra i materials:
Reparació puntual d'ancoratge metàl·lic de reixa a parament, amb retallats, raspallats i passivats amb 2 capes d'imprimació anticorrosiva i pont d'unió, amb morters de restauració entonats amb el color del revestiment.
Intervenció en reixes tipus R01 de 98x274 cm, R02 de 98x274 cm, R03 de 100x83 cm, R04 de 54x92 cm i R05 de 91x124 cm.
El preu unitari global de la partida inclou el % de despeses indirectes considerat al pressupost.</t>
  </si>
  <si>
    <t>P8RN-2.M4</t>
  </si>
  <si>
    <t>Actuació tipus A2.M1.04 de l'àmbit 2 de façana carrer Joan Roig, en elements metàl·lics, segons indicacions de documentació gràfica, incloent mà d'obra i materials:
Rèplica de la reixa metàl·lica original tipus R02, reproduïda a partir de la reixa existent tipus R01 de dimensions totals 98x274 cm. Inclou muntatge.
El preu unitari global de la partida inclou el % de despeses indirectes considerat al pressupost.</t>
  </si>
  <si>
    <t>P8RN-M.P1</t>
  </si>
  <si>
    <t>Actuació tipus A2.P2.01 de l'àmbit 2 de façana carrer Joan Roig, en façana caseta del mig, segons indicacions de documentació gràfica, incloent mà d'obra i materials:
Retirada de cables i elements d'instal·lacions en desús, claus, tacs i 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</si>
  <si>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P8RN-M.P2</t>
  </si>
  <si>
    <t>Actuació tipus A2.P2.02 de l'àmbit 2 de façana carrer Joan Roig, en façana caseta del mig, segons indicacions de documentació gràfica, incloent mà d'obra i materials:
Neteja en sec sobre parament de pols, restes orgàniques, microorganismes, fongs i algues, amb preparat concentrat líquid de substàncies actives per a emprar, prèvia dilució, en la preservació i la reparació d'atacs micro-biològics en superfícies de revestiment, aplicat amb pincell o equip polvoritzador de motxilla i neteja amb mitjans manuals.
El preu unitari global de la partida inclou el % de despeses indirectes considerat al pressupost.</t>
  </si>
  <si>
    <t>P8RN-M.P3</t>
  </si>
  <si>
    <t>Actuació tipus A2.P2.03 de l'àmbit 2 de façana carrer Joan Roig, en façana caseta del mig, segons indicacions de documentació gràfica, incloent mà d'obra i materials:
Consolidació d'esquerdes i fissures en parament amb injecció de morter amb base de calç natural, exempt de sals eflorescents, sanejat i obertura de la discontinuïtat, obertura del recorregut de l'esquerda, infiltració de consolidant superficial a base de nanocalç, concretament hidroxid de calci nanofàsic  en el substrat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</si>
  <si>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P8RN-M.P4</t>
  </si>
  <si>
    <t>Actuació tipus A2.P2.04 de l'àmbit 2 de façana carrer Joan Roig, en façana caseta del mig,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</si>
  <si>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P8RN-C.01</t>
  </si>
  <si>
    <t>Actuació tipus A2.C2.01 de l'àmbit 2 de façana carrer Joan Roig, en cornisa de façana caseta del mig, segons indicacions de documentació gràfica, incloent mà d'obra i materials:
Neteja en sec de pols, restes orgàniques i biodipòsits-detritus amb mitjans manuals no agressius i instruments desincrustants.
El preu unitari global de la partida inclou el % de despeses indirectes considerat al pressupost.</t>
  </si>
  <si>
    <t>P8RN-C.02</t>
  </si>
  <si>
    <t>Actuació tipus A2.C2.02 de l'àmbit 2 de façana carrer Joan Roig, en cornisa de façana caseta del mig, segons indicacions de documentació gràfica, incloent mà d'obra i materials:
Extracció de concrecions de sals insolubles en element singular de pedra treballada, mecànicament amb bisturí i micromartellines, amb grau de dificultat mitjà i amb la intervenció del conservador- restaurador responsable de la intervenció.
El preu unitari global de la partida inclou el % de despeses indirectes considerat al pressupost.</t>
  </si>
  <si>
    <t>P8RN-C.03</t>
  </si>
  <si>
    <t>Actuació tipus A2.C2.03 de l'àmbit 2 de façana carrer Joan Roig, en cornisa de façana caseta del mig, segons indicacions de documentació gràfica, incloent mà d'obra i materials:
Reparació de cornisa ceràmica, substitució de peces trencades i soltes, repàs de junts.
El preu unitari global de la partida inclou el % de despeses indirectes considerat al pressupost.</t>
  </si>
  <si>
    <t>P8RN-C.04</t>
  </si>
  <si>
    <t>Actuació tipus A2.C2.04 de l'àmbit 2 de façana carrer Joan Roig, en cornisa de façana caseta del mig, segons indicacions de documentació gràfica, incloent mà d'obra i materials:
Repicat de morters afegits a la tortugada existent, reparació puntual de peces deteriorades (65%) que conformen la canalera i neteja en sec amb mitjans manuals.
El preu unitari global de la partida inclou el % de despeses indirectes considerat al pressupost.</t>
  </si>
  <si>
    <t>P8RN-C.05</t>
  </si>
  <si>
    <t>Actuació tipus A2.C2.05 de l'àmbit 2 de façana carrer Joan Roig, en cornisa de façana caseta del mig,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</si>
  <si>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P8RN-P.01</t>
  </si>
  <si>
    <t>Actuació tipus A2.P3.01 de l'àmbit 2 de façana carrer Joan Roig, en façana caseta de dalt, segons indicacions de documentació gràfica, incloent mà d'obra i materials:
Retirada de cables i elements d'instal·lacions en desús, claus, tacs i 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</si>
  <si>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P8RN-P.02</t>
  </si>
  <si>
    <t>Actuació tipus A2.P3.02 de l'àmbit 2 de façana carrer Joan Roig, en façana caseta de dalt, segons indicacions de documentació gràfica, incloent mà d'obra i materials:
Neteja en sec sobre parament de pols, restes orgàniques, microorganismes, fongs i algues, amb preparat concentrat líquid de substàncies actives per a emprar, prèvia dilució, en la preservació i la reparació d'atacs micro-biològics en superfícies de revestiment, aplicat amb pincell o equip polvoritzador de motxilla i neteja amb mitjans manuals.
El preu unitari global de la partida inclou el % de despeses indirectes considerat al pressupost.</t>
  </si>
  <si>
    <t>P8RN-P.03</t>
  </si>
  <si>
    <t>Actuació tipus A2.P3.03 de l'àmbit 2 de façana carrer Joan Roig, en façana caseta de dalt, segons indicacions de documentació gràfica, incloent mà d'obra i materials:
Consolidació d'esquerdes i fissures en parament amb injecció de morter amb base de calç natural, exempt de sals eflorescents, sanejat i obertura de la discontinuïtat, obertura del recorregut de l'esquerda, infiltració de consolidant superficial a base de nanocalç, concretament hidroxid de calci nanofàsic  en el substrat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</si>
  <si>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P8RN-P.04</t>
  </si>
  <si>
    <t>Actuació tipus A2.P3.04 de l'àmbit 2 de façana carrer Joan Roig, en façana caseta de dalt,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</si>
  <si>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P8RN-D.01</t>
  </si>
  <si>
    <t>Actuació tipus A2.C3.01 de l'àmbit 2 de façana carrer Joan Roig, en cornisa de façana caseta de dalt, segons indicacions de documentació gràfica, incloent mà d'obra i materials:
Neteja en sec de pols, restes orgàniques i biodipòsits-detritus amb mitjans manuals no agressius i instruments desincrustants.
El preu unitari global de la partida inclou el % de despeses indirectes considerat al pressupost.</t>
  </si>
  <si>
    <t>P8RN-D.02</t>
  </si>
  <si>
    <t>Actuació tipus A2.C3.02 de l'àmbit 2 de façana carrer Joan Roig, en cornisa de façana caseta de dalt, segons indicacions de documentació gràfica, incloent mà d'obra i materials:
Extracció de concrecions de sals insolubles en element singular de pedra treballada, mecànicament amb bisturí i micromartellines, amb grau de dificultat mitjà i amb la intervenció del conservador- restaurador responsable de la intervenció.
El preu unitari global de la partida inclou el % de despeses indirectes considerat al pressupost.</t>
  </si>
  <si>
    <t>P8RN-D.03</t>
  </si>
  <si>
    <t>Actuació tipus A2.C3.03 de l'àmbit 2 de façana carrer Joan Roig, en cornisa de façana caseta de dalt, segons indicacions de documentació gràfica, incloent mà d'obra i materials:
Reparació de cornisa ceràmica, substitució de peces trencades i soltes, repàs de junts.
El preu unitari global de la partida inclou el % de despeses indirectes considerat al pressupost.</t>
  </si>
  <si>
    <t>P8RN-D.04</t>
  </si>
  <si>
    <t>Actuació tipus A2.C3.04 de l'àmbit 2 de façana carrer Joan Roig, en cornisa de façana caseta de dalt, segons indicacions de documentació gràfica, incloent mà d'obra i materials:
Repicat de morters afegits a la tortugada existent, reparació puntual de peces deteriorades (65%) que conformen la canalera i neteja en sec amb mitjans manuals.
El preu unitari global de la partida inclou el % de despeses indirectes considerat al pressupost.</t>
  </si>
  <si>
    <t>P8RN-D.05</t>
  </si>
  <si>
    <t>Actuació tipus A2.C3.05 de l'àmbit 2 de façana carrer Joan Roig, en cornisa de façana caseta de dalt,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</si>
  <si>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ÀMBIT 3 FAÇANA CARRER SANTA ANNA</t>
  </si>
  <si>
    <t>01.03.02.03</t>
  </si>
  <si>
    <t>P8RN-3.P1</t>
  </si>
  <si>
    <t>Actuació tipus A3.P.01 de l'àmbit 3 de façana carrer Santa Anna, en paraments, segons indicacions de documentació gràfica, incloent mà d'obra i materials:
Retirada de cables i elements d'instal·lacions en desús, claus, tacs i 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</si>
  <si>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P8RN-3.P2</t>
  </si>
  <si>
    <t>Actuació tipus A3.P.02 de l'àmbit 3 de façana carrer Santa Anna, en paraments, segons indicacions de documentació gràfica, incloent mà d'obra i materials:
Repicat de revestiment existent en mal estat i reparacions anteriors amb materials inadequats, amb mitjans manuals i càrrega manual de runa sobre camió o contenidor. S'ha contabilitzat 100%.
El preu unitari global de la partida inclou el % de despeses indirectes considerat al pressupost.</t>
  </si>
  <si>
    <t>P8RN-3.P3</t>
  </si>
  <si>
    <t>Actuació tipus A3.P.03 de l'àmbit 3 de façana carrer Santa Anna, en paraments, segons indicacions de documentació gràfica, incloent mà d'obra i materials:
Consolidació d'esquerda en parament amb injecció de morter amb base de calç natural, exempt de sals eflorescents, sanejat i obertura de la discontinuïtat, obertura del recorregut de l'esquerda, iinfiltració de consolidant superficial a base de nanocalç, concretament hidroxid de calci nanofàsic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</si>
  <si>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P8RN-3.P4</t>
  </si>
  <si>
    <t>Actuació tipus A3.P.04 de l'àmbit 3 de façana carrer Santa Anna, en paraments, segons indicacions de documentació gràfica, incloent mà d'obra i materials:
Arrebossat reglejat sobre parament vertical, a 2,00 m d'alçària, com a màxim, amb morter per arrebossats transpirables, resistent a les sals, a base de calç i ECO-PUZZOLANA, per aplicar com a primera capa. S'ha comptabilitzat 50% localitzat a la part inferior. (tipus MAPEI ANTIQUE RINZAFFO o equivalent).
El preu unitari global de la partida inclou el % de despeses indirectes considerat al pressupost.</t>
  </si>
  <si>
    <t>P8RN-3.P5</t>
  </si>
  <si>
    <t>Actuació tipus A3.P.05 de l'àmbit 3 de façana carrer Santa Anna, en paraments, segons indicacions de documentació gràfica, incloent mà d'obra i materials:
Arrebossat reglejat sobre parament vertical amb morter de calç hidraúlica 1:4, elaborat a l'obra remolinat. S'ha comptabilitzat 50% localitzat a la part superior.
El preu unitari global de la partida inclou el % de despeses indirectes considerat al pressupost.</t>
  </si>
  <si>
    <t>P8RN-3.P6</t>
  </si>
  <si>
    <t>Actuació tipus A3.P.06 de l'àmbit 3 de façana carrer Santa Anna, en paraments, segons indicacions de documentació gràfica, incloent mà d'obra i materials:
Estucat amb 2ª capa amb morter de calç grassa apagada i sorra fina de dosificació 1:3, de 5 mm de gruix i 3ª capa d'emblanquinat amb pasta de calç grassa i pols de marbre d'1 mm de gruix amb acabat fi (reapretat). 100%
El preu unitari global de la partida inclou el % de despeses indirectes considerat al pressupost.</t>
  </si>
  <si>
    <t>P8RN-3.P7</t>
  </si>
  <si>
    <t>Actuació tipus A3.P.07 de l'àmbit 3 de façana carrer Santa Anna, en paraments, segons indicacions de documentació gràfica, incloent mà d'obra i materials:
Veladura de parament vertical, amb pintura mineral i aigua de calç, aplicada a dues capes amb brotxa.
El preu unitari global de la partida inclou el % de despeses indirectes considerat al pressupost.</t>
  </si>
  <si>
    <t>P8RN-3.C1</t>
  </si>
  <si>
    <t>Actuació tipus A3.C.01 de l'àmbit 3 de façana carrer Santa Anna, en cornisa, segons indicacions de documentació gràfica, incloent mà d'obra i materials:
Repicat de morters en mal estat existent, reparació puntual de peces deteriorades (65% de pèrdua), reconstrucció volumètrica de peces amb morters tixotròpics.
El preu unitari global de la partida inclou el % de despeses indirectes considerat al pressupost.</t>
  </si>
  <si>
    <t>P8RN-3.C2</t>
  </si>
  <si>
    <t>Actuació tipus A3.C.02 de l'àmbit 3 de façana carrer Santa Anna, en cornisa, segons indicacions de documentació gràfica, incloent mà d'obra i materials:
Aplicació estuc similar façana.
El preu unitari global de la partida inclou el % de despeses indirectes considerat al pressupost.</t>
  </si>
  <si>
    <t>P8RN-3.C3</t>
  </si>
  <si>
    <t>Actuació tipus A3.C.03 de l'àmbit 3 de façana carrer Santa Anna, en cornisa,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</si>
  <si>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ÀMBIT 4 FAÇANA CARRER SANTA ANNA INTERIOR</t>
  </si>
  <si>
    <t>01.03.02.04</t>
  </si>
  <si>
    <t>P8RN-4.P1</t>
  </si>
  <si>
    <t>Actuació tipus A4.P.01 de l'àmbit 4 de façana carrer Santa Anna interior, en parament amb revestiment de calç, segons indicacions de documentació gràfica, incloent mà d'obra i materials:
Retirada d'escala existent, amb mitjans manuals i càrrega manual de runa sobre camió o contenidor.
El preu unitari global de la partida inclou el % de despeses indirectes considerat al pressupost.</t>
  </si>
  <si>
    <t>P8RN-4.P2</t>
  </si>
  <si>
    <t>Actuació tipus A4.P.02 de l'àmbit 4 de façana carrer Santa Anna interior, en parament amb revestiment de calç, segons indicacions de documentació gràfica, incloent mà d'obra i materials:
Repicat de revestiment existent en mal estat i reparacions anteriors amb materials inadequats, amb mitjans manuals i càrrega manual de runa sobre camió o contenidor. S'ha contabilitzat 100%.Inclou coronament.
El preu unitari global de la partida inclou el % de despeses indirectes considerat al pressupost.</t>
  </si>
  <si>
    <t>P8RN-4.P3</t>
  </si>
  <si>
    <t>Actuació tipus A4.P.03 de l'àmbit 4 de façana carrer Santa Anna interior, en parament amb revestiment de calç, segons indicacions de documentació gràfica, incloent mà d'obra i materials:
Arrebossat reglejat sobre parament vertical, a 2,00 m d'alçària, com a màxim, amb morter per arrebossats transpirables, resistent a les sals, a base de calç i ECO-PUZZOLANA, per aplicar com a primera capa. S'ha comptabilitzat 25% localitzat a la part inferior. (tipus MAPEI ANTIQUE RINZAFFO o equivalent).
El preu unitari global de la partida inclou el % de despeses indirectes considerat al pressupost.</t>
  </si>
  <si>
    <t>P8RN-4.P4</t>
  </si>
  <si>
    <t>Actuació tipus A4.P.04 de l'àmbit 4 de façana carrer Santa Anna interior, en parament amb revestiment de calç, segons indicacions de documentació gràfica, incloent mà d'obra i materials:
Arrebossat reglejat sobre parament vertical, a 2,00 m d'alçària, com a màxim, amb morter de calç hidraúlica 1:4, elaborat a l'obra remolinat. S'inclou el coronament.
El preu unitari global de la partida inclou el % de despeses indirectes considerat al pressupost.</t>
  </si>
  <si>
    <t>P8RN-4.P5</t>
  </si>
  <si>
    <t>Actuació tipus A4.P.05 de l'àmbit 4 de façana carrer Santa Anna interior, en parament amb revestiment de calç, segons indicacions de documentació gràfica, incloent mà d'obra i materials:
Estucat amb 2ª capa amb morter de calç grassa apagada i sorra fina de dosificació 1:3, de 5 mm de gruix i 3ª capa d'emblanquinat amb pasta de calç grassa i pols de marbre d'1 mm de gruix amb acabat fi (reapretat). Inclou coronament.
El preu unitari global de la partida inclou el % de despeses indirectes considerat al pressupost.</t>
  </si>
  <si>
    <t>ÀMBIT 5 FAÇANA CASETA DE DALT</t>
  </si>
  <si>
    <t>01.03.02.05</t>
  </si>
  <si>
    <t>P8RN-5.P1</t>
  </si>
  <si>
    <t>Actuació tipus A5.P.01 de l'àmbit 5 de façana caseta de dalt, en parament (inclou lateral interior), segons indicacions de documentació gràfica, incloent mà d'obra i materials:
Retirada de cables i elements d'instal·lacions en desús, claus, tacs i restes d'elements metàl·lics clavats al parament, desconnexió de les xarxes de subministrament i/o d'evacuació, amb mitjans manuals i càrrega manual de runa sobre camió o contenidor.
El preu unitari global de la partida inclou el % de despeses indirectes considerat al pressupost.</t>
  </si>
  <si>
    <t>P8RN-5.P2</t>
  </si>
  <si>
    <t>Actuació tipus A5.P.02 de l'àmbit 5 de façana caseta de dalt, en parament (inclou lateral interior), segons indicacions de documentació gràfica, incloent mà d'obra i materials:
Desmuntatge elements no originals: volum dipòsit d'aigua; àmpit i ràfec finestra.
El preu unitari global de la partida inclou el % de despeses indirectes considerat al pressupost.</t>
  </si>
  <si>
    <t>P8RN-5.P3</t>
  </si>
  <si>
    <t>Actuació tipus A5.P.03 de l'àmbit 5 de façana caseta de dalt, en parament (inclou lateral interior), segons indicacions de documentació gràfica, incloent mà d'obra i materials:
Neteja en sec sobre parament de pols, restes orgàniques, microorganismes, fongs i algues, amb preparat concentrat líquid de substàncies actives per a emprar, prèvia dilució, en la preservació i la reparació d'atacs micro-biològics en superfícies de revestiment, aplicat amb pincell o equip polvoritzador de motxilla i neteja amb mitjans manuals.
El preu unitari global de la partida inclou el % de despeses indirectes considerat al pressupost.</t>
  </si>
  <si>
    <t>P8RN-5.P4</t>
  </si>
  <si>
    <t>Actuació tipus A5.P.04 de l'àmbit 5 de façana caseta de dalt, en parament (inclou lateral interior), segons indicacions de documentació gràfica, incloent mà d'obra i materials:
Consolidació d'esquerda en parament amb injecció de morter amb base de calç natural, exempt de sals eflorescents, sanejat i obertura de la discontinuïtat, obertura del recorregut de l'esquerda, infiltració de consolidant superficial a base de nanocalç, concretament hidroxid de calci nanofàsic de la fissura en les zones on aquest presenti disgregació, reintegració de l'esquerda injectant morter amb base de calç natural, exempt de sals eflorescents, i acabat amb morter estuc.
El preu unitari global de la partida inclou el % de despeses indirectes considerat al pressupost.</t>
  </si>
  <si>
    <t>P8RN-5.P5</t>
  </si>
  <si>
    <t>Actuació tipus A5.P.05 de l'àmbit 5 de façana caseta de dalt, en parament (inclou lateral interior), segons indicacions de documentació gràfica, incloent mà d'obra i materials:
Repicat puntual de revestiment existent en mal estat i reparacions anteriors amb materials inadequats, amb mitjans manuals i càrrega manual de runa sobre camió o contenidor.
El preu unitari global de la partida inclou el % de despeses indirectes considerat al pressupost.</t>
  </si>
  <si>
    <t>P8RN-5.P6</t>
  </si>
  <si>
    <t>Actuació tipus A5.P.06 de l'àmbit 5 de façana caseta de dalt, en parament (inclou lateral interior), segons indicacions de documentació gràfica, incloent mà d'obra i materials:
Arrebossat reglejat sobre parament vertical, a 2,00 m d'alçària, com a màxim, amb morter per arrebossats transpirables, resistent a les sals, a base de calç i ECO-PUZZOLANA, per aplicar com a primera capa. S'ha comptabilitzat 25% localitzat a la part inferior. (tipus MAPEI ANTIQUE RINZAFFO o equivalent).
El preu unitari global de la partida inclou el % de despeses indirectes considerat al pressupost.</t>
  </si>
  <si>
    <t>P8RN-5.P7</t>
  </si>
  <si>
    <t>Actuació tipus A5.P.07 de l'àmbit 5 de façana caseta de dalt, en parament (inclou lateral interior), segons indicacions de documentació gràfica, incloent mà d'obra i materials:
Arrebossat reglejat sobre parament vertical amb morter de calç 1:4, elaborat a l'obra remolinat.
El preu unitari global de la partida inclou el % de despeses indirectes considerat al pressupost.</t>
  </si>
  <si>
    <t>P8RN-5.P8</t>
  </si>
  <si>
    <t>Actuació tipus A5.P.08 de l'àmbit 5 de façana caseta de dalt, en parament (inclou lateral interior), segons indicacions de documentació gràfica, incloent mà d'obra i materials:
Estucat amb 2ª capa amb morter de calç grassa apagada i sorra fina de dosificació 1:3, de 5 mm de gruix i 3ª capa d'emblanquinat amb pasta de calç grassa i pols de marbre d'1 mm de gruix amb acabat fi (reapretat).
El preu unitari global de la partida inclou el % de despeses indirectes considerat al pressupost.</t>
  </si>
  <si>
    <t>P8RN-5.P9</t>
  </si>
  <si>
    <t>Actuació tipus A5.P.09 de l'àmbit 5 de façana caseta de dalt, en parament (inclou lateral interior), segons indicacions de documentació gràfica, incloent mà d'obra i materials:
Restes de decoració pictòrica: Neteja en sec suau; consolidació i fixació; reintegració cromàtica  arqueològica.
El preu unitari global de la partida inclou el % de despeses indirectes considerat al pressupost.</t>
  </si>
  <si>
    <t>P8RN-T.C1</t>
  </si>
  <si>
    <t>Actuació tipus A5.C.01 de l'àmbit 5 de façana caseta de dalt, en cornisa, segons indicacions de documentació gràfica, incloent mà d'obra i materials:
Neteja en sec sobre parament vertical, de pols, restes orgàniques i biodipòsits-detritus amb mitjans manuals no agressius i instruments desincrustants.
El preu unitari global de la partida inclou el % de despeses indirectes considerat al pressupost.</t>
  </si>
  <si>
    <t>P8RN-T.C2</t>
  </si>
  <si>
    <t>Actuació tipus A5.C.02 de l'àmbit 5 de façana caseta de dalt, en cornisa, segons indicacions de documentació gràfica, incloent mà d'obra i materials:
Reparació de cornisa ceràmica, substitució de peces trencades i soltes, repàs de junts.
El preu unitari global de la partida inclou el % de despeses indirectes considerat al pressupost.</t>
  </si>
  <si>
    <t>P8RN-T.C3</t>
  </si>
  <si>
    <t>Actuació tipus A5.C.03 de l'àmbit 5 de façana caseta de dalt, en cornisa, segons indicacions de documentació gràfica, incloent mà d'obra i materials:
Repicat de morters afegits a la tortugada existent, reparació puntual de peces deteriorades (65% de pèrdua) que conformen la canalera i neteja en sec amb mitjans manuals.
El preu unitari global de la partida inclou el % de despeses indirectes considerat al pressupost.</t>
  </si>
  <si>
    <t>P8RN-T.C4</t>
  </si>
  <si>
    <t>Actuació tipus A5.C.04 de l'àmbit 5 de façana caseta de dalt, en cornisa,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</si>
  <si>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P8RN-T.C5</t>
  </si>
  <si>
    <t>Actuació tipus A5.C.05 de l'àmbit 5 de façana caseta de dalt, en cornisa lateral interior, segons indicacions de documentació gràfica, incloent mà d'obra i materials:
Repicat de morters en mal estat existent, reparació puntual de peces deteriorades (65% de pèrdua), reconstrucció volumètrica de peces amb morters tixotròpics.
El preu unitari global de la partida inclou el % de despeses indirectes considerat al pressupost.</t>
  </si>
  <si>
    <t>P8RN-T.C6</t>
  </si>
  <si>
    <t>Actuació tipus A5.C.06 de l'àmbit 5 de façana caseta de dalt, en cornisa lateral interior, segons indicacions de documentació gràfica, incloent mà d'obra i materials:
Aplicació estuc similar façana.
El preu unitari global de la partida inclou el % de despeses indirectes considerat al pressupost.</t>
  </si>
  <si>
    <t>P8RN-T.C7</t>
  </si>
  <si>
    <t>Actuació tipus A5.C.07 de l'àmbit 5 de façana caseta de dalt, en cornisa lateral interior, segons indicacions de documentació gràfica, incloent mà d'obra i materials:
Veladura i/o tenyit reintegrador superficial de parament vertical, amb pintura mineral al silicat, aplicada a dues capes amb brotxa.
El preu unitari global de la partida inclou el % de despeses indirectes considerat al pressupost.</t>
  </si>
  <si>
    <t>06</t>
  </si>
  <si>
    <t>ÀMBIT 6 FAÇANA PATI INTERIOR</t>
  </si>
  <si>
    <t>01.03.02.06</t>
  </si>
  <si>
    <t>P8RN-6.P1</t>
  </si>
  <si>
    <t>Actuació tipus A6.P.01 de l'àmbit 6 de façana pati interior, en mur de maçoneria de pedra i calç, segons indicacions de documentació gràfica, incloent mà d'obra i materials:
Eliminació manual de vegetació existent i aplicació producte específic herbicida, tipus Roundup Ultra Plus diluït (100–150 ml por litre) aplicat amb equip polvoritzador de motxilla i neteja amb mitjans manuals.
El preu unitari global de la partida inclou el % de despeses indirectes considerat al pressupost.</t>
  </si>
  <si>
    <t>P8RN-6.P2</t>
  </si>
  <si>
    <t>Actuació tipus A6.P.02 de l'àmbit 6 de façana pati interior, en mur de maçoneria de pedra i calç, segons indicacions de documentació gràfica, incloent mà d'obra i materials:
Repicat de morters inadequats i i fragments de pedra o morter que es pugui despendre amb les eines apropiades d'acord amb les dimensions i ubicació del fragment (petites escarpes, bisturí, espàtules, etc.). Sanejat i buidat de junts disgregades i amb contingut de ciment amb mitjans manuals i vibroincisor, fins arribar al substrat estable a una profunditat mínima de 2 cm.
El preu unitari global de la partida inclou el % de despeses indirectes considerat al pressupost.</t>
  </si>
  <si>
    <t>P8RN-6.P3</t>
  </si>
  <si>
    <t>Actuació tipus A6.P.03 de l'àmbit 6 de façana pati interior, en mur de maçoneria de pedra i calç, segons indicacions de documentació gràfica, incloent mà d'obra i materials:
Retirada manual d’elements metàl·lics inserits a les pedres, que han provocat tensions i trencaments als carreus del voltant. Extracció per mitjans manuals i sanejament i reparació de la pedra confrontant. En cas de trobar elements de ferro que no puguin ser eliminats, es procedirà a la seva neteja, passivació i protecció per assegurar-ne l'estabilitat.
El preu unitari global de la partida inclou el % de despeses indirectes considerat al pressupost.</t>
  </si>
  <si>
    <t>P8RN-6.P4</t>
  </si>
  <si>
    <t>Actuació tipus A6.P.04 de l'àmbit 6 de façana pati interior, en mur de maçoneria de pedra i calç, segons indicacions de documentació gràfica, incloent mà d'obra i materials:
Neteja en sec sobre parament vertical, de pols, restes orgàniques i biodipòsits-detritus amb mitjans manuals no agressius i instruments desincrustants.
El preu unitari global de la partida inclou el % de despeses indirectes considerat al pressupost.</t>
  </si>
  <si>
    <t>P8RN-6.P5</t>
  </si>
  <si>
    <t>Actuació tipus A6.P.05 de l'àmbit 6 de façana pati interior, en mur de maçoneria de pedra i calç, segons indicacions de documentació gràfica, incloent mà d'obra i materials:
Consolidació del mur de maçoneria amb material reutitilitzat i morter (1:4) de calç hidràulica NHL 3,5 i sorra de riu rentada amb acabat rascat. Prèvia neteja de la junta i desgreixat de la superfície, aplicant una barreja d'alcohol etílic i aigua desmineralitzada.
El preu unitari global de la partida inclou el % de despeses indirectes considerat al pressupost.</t>
  </si>
  <si>
    <t>P8RN-6.P6</t>
  </si>
  <si>
    <t>Actuació tipus A6.P.06 de l'àmbit 6 de façana pati interior, en mur de maçoneria de pedra i calç, segons indicacions de documentació gràfica, incloent mà d'obra i materials:
Rejuntat gruixut amb morter mixt (1:3), amb calç hidràulica NHL 3,5 i calç aèria pigmentada en massa, i sorra de riu rentada de granulometria apropiada per a l'amplada de la junta, seleccionant àrids apropiats per evitar la necessitat d'utilitzar pigments per a la integració cromàtica. Prèvia neteja de la junta de pols. Inclou proves prèvies de mostres de morters i acabats.
El preu unitari global de la partida inclou el % de despeses indirectes considerat al pressupost.</t>
  </si>
  <si>
    <t>07</t>
  </si>
  <si>
    <t>VARIS RESTAURACIÓ FAÇANES</t>
  </si>
  <si>
    <t>01.03.02.07</t>
  </si>
  <si>
    <t>P8RN-.EPG</t>
  </si>
  <si>
    <t>Elaboració i entrega de documentació dels treballs de restauració de les façanes incloent ortofotos i registre fotogràfic inicial, durant i final d'actuació.</t>
  </si>
  <si>
    <t>P8RN-.EPY</t>
  </si>
  <si>
    <t>Elaboració i entrega d'informe tècnic dels treballs de restauració de les façanes realitzat per àmbit d'actuació.</t>
  </si>
  <si>
    <t>P127-.KJO</t>
  </si>
  <si>
    <t>Muntatge i desmuntatge de bastida tubular metàl·lica fixa, formada per bastiments de 70 cm i alçària &lt;= 200 cm, amb bases regulables, tubs travessers, tubs de travament, plataformes de treball d'amplària 70 cm, mènsula a nivell coberta de 70 cm, escales d'accés, baranes laterals, sòcols i xarxa de protecció de poliamida, col·locada a tota la cara exterior i amarradors cada 20 m2 de façana, inclosos tots els elements de senyalització normalitzats i el transport amb un recorregut total màxim de 20 km.</t>
  </si>
  <si>
    <t>P121-.KJZ</t>
  </si>
  <si>
    <t>Amortització diària de bastida tubular metàl·lica fixa, formada per bastiments de 70 cm d'amplària i alçària &lt;= 200 cm, amb bases regulables, tubs travessers, tubs de travament, plataformes de treball d'amplària 70 cm, mènsula a nivell coberta de 70 cm, escales d'accés, baranes laterals, sòcols i xarxa de protecció de poliamida col·locada a tota la cara exterior i amarradors cada 20 m2 de façana, inclosos tots els elements de senyalització normalitzats.</t>
  </si>
  <si>
    <t>COBERTES</t>
  </si>
  <si>
    <t>01.03.03</t>
  </si>
  <si>
    <t>PAB0-.CL4</t>
  </si>
  <si>
    <t>Lluernari de dimensions 108x536 cm amb perfils TPT de Jansen serie Viss 50 o equivalent d'acer galvanitzat, format per dos elements fixes.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elements de fixació a estructura de fusta, col·locat amb pendent del 21,7%
- Fusteria totalment col·locada sense incloure el vidre, tot segons especificacions de plànols.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</si>
  <si>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PC1D-.F71</t>
  </si>
  <si>
    <t>Vidre fotovoltaic de silici amorf (6+3.2+6) amb grau de transparència del 20%, amb una potència màxima de 34 W/m², amb vidre exterior trempat de 6 mm, capa adhesiva transparent de PVB de 0,76 mm de gruix, vidre intermig Float de 3,2 mm de gruix, cèl·lules de capa fina de silici amorf, capa adhesiva transparent de PVB de 0,76 mm de gruix i vidre interior trempat de 6 mm de gruix, amb caixa de connexions elèctriques monopolar i accessoris, totalment col·locat amb llistó de vidre sobre perfileria d'acer. Tot segons especificacions i detall plànols.</t>
  </si>
  <si>
    <t>P52D-1.E6K</t>
  </si>
  <si>
    <t>Cribatge, sanejat i protecció de les llates de fusta abans de la seva col·locació.</t>
  </si>
  <si>
    <t>P5Z24-.HKH</t>
  </si>
  <si>
    <t>Subministrament i col·locació de noves llates de fusta en cas de no disposar de material suficient (mateix material i format que existent).</t>
  </si>
  <si>
    <t>P5Z25-.0WA</t>
  </si>
  <si>
    <t>Subministre i col·locació de solera de rajola ceràmica del mateix material i format que existent.</t>
  </si>
  <si>
    <t>P7C50-.NUP</t>
  </si>
  <si>
    <t>Aïllament amb doble placa de suro aglomerat (ICB) per un gruix total de 120 mm, plaques amb cantell recte col·locades a trencajunts, amb doble placa de 60 mm de gruix, conductivitat tèrmica 0,037 W/(m·K), resistència tèrmica 1,62 m2·K/W, densitat 110 kg/m3, col·locat amb fixacions mecàniques.</t>
  </si>
  <si>
    <t>P5Z23-.W7F</t>
  </si>
  <si>
    <t>Solera Tauler de partícules de fusta aglomerades amb resina sintètica, de 19 mm de gruix, per a ambient humit tipus P3 segons UNE-EN 309, reacció al foc D-s2,d0, acabat no revestit, tallat a mida, col·locat amb fixacions mecàniques</t>
  </si>
  <si>
    <t>P776-.DQT</t>
  </si>
  <si>
    <t>Làmina impermeable i transpirable al vapor d'aigua de tres capes de polipropilè de 180g/m2 de densitat i 3mm gruix, col·locada amb fixacions mecàniques.</t>
  </si>
  <si>
    <t>P5Z30-.JSI</t>
  </si>
  <si>
    <t>Doble enllatat amb llates de fusta de pi, de 40x40 mm + 40x25 mm de secció, creuat, col·locat cada 40 cm, sobre tauler i amb fixacions mecàniques.</t>
  </si>
  <si>
    <t>P52D-1.E5K</t>
  </si>
  <si>
    <t>Escatat i neteja de les teules ceràmiques de recuperació per la seva recol·locació.</t>
  </si>
  <si>
    <t>P52D-1.R4K</t>
  </si>
  <si>
    <t>Teulada de teula arab procedent de recuperació amb canals noves i cobertores recuperades, col·locada sobre enllatat de fusta. Inclou subministrament de teula ceràmica nova, peces especials de remat perimetral, ventilació puntual i protecció inferior del ràfec davant aus i insectes. Teulada totalment col·locada amb les peces noves i les peces existents recuperades.</t>
  </si>
  <si>
    <t>P52D-1.E4K</t>
  </si>
  <si>
    <t>Desmuntatge i col·locació de canal ceràmica tortugada recuperada, en totes les cobertes, segons documentació gràfica.</t>
  </si>
  <si>
    <t>P5ZJ1-52DQ</t>
  </si>
  <si>
    <t>Canal exterior de secció semicircular de planxa de zinc de 0,82 mm de gruix, de 185 mm i 40 cm de desenvolupament, col·locada amb peces especials i connectada al baixant</t>
  </si>
  <si>
    <t>PD14-78QE</t>
  </si>
  <si>
    <t>Baixant de Tub de fosa grisa segons UNE-EN 877 de DN 100 mm, per a unió de campana amb anella elastomèrica d'estanquitat, incloses les peces especials i fixat mecànicament amb brides</t>
  </si>
  <si>
    <t>P5ZD3-527B</t>
  </si>
  <si>
    <t>Minvell fixat al parament, de planxa de zinc de 0,82 mm de gruix, de 40 cm de desenvolupament, com a màxim, amb 3 plecs col·locada amb fixacions mecàniques</t>
  </si>
  <si>
    <t>FUSTERIES EXTERIORS</t>
  </si>
  <si>
    <t>FUSTERIA DE FUSTA</t>
  </si>
  <si>
    <t>01.03.04.01</t>
  </si>
  <si>
    <t>PA1G-.F01</t>
  </si>
  <si>
    <t>Restauració de fusteria de fusta tipus F01 a F08 de 162x244 cm formada per dues fulles batents. Inclou el desmuntatge de les fulles i de l'envidrament per la seva substitució, la restauració i tractament curatiu de la fusta, acabat en taller i muntatge en obra.
Definició de la intervenció en la fusta:
Raspatllat de la cara exterior de les fusteries, protegint convenientment els vidres,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Fusteria totalment col·locada sense incloure el vidre, tot segons especificacions de plànols.
Valors a complir conjunt fusteria:
U:1,3 W/m2K
factor solar: 0,58</t>
  </si>
  <si>
    <t>PA1G-.F09</t>
  </si>
  <si>
    <t>Restauració de fusteria de fusta tipus F09 de 98x255 cm formada per dues fulles batents. Inclou el desmuntatge de les fulles i de l'envidrament per la seva substitució, la restauració i tractament curatiu de la fusta, acabat en taller i muntatge en obra.
Definició de la intervenció en la fusta:
Raspatllat de la cara exterior de les fusteries, protegint convenientment els vidres,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Fusteria totalment col·locada sense incloure el vidre, tot segons especificacions de plànols.
Valors a complir conjunt fusteria:
U:1,3 W/m2K
factor solar: 0,58</t>
  </si>
  <si>
    <t>PAQB-.F10</t>
  </si>
  <si>
    <t>Fusteria de fusta tipus F10 de 98x255 cm formada per dues fulles batents,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</si>
  <si>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PA1G-.F11</t>
  </si>
  <si>
    <t>Restauració de fusteria de fusta tipus F11 de 100x83 cm formada per una fulla batent. Inclou el desmuntatge de la fulla i de l'envidrament per la seva substitució, la restauració i tractament curatiu de la fusta, acabat en taller i muntatge en obra.
Definició de la intervenció en la fusta:
Raspatllat de la cara exterior de les fusteries, protegint convenientment els vidres,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Fusteria totalment col·locada sense incloure el vidre, tot segons especificacions de plànols.
Valors a complir conjunt fusteria:
U:1,3 W/m2K
factor solar: 0,58</t>
  </si>
  <si>
    <t>PAQB-.F12</t>
  </si>
  <si>
    <t>Fusteria de fusta tipus F12 de 83x83 cm formada per una fulla batent,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Obertura mecanitzada a cota d'usuari.
Fusteria totalment col·locada sense incloure el vidre, tot segons especificacions de plànols.
Valors a complir conjunt fusteria:
U:1,3 W/m2K
factor solar: 0,58</t>
  </si>
  <si>
    <t>PA1G-.F13</t>
  </si>
  <si>
    <t>Restauració de fusteria de fusta tipus F13 de 86x163 cm formada per dues fulles batents. Inclou el desmuntatge de les fulles i de l'envidrament per la seva substitució, la restauració i tractament curatiu de la fusta, acabat en taller i muntatge en obra.
Definició de la intervenció en la fusta:
Raspatllat de la cara exterior de les fusteries, protegint convenientment els vidres,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Fusteria totalment col·locada sense incloure el vidre, tot segons especificacions de plànols.
Valors a complir conjunt fusteria:
U:1,3 W/m2K
factor solar: 0,58</t>
  </si>
  <si>
    <t>PAQB-.F19</t>
  </si>
  <si>
    <t>Fusteria de fusta tipus F19 de 133x88 cm formada per una fulla batent,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</si>
  <si>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PAQB-.F20</t>
  </si>
  <si>
    <t>Fusteria de fusta tipus F20 de 62x92 cm formada per una fulla batent,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</si>
  <si>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PAQB-.F21</t>
  </si>
  <si>
    <t>Fusteria de fusta tipus F21 de 91x124 cm formada per dues fulles batents,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</si>
  <si>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PAQB-.F22</t>
  </si>
  <si>
    <t>Fusteria de fusta tipus F22 de 128x179 cm formada per dues fulles batents,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</si>
  <si>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PAQB-.F23</t>
  </si>
  <si>
    <t>Fusteria de fusta tipus F23 a F26 de 88x133 cm formada per una fulla batent, mantenint material, configuració i esquadria d'elements conservats en les existents, fabricada en taller i muntada en obra.
Definició de la nova fusteria:
Fusteria de fusta de pi laminat KKK amb certificat FSC al 100%, marc de 70x72mm, amb canal de ferratge de 24mm, canal exterior en la part inferior del marc, amb un banc hidràulic automàtic per garantir l'esquadra de la peça durant el procés de falcat i segellat. 
Unions amb sistema ´´finger joint´´, sistema coplanar de marc, fulls i balda de tapaboques en el mateix pla a cara exterior, amb 2 juntes de goma TPE en la fulla que solapa el marc de fusta, més una tercera junta en el perímetre exterior del marc amb la fulla, i junta d'EPDM entre el vidre i la finestra.
Ribet de vidre emsamblat prèviament amb grapa oculta d'unió.
Tractament de protecció superficial Lasur insecticida-fungicida, acabat mat color RAL a decidir per la DF segons estudi cromàtic.
Fusteria totalment col·locada sense incloure el vidre, tot segons especificacions de plànols.
Valors a complir conjunt fusteria:
U:1,3 W/m2K
factor solar: 0,58</t>
  </si>
  <si>
    <t>PA1G-.P01</t>
  </si>
  <si>
    <t>Restauració de fusteria de fusta tipus P01 de 219x260 cm formada per dues fulles batents. Inclou el desmuntatge de les fulles, la restauració i tractament curatiu de la fusta, acabat en taller i muntatge en obra.
Definició de la intervenció en la fusta:
Raspatllat de la cara exterior de les fusteries,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Amb incorporació de suplement aa la part inferior.
Fusteria totalment col·locada, tot segons especificacions de plànols.</t>
  </si>
  <si>
    <t>PA1G-.P02</t>
  </si>
  <si>
    <t>Restauració de fusteria de fusta tipus P02 de 108x234 cm formada per una fulla batent. Inclou el desmuntatge de la fulla, la restauració i tractament curatiu de la fusta, acabat en taller i muntatge en obra.
Definició de la intervenció en la fusta:
Raspatllat de la cara exterior de les fusteries,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Fusteria totalment col·locada, tot segons especificacions de plànols.</t>
  </si>
  <si>
    <t>PA1G-.P04</t>
  </si>
  <si>
    <t>Restauració de fusteria de fusta tipus P04 de 148x310 cm formada per dues fulles batents. Inclou el desmuntatge de les fulles, la restauració i tractament curatiu de la fusta, acabat en taller i muntatge en obra.
Definició de la intervenció en la fusta:
Raspatllat de la cara exterior de les fusteries, fins a l'eliminació de pintura en mal estat, segellat de petites clivelles, repicat de massilla en mal estat i segellat amb silicona.
Substitució d'elements deteriorats com peces d'escopidors amb fixacions semblants a les originàries, restitució superficial de volums i emmassillat de clivelles amb adhesiu d'aplicació unilateral de resines epoxi sense dissolvents, de dos components i baixa viscositat.
Restauració i neteja d'un 50% de la ferramenta existent, reposició d'un 50% amb ferramenta nova.
Acabat amb lasur color a definir segons cales prèvies.
Amb incorporació de suplement a la part inferior.
Fusteria totalment col·locada, tot segons especificacions de plànols.</t>
  </si>
  <si>
    <t>PC1B-.J73</t>
  </si>
  <si>
    <t>Vidre aïllant de lluna incolora de 4 mm de gruix, cambra d'aire de 18 mm i lluna de 3+3 mm de gruix amb 1 butiral acústic, i lluna de reflector de control solar, amb lluna interior trempada, classe 2 (B) 2 segons UNE-EN 12600, col·locat amb llistó de vidre sobre fusta.
Valors a complir conjunt fusteria:
U:1,3 W/m2K
factor solar: 0,58</t>
  </si>
  <si>
    <t>FUSTERIA METÀL·LICA</t>
  </si>
  <si>
    <t>01.03.04.02</t>
  </si>
  <si>
    <t>PAB0-.F14</t>
  </si>
  <si>
    <t xml:space="preserve">Fusteria metàl·lica tipus F14 amb perfils TPT de Jansen serie Janisol o equivalent d'acer galvanitzat, formada per un element batent de 109x196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i maneta d'alumini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</si>
  <si>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PAB0-.F15</t>
  </si>
  <si>
    <t xml:space="preserve">Fusteria metàl·lica tipus F15 amb perfils TPT de Jansen serie Janisol o equivalent d'acer galvanitzat, formada per un element batent de 45x177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i maneta d'alumini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</si>
  <si>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PAB0-.F16</t>
  </si>
  <si>
    <t xml:space="preserve">Fusteria metàl·lica tipus F16 amb perfils TPT de Jansen serie Janisol o equivalent d'acer galvanitzat, formada per un element batent de 45x177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i maneta d'alumini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</si>
  <si>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PAB0-.F17</t>
  </si>
  <si>
    <t xml:space="preserve">Fusteria metàl·lica tipus F17 amb perfils TPT de Jansen serie Janisol o equivalent d'acer galvanitzat, formada per un element batent de 45x177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i maneta d'alumini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</si>
  <si>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PAB0-.F18</t>
  </si>
  <si>
    <t xml:space="preserve">Fusteria metàl·lica tipus F18 amb perfils TPT de Jansen serie Janisol o equivalent d'acer galvanitzat, formada per un element batent de 45x177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i maneta d'alumini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</si>
  <si>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PAB0-.P03</t>
  </si>
  <si>
    <t xml:space="preserve">Porta metàl·lica tipus P03 amb perfils TPT de Jansen serie Janisol o equivalent d'acer galvanitzat, formada per un element batent i dos fixes laterals de dimensions totals 138x279 cm amb forma trapezoidal corbada.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manetes, pany amb clau i porter automàtic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</si>
  <si>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PAB0-.P05</t>
  </si>
  <si>
    <t xml:space="preserve">Porta metàl·lica corredissa tipus P05 amb perfils TPT de Jansen serie Janisol o equivalent d'acer galvanitzat, formada per un element corredís de 195x263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La porta corre per davant de la paret.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</si>
  <si>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PAB0-.P06</t>
  </si>
  <si>
    <t xml:space="preserve">Porta metàl·lica corredissa tipus P06 amb perfils TPT de Jansen serie Janisol o equivalent d'acer galvanitzat, formada per un element corredís de 185x266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La porta corre per davant de la paret.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</si>
  <si>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PAB0-.P07</t>
  </si>
  <si>
    <t xml:space="preserve">Conjunt de portes plegables tipus P07 amb perfils TPT de Jansen serie Janisol tabique plegable o equivalent d'acer galvanitzat, formada per cinc elements plegables de dimensions totals 551x280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 </t>
  </si>
  <si>
    <t>PAB0-.P08</t>
  </si>
  <si>
    <t>Porta metàl·lica tipus P08 amb perfils TPT de Jansen serie Janisol o equivalent d'acer galvanitzat, formada per un element batent de 91x218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</si>
  <si>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PAB0-.P09</t>
  </si>
  <si>
    <t>Porta metàl·lica tipus P09 amb perfils TPT de Jansen serie Janisol o equivalent d'acer galvanitzat, formada per un element batent de 91x218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</si>
  <si>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PAB0-.P10</t>
  </si>
  <si>
    <t>Porta metàl·lica tipus P10 amb perfils TPT de Jansen serie Janisol o equivalent d'acer galvanitzat, formada per un element batent de 91x218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</si>
  <si>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PAB0-.P11</t>
  </si>
  <si>
    <t>Porta metàl·lica tipus P11 amb perfils TPT de Jansen serie Janisol o equivalent d'acer galvanitzat, formada per un element batent de 91x218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</si>
  <si>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PAB0-.P12</t>
  </si>
  <si>
    <t>Porta metàl·lica tipus P12 amb perfils TPT de Jansen serie Janisol o equivalent d'acer galvanitzat, formada per un element batent i un element fixe amb dimensions totals de 125x206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</si>
  <si>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PAB0-.P13</t>
  </si>
  <si>
    <t>Porta metàl·lica tipus P13 amb perfils TPT de Jansen serie Janisol o equivalent d'acer galvanitzat, formada per un element batent amb dos elements fixes laterals i un element fixe superior de dimensions totals de 310x450 cm amb forma trapezoidal corbada i dos elements fixes laterals de 121x411 cm cadascun.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pany de cop i clau, i manetes.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</si>
  <si>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PC1D-.O71</t>
  </si>
  <si>
    <t>Vidre aïllant de lluna reflectora de control solar de 3+3 mm de gruix amb 1 butiral transparent classe 2 (B) 2 segons UNE-EN 12600, cambra d'aire de 6 mm i lluna de 4+4 mm de gruix amb 1 butiral transparent de lluna incolora, classe 2 (B) 2 segons UNE-EN 12600, col·locat amb llistó de vidre sobre fusta, acer o alumini.
Valors a complir conjunt fusteria:
U:1,3 W/m2K
factor solar: 0,58</t>
  </si>
  <si>
    <t>REIXES</t>
  </si>
  <si>
    <t>01.03.04.03</t>
  </si>
  <si>
    <t>PB33-.R06</t>
  </si>
  <si>
    <t>Reixa metàl·lica batent tipus R06, de dimensions 160x196 cm, formada per un bastiment perimetral de perfils L 30x30 mm, separadors de perfils T 30x30 mm, plafons de malla deploye 40x10 mm amb xapa d'1 mm de gruix, galvanitzada. Totalment col·locada segons especificacions de plànols.</t>
  </si>
  <si>
    <t>PB33-.R07</t>
  </si>
  <si>
    <t>Reixa metàl·lica fixa tipus R07 i R10, de dimensions 42x176 cm, formada per un bastiment perimetral de perfils L 30x30 mm, separadors de perfils T 30x30 mm, plafons de malla deploye 40x10 mm amb xapa d'1 mm de gruix, galvanitzada. Totalment col·locada segons especificacions de plànols.</t>
  </si>
  <si>
    <t>PB33-.R08</t>
  </si>
  <si>
    <t>Reixa metàl·lica fixa tipus R08 i R11, de dimensions 42x126 cm, formada per un bastiment perimetral de perfils L 30x30 mm, separadors de perfils T 30x30 mm, plafons de malla deploye 40x10 mm amb xapa d'1 mm de gruix, galvanitzada. Totalment col·locada segons especificacions de plànols.</t>
  </si>
  <si>
    <t>PB33-.R09</t>
  </si>
  <si>
    <t>Reixa metàl·lica fixa tipus R09, de dimensions 42x156 cm, formada per un bastiment perimetral de perfils L 30x30 mm, separadors de perfils T 30x30 mm, plafons de malla deploye 40x10 mm amb xapa d'1 mm de gruix, galvanitzada. Totalment col·locada segons especificacions de plànols.</t>
  </si>
  <si>
    <t>PB35-.JGN</t>
  </si>
  <si>
    <t>Reixa d'acer inoxidable tipus R12, de dimensions totals 1.603x148 cm, formada per 9 mòduls fixes de 160x148 cm i 1 mòdul amb 2 portes abatibles de 77x148 cm cadascuna, formada per muntants tubulars i malla x-tend o equivalent d'acer inoxidable 1.4401 (AISI 316). Totalment col·locada segons especificacions de plànols.</t>
  </si>
  <si>
    <t>SISTEMA DE COMPARTIMENTACIÓ INTERIOR</t>
  </si>
  <si>
    <t>PARAMENTS VERTICALS INTERIORS</t>
  </si>
  <si>
    <t>01.04.01</t>
  </si>
  <si>
    <t>P7C50-5NUS</t>
  </si>
  <si>
    <t>Aïllament amb Placa de suro aglomerat (ICB) per a aïllaments, de densitat 110 kg/m3, de 100 mm de gruix de 0,037 W/(m·K) de conductivitat tèrmica i amb cantell recte, col·locat de 2,7 m2·K/W de resistència tèrmica amb fixacions mecàniques</t>
  </si>
  <si>
    <t>P83ED-.EII</t>
  </si>
  <si>
    <t>Extradossat directe amb plaques de fibra de guix tipus fermacell de 15 mm de gruix, fixades mecànicament al parament vertical mitjançant mestres de Perfileria de planxa d'acer galvanitzat amb perfils entre 75 a 85 mm d'amplària col·locades cada 400 mm.</t>
  </si>
  <si>
    <t>P8Z3-.7X6</t>
  </si>
  <si>
    <t>Estructura de rastrells de fusta de pi de 50x50 mm col·locats cada 56 cm, segons documentació gràfica.</t>
  </si>
  <si>
    <t>P864-.EKW</t>
  </si>
  <si>
    <t>Aplacat amb tauler tricapa, de 16 mm de gruix, per a ambient humit segons UNE-EN 636, reacció al foc B-s2, d0, treballat al taller, col·locat amb fixacions mecàniques sobre estructura de rastrells de fusta.</t>
  </si>
  <si>
    <t>P83EA-.Y8P</t>
  </si>
  <si>
    <t>Aplacat amb plaques de fibra de guix tipus fermacell de 15 mm de gruix, col·locat amb fixacions mecàniques sobre estructura de rastrells de fusta.</t>
  </si>
  <si>
    <t>P7A3-.QH6</t>
  </si>
  <si>
    <t>Barrera de vapor/estanquitat amb vel de polietilè de 100 µm i 96 g/m2, col·locada amb fixacions mecàniques.</t>
  </si>
  <si>
    <t>P7C45-12UIR</t>
  </si>
  <si>
    <t>Aïllament amb Placa rígida de llana mineral de roca (MW), de densitat 66 a 85 kg/m3, de 50 mm de gruix, amb una conductivitat tèrmica &lt;= 0,034 W/(m·K) i resistència tèrmica &gt;= 1,471 m2·K/W, col·locada amb fixacions mecàniques</t>
  </si>
  <si>
    <t>FUSTERIES INTERIORS</t>
  </si>
  <si>
    <t>01.04.02</t>
  </si>
  <si>
    <t>PAQB-.I01</t>
  </si>
  <si>
    <t>PORTA INTERIOR I1 PER A UN BUIT D'OBRA DE 82X218CM, DE FULLA BATENT DE FUSTA AMB MARC DE FUSTA , AMB BASTIDOR INTERIOR DE FUSTA AMB FERRATGES I ANCORATGES D'ACER. MANETA D'ACER INOX. INTEGRADA A PARAMENT VERTICAL AMB FRONTISSES OCULTES.</t>
  </si>
  <si>
    <t>PAQB-.I02</t>
  </si>
  <si>
    <t>PORTA INTERIOR I2 DE FUSTA DE PI PER A UN BUIT D'OBRA DE 82X218CM, DE FULLA CORREDISSA PER A L'INTERIOR DE LA PARET EXISTENT. AMB GUIA VISTA.</t>
  </si>
  <si>
    <t>PAQB-.I03</t>
  </si>
  <si>
    <t>PORTA INTERIOR I3 PER A UN BUIT D'OBRA DE 82X218CM, DE FULLA BATENT DE FUSTA DE PI AMB MARC DE FUSTA , AMB BASTIDOR INTERIOR DE FUSTA AMB FERRATGES I ANCORATGES D'ACER. MANETA D'ACER INOX. AMB PANY MESTREJAT.</t>
  </si>
  <si>
    <t>PAQB-.I04</t>
  </si>
  <si>
    <t>PORTA INTERIOR I4 PER UN BUIT D'OBRA DE 75X220 CM, DE FULLA PIVOTANT CEGA, AMB MARC DE PLATINA D'ACER DE 8 MM DE GRUIX. FULLA AMB BASTIDOR INTERIOR DE FUSTA AMB ACABAT DE DM PER PINTAR EN BLANC, AMB FERRATGES D'ACER I MANETA D'ACER INOX. MODEL EN ´´C´´ DE 16 MM DE DIÀMETRE, AMB PESTELL OCULT INTERIOR.</t>
  </si>
  <si>
    <t>PAQB-.I05</t>
  </si>
  <si>
    <t>PORTA INTERIOR I5 CORREDISSA DE FUSTA, PER UN BUIT D'OBRA DE 80X220 CM.</t>
  </si>
  <si>
    <t>PAQB-.I06</t>
  </si>
  <si>
    <t>PORTA INTERIOR I6 CORREDISSA DE FUSTA, PER UN BUIT D'OBRA DE 80X220 CM.</t>
  </si>
  <si>
    <t>PAQB-.I07</t>
  </si>
  <si>
    <t>PORTA INTERIOR I7 PER ARMARI DE 275X69CM, DE TRES FULLES BATENTS CEGUES DE DM LLIS</t>
  </si>
  <si>
    <t>PAB0-.I08</t>
  </si>
  <si>
    <t>PAB0-.I09</t>
  </si>
  <si>
    <t>SISTEMA D'ACABATS INTERIORS</t>
  </si>
  <si>
    <t>PAVIMENTS</t>
  </si>
  <si>
    <t>01.05.01</t>
  </si>
  <si>
    <t>P5Z2C-.IRR</t>
  </si>
  <si>
    <t>P9D5-14QDA</t>
  </si>
  <si>
    <t>Paviment interior, de Rajola de gres porcellànic premsat polit de forma rectangular o quadrada, d'1 a 5 u peces/m2 grup BIa (UNE-EN 14411), preu superior, col·locades amb Adhesiu cimentós tipus C1 segons norma UNE-EN 12004 i rejuntat amb beurada CG1 (UNE-EN 13888)</t>
  </si>
  <si>
    <t>P52D-1.E5X</t>
  </si>
  <si>
    <t>Escatat i neteja de rajola hidràulica de recuperació per la seva recol·locació.</t>
  </si>
  <si>
    <t>P9E0-.07H</t>
  </si>
  <si>
    <t>Col·locació de paviment de rajola hidràulica recuperada 20x20x2,5, col·locat a truc de maceta amb morter de ciment 1:8 i beurada de color</t>
  </si>
  <si>
    <t>P7C71-DBGN</t>
  </si>
  <si>
    <t>Aïllament amb làmina de polietilè extruït de 10 mm de gruix de 0,23 m2·K/W de resistència tèrmica amb una millora a l'aïllament acústic a soroll d'impacte de 21 a 24 dB, i una resistència a la compressió &lt;=21 kPa, segellada amb cinta adhesiva autoprotegida amb alumini, col·locada no adherida</t>
  </si>
  <si>
    <t>P9Q3-.U8X</t>
  </si>
  <si>
    <t>REVESTIMENTS I PINTURES</t>
  </si>
  <si>
    <t>01.05.02</t>
  </si>
  <si>
    <t>P87B-.VI6</t>
  </si>
  <si>
    <t>Raspallat i sanejat manual de restes de pintat i altres materials en parament vertical, per a recuperació de l'acabat existent.</t>
  </si>
  <si>
    <t>P874-4UBX</t>
  </si>
  <si>
    <t>Repicat manual del morter de calç o de qualsevol altre tipus de paraments, sorrejat amb raig de sorra de sílice dessecada a baixa pressió fins a la desaparició superficial del morter de calç, rejuntat amb morter de calç de forats, juntes obertes o qualsevol altre tipus de traça existent al parament.</t>
  </si>
  <si>
    <t>P883-H8GB</t>
  </si>
  <si>
    <t>Estucat tricapa en parament, amb 1ª capa de morter de calç grassa apagada i sorra fina de dosificació 1:4, de 8 mm de gruix amb acabat raspat, 2ª capa amb morter de calç grassa apagada i sorra fina de dosificació 1:3, de 5 mm de gruix i 3ª capa d'emblanquinat amb pasta de calç grassa i pols de marbre d'1 mm de gruix amb acabat lliscat</t>
  </si>
  <si>
    <t>P883-.8GB</t>
  </si>
  <si>
    <t>Estucat de la última capa en parament d'emblanquinat amb pasta de calç grassa i pols de marbre d'1 mm de gruix amb acabat lliscat</t>
  </si>
  <si>
    <t>P87F-.RNM</t>
  </si>
  <si>
    <t>Veladura i/o tenyit reintegrador superficial de parament vertical per igualar superfícies, amb pintura mineral al silicat, aplicada a dues capes</t>
  </si>
  <si>
    <t>P824-.RPP</t>
  </si>
  <si>
    <t>Enrajolat de parament vertical interior a una alçària &gt;3 m amb Rajola de gres porcellànic premsat polit de 10x20 cm, grup BIa (UNE-EN 14411), col·locades amb adhesiu cimentós tipus C2 segons norma UNE-EN 12004 i rejuntat amb beurada CG2 (UNE-EN 13888)</t>
  </si>
  <si>
    <t>P89I-4V8W</t>
  </si>
  <si>
    <t>Pintat de parament vertical de guix amb Pintura amb baix contingut de disolvents, plàstica per a interiors, de color, amb una capa d'imprimació específica i dues capes d' acabat</t>
  </si>
  <si>
    <t>P8A4-.KV9</t>
  </si>
  <si>
    <t>Tractament de protecció superficial de fusta, amb Lasur a l'aigua a base de resines amb protector insecticida-fungicida, acabat mat, aplicat en dues capes</t>
  </si>
  <si>
    <t>SISTEMA DE CONDICIONAMENT · INSTAL·LACIONS · SERVEIS</t>
  </si>
  <si>
    <t>TRANSPORT</t>
  </si>
  <si>
    <t>01.06.01</t>
  </si>
  <si>
    <t>PLV0-.EEF</t>
  </si>
  <si>
    <t>Plataforma elevadora accessible muntada en caixa tancada i que serveix a tres nivells, el de la nau a cota 11,05, la planta baixa de la casa central a cota 12,85 i la planta superior de la casa central a cota 15,75.
Elevador Tipus Valida, model Nexus, o equivalent, de les següents característiques, totalment instal·lat, connectat i en funcionament, incloent transport i muntatge:
- Dimensions: 900x1.400 mm: per a cadira de rodes (càrrega d'elevació de 250 kg/m2).
- 3 parades amb portes tipus gran mirilla panoràmiques de 800x2.000 mm.
- Tracció: suspensió 1:1 i 2:1 (en funció recorregut) mitjançant cilindre hidràulic de simple efecte.
- Central hidràulica amb bomba de claveguera ultra silenciosa.
- Velocitat: 0,15 m/seg., amb regulació VVF en pujada.
- Vàlvula hidràulica de 2 velocitats en baixada.
- Alimentació: monofàsica 220 V. Fins a 2,2 Kw 16 A.
- Maniobra mitjançant autòmats programables i configurables.
- Pesa-càrregues mecànic.
- Sistema d'enclavament d'elevador, pilotat per inspecció en fossat.
- Guies específiques per a elevació i vàlvula paracaigudes certificada segons norma EN-81.20.
- Fossat 120 mm.</t>
  </si>
  <si>
    <t>INSTAL·LACIÓ DE SUBMINISTRAMENT D'AIGUA</t>
  </si>
  <si>
    <t>00</t>
  </si>
  <si>
    <t>NOTA FONTANERIA</t>
  </si>
  <si>
    <t>01.06.03.00</t>
  </si>
  <si>
    <t>ZNOTAFONT</t>
  </si>
  <si>
    <t>UD</t>
  </si>
  <si>
    <t xml:space="preserve">Instal·lació de distribució d'aigua freda i calenta comptabilitzada des de l'escomesa respectiva fins a les connexions a les unitats terminals. Inclouen els circuits de producció i distribució, sistemes interns,  elements de protecció, sistemes de control, i tot el que calgui per al correcte subministrament, col·locació, muntatge, instal·lació i funcionament d'aquesta.
Cal tenir en compte l'obligatorietat de:
- Tots els elements principals com secundaris, suportacions, etc.. disposaran de certificat CE, certificat d'homologació (de tots els equips, elements, accessoris, etc.), amb la totalitat dels certificats corresponents.
- Manual d'instruccions i garanties de tots els elements.
- Realització i entrega de protocols de proves de la instal·lació segons normativa aplicable. 
- Es presentarà documentació gràfica com a plànols de taller, previ a l'inici de l'execució de les obres, com aprovació definitiva al muntatge en obra.
- Es presentaran mostres dels elements i dels colors en obra, per a ser valorat per la Direcció Facultativa.
- Incloure els certificats d'instal·lació per part dels instal·ladors per a aquesta obra en concret.
- Les partides inclourà el cost per executar la part proporcional d'ajudes de paleteria: obertura, tapat i segellat de forats a envans, fals sostre, jàsseres de formigó o metàl·liques, per encastar o passar elements o pas d'instal·lacions. Ídem per les rases d'obra civil per a la zona d'urbanització, terraplenat de noves terres i recobriment de formigó. Alhora es tindrà en compte la restitució de qualsevol element defectuós i malmès, com també el repàs de final d'obra amb la reparació de tots aquells desperfectes que es puguin ocasionar durant el transcurs de l'obra.
- En les partides es repercutirà la realització del asbuilt de la instal·lació (DOC, CAD, PDF i RVT), reflectint en plànols, memòries i esquemes l'estat final d'aquesta. Es lliurarà còpia en paper i Pdf d'aquests documents (a la Propietat i a la Direcció Facultativa) així com en format digital, a més de plastificar els esquemes i col·locar-los a l'interior de les sales tècniques.
- En les partides es repercutirà la posada en funcionament de la mateixa, certificada i aprovada per el fabricant corresponent, així com formació de dossier reduïts amb manuals d'utilització, garanties, manteniment bàsic de la instal·lació.
- Estan incloses totes les proves de control de qualitat, tant per la part interna de la mateixa constructora/instal·ladora, com per una entitat de control externa.
- Es donarà compliment a tota la normativa vigent al respecte.
- S'inclou dins aquestes partides, el cost econòmic dels projectes de legalització corresponents a cada tipologia d'instal·lació, a més dels tràmits amb indústria, honoraris de les ECA necessàries, incloent el pagament de les taxes de cada un dels tràmits fins a obtenir el vist i plau.
- Inclou tot el segellat de passos d'instal·lacions, collarins intumescents, comportes tallafocs, etc.. (tota la protecció al foc passiva per donar compliment a la sectorització del DBSI de projecte), per deixar tota la instal·lació 100% finalitzada i en perfecte funcionament.
- La instal·lació quedarà enllestida per ser utilitzada correctament immediatament a l'entrega de l'obra.
- Totes les canonades interiors no soterrades seran de polipropilé, les canonades soterrades a l'interior de l'edifici seran de polietilé d'alta densitat de la sèrie PE100, i les canonades soterrades a l'exterior de l'edifici seran de polietilé d'alta densitat de la sèrie PE10.
- L'escomesa respectiva fins a les connexions a les unitats terminals. Inclouen canonades i aïllaments, sistemes de circulació de fluids, elements de protecció, sistemes de control, valvuleria i accessoris totalment acabada segons plànols, memòries, plecs de condicions i normativa vigent en el moment de l'execució de l'obra.
Normativa vigent a donar compliment:
- CTE DB HS 4 Subministrament d'aigua
          RD 314/2006 (BOE 28/03/2006) i les seves posteriors modificacions
- Criterios sanitarios del agua de consumo humano 
          RD 140/2003 (BOE 21/02/2003) i les seves posteriors modificacions
- Criterios higiénico-sanitarios para la prevención y control de la legionelosis
          RD 865/2003 (BOE 18/07/2003) i la seva posterior modificació
- Reglamento d'equips a pressió. Instruccions tècniques complementàries  
          RD 809/2021, de 21 de setembre (BOE 11/10/2021)
- Es regula l'adopció de criteris ambientals i d'ecoeficiència en els edificis  
          D 21/2006 (DOGC 16/02/2006) I D111/2009 (DOGC:16/7/2009) 
- Condicions higienicosanitàries per a la prevenció i el control de la legionel·losi 
          D 352/2004 (DOGC 29/07/2004)
- Mesures de foment per a l'estalvi d'aigua en determinats edificis i habitatges (d'aplicació obligatòria als edificis destinats a serveis públics de la Generalitat de Catalunya, així com en els habitatges finançats amb ajuts atorgats o gestionats per la Generalitat de Catalunya)
          D 202/98 (DOGC 06/08/98)
- Ordenances municipals
Instal·lacions d'aigua calenta sanitària
  CTE DB HS 4 Subministrament d'aigua
       RD 314/2006 (BOE 28/03/2006) i les seves posteriors modificacions
  CTE DB HE 4 Contribució mínima d'energia renovable per cobrir la demanda d'ACS
       RD 314/2006 (BOE 28/03/2006) i les seves posteriors modificacions
  RITE Reglamento de Instalaciones Térmicas en los Edificios 
       RD 1027/2007 (BOE: 29/8/2007) i les seves posteriors modificacions
  Criterios higiénico-sanitarios para la prevención y control de la legionelosis
       RD 865/2003 (BOE 18/07/2003) i la seva posterior modificació
  Es regula l'adopció de criteris ambientals i d'ecoeficiència en els edificis  
       D 21/2006 (DOGC 16/02/2006) I D111/2009 (DOGC:16/7/2009) </t>
  </si>
  <si>
    <t>DISTRIBUCIÓ</t>
  </si>
  <si>
    <t>01.06.03.01</t>
  </si>
  <si>
    <t>PFB3-13ZEW</t>
  </si>
  <si>
    <t>Tub de polietilè de designació PE 100, diàmetre nominal DN 25, pressió nominal PN 16 (SDR 11), subministrat en rotlle, fabricació segons norma UNE-EN 12201-2, inclosa la part proporcional d'accessoris d'unió mitjançant electrosoldadura, col·locat superficialment, amb grau de dificultat mitjà</t>
  </si>
  <si>
    <t>PFB3-13ZEX</t>
  </si>
  <si>
    <t>Tub de polietilè de designació PE 100, diàmetre nominal DN 32, pressió nominal PN 10 (SDR 17), subministrat en rotlle, fabricació segons norma UNE-EN 12201-2, inclosa la part proporcional d'accessoris d'unió mitjançant electrosoldadura, col·locat superficialment, amb grau de dificultat mitjà</t>
  </si>
  <si>
    <t>PFB3-13ZEJ</t>
  </si>
  <si>
    <t>Tub de polietilè de designació PE 100, diàmetre nominal DN 40, pressió nominal PN 10 (SDR 17), subministrat en barres de 6 m, fabricació segons norma UNE-EN 12201-2, inclosa la part proporcional d'accessoris d'unió mitjançant electrosoldadura, col·locat superficialment, amb grau de dificultat mitjà</t>
  </si>
  <si>
    <t>PF90-HPG3</t>
  </si>
  <si>
    <t>Tubs per a distribució d'aigua en sales humides (banys, cuines etc) amb Tub de polietilè multicapa de 20x2 mm, amb capa interior de polietilè, ànima d'alumini i protecció exterior de polietilè, amb una pressió màxima de servei de 12 bar, muntat amb accessoris per a premsar</t>
  </si>
  <si>
    <t>PF90-HPG4</t>
  </si>
  <si>
    <t>Tubs per a distribució d'aigua en sales humides (banys, cuines etc) amb Tub de polietilè multicapa de 25x2,5 mm, amb capa interior de polietilè, ànima d'alumini i protecció exterior de polietilè, amb una pressió màxima de servei de 12 bar, muntat amb accessoris per a premsar</t>
  </si>
  <si>
    <t>PFQ0-3LJQ</t>
  </si>
  <si>
    <t>Aïllament tèrmic d'escuma elastomèrica per a canonades que transporten fluids a temperatura entre -50°C i 105°C, per a tub de diàmetre exterior 18 mm, de 9 mm de gruix, classe de reacció al foc BL-s2, d0 segons norma UNE-EN 13501-1, factor de resistència a la difusió del vapor d'aigua &gt;= 5000 1, col·locat superficialment amb grau de dificultat mitjà</t>
  </si>
  <si>
    <t>PFQ0-3LN4</t>
  </si>
  <si>
    <t>Aïllament tèrmic d'escuma elastomèrica per a canonades que transporten fluids a temperatura entre -50°C i 105°C, per a tub de diàmetre exterior 22 mm, de 9 mm de gruix, classe de reacció al foc BL-s2, d0 segons norma UNE-EN 13501-1, factor de resistència a la difusió del vapor d'aigua &gt;= 5000 1, col·locat superficialment amb grau de dificultat mitjà</t>
  </si>
  <si>
    <t>PFQ0-3LL5</t>
  </si>
  <si>
    <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 1, col·locat superficialment amb grau de dificultat mitjà</t>
  </si>
  <si>
    <t>PFQ0-3LOO</t>
  </si>
  <si>
    <t>Aïllament tèrmic d'escuma elastomèrica per a canonades que transporten fluids a temperatura entre -50°C i 105°C, per a tub de diàmetre exterior 22 mm, de 25 mm de gruix, classe de reacció al foc BL-s2, d0 segons norma UNE-EN 13501-1, factor de resistència a la difusió del vapor d'aigua &gt;= 7000 1, col·locat superficialment amb grau de dificultat mitjà</t>
  </si>
  <si>
    <t>PFQ0-3LOP</t>
  </si>
  <si>
    <t>Aïllament tèrmic d'escuma elastomèrica per a canonades que transporten fluids a temperatura entre -50°C i 105°C, per a tub de diàmetre exterior 28 mm, de 25 mm de gruix, classe de reacció al foc BL-s2, d0 segons norma UNE-EN 13501-1, factor de resistència a la difusió del vapor d'aigua &gt;= 7000 1, col·locat superficialment amb grau de dificultat mitjà</t>
  </si>
  <si>
    <t>PF53-3C8N</t>
  </si>
  <si>
    <t>Tub de coure R220 (recuit) de 18 mm de diàmetre nominal, de 0.8 de gruix, segons normaUNE-EN 1057, soldat per capil·laritat, amb grau de dificultat mitjà i col·locat superficialment</t>
  </si>
  <si>
    <t>EY00FO03</t>
  </si>
  <si>
    <t>ud</t>
  </si>
  <si>
    <t>Escomesa des de la xarxa de distribució d'aigua per a l'edifici. Format per: 
- Clau de pas de la companyia al carrer (inclòs l'arqueta prefabricada segons indicacions de la companyia subministradora).
- Pericó d'abonat segons detalls de companyia.
- Filtre i vàlvules.
- Clau de pas de l'edifici.
El comptador haurà de quedar instal·lat segons normes de la companyia subministradora i de manera que permeti un fàcil lectura, reparació o substitució. 
Inclou les proves de l'instal·lació d'aigüa, pintat de tubs vistos  i la instal·lació de rètols indicatius. Tot segons esquemes de fontaneria i normativa vigent.
Inclou certificat d'instal·lació i les proves ¡ certificats necessaris segons CTE.</t>
  </si>
  <si>
    <t>EY00FO08</t>
  </si>
  <si>
    <t>Inclou tots els tràmits i gestions corresponents amb la companyia fins a obtindre el subministrament d'aigua definitiu.</t>
  </si>
  <si>
    <t>VALVULERIA</t>
  </si>
  <si>
    <t>01.06.03.02</t>
  </si>
  <si>
    <t>PN38-HE1A</t>
  </si>
  <si>
    <t>Vàlvula de bola manual amb rosca, de dues peces amb pas total, de llautó, de diàmetre nominal 1/2, de 16 bar de PN i preu alt, muntada superficialment</t>
  </si>
  <si>
    <t>PN38-H3NT</t>
  </si>
  <si>
    <t>Vàlvula de bola manual amb rosca, de dues peces amb pas total, de llautó, de diàmetre nominal 3/4, de 16 bar de PN i preu alt, muntada superficialment</t>
  </si>
  <si>
    <t>PN38-HJ41</t>
  </si>
  <si>
    <t>Vàlvula de bola manual amb rosca, de dues peces amb pas total, de llautó, de diàmetre nominal 1, de 16 bar de PN i preu alt, muntada superficialment</t>
  </si>
  <si>
    <t>PN38-EC62</t>
  </si>
  <si>
    <t>Vàlvula de bola manual amb rosca, de dues peces amb pas total, de llautó, de diàmetre nominal 1´´1/4, de 25 bar de PN i preu alt, muntada superficialment</t>
  </si>
  <si>
    <t>PN38-ESC1</t>
  </si>
  <si>
    <t>Vàlvula de bola manual d'escaire amb rosca, de dues peces amb pas total, de llautó, de diàmetre nominal 1/2´´ - 3/8´´, de 16 bar de PN i preu mig, muntada superficialment</t>
  </si>
  <si>
    <t>APARELLS SANITARIS I AIXETES</t>
  </si>
  <si>
    <t>01.06.03.03</t>
  </si>
  <si>
    <t>EVACUACIO D'AIGÜES</t>
  </si>
  <si>
    <t>NOTA</t>
  </si>
  <si>
    <t>01.06.04.00</t>
  </si>
  <si>
    <t>ZNOTA01</t>
  </si>
  <si>
    <t>S'hauran de complir amb tots els requisits que inclou el c.t.e., respecte a la documentació, identificació i idoneïtat dels materials, el procés d'execució, i les comprovacions finals i les toleràncies admissibles, específiques d'aquest capítol.
-Es preveu la separació de xarxes pluvials i fecals. Tota la xarxa anirà degudament senyalitzada amb colors diferents per cada tipus. 
-Els col·lectors es col·locaran amb un pendent mínim del 2%
-Tota la xarxa de sanejament es fixarà amb espàrrecs de rosca i abraçadores amb goma antivibració.
Queden incloses al cost del capítol, si no s'esmenta el contrari en partides específiques, els següents conceptes amb caràcter enunciatiu i no limitatiu:
-La protecció dels tubs en el garatge en cas de ser necessaria
-La col·locació de dilatadors en els tubs quan sigui necessari
-Peces especials als baixants per a juntes de dilatació
-La ventil·lació dels baixants fins a coberta amb tub del mateix diàmetre.
-L'Aíllament amb compost polímer tipus PKB2 d'acústica integral dels baixants i claveguerons que transcorrin pels sostres dels habitatges i locals de planta baixa fora dels nuclis humits o diferents usos. 
-Registres en tots els inicis i canvis de direcció de la xarxa de claveguerons vistos del sostre del garatge o local comercial, fets amb peces especials, no amb empelts. 
-Les proves de control d'execució i de servei previstes en el CTE
-La formació de passos en els forjats i murs per a tota la xarxa de sanejament i el segellat amb material elàstic entre el forat i el tub.
Cal tenir en compte l'obligatorietat de:
- Tots els elements principals com secundaris, suportacions, etc.. disposaran de certificat CE, certificat d'homologació (de tots els equips, elements, accessoris, etc.), amb la totalitat dels certificats corresponents.
- Manual d'instruccions i garanties de tots els elements.
- Realització i entrega de protocols de proves de la instal·lació segons normativa aplicable. 
- Es presentarà documentació gràfica com a plànols de taller, previ a l'inici de l'execució de les obres, com aprovació definitiva al muntatge en obra.
- Es presentaran mostres dels elements i dels colors en obra, per a ser valorat per la Direcció Facultativa.
- Incloure els certificats d'instal·lació per part dels instal·ladors per a aquesta obra en concret.
- Les partides inclourà el cost per executar la part proporcional d'ajudes de paleteria: obertura, tapat i segellat de forats a envans, fals sostre, jàsseres de formigó o metàl·liques, per encastar o passar elements o pas d'instal·lacions. Ídem per les rases d'obra civil per a la zona d'urbanització, terraplenat de noves terres i recobriment de formigó. Alhora es tindrà en compte la restitució de qualsevol element defectuós i malmès, com també el repàs de final d'obra amb la reparació de tots aquells desperfectes que es puguin ocasionar durant el transcurs de l'obra.
- En les partides es repercutirà la realització del asbuilt de la instal·lació (DOC, CAD, PDF i RVT), reflectint en plànols, memòries i esquemes l'estat final d'aquesta. Es lliurarà còpia en paper i Pdf d'aquests documents (a la Propietat i a la Direcció Facultativa) així com en format digital, a més de plastificar els esquemes i col·locar-los a l'interior de les sales tècniques.
- En les partides es repercutirà la posada en funcionament de la mateixa, certificada i aprovada per el fabricant corresponent, així com formació de dossier reduïts amb manuals d'utilització, garanties, manteniment bàsic de la instal·lació.
- Estan incloses totes les proves de control de qualitat, tant per la part interna de la mateixa constructora/instal·ladora, com per una entitat de control externa.
- Es donarà compliment a tota la normativa vigent al respecte.
- S'inclou dins aquestes partides, el cost econòmic dels projectes de legalització corresponents a cada tipologia d'instal·lació, a més dels tràmits amb indústria, honoraris de les ECA necessàries, incloent el pagament de les taxes de cada un dels tràmits fins a obtenir el vist i plau.
- Inclou tot el segellat de passos d'instal·lacions, collarins intumescents, comportes tallafocs, etc.. (tota la protecció al foc passiva per donar compliment a la sectorització del DBSI de projecte), per deixar tota la instal·lació 100% finalitzada i en perfecte funcionament.
- La instal·lació quedarà enllestida per ser utilitzada correctament immediatament a l'entrega de l'obra.
- Totes les canonades interiors no soterrades seran de polipropilé insonoritzat, les canonades soterrades a l'interior de l'edifici seran de la sèrie D o BD, i les canonades soterrades a l'exterior de l'edifici seran de la sèrie U o UD.
- El sanejament soterrat es realitzarà per linterior de la llosa de fonamentació respectant els pendents marcats pel CTE.
- L'escomesa respectiva fins a les connexions a les unitats terminals. Inclouen canonades i aïllaments, sistemes de circulació de fluids, elements de protecció, sistemes de control, valvuleria i accessoris totalment acabada segons plànols, memòries, plecs de condicions i normativa vigent en el moment de l'execució de l'obra.
- Inclou la part proporcional de tràmits (petició de subministrament, sol·licituds d'autorització, projectes, legalitzacions, etc..) amb l'Administració, pagaments de canons i llicències d'obra per a l'execució de les tasques fins a la perfecta connexió del sanejament de l'edifici amb el clavegueram municipal.
- L'escomesa es realitzarà segons indicacions i prescripcions de la companyia corresponent
Proves de pressió ,funcionament i certificat d'instal·lació.
Normativa vigent a donar compliment:
- CTE DB HS 5 Evacuació d'aigües 
                   RD 314/2006 (BOE 28/03/2006) i les seves posteriors modificacions
- Es regula l'adopció de criteris ambientals i d'ecoeficiència en els edificis  
                   D 21/2006 (DOGC 16/02/2006) I D111/2009 (DOGC16/7/2009) 
- Ordenances municipals</t>
  </si>
  <si>
    <t>PETITA EVACUACIÓ</t>
  </si>
  <si>
    <t>01.06.04.01</t>
  </si>
  <si>
    <t>PD1A-F125</t>
  </si>
  <si>
    <t>Desguàs d'aparell sanitari amb tub de PVC-U de paret massissa, àrea d'aplicació B segons norma UNE-EN 1329-1, classe de reacció al foc B-s1, d0 segons norma UNE-EN 13501-1, de DN 110 mm, fins a baixant, caixa o clavegueró</t>
  </si>
  <si>
    <t>PD1A-F124</t>
  </si>
  <si>
    <t>Desguàs d'aparell sanitari amb tub de PVC-U de paret massissa, àrea d'aplicació B segons norma UNE-EN 1329-1, classe de reacció al foc B-s1, d0 segons norma UNE-EN 13501-1, de DN 75 mm, fins a baixant, caixa o clavegueró</t>
  </si>
  <si>
    <t>PD1A-F122</t>
  </si>
  <si>
    <t>Desguàs d'aparell sanitari amb tub de PVC-U de paret massissa, àrea d'aplicació B segons norma UNE-EN 1329-1, classe de reacció al foc B-s1, d0 segons norma UNE-EN 13501-1, de DN 50 mm, fins a baixant, caixa o clavegueró</t>
  </si>
  <si>
    <t>PD1A-F121</t>
  </si>
  <si>
    <t>Desguàs d'aparell sanitari amb tub de PVC-U de paret massissa, àrea d'aplicació B segons norma UNE-EN 1329-1, classe de reacció al foc B-s1, d0 segons norma UNE-EN 13501-1, de DN 40 mm, fins a baixant, caixa o clavegueró</t>
  </si>
  <si>
    <t>01.06.04.02</t>
  </si>
  <si>
    <t>PD16-HAWY</t>
  </si>
  <si>
    <t>Baixant de tub de xapa de zinc-titani amb unió longitudinal electrosoldada, de diàmetre nominal 100 mm i de 0,6 mm de gruix, incloses les peces especials i fixat mecànicament amb brides</t>
  </si>
  <si>
    <t>PD18-8D5Q</t>
  </si>
  <si>
    <t>Baixant de tub de PVC-U de paret massissa, àrea d'aplicació B segons norma UNE-EN 1329-1, de DN 110 mm, classe de reacció al foc B-s1, d0 segons norma UNE-EN 13501-1, incloses les peces especials i fixat mecànicament amb brides</t>
  </si>
  <si>
    <t>PD781-EUUZ</t>
  </si>
  <si>
    <t>Clavegueró amb 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de combustible</t>
  </si>
  <si>
    <t>PD781-Q0MG</t>
  </si>
  <si>
    <t>Clavegueró amb Tub de PVC-U de paret sòlida per a sanejament soterrat sense pressió, superfícies interna llisa i externa llisa, diàmetre nominal DN 160, classe de rigidesa anular SN 2 (rigidesa anular &gt;= 2kN/m2),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de combustible</t>
  </si>
  <si>
    <t>PD781-Q0MH</t>
  </si>
  <si>
    <t>Clavegueró amb Tub de PVC-U de paret sòlida per a sanejament soterrat sense pressió, superfícies interna llisa i externa llisa, diàmetre nominal DN 200, classe de rigidesa anular SN 2 (rigidesa anular &gt;= 2kN/m2), codi d'àrea d'aplicació U (ús en l'exterior de l'estructura dels edificis), fabricació segons norma UNE-EN 1401-1, de color taronja-marró RAL 8023, per a unió elàstica amb anella elastomèrica d'estanquitat, col·locat al fons de la rasa sobre llit de sorra de 10 cm de gruix, inclòs el reblert del recolzament del tub, amb picó vibrant de combustible</t>
  </si>
  <si>
    <t>VARIS</t>
  </si>
  <si>
    <t>01.06.04.03</t>
  </si>
  <si>
    <t>PD59-H8KK</t>
  </si>
  <si>
    <t>Canal de formigó prefabricat de mides exteriors 30x30 cm amb tapa canal de formigó tipus reixeta, col·locada sobre llit de Formigó d'ús no estructural HNE-20/B/20 de resistència a compressió 20 N/mm2, consistència tova i grandària màxima del granulat 20 mm de 10 cm de gruix, totalment acabada</t>
  </si>
  <si>
    <t>PD5H-61UF</t>
  </si>
  <si>
    <t>Drenatge perimetral de fonament corregut, amb excavació de rasa 1 m d'amplària i fins a 1 m de fondària, amb miniexcavadora de combustible, capa de neteja i anivellament de formigó de 10 cm de gruix, per a recolzament de tub de PVC per a drenatges ranurat de diàmetre 125 mm, capa filtrant amb geotèxtil, reblert de la rasa amb graves per a drenatge, i càrrega de terres</t>
  </si>
  <si>
    <t>PD7FSIFO</t>
  </si>
  <si>
    <t xml:space="preserve">Sifó en arqueta amb tub de PVC-U de paret massissa i geometria suau sense angles massa tancats, àrea aplicació B segons norma UNE-EN 1329-1, de DN 200 mm, amb 2 taps de registrables en els colzes superiors. </t>
  </si>
  <si>
    <t>PD7FVENT</t>
  </si>
  <si>
    <t>Subministrament i muntatge de ventilació de la xarxa de sanejament pública des de deprés de la connexió del sifó general de l'edifici fins a la coberta, segons normativa municipal, amb tub de polipropilè reciclat de paret tricapa per a evacuació insonoritzada, segons norma UNE-EN 1451-1, de Ø 90mm. fixat mecàmicament al sostre o pareaments verticals.</t>
  </si>
  <si>
    <t>ED11SA01</t>
  </si>
  <si>
    <t>Accesoris pou existent.
Inclou:
- Sistema de boies.
- Bomba simple per reg.
- Connexions de nous col·lectors de pluvials.
- Connexió de sobreeixidor.
Inclou tots els accesoris necessaris per al correcte funcionament de l'equip.
Inclos posta en marxa.</t>
  </si>
  <si>
    <t>PG19-E009</t>
  </si>
  <si>
    <t>Despeses per drets de connexió de servei a, drets d'accès i drets d'escomesa. Inclou obra civil i tot lo necessari segons indicació de Companyia. NOTA: AQUESTA PARTIDA CALDRÀ JUSTIFICAR-LA.
Treballs d'obra civil de connexió a la xarxa publica d'evacuació des de façana de l'edifici fins a la claveguera. Incloent taxes del Servei Municipal de Clavegueram.
S'inclou travessar el mur, l'enderroc de paviments, excavació de la rasa, col·locació de tub diàmetre 200mm, entroncament a clavegueram públic s/ especificacions AJS, reblert de la rasa, reposició de paviments i transport a abocador de restes d'obra.
Inclou mitjans auxiliars, materials i tot el necessari per executar la partida segons planols de detall i/o indicacions de la DF.
** Segons serveis de viabilitat de l'Ajuntament del Masnou</t>
  </si>
  <si>
    <t>EY00SATR</t>
  </si>
  <si>
    <t>Inclou tots els tràmits i gestions corresponents amb la companyia fins a obtindre la connexió definitiva a la xarxa pública.</t>
  </si>
  <si>
    <t>INTAL·LACIONS TÈRMIQUES. CLIMATITZACIÓ - VENTILACIÓ</t>
  </si>
  <si>
    <t>TERRA RADIANT</t>
  </si>
  <si>
    <t>01.06.05.01</t>
  </si>
  <si>
    <t>PE93-ARM1</t>
  </si>
  <si>
    <t>Subministrament i muntatge d'rmari REHAU UP-I 5 de 80 mm de profunditat mínima amb Col·lector REHAU polimèric monobloc P HKV-D.
Instal·lació encastada i regulable en alçada i en profunditat. Material acer galvanitzat amb part frontal lacada a color blanc. Compost de: plantilla per a instal·lació, fixació per a col·lector regulable en alçada ia l'amplada, perfil de acabat per al paviment i marc amb porta enrasada i tancament. Mides: Ample 500 x Alt 750-850 x Profunditat 80-130 mm.
Totalment muntat i en funcionament.
Inclou tots els accesoris necessaris per a la seva instal·lació i el seu correcte funcionament.</t>
  </si>
  <si>
    <t>PE93-ARM2</t>
  </si>
  <si>
    <t>Subministrament i muntatge d'rmari REHAU UP-I 8,5 de 80 mm de profunditat mínima amb Col·lector REHAU polimèric monobloc P HKV-D.
Instal·lació encastada i regulable en alçada i en profunditat. Material acer galvanitzat amb part frontal lacada a color blanc. Compost de: plantilla per a instal·lació, fixació per a col·lector regulable en alçada ia l'amplada, perfil de acabat per al paviment i marc amb porta enrasada i tancament. Mides: Ample 850 x Alt 750-850 x Profunditat 80-130 mm
Totalment muntat i en funcionament.
Inclou tots els accesoris necessaris per a la seva instal·lació i el seu correcte funcionament.</t>
  </si>
  <si>
    <t>PE90-COL1</t>
  </si>
  <si>
    <t>Subministrament i muntatge de col·lector polimèric REHAU RAUTHERM SPEED HKV-D P compacte per a 4 circuits. Material tecnopolímer amb 1” de diàmetre interior. Camp de temperatura: 4 a +90 °C. Pressió màxima de feina: 6 bar. Apte per a calefacció i refrescament per superfícies radiants. Les derivacions dels circuits són del tipus de connexió push-fit per canonada REHAU PE-Xa RAUTHERM Speed 16 x 1,5 mm. El col·lector d'impulsió incorpora cabalímetres amb regulació de 0 a 210 l/ha cada circuit. El col·lector de tornada incorpora claus de tancament a cada circuit preparades per a l'accionament amb actuador elèctric. Les connexions principals de 1” femella es poden fer des de baix o bé horitzontalment, incorporen clau d'esfera amb termòmetre i vénen a la banda esquerra amb la possibilitat de canvi a la dreta. El col·lector incorpora també purgadors, claus d'ompliment i buidatge i accessoris per instal·lar en armari o bé a paret.
Totalment muntat i en funcionament.
Inclou tots els accesoris necessaris per a la seva instal·lació i el seu correcte funcionament.</t>
  </si>
  <si>
    <t>PE90-COL2</t>
  </si>
  <si>
    <t>Subministrament i muntatge de col·lector polimèric REHAU RAUTHERM SPEED HKV-D P compacte per a 9 circuits. Material tecnopolímer amb 1” de diàmetre interior. Camp de temperatura: 4 a +90 °C. Pressió màxima de feina: 6 bar. Apte per a calefacció i refrescament per superfícies radiants. Les derivacions dels circuits són del tipus de connexió push-fit per canonada REHAU PE-Xa RAUTHERM Speed 16 x 1,5 mm. El col·lector d'impulsió incorpora cabalímetres amb regulació de 0 a 210 l/ha cada circuit. El col·lector de tornada incorpora claus de tancament a cada circuit preparades per a l'accionament amb actuador elèctric. Les connexions principals de 1” femella es poden fer des de baix o bé horitzontalment, incorporen clau d'esfera amb termòmetre i vénen a la banda esquerra amb la possibilitat de canvi a la dreta. El col·lector incorpora també purgadors, claus d'ompliment i buidatge i accessoris per instal·lar en armari o bé a paret.
Totalment muntat i en funcionament.
Inclou tots els accesoris necessaris per a la seva instal·lació i el seu correcte funcionament.</t>
  </si>
  <si>
    <t>PE90-PAN1</t>
  </si>
  <si>
    <t>Subministrament i muntatge de panell aïllant REHAU amb nopes ´´EASY NOP GREY 65´´ d'EPS-Poliestirè expandit. Material de revestiment PS rígid, apte per a morter normal i autoanivellant amb tipologia constructiva A segons UNE EN 1264. Gruix base de 43 mm i alçada total 65 mm amb 1,26 (m²K)/W de resistència tèrmica efectiva segons UNE 1264-3. Declaració de prestacions conforme a EN 13163 i marcatge CE. Euroclasse E de reacció al foc conforme EN 13501. Distàncies de col·locació múltiples de 5 cm. Dimensió del panell col·locat 1400 x 800 mm. Apte per a tubs Rehau Rautherm 16x1,5-16x2,0-17x2,0 i Rautherm ML 16x2,0.
Totalment muntat i en funcionament.
Inclou tots els accesoris necessaris per a la seva instal·lació i el seu correcte funcionament.</t>
  </si>
  <si>
    <t>PE93-FILM</t>
  </si>
  <si>
    <t>Subministrament i muntatge de foli de protecció REHAU. Material: làmina PE polietilè gruix 0,2 mm per a la protecció d'absorció de humitat de l'aïllament tèrmic segons norma DIN 18560 i UNE EN 1264. Subministrament: rotllos 100m de longitud i ample 600 mm a doble capa.
Totalment muntat i en funcionament.
Inclou tots els accesoris necessaris per a la seva instal·lació i el seu correcte funcionament.</t>
  </si>
  <si>
    <t>PE93-TU16</t>
  </si>
  <si>
    <t>Subministrament i muntatge de tub REHAU per a calefacció/refrescament Rautherm Speed 16x1,5 mm, SDR 11, Classe d'aplicació 4/8 bar.
Material PE-Xa amb capa EVAL-barrera antioxigen segons UNE EN 1264. Homologació DIN CERTCO i marcat AENOR segons UNE EN ISO 15875. Subministrament en rotlles de 500 metres. Color: taronja.
Totalment muntat i en funcionament.
Inclou tots els accesoris necessaris per a la seva instal·lació i el seu correcte funcionament.</t>
  </si>
  <si>
    <t>PE93-BAPE</t>
  </si>
  <si>
    <t>Subministrament i muntatge de aïllament perimetral REHAU autoadhesiu d'escuma de PE-Polietilè. Funció d'absorció de les dilatacions del paviment i d'aïllament termoacústic. Incorpora un faldó integrat de Polietilè per evitar infiltracions del morter autoanivellant. Alçada 150 mm i gruix de 10 mm. Color gris
Totalment muntat i en funcionament.
Inclou tots els accesoris necessaris per a la seva instal·lació i el seu correcte funcionament.</t>
  </si>
  <si>
    <t>PE93-ADIT</t>
  </si>
  <si>
    <t>Subministrament d'additiu REHAU per aconseguir un morter de ciment CT-C25-F4 segons UNE EN 13813 i DIN 18560 amb 45 mm de morter per sobre del tub. Millora la conductivitat tèrmica i augmenta la resistència a la flexotracció. Subministrament en envàs de plàstic de 10 kg.
Totalment muntat i en funcionament.
Inclou tots els accesoris necessaris per a la seva instal·lació i el seu correcte funcionament.</t>
  </si>
  <si>
    <t>PE93-GRAP</t>
  </si>
  <si>
    <t>Subministrament i muntatge de pont REHAU per a panell de nopes, per a la fixació addicional dels tubs Rehau PE-Xa Rautherm S als panells aïllants amb nopes, en traçats en diagonal, corbes i a 45º respecte a la direcció principal de traçat. Material: PE. Color negre.
Totalment muntat i en funcionament.
Inclou tots els accesoris necessaris per a la seva instal·lació i el seu correcte funcionament.</t>
  </si>
  <si>
    <t>PE93-JUPE</t>
  </si>
  <si>
    <t>Subministrament i muntatge de perfil REHAU per a juntes de dilatació en paviments radiants de morter segons UNE EN 1264. Escuma de PE- LD Polietilè de baixa densitat de cel·les tancades. Amb cinta autoadhesiva a la cara inferior de la base. Color: gris.
Totalment muntat i en funcionament.
Inclou tots els accesoris necessaris per a la seva instal·lació i el seu correcte funcionament.</t>
  </si>
  <si>
    <t>PE93-GUIA</t>
  </si>
  <si>
    <t>Subministrament i muntatge de corba guia REHAU de 90° per als tubs PE-Xa RAUTHERM S 16/17. temperatures de -5 °C fins a +60 °C.
Totalment muntat i en funcionament.
Inclou tots els accesoris necessaris per a la seva instal·lació i el seu correcte funcionament.</t>
  </si>
  <si>
    <t>VENTILACIÓ</t>
  </si>
  <si>
    <t>Elemental</t>
  </si>
  <si>
    <t>EQUIPS</t>
  </si>
  <si>
    <t>01.06.05.02.01</t>
  </si>
  <si>
    <t>PEJ0-RE01</t>
  </si>
  <si>
    <t>Unitat de recuperació d'aire marca AIRLAN sèrie HRA, construït amb panells sandvitx de 25 mm d'espessor i estructura de perfileria d'alumini amb unions de niló d'alta resistència, fabricats en xapa d'acer galvanitzat prepintat exterior i acer galvanitzat interior, amb aïllament de llana mineral de 40 Kg/m3 de densitat. Recuperador a contraflux d'alta eficiència amb rendiments secs superiors al 73%, amb comporta de bypass per fer free cooling. 
Inclou:
- Grups motoventiladors PLUG FAN, motors EC tipus BRUSHLESS, amb un disseny optimitzat i sobredimensionat per minimitzar limpacte acústic. Disponible en configuració vertical i horitzontal. Registre lateral per a tots els components. Inclou una o dues etapes de filtració a
impulsió i una en extracció a triar entre les següents combinacions:
IDA-2: F6+F8 / F6
Composat per:
- Compta amb una estructura formada per perfileria d'alumini estruït i angulars de niló. Panell sandvitx de 25 mm de gruix. fabricats en xapa d'acer galvanitzat prepintat exterior i acer galvanitzat interior, amb aïllament de 25 mm de llana mineral de 40Kg/m3 de densitat.
- Recuperador a contraflux d'alta eficiència. certificat per Eurovent. fabricat amb estructura i aletes dalumini. Optimitzat per minimitzar pèrdues de càrrega i màximitzar rendiment.
- Freecooling/ Free heating parcial amb comporta monotoritzada de by-pass integrada de sèrie.
- Plugfan de pales cap enrere amb rodet de plàstic i motor EC d'alt rendiment.
- Incorpora quadre de control i força instal·lador i cablejat adossat al recuperador amb classe IP65. La regulació es realitza mitjançant controlador electrònic amb pantalla tàctil embeguda al propi dispositiu. per visualitzar tota la informació o realitzar modificacions i ajustaments. Incorpora protocol Modbus RTU de sèrie.
- L'equip compta amb arrencada mitjançant programació horària o contacte remot ON/OFF.
- Control de l'equip mitjançant sondes de temperatura ja cablejades a l'equip que permeten la gestió automàtica i intel·ligent del Freeheating i freecooling mitjançant comporta de by-pass.
- Regulació automàtica de la pressió de la instal·lació mitjançant l'accessori de transductor de pressió constant HRA_TP.
- Presòstats externs per a la detecció de filtres bruts, que crea una alarma, amb l'accessori HRA_P.
Cabal: 4.000 m3/h
HRA4000VA2
Consta de:
Filtres IDA 2 F6+F8/F6
Sustentació per orelletes
Quadre de força incorporat
Control parametritzat per cabal constant
Presa de pressió dels ventiladors
Opcionals inclosos:
- HRA_P: Presostatos de filtro sucio
- HRA_CO2: Sonda calidad de aire CO2
- HRA_DISPLAY: Mando ambiente
- HRA_TP: Transductor de presión constante
Inclòs connexió elèctrica, control integral i independent, mesurament mitjançant transductor en el ventilador, bancada (fins i tot comprovació de càrregues sobre la mateixa), antivibratoris, elements auxiliars i petit material de muntatge, mitjans de transport, elevació, posada en marxa per part del fabricant i ajuda de paleta si cal.
Totalment instal·lat, cablejat, connexionat i en funcionament.  
Per a més informació de l'equip, veure fitxa tècnica en annexos del projecte.</t>
  </si>
  <si>
    <t>PEJ0-RE02</t>
  </si>
  <si>
    <t>Unitat de recuperació d'aire marca AIRLAN sèrie HRA, construït amb panells sandvitx de 25 mm d'espessor i estructura de perfileria d'alumini amb unions de niló d'alta resistència, fabricats en xapa d'acer galvanitzat prepintat exterior i acer galvanitzat interior, amb aïllament de llana mineral de 40 Kg/m3 de densitat. Recuperador a contraflux d'alta eficiència amb rendiments secs superiors al 73%, amb comporta de bypass per fer free cooling. 
Inclou:
- Grups motoventiladors PLUG FAN, motors EC tipus BRUSHLESS, amb un disseny optimitzat i sobredimensionat per minimitzar limpacte acústic. Disponible en configuració vertical i horitzontal. Registre lateral per a tots els components. Inclou una o dues etapes de filtració a
impulsió i una en extracció a triar entre les següents combinacions:
IDA-2: F6+F8 / F6
Composat per:
- Compta amb una estructura formada per perfileria d'alumini estruït i angulars de niló. Panell sandvitx de 25 mm de gruix. fabricats en xapa d'acer galvanitzat prepintat exterior i acer galvanitzat interior, amb aïllament de 25 mm de llana mineral de 40Kg/m3 de densitat.
- Recuperador a contraflux d'alta eficiència. certificat per Eurovent. fabricat amb estructura i aletes dalumini. Optimitzat per minimitzar pèrdues de càrrega i màximitzar rendiment.
- Freecooling/ Free heating parcial amb comporta monotoritzada de by-pass integrada de sèrie.
- Plugfan de pales cap enrere amb rodet de plàstic i motor EC d'alt rendiment.
- Incorpora quadre de control i força instal·lador i cablejat adossat al recuperador amb classe IP65. La regulació es realitza mitjançant controlador electrònic amb pantalla tàctil embeguda al propi dispositiu. per visualitzar tota la informació o realitzar modificacions i ajustaments. Incorpora protocol Modbus RTU de sèrie.
- L'equip compta amb arrencada mitjançant programació horària o contacte remot ON/OFF.
- Control de l'equip mitjançant sondes de temperatura ja cablejades a l'equip que permeten la gestió automàtica i intel·ligent del Freeheating i freecooling mitjançant comporta de by-pass.
- Regulació automàtica de la pressió de la instal·lació mitjançant l'accessori de transductor de pressió constant HRA_TP.
- Presòstats externs per a la detecció de filtres bruts, que crea una alarma, amb l'accessori HRA_P.
Cabal: 1.000 m3/h
HRA1400VA2
Consta de:
Filtres IDA 2 F6+F8/F6
Sustentació per orelletes
Quadre de força incorporat
Control parametritzat per cabal constant
Presa de pressió dels ventiladors
Opcionals inclosos:
- HRA_P: Presostatos de filtro sucio
- HRA_CO2: Sonda calidad de aire CO2
- HRA_DISPLAY: Mando ambiente
- HRA_TP: Transductor de presión constante
Inclòs connexió elèctrica, control integral i independent, mesurament mitjançant transductor en el ventilador, bancada (fins i tot comprovació de càrregues sobre la mateixa), antivibratoris, elements auxiliars i petit material de muntatge, mitjans de transport, elevació, posada en marxa per part del fabricant i ajuda de paleta si cal.
Totalment instal·lat, cablejat, connexionat i en funcionament.  
Per a més informació de l'equip, veure fitxa tècnica en annexos del projecte.</t>
  </si>
  <si>
    <t>PEJ0-RE03</t>
  </si>
  <si>
    <t>Subministrament i muntatge de maquina de ventilació ORKLI amb intercanviador de calor a contraflux d'alta eficiencia. Amb un cabal de 200m3/h (100 Pa), ventiladors tipus CE i compatibles amb senyal externa per a control de temperatura i velocitat.
Inclou comandament de control.
Inclòs connexió elèctrica, control integral i independent, mesurament mitjançant transductor en el ventilador, bancada (fins i tot comprovació de càrregues sobre la mateixa), antivibratoris, elements auxiliars i petit material de muntatge, mitjans de transport, elevació, posada en marxa per part del fabricant i ajuda de paleta si cal.
Totalment instal·lat, cablejat, connexionat i en funcionament.  
Per a més informació de l'equip, veure fitxa tècnica en annexos del projecte.</t>
  </si>
  <si>
    <t>PEM3-VE01</t>
  </si>
  <si>
    <t>Subministrament i muntatge de Extractors en línia per a conductes, amb baix nivell sonor muntats dins una envolupant acústica de 40 mm d'aïllant acústic fonoabsorbent Inclou interruptor aturada/marxa.
Ventilador:
. Envoltant acústica recoberta de material fonoabsorbent
. SV: Turbina amb àleps a reacció, excepte models 125-150-200, amb turbina multipala
. SVE/PLUS: Turbina amb àleps a reacció excepte models 100-125-150-160-200/H, amb turbina multipala.
. Brides normalitzades en aspiració i impulsió, per facilitar la instal·lació en conductes
. SVE/PLUS: Equipats amb tapa registre abatible, excepte models 100-125-160/L-150/L
. SVE/PLUS: Peus suport integrats a la caixa, que faciliten el muntatge
. SV: Se subministren amb 4 peus de suport que faciliten el muntatge
. Direcció aire sentit lineal
Motor:
. Motors de rotor exterior, amb protector tèrmic incorporat, classe F, amb rodaments a boles, protecció IP54
. Monofàsics 230V 50Hz/60Hz regulables.
. SV: Models 125, 150 i 200 monofàsics 230V 50Hz.
. SVE/PLUS: Models 150/H, 160/H i 200/H monofàsics 230V 50Hz.
. Temperatura màxima de l'aire que cal transportar: + 50ºC
Acabat:
. SV: Anticorrosiu en resina de polièster polimeritzada a 190 ºC, previ desgreixatge amb tractament nanotecnològic lliure de fosfats.
. SVE/PLUS: Anticorrosiu amb xapa d'acer galvanitzada
Inclou convertidor de freqüencia model SODECA o equivalent.
Marca SODECA model SVE/PLUS-100/L per a un cabal 290 m³/h i pressió estàtica 150 Pa o equivalent.
Totalment muntat i en funcionament. Inclou tots els accessoris necessaris per al seu correcte funcionament.</t>
  </si>
  <si>
    <t>01.06.05.02.02</t>
  </si>
  <si>
    <t>PE53-4UF4</t>
  </si>
  <si>
    <t>Formació de conducte rectangular de placa de llana mineral de roca (MW) per a aïllaments (106 a 115 kg/m3), de 25 mm de gruix, amb paper kraft-alumini per la cara externa i tel natural per l'altra cara, muntat encastat en el cel ras</t>
  </si>
  <si>
    <t>PE421-48R7</t>
  </si>
  <si>
    <t>Conducte helicoïdal circular de planxa d'acer galvanitzat de 100 mm de diàmetre (s/UNE-EN 1506), de gruix 0,5 mm, muntat superficialment</t>
  </si>
  <si>
    <t>PE421-48R9</t>
  </si>
  <si>
    <t>Conducte helicoïdal circular de planxa d'acer galvanitzat de 125 mm de diàmetre (s/UNE-EN 1506), de gruix 0,5 mm, muntat superficialment</t>
  </si>
  <si>
    <t>PE421-48RD</t>
  </si>
  <si>
    <t>Conducte helicoïdal circular de planxa d'acer galvanitzat de 150 mm de diàmetre (s/UNE-EN 1506), de gruix 0,5 mm, muntat superficialment</t>
  </si>
  <si>
    <t>PE421-48RK</t>
  </si>
  <si>
    <t>Conducte helicoïdal circular de planxa d'acer galvanitzat de 225 mm de diàmetre (s/UNE-EN 1506), de gruix 0,5 mm, muntat superficialment</t>
  </si>
  <si>
    <t>PE41-38X2</t>
  </si>
  <si>
    <t>Tub flexible amb Conducte circular d'alumini+espiral d'acer+polièster i feltre de llana mineral de vidre de 102 mm de diàmetre sense gruixos definits, col·locat</t>
  </si>
  <si>
    <t>PE41-38X4</t>
  </si>
  <si>
    <t>Tub flexible amb Conducte circular d'alumini+espiral d'acer+polièster i feltre de llana mineral de vidre de 254 mm de diàmetre sense gruixos definits, col·locat</t>
  </si>
  <si>
    <t>DIFUSIÓ</t>
  </si>
  <si>
    <t>01.06.05.02.03</t>
  </si>
  <si>
    <t>PEKR-J0QP</t>
  </si>
  <si>
    <t>U</t>
  </si>
  <si>
    <t>Boca d'extracció circular de PVC, de 125 mm de diàmetre, fixada al parament i conectada al conducte</t>
  </si>
  <si>
    <t>PEKJ-38LZ</t>
  </si>
  <si>
    <t>Reixeta d'impulsió o retorn, d'una filera d'aletes fixes horitzontals, d'alumini anoditzat platejat, de 200x100 mm, d'aletes separades 20 mm, de secció corba 45 °, totes en el mateix sentit i fixada al bastiment</t>
  </si>
  <si>
    <t>PEKC-BSS7</t>
  </si>
  <si>
    <t>Multitovera de llarg abast orientable manualment per a instal·lar en parament vertical o horitzontal, formada per placa de 500 x 100 mm d'acer galvanitzat lacat, amb 5 toveres de 80 mm de diàmetre i 44 mm de diàmetre de boca, d'alumini lacat de color especial, distribuïdes en una fila, fixada mecànicament</t>
  </si>
  <si>
    <t>INSTAL·LACIÓ ELÈCTRICA</t>
  </si>
  <si>
    <t>NOTA ELECTRICITAT</t>
  </si>
  <si>
    <t>01.06.06.00</t>
  </si>
  <si>
    <t>ZNOTAELE</t>
  </si>
  <si>
    <t>Instal·lació elèctrica comptabilitzada des de l'escomesa respectiva fins a les connexions a les unitats terminals. Inclouen els circuits de producció i distribució, sistemes interns, elements de protecció, sistemes de control, i tot el que calgui per al correcte subministrament, col·locació, muntatge, instal·lació i funcionament d'aquesta.
Inclouen també el transport, medis auxiliars, documentació requerida per normativa vigent, certificats, manuals i garanties, as-built, ajudes de paleteria (excavació, repicats i restitució dels elements)  i posada en marxa.
Cal tenir en compte l'obligatorietat de:
- Tots els elements principals com secundaris, suportacions, etc.. disposaran de certificat CE, certificat d'homologació (de tots els equips, elements, accessoris, etc.), amb la totalitat dels certificats corresponents.
- Manual d'instruccions i garanties de tots els elements.
- Realització i entrega de protocols de proves de la instal·lació segons normativa aplicable. 
- Es presentarà documentació gràfica com a plànols de taller, previ a l'inici de l'execució de les obres, com aprovació definitiva al muntatge en obra.
- Es presentaran mostres dels elements i dels colors en obra, per a ser valorat per la Direcció Facultativa.
- Incloure els certificats d'instal·lació per part dels instal·ladors per a aquesta obra en concret.
- Les partides inclourà el cost per executar la part proporcional d'ajudes de paleteria: obertura, tapat i segellat de forats a envans, fals sostre, jàsseres de formigó o metàl·liques, per encastar o passar elements o pas d'instal·lacions. Ídem per les rases d'obra civil per a la zona d'urbanització, terraplenat de noves terres i recobriment de formigó. Alhora es tindrà en compte la restitució de qualsevol element defectuós i malmès, com també el repàs de final d'obra amb la reparació de tots aquells desperfectes que es puguin ocasionar durant el transcurs de l'obra.
- En les partides es repercutirà la realització del asbuilt de la instal·lació (DOC, CAD, PDF i RVT), reflectint en plànols, memòries i esquemes l'estat final d'aquesta. Es lliurarà còpia en paper i Pdf d'aquests documents (a la Propietat i a la Direcció Facultativa) així com en format digital, a més de plastificar els esquemes i col·locar-los a l'interior de les sales tècniques.
- En les partides es repercutirà la posada en funcionament de la mateixa, certificada i aprovada per el fabricant corresponent, així com formació de dossier reduïts amb manuals d'utilització, garanties, manteniment bàsic de la instal·lació.
- Estan incloses totes les proves de control de qualitat, tant per la part interna de la mateixa constructora/instal·ladora, com per una entitat de control externa.
- Es donarà compliment a tota la normativa vigent al respecte.
- S'inclou dins aquestes partides, el cost econòmic dels projectes de legalització corresponents a cada tipologia d'instal·lació, a més dels tràmits amb indústria, honoraris de les ECA necessàries, incloent el pagament de les taxes de cada un dels tràmits fins a obtenir el vist i plau.
- Inclou tot el segellat de passos d'instal·lacions, collarins intumescents, comportes tallafocs, etc.. (tota la protecció al foc passiva per donar compliment a la sectorització del DBSI de projecte), per deixar tota la instal·lació 100% finalitzada i en perfecte funcionament.
- La instal·lació quedarà enllestida per ser utilitzada correctament immediatament a l'entrega de l'obra.
La totalitat de la instal·lació està composta per:
-Instal·lació de quadres elèctrics. Incloent la connexió de cadascuna de les línies a elements de protecció corresponents, elements de protecció i seguretat, sistemes de control i accessoris totalment acabada segons planols, memòries, plecs de condicions i normativa vigent en el moment de l'execució de l'obra.
-Instal·lació de distribució d'energia elèctrica en baixa tensió comptabilitzada des de l'escomesa fins als elements de consum. Incloent cablejat, elements de conducció i no específics de la instal·lació de baixa tensió, elements de protecció i seguretat i accessoris totalment acabada segons planols, memòries, plecs de condicions i normativa vigent en el moment de l'execució de l'obra.
-Instal·lació de sistemes d'alimentació ininterrompuda per a subministrament d'energia a elements crítics. Incloent connexió de l'element en la xarxa de distribució i i protecció, elements de protecció, control i seguretat i accessoris totalment acabada segons planols, memòries, plecs de condicions i normativa vigent en el moment de l'execució de l'obra.
-Instal·lació de mecanismes de maniobra i connexió comptabilitzant els elements terminals i els seus accessoris. Incloent tapes, marcs, embellidors, caixes encastades i accessoris.
-Instal·lació de distribució d'energia elèctrica en baixa tensió comptabilitzada des de l'escomesa fins als elements de consum de les llumenres, sensors luminics, detectors de presència, drivers, control, etc. Incloent cablejat, elements de conducció i no específics de la instal·lació de baixa tensió, elements de protecció i seguretat i accessoris totalment acabada segons plans, memòries, plecs de condicions i normativa vigent en el moment de l'execució de l'obra.
-Instal·lació d'energia fotovoltaica. Incloent quadre elèctric, connexió de l'element en la xarxa de distribució i i protecció, elements de protecció, control i seguretat i accessoris totalment acabada segons planols, memòries, plecs de condicions i normativa vigent en el moment de l'execució de l'obra.
- La il·luminació del museu és a nivell generic. Posteriorment hi haurà un projecte d'il·luminació museistica on es contemplarà la il·luminació de totes les obres d'art. No objecte del present projecte.
Normativa vigent a donar compliment:
REBT Reglamento electrotécnico para baja tensión. Instrucciones Técnicas Complementarias 
RD 842/2002 (BOE 18/09/02) i les seves posteriors modificacions
Instrucción Técnica complementaria (ITC) BT 52 ´´Instalaciones con fines especiales. Infraestructura para la recarga de vehículos eléctricos´´, del Reglamento electrotécnico de baja tensión, y se modifican otras instrucciones técnicas complementarias del mismo.
RD 1053/2014 (BOE 31/12/2014) i la seva posterior modificació
CTE DB HE-5 Generació mínima d'energia elèctrica
RD 314/2006 (BOE 28/03/2006) i les seves posteriors modificacions. 
Actividades de transporte, distribución, comercialización, suministro y procedimientos de autorización de instalaciones de energía eléctrica 
RD 1955/2000 (BOE: 27/12/2000) i les seves posteriors modificacions. Obligació de centre de transformació, distàncies línies elèctriques
Reglamento de condiciones técnicas y garantías de seguridad en líneas eléctricas de alta tensión y sus instrucciones técnicas complementarias, ITC-LAT 01 a 09 
RD 223/2008 (BOE: 19/3/2008) i les seves posteriors modificacions 
Reglamento sobre condiciones técnicas y garantías de seguridad en centrales eléctricas y centros de transformación
RD 337/2014 (BOE: 9/6/2014) i les seves posteriors modificacions
Normas sobre ventilación y acceso de ciertos centros de transformación
Resolució 19/6/1984 (BOE: 26/6/84)
Conexión a red de instalaciones de producción de energía eléctrica de pequeña potencia
RD 1699/2011 (BOE: 8/12/2011) i les seves posteriors modificacions
Procediment administratiu aplicable a les instal·lacions solars fotovoltaiques connectades a la xarxa elèctrica
D 352/2001, de 18 de setembre (DOGC 02.01.02)
Normes Tècniques particulars de FECSA-ENDESA relatives a les instal·lacions de xarxa i a les instal·lacions d'enllaç 
Resolució ECF/4548/2006 (DOGC 22/2/2007)
Especificacions particulars i projectes tipus d'Endesa Distribució Eléctrica, SLU.
Resolució de 5 de desembre de 2018 de la Direcció General d'Energia i Mines (BOE: 28/12/2018) 
Procediment a seguir en les inspeccions a realitzar pels organismes de control que afecten a les instal·lacions en ús no inscrites al Registre d'instal·lacions tècniques de seguretat industrial de Catalunya (RITSIC)
Instrucció 1/2015, de 12 de març de la Direcció General d'Energia i Mines
Certificat sobre compliment de les distàncies reglamentàries d'obres i construccions a línies elèctriques
Resolució 4/11/1988 (DOGC 30/11/1988)
Condicions i procediment a seguir per fer modificacions en instal·lacions d'enllaç elèctriques de baixa tensió
Instrucció 3/2014, de 20 de març, de la Direcció General d'Energia i Mines
REBT Reglamento electrotécnico para baja tensión. Instrucciones Técnicas Complementarias 
RD 842/2002 (BOE 18/09/02) i les seves posteriors modificacions
Condicions administratives, tècniques i econòmiques de l'autoconsum d'energia elèctrica
RD 244/2019 d'autoconsum (BOE 06/04/2019) i les seves posteriors modificacions 
Ordenances municipals</t>
  </si>
  <si>
    <t>POSTA A TERRA</t>
  </si>
  <si>
    <t>01.06.06.01</t>
  </si>
  <si>
    <t>PGD1-E3BU</t>
  </si>
  <si>
    <t>Piqueta de connexió a terra d'acer, amb recobriment de coure 300 µm de gruix, de 2000 mm llargària de 14,6 mm de diàmetre, clavada a terra</t>
  </si>
  <si>
    <t>PG3B-E7D8</t>
  </si>
  <si>
    <t>Conductor de coure nu, unipolar de secció 1x50 mm2, muntat superficialment</t>
  </si>
  <si>
    <t>PGD4-614M</t>
  </si>
  <si>
    <t>Punt de connexió a terra amb pont seccionador de platina de coure, muntat en caixa estanca i col·locat superficialment</t>
  </si>
  <si>
    <t>PGD4-X002</t>
  </si>
  <si>
    <t>Sistema de xarxa equipotencial realitzada amb conductor de coure, connectant a terra totes les canalitzacions metàl·liques i tots els elements conductors que resultin accessibles, segons REBT 2002. Inclou cablejat nu per tot el recorregut de les safates metàl·liques, segons REBT 2002. Inclou posada a terra del paviment tècnic, laboratoris, lavabos, vestuaris i tots els elements que requereixin posada a terra per normativa i seguretat. Inclou petit material auxiliar. Inclou la unió a l'embarrat de posada a terra mitjançant conductor de coure amb protecció mecànica. Completament instal·lada.</t>
  </si>
  <si>
    <t>01.06.06.02</t>
  </si>
  <si>
    <t>PG33-E43V</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</si>
  <si>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t>
  </si>
  <si>
    <t>PG33-E43W</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</si>
  <si>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t>
  </si>
  <si>
    <t>PG33-E43Y</t>
  </si>
  <si>
    <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canal o safata</t>
  </si>
  <si>
    <t>PG33-E44V</t>
  </si>
  <si>
    <t>Cable amb conductor de coure de tensió assignada0,6/1 kV, de designació RZ1-K (AS), construcció segons norma UNE 21123-4, pentapolar, de secció 5x1,5 mm2, amb coberta del cable de poliolefines, classe de reacció al foc Cca-s1b, d1, a1 segons la norma UNE-EN 50575 amb baixa emissió fums, col·locat en canal o safata</t>
  </si>
  <si>
    <t>PG33-E6E4</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</si>
  <si>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</si>
  <si>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PG33-E6E7</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</si>
  <si>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 col·locat en tub</t>
  </si>
  <si>
    <t>PG2J-4BKV</t>
  </si>
  <si>
    <t>Safata metàl·lica de xapa llisa d'acer galvanitzat sendzimir, d'alçària 60 mm i amplària 200 mm, col·locada sobre suports horitzontals amb elements de suport</t>
  </si>
  <si>
    <t>PG3B-E7CP</t>
  </si>
  <si>
    <t>Conductor de coure nu, unipolar de secció 1x16 mm2, muntat superficialment</t>
  </si>
  <si>
    <t>PG2N-EUGB</t>
  </si>
  <si>
    <t>Tub corbable corrugat de polietilè, de doble capa, llisa la interior i corrugada l'exterior, de 40 mm de diàmetre nominal, aïllant i no propagador de la flama, resistència a l'impacte de 15 J, resistència a compressió de 450 N, muntat com a canalització soterrada</t>
  </si>
  <si>
    <t>PG2O-6SXE</t>
  </si>
  <si>
    <t>Tub rígid d'acer galvanitzat, de 20 mm de diàmetre nominal, resistència a l'impacte de 20 J, resistència a compressió de 4000 N, amb unió endollada i muntat superficialment</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</si>
  <si>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</si>
  <si>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</si>
  <si>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PG2N-EUHT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</si>
  <si>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</si>
  <si>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MECANISMES</t>
  </si>
  <si>
    <t>01.06.06.03</t>
  </si>
  <si>
    <t>PG60-79KU</t>
  </si>
  <si>
    <t>Caixa de mecanismes per a centralització de funcions en lloc de treball de 3 columnes, amb 2 preses de corrent (2P+T) de 10/16 A i tapa color blanc, 2 preses de corrent (2P+T) de 10/16 A amb tapa vermella, 2 preses de veu i dades RJ45 doble categoria 6 F/UTP, muntada superficialment</t>
  </si>
  <si>
    <t>PG60-CAI2</t>
  </si>
  <si>
    <t>Caixa de mecanismes per a centralització de funcions en lloc de treball de 3 columnes, amb 2 preses de corrent (2P+T) de 10/16 A i tapa color blanc, 2 preses de corrent (2P+T) de 10/16 A amb tapa vermella, 2 preses de veu i dades RJ45 doble categoria 6 F/UTP, muntada superficialment
Amb grau de proteccio IP54</t>
  </si>
  <si>
    <t>PG6K-77JF</t>
  </si>
  <si>
    <t>Polsador, de superfície, 10 A 250 V, amb 1 contacte NA, amb tecla, preu mitjà</t>
  </si>
  <si>
    <t>PG6E-772W</t>
  </si>
  <si>
    <t>Interruptor, bipolar (2P), 10 AX/250 V, amb tecla, preu mitjà, muntat superficialment</t>
  </si>
  <si>
    <t>PG6E-76ZR</t>
  </si>
  <si>
    <t>Commutador, unipolar (1P), 10 AX/250 V, amb tecla, preu mitjà, muntat superficialment</t>
  </si>
  <si>
    <t>PG86-HD0N</t>
  </si>
  <si>
    <t>Detector de moviment, amb connexió a bus de cable, per a caixa universal, amb adaptador, placa i marc de preu econòmic, amb accessoris de muntatge, muntat i connectat</t>
  </si>
  <si>
    <t>PG12-DH7J</t>
  </si>
  <si>
    <t>Caixa de derivació quadrada de plàstic, de 100x100 mm, amb grau de protecció IP-40, muntada superficialment</t>
  </si>
  <si>
    <t>PG6M-6PDF</t>
  </si>
  <si>
    <t>Presa de corrent de tipus modular d'1 mòdul estret, bipolar, (2P), 16 A, 250 V, amb tapa, preu mitjà, muntada sobre caixa o bastidor, amb marc per a l'adaptació de mecanismes modulars a caixa rectangular d'1 mòdul, preu mitjà, tub flexible corrugat de PVC, folrat exteriorment, caixa de derivació rectangular i conductor de coure de designació H07Z1-K (AS) Type 2</t>
  </si>
  <si>
    <t>PG6K-77JJ</t>
  </si>
  <si>
    <t>Polsador per a persiana amb enclavament mecànic i elèctric, de superfície, 10 A 250 V, amb 2 contactes NA, amb tecla, preu mitjà</t>
  </si>
  <si>
    <t>PG6E-7Z08</t>
  </si>
  <si>
    <t>Interruptor botonera multiple, de tipus universal, unipolar (1P), amb tecles, per a control d'il·luminació tipus ON/OFF i regulació 0-10V de multiles sales.
Inclou tots els elements i accessoris per a la seva instal·lació i funcionament..
Muntada i col·locada en condicions normatives</t>
  </si>
  <si>
    <t>QUADRES</t>
  </si>
  <si>
    <t>01.06.06.04</t>
  </si>
  <si>
    <t>PG10-XI01</t>
  </si>
  <si>
    <t>Subministrament i instal·lació del Quadre General, inclou Armari de xapa d'acer de color blanc RAL 9003 sistema PrismaSeT, tipus P, amb tractament per cataforesi més pols d'epoxy polièster polimeritzat en calent. De dimensions externes segons planol. Amb grau de protecció IP30, IK08, obtingut amb porta transparent. Cada aparell o conjunt daparells es muntarà sobre una placa suport o un perfil que serveixi de suport de fixació a qui correspondrà una tapa perforada que anirà muntada sobre el frontal del cofret i que protegirà contra els contactes directes. El quadre haurà de complir el marcatge CE, de compliment obligat, segons norma IEC 61439 1&amp;2 i haurà de tenir tota la informació digitalitzada susceptible de ser requerida en la fase de manteniment així com la informació tècnica del quadre, accessible mitjançant un codi QR visible al frontal del mateix. Inclòs subministrament i instal·lació d'aparellatge corresponent segons esquema unifilar. Marca  ABB/Schneider Electric o equivalent.  Espai de reserva minim 30%, porta amb clau, inclosa.Tot instal·lat, comprovat i en funcionament.
Inclou la legalització de tota l'instal·lació de baixa tensió segons plànols de projecte executiu i mesuraments. Inclou inspecció per part d'entitat de control autoritzada fins a l'obtenció del Butlletí de bt diligenciat per indústria. Inclou tots els tràmits necessaris fins a l'obtenció completa de la legalització.</t>
  </si>
  <si>
    <t>PG10-XI02</t>
  </si>
  <si>
    <t>Subministrament i instal·lació del Quadre Secundari APARTAMENT, inclou Armari de xapa d'acer de color blanc RAL 9003 sistema PrismaSeT, tipus G, amb tractament per cataforesi més pols d'epoxy polièster polimeritzat en calent. De dimensions externes segons pla. Amb grau de protecció IP30, IK08, obtingut amb porta transparent. Cada aparell o conjunt daparells es muntarà sobre una placa suport o un perfil que serveixi de suport de fixació a qui correspondrà una tapa perforada que anirà muntada sobre el frontal del cofret i que protegirà contra els contactes directes. El quadre haurà de complir el marcatge CE, de compliment obligat, segons norma IEC 61439 1&amp;2 i haurà de tenir tota la informació digitalitzada susceptible de ser requerida en la fase de manteniment així com la informació tècnica del quadre, accessible mitjançant un codi QR visible al frontal del mateix. Inclòs subministrament i instal·lació d'aparellatge corresponent segons esquema unifilar. Marca  ABB/Schneider Electric o equivalent. Espai de reserva minim 30%, porta amb clau, inclosa. Tot instal·lat, comprovat i en funcionament.</t>
  </si>
  <si>
    <t>PG10-XI03</t>
  </si>
  <si>
    <t>Subministrament i instal·lació del Quadre Secundari SOLAR FV, inclou Armari de xapa d'acer de color blanc RAL 9003 sistema PrismaSeT, tipus G, amb tractament per cataforesi més pols d'epoxi polièster polimeritzat en calent. De dimensions externes segons pla. Amb grau de protecció IP30, IK08, obtingut amb porta transparent. Cada aparell o conjunt daparells es muntarà sobre una placa suport o un perfil que serveixi de suport de fixació a qui correspondrà una tapa perforada que anirà muntada sobre el frontal del cofret i que protegirà contra els contactes directes. El quadre haurà de complir el marcatge CE, de compliment obligat, segons norma IEC 61439 1&amp;2 i haurà de tenir tota la informació digitalitzada susceptible de ser requerida en la fase de manteniment així com la informació tècnica del quadre, accessible mitjançant un codi QR visible al frontal del mateix. Inclòs subministrament i instal·lació d'aparellatge corresponent segons esquema unifilar. Marca  ABB/Schneider Electric o equivalent.  Espai de reserva minim 30%, porta amb clau, inclosa.Tot instal·lat, comprovat i en funcionament.</t>
  </si>
  <si>
    <t>PG19-DGH6</t>
  </si>
  <si>
    <t>Caixa general de protecció de polièster reforçat amb fibra de vidre, de 160 A, segons esquema Unesa número 9, seccionable en càrrega (BUC), inclosa base portafusibles trifàsica (sense fusibles), neutre seccionable, borns de connexió i grau de protecció IP-43, IK09, muntada superficialment</t>
  </si>
  <si>
    <t>PG1D-H9W0</t>
  </si>
  <si>
    <t>Conjunt de protecció i mesura del tipus TMF1 per a subministrament trifàsic individual superior a 15 kW, per a mesura directa, potència entre 17,32 kW i 43,64 kW, tensió de 400 V, format per conjunt de caixes modulars de doble aïllament de polièster reforçat amb fibra de vidre de mides totals 540x810x171 mm, amb base de fusibles (sense incloure els fusibles), sense equip de comptage, sense ICP-M i sense interruptor diferencial, col·locat superficialment</t>
  </si>
  <si>
    <t>PG4M-DRE3</t>
  </si>
  <si>
    <t>Tallacircuit unipolar, amb fusible de ganiveta de 100 A, amb base de grandària 0, muntat superficialment amb cargols</t>
  </si>
  <si>
    <t>DOCUMENTACIÓ</t>
  </si>
  <si>
    <t>01.06.06.05</t>
  </si>
  <si>
    <t>P1A1-VV08</t>
  </si>
  <si>
    <t>PA</t>
  </si>
  <si>
    <t>LEGALITZACIÓ DE LES INSTAL·LACIONS ELÈCTRIQUES SUBMINISTRAMENT NORMAL I SOCORS, ORGANISME DE CONTROL AUTORITZAT I CERTIFICAT DE LA INSTAL·LACIÓ
És responsabilitat del Contractista la comprovació, emissió i obtenció del Certificat de la Instal·lació de Baixa Tensió (Butlletí Elèctric de Baixa Tensió) per organisme autoritzat, dacord amb la reglamentació en vigor. Per tant anirà per compte del Contractista i sota la seva responsabilitat:
i) la contractació de l'Organisme de Control Autoritzat (OCA),
ii) la presentació de la documentació necessària a l'Organisme Autoritzat i/o departament corresponent de la Delegació d'Indústria. Incloent el projecte de legalització.
iii) la realització del seguiment de la tramitació i realització del tràmit de legalització.
iv) coordinació de les visites d'inspecció que siguin requerides, incloent-hi el cost associat,
v) l'obtenció de l'Acta d'Inspecció Favorable corresponent i del Certificat de la Instal·lació de Baixa Tensió segellat o autoritzat per l'Organisme Autoritzat o per la Delegació d'Indústria quan sigui requerit.
El Contractista haurà de notificar a la Direcció Facultativa totes i cadascuna de les reunions o visites que l'Organisme de Control Autoritzat durà a terme en relació amb les instal·lacions podent assistir als membres de la Direcció Facultativa i/o el Project Manager a les mateixes si així ho considerem oportú.
Així mateix, és obligació del contractista comunicar a la Direcció Facultativa els avenços en la gestió i seguiment de l'expedient, aportacions de documentació realitzades, notificacions rebudes, requeriments, etc. en el termini màxim de 2 dies hàbils des de la recepció per part del Contractista de les mateixes.
Inclou projecte de legalització.
Inclou Certificat d'Inspecció de la instal·lació de parallamps a través de l'Entitat núm. 41/EI069, Acreditada per ENAC (Entitat Nacional d'Acreditació) sobre la base dels requeriments establerts segons l'exigència bàsica SUA: 8 del Codi Tècnic de l'Edificació ''Seguretat davant el risc causat per l'acció del llamp'' i el seu annex SUA .B.</t>
  </si>
  <si>
    <t>EY00BTNO</t>
  </si>
  <si>
    <t>Inclou tots els tràmits i gestions corresponents amb la companyia fins a obtindre el subministrament d'electricitat definitiu.</t>
  </si>
  <si>
    <t>INSTAL·LACIÓ D'ENLLUMENAT</t>
  </si>
  <si>
    <t>01.06.07</t>
  </si>
  <si>
    <t>PH24-IL01</t>
  </si>
  <si>
    <t>Projector orientable Urbidermis Santa &amp; Cole ARNE S 15W, realitzat en injecció d'alumini acabat pintat. Sistema òptic de tecnologia LED, de distribució asimètrica viària IESNA Type II. Font d'alimentació electrònica. Classe I. IP66. IK08.
Inclou:
Braç de fixació individual mural amb braç curt per a projector Urbidermis Santa &amp; Cole ARNE S.
Part proporcional de la catenaria
Totalment instal·lat i funcionant.
Marca/Model: Santa&amp;Cole Urbidermis ARNE S 15W o equivalent.</t>
  </si>
  <si>
    <t>PH40-IL02</t>
  </si>
  <si>
    <t>Subministrament i muntatge de carril electrificat d'enllumenat de 3 circuits, de secció rectangular i cos d'alumini extruit, de 16 A d'intensitat nominal per circuit, amb regulació 0-10V, per a muntar superficialment, col·locat
Marca: FARO o equivalent
Model: TRIFASIC TRACK o equivalent
Referència: 01990201 o equivalen
Inclou accessoris de muntatge, equips, reactàncies electròniques, transformadors, llums LED, drivers i p.p. de cablatge i caixes de derivació, bus de control, tub, petit material auxiliar i mitjans d'elevació.. Totalment muntat i en funcionament.
Color a definir per la DF.</t>
  </si>
  <si>
    <t>PH40-IL03</t>
  </si>
  <si>
    <t>Subministrament i instal·lació de projector orientable LED per a muntatge en carril triàsic 28W 3000K CRI90
Marca: FARO o equivalent
Model: TARGET o equivalent
Referència: 0114x3031D o equivalent
Inclou accessoris de muntatge, equips, reactàncies electròniques, transformadors, llums LED, drivers i p.p. de cablatge i caixes de derivació, bus de control, tub, petit material auxiliar i mitjans d'elevació. Totalment muntat i en funcionament.
Color a definir per la DF.</t>
  </si>
  <si>
    <t>PH22-IL04</t>
  </si>
  <si>
    <t>Subministrament i instal·lació de downlight suspesa circular LED 4W 2700k acabat blanc IRC90
Marca: FARO o equivalent
Model: ANNA o equivalent
Referència: 22033 o equivalent
Muntat en condicions normatives
Inclou accessoris de muntatge, equips, reactàncies electròniques, transformadors, llums LED, drivers i p.p. de cablatge i caixes de derivació, bus DALI, tub i petit material auxiliar. Totalment muntat i en funcionament. Color a definir per la DF.</t>
  </si>
  <si>
    <t>PH22-IL05</t>
  </si>
  <si>
    <t>Subministrament i instal·lació de downlight de superfície circular LED direccionable 11W 3000k ICR90
Marca: ARCHITECT o equivalent
Model: PRATO S o equivalent
Referència: P031013003901 o equivalent
Muntat en condicions normatives
Inclou accessoris de muntatge, equips, reactàncies electròniques, transformadors, llums LED, drivers i p.p. de cablatge i caixes de derivació, bus DALI, tub i petit material auxiliar. Totalment muntat i en funcionament. Color a definir per la DF.</t>
  </si>
  <si>
    <t>PH24-IL06</t>
  </si>
  <si>
    <t>Subministrament i instal·lació de lluminària suspesa lineal LED amb difusor.1130mm 24+32W 3000K IRC80
Marca: FARO o equivalent
Model: VIA EVO o equivalent
Refeència: 0420211018 o equivalent
Muntat en condicions normatives
Inclou accessoris de muntatge, equips, reactàncies electròniques, transformadors, llums LED, drivers i p.p. de cablatge i caixes de derivació, bus DALI, tub i petit material auxiliar. Totalment muntat i en funcionament. Color a definir per la DF.</t>
  </si>
  <si>
    <t>PH24-IL07</t>
  </si>
  <si>
    <t>Subministrament i instal·lació de aplic de superficie de paret 20W
Marca: FARO o equivalent
Model: BLIT o equivalent
Referència: 012592791D o equivalent
Muntat en condicions normatives
Inclou accessoris de muntatge, equips, reactàncies electròniques, transformadors, llums LED, drivers i p.p. de cablatge i caixes de derivació, bus DALI, tub i petit material auxiliar. Totalment muntat i en funcionament. Color a definir per la DF.</t>
  </si>
  <si>
    <t>PH24-IL09</t>
  </si>
  <si>
    <t>Subministrament i instal·lació de aplic encastable en paret 2,2W
Marca: LEDS C4 o equivalent
Model: BAT SQUARE OVAL o equivalent
Referència: 05-E016-J6-CK o equivalent
Muntat en condicions normatives
Inclou accessoris de muntatge, equips, reactàncies electròniques, transformadors, llums LED, drivers i p.p. de cablatge i caixes de derivació, bus DALI, tub i petit material auxiliar. Totalment muntat i en funcionament. Color a definir per la DF.</t>
  </si>
  <si>
    <t>PH24-IL10</t>
  </si>
  <si>
    <t>Subministrament i instal·lació de lluminària tira led 15W/m amb difusor
Inclou les referencies següents:
- KIT-PERFIL 134,30 EMPOTRAR 200cm. BLANCO+DIFUSOR BLANCO MATE+TAPAS+GRAPAS referencia FRE FR-1210A
- TIRA LED 5 MTS 8.4MM 3000K 15W 1500Lm/m 24V IP67 referencia FRE VSF48015W3KIP67CF 
- TAPA FINAL PARA TIRA LED 8MM IP67 referencia FRE VS-ENDCAP-10MM-IP67
- XV100W24 UNI 100-250V 172,55 AC 24V Dimensions 190*52*37mm KGP referencia XV100W24UNI
- XV60W24 UNI 100-250V 50,50 AC 24V Dimensions 166*42*34mm KGP referencia XV60W24UNI
Muntat en condicions normatives
Inclou accessoris de muntatge, equips, reactàncies electròniques, transformadors, llums LED, drivers i p.p. de cablatge i caixes de derivació, bus DALI, tub i petit material auxiliar. Totalment muntat i en funcionament. Color a definir per la DF.</t>
  </si>
  <si>
    <t>08</t>
  </si>
  <si>
    <t>SISTEMES DE PRODUCCIÓ AMB ENERGIES RENOVABLES</t>
  </si>
  <si>
    <t>PRODUCCIÓ CALEFACCIÓ + ACS</t>
  </si>
  <si>
    <t>01.06.08.01</t>
  </si>
  <si>
    <t>PEJ0-.C01</t>
  </si>
  <si>
    <t>Subministrament i muntatge de bomba de calor monobloc d'aigua BAETULEN model BAEHEAT B30 R515B de potencia de calefacció nominal de 33 kW amb capacitat de generar aigua calenta fins a 95ºC.
Amb unes mesures de 1950 x 950 x 1200 mm (Alt x Ample x fons), i un pes de 290 kg.
Totes les connexions hidràuliques: DN40.
Alimentació elèctrica: 380/3/50.
Inclou mòdul de comunicació MODBUS RS485 de sèrie
L'intercanviador tubular de disseny exclusiu, juntament amb la bateria tractada amb BlueFinn, optimitza l'intercanvi tèrmic, fet que es tradueix en un rendiment superior i una eficiència energètica millorada. La incorporació d'un compressor scroll d'alta qualitat, dissenyat específicament per a calefacció i ACS, garanteix un funcionament fiable i durador.
El sistema frigorífic de la BAEHEAT B30 ha estat dissenyat meticulosament per suportar altes temperatures d'aspiració i descàrrega, cosa que es tradueix en una major eficiència del sistema i una reducció del soroll operatiu. La robustesa del disseny es veu reforçada per l'ús de materials d'alta qualitat, com l'acer inoxidable 304, emprat tant en la carcassa exterior com en els accessoris externs, garantint una major durabilitat i vida útil de l'equip.
Inclòs connexió elèctrica, control integral i independent, bancada (fins i tot comprovació de càrregues sobre la mateixa), antivibratoris, desguassos conduïts fins a baixant més pròxim, elements auxiliars i petit material de muntatge, mitjans de transport, elevació, posada en marxa per part del fabricant i ajuda de paleta si cal.
Inclou posta en marxa tant per part del contratista com del fabricant.
Totalment instal·lat, cablejat, connexionat i en funcionament.
Per a més informació de l'equip, veure fitxa tècnica en annexos del projecte.</t>
  </si>
  <si>
    <t>PEJ0-DEP1</t>
  </si>
  <si>
    <t>Subministrament i muntatge d'acumulador higiènic de producció instantània vertical de 300 l, amb un serpentí per a producció d'ACS. Cos d'acer al carboni decapat ST37.2 d'alta qualitat.
Model BAECLEAN B10 300 l 1S del fabricant Baetulen o equivalent.
Màxima temperatura 95 °C.
Superfície de serpentí ACS prod. instantània total 3,51 m² formada per 1 serpentí de 3,51 m², volum 10,76 l, 27,3 kw potència, 15 l/min cabal. 
Condicions 
Tºentrada: 15ºC 
Tºsortida:55ºC. 
8 bar de pressió de treball. 
Pes(kg): 70. 
Diàmetre (mm): 560. 
Alçada (mm): 1896.
Inclòs connexió elèctrica, control integral i independent, mesurament mitjançant transductor en el ventilador, control de cicle de deshumectació, bancada (fins i tot comprovació de càrregues sobre la mateixa), antivibratoris, desguassos conduïts fins a baixant més pròxim, elements auxiliars i petit material de muntatge, mitjans de transport, elevació, posada en marxa per part del fabricant i ajuda de paleta si cal. Fins i tot protecció de canonades en zones de pas (s'aprovarà per la DF).
La maquina estarà preparada per entrar-la desmontada a la sala tècnica i montar-la al interior.
Totalment instal·lat, cablejat, connexionat i en funcionament.  
Per a més informació de l'equip, veure fitxa tecnica en annexos del projecte.</t>
  </si>
  <si>
    <t>PEJ0-EQ01</t>
  </si>
  <si>
    <t>Subministrament i muntatge de sistema de producció segons esquema de principi de la documentació gràfica.
Inclou:
- Vàlvules de tall
- Vàlvules de retenció
- Vàlvules de 3 vies
- Vàlvules de seguretat
- Filtres
- Maniquets antivibratoris
- Comptador d'aigua
- Comptador de pulsos
- Separador de lots
- Temòmetres
- Manòmetres
- Sondes de temperatura
- Bomba primaria i secundaria pel circuit de calefacció
- Bomba de recirculació pel circuit d'aigua claenta sanitaria
- Vasos d'expansió
- Canonada de material PPR
- Aïllament mitjançant espuma elastomerica d'espessor segons RITE
- Accesoris de muntatge i soportació
- Cablejat de control amb part proporcional de tub rigid de PVC
Totalment muntat connexionat, cablejat i en funcionament.</t>
  </si>
  <si>
    <t>PEVA-LGCL</t>
  </si>
  <si>
    <t>LEGALITZACIÓ DE LES INSTAL·LACIONS, ORGANISME DE CONTROL AUTORITZAT I CERTIFICAT DE LA INSTAL·LACIÓ DE CLIMATITZACIÓ:
És responsabilitat del Contractista la comprovació, emissió i obtenció del Certificat de la Instal·lació de Climatització per organisme autoritzat, d'acord amb la reglamentació en vigor. Per tant anirà per compte del Contractista i sota la seva responsabilitat:
i) la contractació de l'Organisme de Control Autoritzat (OCA),
ii) la presentació de la documentació necessària a l'Organisme Autoritzat i/o departament corresponent de la Delegació d'Indústria. Taxes incloses. Incloent-hi el projecte de legalització.
iii) la realització del seguiment de la tramitació, 
iv) coordinació de les visites d' inspecció que siguin requerides, incloent-hi el cost associat,
v) l' obtenció de la corresponent Acta d' Inspecció Favorable i del Certificat de la Instal.lació de Climatització segellat o autoritzat per l' Organisme Autoritzat o per la Delegació d' Indústria quan sigui requerit.
El Contractista haurà de notificar a la Direcció Facultativa totes i cadascuna de les reunions o visites que l'Organisme de Control Autoritzat vagi a dur a terme en relació amb les Instal·lacions podent assitir els membres de la Direcció Facultativa i/o el Project Manager a les mateixes si així ho consideren oportú.
Així mateix és obligació del contractista comunicar a la Direcció Facultativa els avenços en la gestió i seguiment de l' expedient, aportacions de documentació realitzades, notificacions rebudes, requeriments, etc. en el termini màxim de 2 dies habils des de la recepció per part del Contractista de les mateixes.
Inclou projecte de legalització.</t>
  </si>
  <si>
    <t>FOTOVOLTAICA</t>
  </si>
  <si>
    <t>01.06.08.02</t>
  </si>
  <si>
    <t>EGE2IN02</t>
  </si>
  <si>
    <t>Inversor per a instal·lació fotovoltaica de connexió a xarxa, potencia nominal AC 4,4 KVA, tensió nominal d'entrada 230 V, rendimient màxim de 98%, grau de protecció IP-65, col·locat.
Inclou tots els elements necessaris per deixar la partida totalment acabada i en funcionament.
Marca/Model: SOLIS / S5-GR3P4K o equivalent.</t>
  </si>
  <si>
    <t>PG33-E4CE</t>
  </si>
  <si>
    <t>Cable amb conductor de coure de tensió assignada0,6/1 kV, de designació ZZ-F, construcció segons norma UNE-EN 50618, unipolar, de secció 1x4 mm2, amb coberta del cable de poliolefines, classe de reacció al foc Fca segons la norma UNE-EN 50575 amb baixa emissió fums, col·locat en canal o safata</t>
  </si>
  <si>
    <t>PG33-E450</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</si>
  <si>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t>
  </si>
  <si>
    <t>EGE301CP01</t>
  </si>
  <si>
    <t>Comptador d'energia trifàsic de mesura indirecte multifunció i mòdul de comunicació modbus per a CEM i transformadors de triple escala.
Incloent cablejat fins a mòdul de control central i tot el petit material i  necessari per deixar la partida totalment connectada i funcionant, i posada en marxa.
El mesurador d'energia Solis-3P-Meter és vàlid per a l'inversor solar de connexió a xarxa trifàsics de la marca SOLIS, tant de la gamma 4G com de la 5G. Inclou 3 CT de 150 A. Possibilitat d'utilitzar CT amb el secundari a 5 A
Marca/model: SOLIS / DTSD1352 o equivalent.</t>
  </si>
  <si>
    <t>EGE3CP02</t>
  </si>
  <si>
    <t>Central de control per a la gestió d'energia, permet controlar els equips consumidors de forma automática.
El Solis Export Power Manager 3-5G-PLUS és un dispositiu dissenyat per gestionar l'exportació d'energia solar excedent a la xarxa. És compatible amb inversors trifàsics Solis i permet als usuaris maximitzar l'autoconsum de l'energia solar generada pels sistemes fotovoltaics.
Incloent cablejat i tot el petit material i  necessari per deixar la partida totalment connectada i funcionant, i posada en marxa.</t>
  </si>
  <si>
    <t>PPAA0I15</t>
  </si>
  <si>
    <t>Legalització per a la posada en marxa de la instal·lació davant de la companyia, els òrgans oficials i municipals competents, per a compliment de la reglamentació vigent , incloent projecte de legalització d'instal·lació, tràmits amb companyia, certificats, as- built d'instal·lació i CFO d'instal·lació, visats, dictàmens, i documents necessaris per a l'aprovació de l'execució i la posada en marxa definitiva de la instal·lació, fins i tramitació amb un organisme de certificació acreditat (OCA), totalment executat.
S'hi inclou documentació final d'obra, incloent-hi manuals dels equips instal·lats, llistat de materials, certificats d'homologació, protocol d'assajos o proves, plans i la resta de documentació necessària. Actualitzada al dia de la finalització de l'obra, tant en paper com en suport informàtic, en nombre de còpies que ha de determinar la direcció d'obra.</t>
  </si>
  <si>
    <t>09</t>
  </si>
  <si>
    <t>TIC TECNOLOGIES DE LA INFORMACIÓ</t>
  </si>
  <si>
    <t>NOTA TELECOMUNICACIONS</t>
  </si>
  <si>
    <t>01.06.09.00</t>
  </si>
  <si>
    <t>ZNOTAICT</t>
  </si>
  <si>
    <t>Instal·lació de distribució de cable estructurat (UTP) comptabilitzada des de l'escomesa respectiva fins a les connexions a les unitats terminals. Inclouen els circuits de producció i distribució, sistemes interns,  elements de protecció, sistemes de control, i tot el que calgui per al correcte subministrament, col·locació, muntatge, instal·lació i funcionament d'aquesta.
Cal tenir en compte l'obligatorietat de:
- Tots els elements principals com secundaris, suportacions, etc.. disposaran de certificat CE, certificat d'homologació (de tots els equips, elements, accessoris, etc.), amb la totalitat dels certificats corresponents.
- Manual d'instruccions i garanties de tots els elements.
- Realització i entrega de protocols de proves de la instal·lació segons normativa aplicable. 
- Es presentarà documentació gràfica com a plànols de taller, previ a l'inici de l'execució de les obres, com aprovació definitiva al muntatge en obra.
- Es presentaran mostres dels elements i dels colors en obra, per a ser valorat per la Direcció Facultativa.
- Incloure els certificats d'instal·lació per part dels instal·ladors per a aquesta obra en concret.
- Les partides inclourà el cost per executar la part proporcional d'ajudes de paleteria: obertura, tapat i segellat de forats a envans, fals sostre, jàsseres de formigó o metàl·liques, per encastar o passar elements o pas d'instal·lacions. Ídem per les rases d'obra civil per a la zona d'urbanització, terraplenat de noves terres i recobriment de formigó. Alhora es tindrà en compte la restitució de qualsevol element defectuós i malmès, com també el repàs de final d'obra amb la reparació de tots aquells desperfectes que es puguin ocasionar durant el transcurs de l'obra.
- En les partides es repercutirà la realització del asbuilt de la instal·lació (DOC, CAD, PDF i RVT), reflectint en plànols, memòries i esquemes l'estat final d'aquesta. Es lliurarà còpia en paper i Pdf d'aquests documents (a la Propietat i a la Direcció Facultativa) així com en format digital, a més de plastificar els esquemes i col·locar-los a l'interior de les sales tècniques.
- En les partides es repercutirà la posada en funcionament de la mateixa, certificada i aprovada per el fabricant corresponent, així com formació de dossier reduïts amb manuals d'utilització, garanties, manteniment bàsic de la instal·lació.
- Estan incloses totes les proves de control de qualitat, tant per la part interna de la mateixa constructora/instal·ladora, com per una entitat de control externa.
- Es donarà compliment a tota la normativa vigent al respecte.
- S'inclou dins aquestes partides, el cost econòmic dels projectes de legalització corresponents a cada tipologia d'instal·lació, a més dels tràmits amb indústria, honoraris de les ECA necessàries, incloent el pagament de les taxes de cada un dels tràmits fins a obtenir el vist i plau.
- Inclou tot el segellat de passos d'instal·lacions, collarins intumescents, comportes tallafocs, etc.. (tota la protecció al foc passiva per donar compliment a la sectorització del DBSI de projecte), per deixar tota la instal·lació 100% finalitzada i en perfecte funcionament.
- La instal·lació quedarà enllestida per ser utilitzada correctament immediatament a l'entrega de l'obra.
Normativa vigent a donar compliment:
Infraestructuras comunes en los edificios para el acceso a los servicios de telecomunicación
RD Ley 1/98 de 27 de febrero (BOE: 28/02/98) i les seves posteriors modificacions
Reglamento regulador de las infraestructuras comunes de telecomunicaciones para el acceso a los servicios de telecomunicación en el interior de las edificaciones                    
RD 346/2011 (BOE 1/04/2011) i les seves posteriors modificacions
Orden ITC/1644/2011, por la que se desarrolla el reglamento regulador de las infraestructuras comunes de telecomunicaciones para el acceso a los servicios de telecomunicación en el interior de las edificaciones, aprobado por el RD 346/2011
ITC/1644/2011, de 10 de juny. (BOE 16/6/2011) i les seves posteriors modificacions
Procedimiento a seguir en las instalaciones colectivas de recepción de televisión en el proceso de su adecuación para la recepción de TDT y se modifican determinados aspectos administrativos y técnicos de las infraestructuras comunes de telecomunicación en el interior de los edificios
Ordre ITC/1077/2006 (BOE: 13/4/2006)</t>
  </si>
  <si>
    <t>VEU I DADES</t>
  </si>
  <si>
    <t>01.06.09.01</t>
  </si>
  <si>
    <t>PP73-673D</t>
  </si>
  <si>
    <t>Armari metàl·lic amb bastidor tipus rack 19´´, de 24 unitats d'alçària, de 1200 x 800 x 800 mm (alçària x amplària x fondària), d'1 compartiment, amb 1 porta metàl·lica amb perforacions amb pany i clau, amb panells laterals i estructura fixa, col·locat</t>
  </si>
  <si>
    <t>PP7B-8912</t>
  </si>
  <si>
    <t># ventilador de tipus axial, per a entrades de cables, cabal de 156 m3/h, 230 V de tensió d'alimentació, de 120x120 mm, amb filtre i reixeta protectora, col·locat</t>
  </si>
  <si>
    <t>PP7C-66UM</t>
  </si>
  <si>
    <t>Panell integrat fix, equipat amb 24 connectors RJ45 categoria 6 U/UTP, per a muntar sobre bastidor rack 19*, d'1 unitat d'alçària, amb organitzador de cables, fixat mecànicament</t>
  </si>
  <si>
    <t>PP7I-892C</t>
  </si>
  <si>
    <t>Regleta d'alimentació fixa, amb 8 bases schucko 2P+T de 16 A i 250 V, i un interruptor bipolar de 16 A, per a armaris rack 19*, d'1 unitat d'alçària, muntatge horitzontal, fixada mecànicament</t>
  </si>
  <si>
    <t>PP76-AA06</t>
  </si>
  <si>
    <t>Passafils Excel 1U, color Negre, Fixació de perfil estàndard de 19 polzades, Conformi a RoHS Restricció de substàncies perilloses. 1U d'alçada panell metàl·lic i 5 anelles verticals plàstiques</t>
  </si>
  <si>
    <t>PP7H-7834</t>
  </si>
  <si>
    <t>Presa de senyal de veu i dades, de tipus modular d'1 mòdul estret, amb connector RJ45 simple, categoria 6 U/UTP, amb connexió per desplaçament de l'aïllament, amb tapa, preu mitjà, muntada sobre caixa o bastidor</t>
  </si>
  <si>
    <t>P000-VV02</t>
  </si>
  <si>
    <t>Certificacio de punt de dades amb equip homologat</t>
  </si>
  <si>
    <t>01.06.09.02</t>
  </si>
  <si>
    <t>PP44-Z0UY</t>
  </si>
  <si>
    <t>Cable per a transmissió de dades amb conductor de coure, de 4 parells, categoria 6a U/UTP, aïllament de poliolefina i coberta de poliolefina, de baixa emissió de fums i opacitat reduïda, no propagador de la flama segons UNE-EN 60332-1-2, col·locat sota tub o canal</t>
  </si>
  <si>
    <t>10</t>
  </si>
  <si>
    <t>INSTAL·LACIONS DE PROTECCIÓ CONTRA INCENDIS</t>
  </si>
  <si>
    <t>01.06.10</t>
  </si>
  <si>
    <t>PM32-DZ53</t>
  </si>
  <si>
    <t>Extintor manual de pols seca polivalent, de càrrega 6 kg, amb pressió incorporada, pintat, amb suport a paret</t>
  </si>
  <si>
    <t>PMS0-6Z47</t>
  </si>
  <si>
    <t>Rètol senyalització sortida d'emergència, rectangular, de 420x210 mm2 de làmina polièster autoadhesiva, col·locat adherit sobre parament vertical</t>
  </si>
  <si>
    <t>PMS0-6Z45</t>
  </si>
  <si>
    <t>Rètol senyalització recorregut d'evacuació a sortida emergència, rectangular, de 445x148 mm2 de làmina polièster autoadhesiva, col·locat adherit sobre parament vertical</t>
  </si>
  <si>
    <t>PMS0-6Z2Z</t>
  </si>
  <si>
    <t>Rètol senyalització instal·lació de protecció contra incendis, quadrat, de 210x210 mm2 de làmina polièster autoadhesiva, col·locat adherit sobre parament vertical</t>
  </si>
  <si>
    <t>PH57-B3BJ</t>
  </si>
  <si>
    <t>Llum d'emergència amb làmpada led, amb una vida útil de 100000 h, no permanent i no estanca amb grau de protecció IP4X, aïllament classe II, amb un flux aproximat de 170 a 200 lm, 1 h d'autonomia, de forma rectangular amb difusor i cos de policarbonat, preu alt, col·locat superficial</t>
  </si>
  <si>
    <t>PH57-B3BB</t>
  </si>
  <si>
    <t>Llum d'emergència amb làmpada led, amb una vida útil de 100000 h, no permanent i estanca amb grau de protecció IP66, aïllament classe II, amb un flux aproximat de 240 a 270 lm, 1 h d'autonomia, de forma rectangular amb difusor i cos de policarbonat, preu alt, col·locat superficial</t>
  </si>
  <si>
    <t>11</t>
  </si>
  <si>
    <t>PROTECCIÓ AL LLAMP</t>
  </si>
  <si>
    <t>01.06.11</t>
  </si>
  <si>
    <t>PM91-HD9C</t>
  </si>
  <si>
    <t>Instal·lació completa de parallamps amb dispositiu d'encebament (PDC) no electrònic, muntat en una antena de 6 m d'alçària, amb un radi d'acció de 45 m per a un nivell de protecció tipus I, muntat sobre sòcol, amb baixant amb cable de 30 m, comptador de llamps, protecció amb tub de PVC i protecció final de 2 m amb tub d'acer galvanitzat, piqueta de connexió a terra i punt de comprovació de terres, segons CTE/DB-SU 2006</t>
  </si>
  <si>
    <t>12</t>
  </si>
  <si>
    <t>PROTECCIÓ I SEGURETAT</t>
  </si>
  <si>
    <t>VIDEOPORTER I CONTROL D'ACCÉS</t>
  </si>
  <si>
    <t>01.06.12.01</t>
  </si>
  <si>
    <t>PP23-VID1</t>
  </si>
  <si>
    <t>Subministrament i muntatge de videorporter Video Skyline + Control d' Accessos autonom de Fermax o equivalent.
Inclou:
- 3 x Caixa d' encastar de metall mida S6 per a plaques Skyline, referència 8856 de Fermax
- 3 x Marc Skyline de mida 5V i sèrie 6, referència 7335 de Fermax
- 3 x Amplificador DUOX PLUS CONNECT Skyline. Ref. 73910. Mida WV de Fermax
- 3 x Mòdul de SKYLINE d'1 polsador (1 fila x 1 columna) per a sistemes DUOX, ref. 7375 de Fermax
- 3 x Lector de proximitat modular de tecnologia EM (freqüència:125KHz). Ref. 7440 de Fermax
- 3 x Font d' alimentació per a l' abeurament de 12Vca. Referència 4802 de Fermax
- 3 x Obreportes universal, funcionament normal multivoltatge 12-24Vca/cc. Ref. 67501 de Fermax
- 1 x Connector per a muntatge de monitor modelSuministre de connector per a muntatge ds: Veig DUOX, referència 9447 de Fermax
- 1 x Monitor model VEO DUOX Plus, referència 9445 de Fermax
- 1 x Alimentador més filtre 24Vcc-2,5 A DIN 10, referència 4825 de Fermax
- 2 x Adaptador de línia Duox, referència 3255 de Fermax
- 3 x Regenerador dual de 2 entrades i 1 sortida, referència 3268 de Fermax
Inclou caixes d'encastar o de superficie, marcs, tapas, rotulació, connectors ràpits, font d'alimentació, adaptadors de linia i tots els elements per a la correcta configuració, funcionament i posta en marxa del sistema, amb la posta en marxa inclosa.</t>
  </si>
  <si>
    <t>PP23-VID2</t>
  </si>
  <si>
    <t>Subministrament i muntatge de videorporter Video Skyline + Control d' Accessos autonom de Fermax o equivalent.
Inclou:
- 2 x Caixa d' encastar de metall mida S6 per a plaques Skyline, referència 8856 de Fermax
- 2 x Marc Skyline de mida 5V i sèrie 6, referència 7335 de Fermax
- 2 x Amplificador DUOX PLUS CONNECT Skyline. Ref. 73910. Mida WV de Fermax
- 2 x Mòdul de SKYLINE de 4 polsadors (2 files x 2 columnes) per a sistemes DUOX, ref. 7372 de Fermax
- 2 x Lector de proximitat modular de tecnologia EM (freqüència:125KHz). Ref. 7440 de Fermax
- 2 x Font d' alimentació per a l' abeurament de 12Vca. Referència 4802 de Fermax
- 2 x Obreportes universal, funcionament normal multivoltatge 12-24Vca/cc. Ref. 67501 de Fermax
- 3 x Connector per a muntatge de monitor modelSuministre de connector per a muntatge ds: Veig DUOX, referència 9447 de Fermax
- 3 x Monitor model VEO DUOX Plus, referència 9445 de Fermax
- 1 x Alimentador més filtre 24Vcc-2,5 A DIN 10, referència 4825 de Fermax
- 2 x Adaptador de línia Duox, referència 3255 de Fermax
- 1 x Regenerador dual de 2 entrades i 1 sortida, referència 3268 de Fermax
Inclou caixes d'encastar o de superficie, marcs, tapas, rotulació, connectors ràpits, font d'alimentació, adaptadors de linia i tots els elements per a la correcta configuració, funcionament i posta en marxa del sistema, amb la posta en marxa inclosa.</t>
  </si>
  <si>
    <t>PP23-LEC1</t>
  </si>
  <si>
    <t>Subministrament i muntatge de Control d' Accessos autonom de Fermax o equivalent.
Inclou:
- 2 x Caixa d' encastar de metall mida S1 per a plaques Skyline, referència 8851 de Fermax
- 2 x Marc Skyline de mida 1V i sèrie 1, referència 7341 de Fermax
- 2 x Lector de proximitat modular de tecnologia EM (freqüència:125KHz). Ref. 7440 de Fermax
- 2 x Font d' alimentació per a l' abeurament de 12Vca. Referència 4802 de Fermax
- 2 x Obreportes universal, funcionament normal multivoltatge 12-24Vca/cc. Ref. 67501 de Fermax
Inclou caixes d'encastar o de superficie, marcs, tapas, rotulació, connectors ràpits, font d'alimentació, adaptadors de linia i tots els elements per a la correcta configuració, funcionament i posta en marxa del sistema, amb la posta en marxa inclosa.</t>
  </si>
  <si>
    <t>PHV1-HC21</t>
  </si>
  <si>
    <t>Cable de comunicacions per a bus de dades, 2x1 mm2 trenat i apantallat, muntat en canalització i connectat</t>
  </si>
  <si>
    <t>INTRUSSIÓ</t>
  </si>
  <si>
    <t>01.06.12.02</t>
  </si>
  <si>
    <t>0ECS-MC00</t>
  </si>
  <si>
    <t>Subministrament i col·locació de central d'alarmes d'intrusió Grau 4 i classe ambiental2, integrada a Vigiplus. Capacitat per a 128 zones de detecció, 64 sortides actuació i 8 teclats de supervisió. S'hi inclouen 4 zones i 2 sortides de relé en placa, Font d'Alimentació, comunicació per TCP/IP, RS232 i RS485, connexió a CRA per TCP/IP, en armari metàl·lic pintat de 40x40x9 cm amb tamper d'obertura i desmuntatge.
Marca DESICO
Model C2200
Muntat en condicions normatives
Inclou p.p. de cablatge sota tub rígid. Totalment muntat i connectat amb una part proporcional d'accessoris i elements auxiliars.</t>
  </si>
  <si>
    <t>0OEC-94G2</t>
  </si>
  <si>
    <t>Subministrament i col·locació de Contacte magnètic de superfície mitjana potencial Grau 2
Marca CASMAR
Model GS194-G2
Muntat en condicions normatives
Inclou p.p. de cablatge sota tub rígid. Totalment muntat i connectat amb una part proporcional d'accessoris i elements auxiliars.</t>
  </si>
  <si>
    <t>0OEC-DT15</t>
  </si>
  <si>
    <t>Subministrament i col·locació de detector dobre tecnologia digital amb ACT i cobertura 15 m. Grau 2
Marca RISCO
Model BWARE DT15
Muntat en condicions normatives
Inclou p.p. de cablatge sota tub rígid. Totalment muntat i connectat amb una part proporcional d'accessoris i elements auxiliars.</t>
  </si>
  <si>
    <t>0PPM-PMPM</t>
  </si>
  <si>
    <t>Subministrament i col·locació de proves i posada en marxa del sistema in situ, incloent formació d'usuari
Muntat en condicions normatives
Inclou p.p. de cablatge sota tub rígid. Totalment muntat i connectat amb una part proporcional d'accessoris i elements auxiliars.</t>
  </si>
  <si>
    <t>13</t>
  </si>
  <si>
    <t>CONTROL I GESTIÓ DE L'EDIFICI</t>
  </si>
  <si>
    <t>01.06.13.01</t>
  </si>
  <si>
    <t>PE97-CACO</t>
  </si>
  <si>
    <t>Subministrament i muntatge de actuador tèrmic REHAU UNI (230 V) per a control de les vàlvules dels col·lectors REHAU. Posició normalment tancada. Senyalització de l'estat d'obertura a la part superior de l'actuador. Compatible amb tots els col·lectors REHAU per a instal·lacions residencials mitjançant l'adaptador universal, inclòs al subministrament. Funció de primera obertura a la fase d'instal·lació sense necessitat de connectar el termòstat. Potència absorbida de només 1 W.
Totalment muntat i en funcionament.
Inclou tots els accesoris necessaris per a la seva instal·lació i el seu correcte funcionament.</t>
  </si>
  <si>
    <t>PE97-TERM</t>
  </si>
  <si>
    <t>Subministrament i muntatge de termòstat ambient REHAU NEA SMART 2.0 - (HBW). Color blanc (similar a RAL 9003), versió BUS. Integra sonda de temperatura i humitat relativa. Apta per als modes de calefacció i refrescament. Display de matriu de LEDs, marc il·luminat integrat. Tensió d'alimentació: mitjançant línia de bus de 2 cables, a prova de inversió de polaritat. Es pot connectar un sensor remot NEA SMART 2.0 per a la monitorització de la temperatura del terra. Dimensions: 86 x 86 x 21 mm.
Totalment muntat i en funcionament.
Inclou tots els accesoris necessaris per a la seva instal·lació i el seu correcte funcionament.</t>
  </si>
  <si>
    <t>PE97-CONT</t>
  </si>
  <si>
    <t>Subministrament i muntatge de base REHAU NEA SMART 2.0 BUS/ràdio, 230 V. Color blanc (similar a RAL 9003). Compatible amb tots els termòstats i sondes de temperatura NEA SMART 2.0 (bus o sense fil). Operació i maneig disponibles mitjançant l'app REHAU. Permet la connexió de màxim 8 termòstats i 12 actuadors tèrmics. 4 sortides de relé (contactes sense potencial) per a bombes circuladores, deshumidificadors, generadors de calor i de fred. 4 entrades digitals per a senyal ´´change over´´, sensor de punt de rosada, commutació del mode operatiu. Port LAN/WLAN integrat. ZOBUS (bus de 2 cables) per a termòstats/sondes de temperatura versió BUS i senyal de radiofreqüència de 869 MHz per a la versió sense fil. Abast: 25 m dins edificis. Dimensió: 317x83,5x52,6 mm.
Inclou posada en marxa bàsica per part del fabricant i del contratista. Posada en marxa d'instal·lacions fins a una Base Nea Smart 2.0, un Mòdul R, 12 Termòstats. Inclou desplaçament fins a 20km i activació de l´APP.
Totalment muntat i en funcionament.
Inclou tots els accesoris necessaris per a la seva instal·lació i el seu correcte funcionament.</t>
  </si>
  <si>
    <t>IL·LUMINACIÓ</t>
  </si>
  <si>
    <t>01.06.13.02</t>
  </si>
  <si>
    <t>PHV1-HC1M</t>
  </si>
  <si>
    <t>Sensor de nivell d'il.luminació interior, per a connexio a bus amb unitat d'acoblador, amb accessoris de muntatge, muntat i connectat</t>
  </si>
  <si>
    <t>PHV1-CON2</t>
  </si>
  <si>
    <t>Sensor de nivell d'il.luminació exterior, per a connexio a bus amb unitat d'acoblador, amb accessoris de muntatge, muntat i connectat</t>
  </si>
  <si>
    <t>EQUIPAMENT</t>
  </si>
  <si>
    <t>MOBILIARI</t>
  </si>
  <si>
    <t>01.07.01</t>
  </si>
  <si>
    <t>PQ52-ES01</t>
  </si>
  <si>
    <t>PQ52-ES02</t>
  </si>
  <si>
    <t>PQ52-ES03</t>
  </si>
  <si>
    <t>PQ52-ES04</t>
  </si>
  <si>
    <t>PQ52-ES05</t>
  </si>
  <si>
    <t>PQ52-ES06</t>
  </si>
  <si>
    <t>PQ52-ES07</t>
  </si>
  <si>
    <t>PN38-ES25</t>
  </si>
  <si>
    <t>ESPAIS EXTERIORS</t>
  </si>
  <si>
    <t>TREBALLS PREVIS, MOVIMENT DE TERRES I ADEQUACIÓ DEL TERRENY</t>
  </si>
  <si>
    <t>01.08.01</t>
  </si>
  <si>
    <t>P43L-.E15</t>
  </si>
  <si>
    <t>ELEMENTS DE FONAMENTACIÓ, CONTENCIÓ I ESTRUCTURALS</t>
  </si>
  <si>
    <t>01.08.02</t>
  </si>
  <si>
    <t>TANCAMENTS I PROTECCIÓ</t>
  </si>
  <si>
    <t>01.08.03</t>
  </si>
  <si>
    <t>01.08.04</t>
  </si>
  <si>
    <t>P9F1-.XFB</t>
  </si>
  <si>
    <t>P9F1-.XFT</t>
  </si>
  <si>
    <t>INSTAL·LACIÓ DE REG</t>
  </si>
  <si>
    <t>01.08.05</t>
  </si>
  <si>
    <t>PJSA2-92LV</t>
  </si>
  <si>
    <t>Programador de reg amb alimentació amb piles, sistema de programació per teclat al programador, preu mitjà, per a un nombre màxim de 4 estacions, muntat superficialment, connectat als aparells de control, als elements gobernats, programat i comprovat</t>
  </si>
  <si>
    <t>PJSE-6UC8</t>
  </si>
  <si>
    <t>Electrovàlvula per a instal·lacio de reg, d'1´´ de diàmetre, de material plàstic, amb solenoide de 9 V, per a una pressió màxima de 10 bar, amb regulador de cabal, connectada a les xarxes elèctrica i d'aigua amb connectors estancs</t>
  </si>
  <si>
    <t>PJSH-A7RG</t>
  </si>
  <si>
    <t>Inundador amb cilindre soterrable de longitud 46 cm, diàmetre 7,6 cm, i un cabal de 0,9 l/min, amb connexió de diàmetre 1/2´´, soterrat a forat existent, connectat amb bobina a la canonada, i regulat</t>
  </si>
  <si>
    <t>PJSM1-HBBF</t>
  </si>
  <si>
    <t>Pericó rectangular de polipropilè per a instal·lacions de reg de 51x37 cm i 31 cm d'alçada amb tapa amb cargol per a tancar, col·locada sobre llit de grava i reblert de terra lateral</t>
  </si>
  <si>
    <t>PJS6-9EEK</t>
  </si>
  <si>
    <t>Canonada de Tub per a reg per degoteig de 16 mm de diàmetre, amb degoters autocompensats integrats cada 33 cm, amb mecanisme antisucció, instal·lada superficialment, fixada amb piquetes col·locades cada 5 m</t>
  </si>
  <si>
    <t>PJSA2-BOM1</t>
  </si>
  <si>
    <t>Subministrament i muntatge de equip hidraulic ubicat en arqueta en exterior, inclosa.
Model ISmart pump ISP 1.0 amb variador de freqüencia de bombas BCN o equivalent.
Inclou tots els accesoris necessaris per al seu correcte funcionament. Inclos, part proporcional de anonada, valvules i més accasoris de muntatge.</t>
  </si>
  <si>
    <t>JARDINERIA</t>
  </si>
  <si>
    <t>01.08.06</t>
  </si>
  <si>
    <t>P9F1-.XFR</t>
  </si>
  <si>
    <t>MOBILIARI URBÀ</t>
  </si>
  <si>
    <t>01.08.07</t>
  </si>
  <si>
    <t>ALTRES</t>
  </si>
  <si>
    <t>AJUDES</t>
  </si>
  <si>
    <t>01.09.01</t>
  </si>
  <si>
    <t>PY01-.E51</t>
  </si>
  <si>
    <t>Ajudes a les escomeses a realitzar en l'edifici. Incloent material, mà d'obra i accessoris necessaris per deixar-les en correcte funcionament i instal·lació.</t>
  </si>
  <si>
    <t>PY01-.E52</t>
  </si>
  <si>
    <t>Reblert, certificat i segellat de tots els forats oberts per a pas d'instal·lacions entre sectors d'incendis, a base de productes adequats per aconseguir el grau de resistència al foc exigit a l'element compartimentador; segons les instal·lacions s'usaran els següents productes:
Safates i cables: passamurs amb estanquitat al foc (EI 240) homologat segons norma UNE-EN 1366-3, formats per mòduls compostos per tubs d'acer galvanitzat que disposen de material intumescent en el seu interior i fixats mitjançant plaques segellants d'acer amb material ignífug i saquets de material ignífug per a segellar safates de pas de cablejats. Així com escuma ignífuga per a acabar de segellar forats i parets divisòries de sectors atracades a forjats.
Canonades combustibles de sanejament a partir de 50 mm de diàmetre: collarins de material intumescent segons norma UNE-EN 1366-3 amb la resistència al foc requerida en cada sector.
Canonades i conductes: morter per a segellat ignífug d'alta densitat, resines termoplàstiques i/o massilles a base de silicones intumescents.
Per a forats de grans dimensions s'empraran com a reblert bosses de fibres minerals d'alta estabilitat tèrmica com materials intumescents per al segellat de penetracions.
Certificat corresponent dels segellats.
Incloent tot allò necessari per al muntatge i instal·lació, completament realitzat segons Especificacions Tècniques del fabricant del producte i aplicat en cada cas segons coordinació de la Direcció Facultativa.</t>
  </si>
  <si>
    <t>PY01-.E53</t>
  </si>
  <si>
    <t>Conjunt d'ajuts d'obra civil per deixar les instal·lacions completament acabades, incloent:
-Obertura i tapat de regates.
-Obertura de forats en paraments tant horitzontals com verticals.
-Col·locació de boneres.
-Fixació de suports.
-Construcció de bancades i fornícules.
-Col·locació i rebut de caixes per a elements encastats.
-Obertura de forats en falsos sostres de tot tipus i material.
-Descàrrega i elevació de materials (si no precisen transports especials).
-Segellat de forats i buits de pas d'instal·lacions.
-Treballs d'impermeabilització en forats vinculats a passos d'instal·lacions, etc…
-Tapes per a registre a muntats i falsos sostres de tot tipus i material per a instal·lacions.
-Tapes de pericons en tot tipus de sòls.
-En general, tot allò necessari (material i ma d'obra) per al muntatge de les instal·lacions i coordinació amb obra civil i arquitectura, d'acord amb les instruccions de la direcció facultativa d'obra.</t>
  </si>
  <si>
    <t>P1A2-.S01</t>
  </si>
  <si>
    <t>Partida per treballs de control i seguiment arqueològic preventiu en treballs amb remoció de terres en el subsòl de l'àrea de projecte i de l'àrea d'adequació de l'entorn, a fi i efecte de determinar l'existència de possibles estructures pertanyents a fases constructives precedents.</t>
  </si>
  <si>
    <t>GR</t>
  </si>
  <si>
    <t>GESTIÓ DE RESIDUS</t>
  </si>
  <si>
    <t>RESIDUS D'ENDERROC</t>
  </si>
  <si>
    <t>01.GR.01</t>
  </si>
  <si>
    <t>P2R2-EU9P</t>
  </si>
  <si>
    <t>Classificació a peu d'obra de residus de construcció o demolició en fraccions segons REAL DECRETO 105/2008, amb mitjans manuals</t>
  </si>
  <si>
    <t>P2R5-DT2C</t>
  </si>
  <si>
    <t>Transport de residus a instal·lació autoritzada de gestió de residus, amb camió de 20 t i temps d'espera per a la càrrega a màquina, amb un recorregut de més de 15 i fins a 20 km</t>
  </si>
  <si>
    <t>P2RA-EU64</t>
  </si>
  <si>
    <t>Disposició controlada de residus en centre de reciclatge de residus ceràmics inerts amb una densitat 0,8 t/m3, procedents de construcció o demolició, amb codi 17 01 03 segons la Llista Europea de Residus</t>
  </si>
  <si>
    <t>P2RA-EU6E</t>
  </si>
  <si>
    <t>Disposició controlada de residus en centre de reciclatge de residus de formigó inerts amb una densitat 1,45 t/m3, procedents de construcció o demolició, amb codi 17 01 01 segons la Llista Europea de Residus</t>
  </si>
  <si>
    <t>P2RA-EU5R</t>
  </si>
  <si>
    <t>Disposició controlada en centre de reciclatge de residus de fusta no perillosos amb una densitat 0,19 t/m3, procedents de construcció o demolició, amb codi 17 02 01 segons la Llista Europea de Residus</t>
  </si>
  <si>
    <t>P2RA-EU61</t>
  </si>
  <si>
    <t>Disposició controlada en centre de reciclatge de residus de vidre inerts amb una densitat 0,7 t/m3, procedents de construcció o demolició, amb codi 17 02 02 segons la Llista Europea de Residus</t>
  </si>
  <si>
    <t>P2RA-EU5P</t>
  </si>
  <si>
    <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t>
  </si>
  <si>
    <t>RESIDUS D'EXCAVACIÓ</t>
  </si>
  <si>
    <t>01.GR.02</t>
  </si>
  <si>
    <t>P2R3-HJGC</t>
  </si>
  <si>
    <t>Transport de terres no contaminades a obra exterior o centre de valorització, amb camió de 20 t i temps d'espera per a la càrrega amb mitjans mecànics, amb un recorregut de més de 15 i fins a 20 km</t>
  </si>
  <si>
    <t>P2RA-EU3W</t>
  </si>
  <si>
    <t>Disposició controlada en dipòsit autoritzat inclòs el cànon sobre la deposició controlada dels residus de la construcció, segons la LLEI 8/2008, de residus de terra inerts amb una densitat 1,6 t/m3, procedents d'excavació, amb codi 17 05 04 segons la Llista Europea de Residus</t>
  </si>
  <si>
    <t>P2RB-HFVM</t>
  </si>
  <si>
    <t>Disposició de terres no contaminades de densitat aparent 1,6 t/m3, a valoritzador de materials naturals excavats amb codi VNME</t>
  </si>
  <si>
    <t>RESIDUS DE CONTRUCCIÓ</t>
  </si>
  <si>
    <t>01.GR.03</t>
  </si>
  <si>
    <t>P2RA-EU5J</t>
  </si>
  <si>
    <t>Disposició controlada en centre de reciclatge de residus de plàstic no perillosos amb una densitat 0,035 t/m3, procedents de construcció o demolició, amb codi 17 02 03 segons la Llista Europea de Residus</t>
  </si>
  <si>
    <t>P2RA-EU5L</t>
  </si>
  <si>
    <t>Disposició controlada en centre de reciclatge de residus de paper i cartró no perillosos amb una densitat 0,04 t/m3, procedents de construcció o demolició, amb codi 15 01 01 segons la Llista Europea de Residus</t>
  </si>
  <si>
    <t>P2RA-EU5T</t>
  </si>
  <si>
    <t>Disposició controlada en centre de reciclatge de residus de metalls barrejats no perillosos amb una densitat 0,2 t/m3, procedents de construcció o demolició, amb codi 17 04 07 segons la Llista Europea de Residus</t>
  </si>
  <si>
    <t>RESIDUS ESPECIALS</t>
  </si>
  <si>
    <t>01.GR.04</t>
  </si>
  <si>
    <t>P2R5-DT3X</t>
  </si>
  <si>
    <t>Transport de residus especials a instal·lació autoritzada de gestió de residus, amb contenidor d'1 m3 de capacitat</t>
  </si>
  <si>
    <t>P2RA-EU68</t>
  </si>
  <si>
    <t>Disposició controlada en dipòsit autoritzat inclòs el cànon sobre la deposició controlada dels residus de la construcció, segons la LLEI 8/2008, de residus de fibrociment perillosos amb una densitat 0,9 t/m3, procedents de construcció o demolició, amb codi 17 06 05* segons la Llista Europea de Residus</t>
  </si>
  <si>
    <t>SS</t>
  </si>
  <si>
    <t>SEGURETAT I SALUT</t>
  </si>
  <si>
    <t>01.SS.01</t>
  </si>
  <si>
    <t>PZPAU-SS00</t>
  </si>
  <si>
    <t>pa</t>
  </si>
  <si>
    <t>Partida alçada d'abonament íntegre de seguretat i salut a l'obra en base a l'estudi i el pla de seguretat i salut.</t>
  </si>
  <si>
    <t>Justificació d'elements</t>
  </si>
  <si>
    <t>Nº</t>
  </si>
  <si>
    <t>Codi</t>
  </si>
  <si>
    <t>U.A.</t>
  </si>
  <si>
    <t>Descripció</t>
  </si>
  <si>
    <t>Descripció curta</t>
  </si>
  <si>
    <t>Element compost</t>
  </si>
  <si>
    <t>B06H-HISB</t>
  </si>
  <si>
    <t>Formigó no estructural de calç fet a obra amb 380 1 kg/m3 de Calç hidràulica natural NHL 5, en sacs, granulat de pedra calcària i grandària màxima 20 mm, amb una proporció en volum de 1:4, elaborat amb formigonera</t>
  </si>
  <si>
    <t>Rend.:</t>
  </si>
  <si>
    <t>Formigó no estructural calç, obra Calç hidràu.natural NHL 5,sacs380 1kg/m3,granulatpedra calc.,1:4,e</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</si>
  <si>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</si>
  <si>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</si>
  <si>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</si>
  <si>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</si>
  <si>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</si>
  <si>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</si>
  <si>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</si>
  <si>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</si>
  <si>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</si>
  <si>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</si>
  <si>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</si>
  <si>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</si>
  <si>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</si>
  <si>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</si>
  <si>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</si>
  <si>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B03J-0K7V</t>
  </si>
  <si>
    <t>t</t>
  </si>
  <si>
    <t>Grava de pedrera de pedra calcària, de grandària màxima 20 mm, per a formigons</t>
  </si>
  <si>
    <t>B03L-05MQ</t>
  </si>
  <si>
    <t>Sorra de pedrera de pedra calcària per a formigons</t>
  </si>
  <si>
    <t>B054-06DG</t>
  </si>
  <si>
    <t>Calç hidràulica natural NHL 5, en sacs</t>
  </si>
  <si>
    <t>Subtotal material</t>
  </si>
  <si>
    <t>Cost directe</t>
  </si>
  <si>
    <t>Despeses auxiliars</t>
  </si>
  <si>
    <t>%</t>
  </si>
  <si>
    <t>Total</t>
  </si>
  <si>
    <t>B07F-0LT4</t>
  </si>
  <si>
    <t>Morter de ciment pòrtland amb filler calcari CEM II/B-L i sorra, amb 250 kg/m3 de ciment, amb una proporció en volum 1:6 i 5 N/mm2 de resistència a compressió, elaborat a l'obra</t>
  </si>
  <si>
    <t>Morter ciment pòrtland+fill.calc. CEM II/B-L,sorra,250kg/m3 ciment,1:6,5N/mm2,elab.a obra</t>
  </si>
  <si>
    <t>B03L-05N7</t>
  </si>
  <si>
    <t>Sorra de pedrera per a morters</t>
  </si>
  <si>
    <t>B055-067M</t>
  </si>
  <si>
    <t>Ciment pòrtland amb filler calcari CEM II/B-L 32,5 R segons UNE-EN 197-1, en sacs</t>
  </si>
  <si>
    <t>B07F-0LT5</t>
  </si>
  <si>
    <t>Morter de ciment pòrtland amb filler calcari CEM II/B-L i sorra, amb 380 kg/m3 de ciment, amb una proporció en volum 1:4 i 10 N/mm2 de resistència a compressió, elaborat a l'obra</t>
  </si>
  <si>
    <t>Morter ciment pòrtland+fill.calc. CEM II/B-L,sorra,380kg/m3 ciment,1:4,10N/mm2,elab.a obra</t>
  </si>
  <si>
    <t>B07F-0LT6</t>
  </si>
  <si>
    <t>Morter mixt de ciment pòrtland amb filler calcari CEM II, calç i sorra, amb 200 kg/m3 de ciment, amb una proporció en volum 1:2:10 i 2,5 N/mm2 de resistència a compressió, elaborat a l'obra</t>
  </si>
  <si>
    <t>Morter mixt ciment pòrtland+fill.calc. CEM II,calç,sorra,200kg/m3 ciment,1:2:10,2,5N/mm2,elab.a obra</t>
  </si>
  <si>
    <t>B054-06DH</t>
  </si>
  <si>
    <t>Calç aèria hidratada CL 90-S, en sacs</t>
  </si>
  <si>
    <t>B07F-0LT8</t>
  </si>
  <si>
    <t>Morter de ciment pòrtland amb filler calcari CEM II/B-L i sorra, amb 200 kg/m3 de ciment, amb una proporció en volum 1:8 i 2,5 N/mm2 de resistència a compressió, elaborat a l'obra</t>
  </si>
  <si>
    <t>Morter ciment pòrtland+fill.calc. CEM II/B-L,sorra,200kg/m3 ciment,1:8,2,5N/mm2,elab.a obra</t>
  </si>
  <si>
    <t>B07G-0MRF</t>
  </si>
  <si>
    <t>Morter de ciment amb ciment pòrtland CEM I i sorra, amb additiu inclusor aire/plastificant i 380 kg/m3 de ciment, amb una proporció en volum 1:4 i 10 N/mm2 de resistència a compressió, elaborat a l'obra</t>
  </si>
  <si>
    <t>Morter ciment pòrtland CEM I+sorra+inclus.aire/plastificant 380kg/m3,1:4,10N/mm2,elab.</t>
  </si>
  <si>
    <t>B055-0661</t>
  </si>
  <si>
    <t>Ciment pòrtland CEM I 32,5 R segons UNE-EN 197-1, en sacs</t>
  </si>
  <si>
    <t>B081-06U6</t>
  </si>
  <si>
    <t>Additiu inclusor aire/plastificant per a morter, segons la norma UNE-EN 934-3</t>
  </si>
  <si>
    <t>B0B6-107E</t>
  </si>
  <si>
    <t>Acer en barres corrugades elaborat a l'obra i manipulat a taller B500S, de límit elàstic &gt;= 500 N/mm2</t>
  </si>
  <si>
    <t>Acer b/corrug.obra man.taller B500S</t>
  </si>
  <si>
    <t>A0F-000I</t>
  </si>
  <si>
    <t>Oficial 1a ferrallista</t>
  </si>
  <si>
    <t>A01-FEP0</t>
  </si>
  <si>
    <t>Ajudant ferrallista</t>
  </si>
  <si>
    <t>B0B7-106Q</t>
  </si>
  <si>
    <t>Acer en barres corrugades B500S de límit elàstic &gt;= 500 N/mm2</t>
  </si>
  <si>
    <t>B0AM-078F</t>
  </si>
  <si>
    <t>Filferro recuit d'1,3 mm</t>
  </si>
  <si>
    <t>B777-.4G2</t>
  </si>
  <si>
    <t>Làmina impermeable i transpirable al vapor d'aigua de tres capes de polipropilè de 180g/m2 de densit</t>
  </si>
  <si>
    <t>Partida d'obra</t>
  </si>
  <si>
    <t>P-1</t>
  </si>
  <si>
    <t>Central d'alarmes d'intrusió</t>
  </si>
  <si>
    <t>A0F-000R</t>
  </si>
  <si>
    <t>Oficial 1a muntador</t>
  </si>
  <si>
    <t>A01-FEPH</t>
  </si>
  <si>
    <t>Ajudant muntador</t>
  </si>
  <si>
    <t>BECS-MC00</t>
  </si>
  <si>
    <t>Central de alarmas de intrusión G4 y A2</t>
  </si>
  <si>
    <t>Despeses indirectes</t>
  </si>
  <si>
    <t>P-2</t>
  </si>
  <si>
    <t>Contacte magnètic de superfície mitjana potencial Grau 2</t>
  </si>
  <si>
    <t>BDEC-94G2</t>
  </si>
  <si>
    <t>Contacto magnético de superficie mediana potencia</t>
  </si>
  <si>
    <t>P-3</t>
  </si>
  <si>
    <t>Detector doble tecnologia digital amb ACT i cobertura 15 m. Grau 2</t>
  </si>
  <si>
    <t>BDEC-DT15</t>
  </si>
  <si>
    <t>Detector doble tecnología digital con ACT y cobertura</t>
  </si>
  <si>
    <t>P-4</t>
  </si>
  <si>
    <t>Proves i posada en marxa del sistema in situ, incloent-hi formació d'usuari</t>
  </si>
  <si>
    <t>BPPM-PMPM</t>
  </si>
  <si>
    <t>Pruebas y puesta en marcha del sistema in situ,</t>
  </si>
  <si>
    <t>P-5</t>
  </si>
  <si>
    <t>Accesoris pou existent</t>
  </si>
  <si>
    <t>P-6</t>
  </si>
  <si>
    <t>Invers.p/inst.fotov 6kW</t>
  </si>
  <si>
    <t>A013H000</t>
  </si>
  <si>
    <t>ajudant electricista</t>
  </si>
  <si>
    <t>A012H000</t>
  </si>
  <si>
    <t>oficial 1a electricista</t>
  </si>
  <si>
    <t>BGE2IN02</t>
  </si>
  <si>
    <t>inversor 6kw</t>
  </si>
  <si>
    <t>BGWE2000</t>
  </si>
  <si>
    <t>Part proporcional d'accessoris per a inversor fotovoltaic</t>
  </si>
  <si>
    <t>P-7</t>
  </si>
  <si>
    <t>Central de control per a la gestió d'energia, permet controlar els equips consumidors de forma autom</t>
  </si>
  <si>
    <t>BGE3CP02</t>
  </si>
  <si>
    <t xml:space="preserve">Solis Export Power Manager 3-5G-PLUS </t>
  </si>
  <si>
    <t>P-8</t>
  </si>
  <si>
    <t>Comptador d'energia trifàsic de mesura indirecte multifunció i mòdul de comunicació modbus per a CEM</t>
  </si>
  <si>
    <t>BGECP01</t>
  </si>
  <si>
    <t>SOLIS METER FOR EPM FUNCTION ON 3P4G/3P5G (WITH 3 X CT)</t>
  </si>
  <si>
    <t>P-9</t>
  </si>
  <si>
    <t>Tràmits i gestions amb la Companyia d'electricitat</t>
  </si>
  <si>
    <t>P-10</t>
  </si>
  <si>
    <t>Escomesa des de la xarxa de distribució d'aigua</t>
  </si>
  <si>
    <t>P-11</t>
  </si>
  <si>
    <t>Tràmits i gestions amb la Companyia d'aigües</t>
  </si>
  <si>
    <t>P-12</t>
  </si>
  <si>
    <t>Tràmits i gestions amb la Companyia de clavegueram</t>
  </si>
  <si>
    <t>P-13</t>
  </si>
  <si>
    <t>A0F-000E</t>
  </si>
  <si>
    <t>Oficial 1a electricista</t>
  </si>
  <si>
    <t>P-14</t>
  </si>
  <si>
    <t>Amortització diària de bastida tubular metàl·lica fixa, formada per bastiments de 70 cm d'amplària i</t>
  </si>
  <si>
    <t>B0Y1-.2V6</t>
  </si>
  <si>
    <t>P-15</t>
  </si>
  <si>
    <t>Muntatge i desmuntatge de bastida tubular metàl·lica fixa, formada per bastiments de 70 cm i alçària</t>
  </si>
  <si>
    <t>C154-003N</t>
  </si>
  <si>
    <t>Camió per a transport de 7 t</t>
  </si>
  <si>
    <t>P-16</t>
  </si>
  <si>
    <t>Legalització BT</t>
  </si>
  <si>
    <t>P-17</t>
  </si>
  <si>
    <t xml:space="preserve">Partida per treballs de control i seguiment arqueològic preventiu en treballs amb remoció de terres </t>
  </si>
  <si>
    <t>A02-FEPU</t>
  </si>
  <si>
    <t>Arqueòleg ajudant</t>
  </si>
  <si>
    <t>A02-FEPT</t>
  </si>
  <si>
    <t>Arqueòleg director</t>
  </si>
  <si>
    <t>A02-FEPV</t>
  </si>
  <si>
    <t>Arqueòleg dibuixant</t>
  </si>
  <si>
    <t>P-18</t>
  </si>
  <si>
    <t>Neteja de plantes i herbes de parament vertical i horitzontal, aplicació de tractament herbicida i c</t>
  </si>
  <si>
    <t>A0D-0007</t>
  </si>
  <si>
    <t>Manobre</t>
  </si>
  <si>
    <t>CRL0-002L</t>
  </si>
  <si>
    <t>Aparell manual de pressió per a tractaments fitosanitaris i herbicides</t>
  </si>
  <si>
    <t>BRL1-0TY1</t>
  </si>
  <si>
    <t>l</t>
  </si>
  <si>
    <t>Producte herbicida de contacte</t>
  </si>
  <si>
    <t>P-19</t>
  </si>
  <si>
    <t xml:space="preserve">Neteja i esbrossada de plantes, herbes, matolls i arbres, amb mitjans manuals i amb minicarregadora </t>
  </si>
  <si>
    <t>C133-00EW</t>
  </si>
  <si>
    <t>Minicarregadora de combustible sobre pneumàtics de 2 a 5,9 t</t>
  </si>
  <si>
    <t>CR10-005L</t>
  </si>
  <si>
    <t>Desbrossadora manual de braç amb capçal de fil o disc</t>
  </si>
  <si>
    <t>P-20</t>
  </si>
  <si>
    <t xml:space="preserve">Enderroc de volum d'edificació en interior i en exterior, incloent tot tipus de material (ceràmica, </t>
  </si>
  <si>
    <t>A0F-000B</t>
  </si>
  <si>
    <t>Oficial 1a</t>
  </si>
  <si>
    <t>C111-0056</t>
  </si>
  <si>
    <t>Compressor amb dos martells pneumàtics</t>
  </si>
  <si>
    <t>C207-00E1</t>
  </si>
  <si>
    <t>Equip i elements auxiliars per a tall oxiacetilènic</t>
  </si>
  <si>
    <t>CL40-00J3</t>
  </si>
  <si>
    <t>Plataforma elevadora telescòpica articulada, autopropulsada amb motor de gasoil de 20 m d'alçària màxima de treball i 9,8 en horitzontal, de 227 kg de càrrega útil, de dimensions 700x245x245 cm en repós i 10886 kg de pes buida, amb cistella de dimensions 150x75 cm</t>
  </si>
  <si>
    <t>P-21</t>
  </si>
  <si>
    <t>Desmuntatge, condicionament i retirada d'elements de fibrociment de tota l'àrea d'actuació de ´´La F</t>
  </si>
  <si>
    <t>B2RA-.001</t>
  </si>
  <si>
    <t>P-22</t>
  </si>
  <si>
    <t>Arrencada de full i bastiment de fusteria de fusta amb envidrament, amb mitjans manuals i càrrega ma</t>
  </si>
  <si>
    <t>P-23</t>
  </si>
  <si>
    <t>Neteja i retirada d'elements existents a l'interior i exterior de les edificacions del conjunt i sel</t>
  </si>
  <si>
    <t>P-24</t>
  </si>
  <si>
    <t>Arrencada full+bastim. Porta int.,m.man.,càrr.man.</t>
  </si>
  <si>
    <t>P-25</t>
  </si>
  <si>
    <t>Enderroc de paviment existent i/o solera de formigó lleugerament armat, de fins a 15 cm de gruix, am</t>
  </si>
  <si>
    <t>P-26</t>
  </si>
  <si>
    <t>Desmuntatge, inventariat i abassegament de paviment de rajola hidràulica, amb aprofitament per a rec</t>
  </si>
  <si>
    <t>P-27</t>
  </si>
  <si>
    <t>Demol.pavim. Panot.s/form. G fins a 10 cm,ampl.fins a 2 m,compressor + càrrega cam. Manuals,Entorn u</t>
  </si>
  <si>
    <t>P-28</t>
  </si>
  <si>
    <t>Desmuntatge, inventariat i abassegament amb aprofitament de bigues de fusta que sustentaven el cel r</t>
  </si>
  <si>
    <t>A01-FEP6</t>
  </si>
  <si>
    <t>Ajudant fuster</t>
  </si>
  <si>
    <t>CRE0-00C0</t>
  </si>
  <si>
    <t>Motoserra</t>
  </si>
  <si>
    <t>P-29</t>
  </si>
  <si>
    <t xml:space="preserve">Enderroc de bancada de cuina existent i aplec d'aigüera per al reaprofitament, amb mitjans manuals, </t>
  </si>
  <si>
    <t>P-30</t>
  </si>
  <si>
    <t>Enderroc de sostre complet, incloent paviment, entrebigat, bigues de fusta i estructura de fals sost</t>
  </si>
  <si>
    <t>P-31</t>
  </si>
  <si>
    <t>Enderroc de biga o bigueta de fusta, amb mitjans manuals i d'elevació i càrrega manual de runa sobre</t>
  </si>
  <si>
    <t>P-32</t>
  </si>
  <si>
    <t>Enderroc pilar,maó massís,m.man.,càrrega manual</t>
  </si>
  <si>
    <t>P-33</t>
  </si>
  <si>
    <t>Enderroc mur,maçon.,compres.,càrrega manual</t>
  </si>
  <si>
    <t>P-34</t>
  </si>
  <si>
    <t>Enderroc escala fusta,+estruc.+graons+barana fusta,m.man.,càrrega manual</t>
  </si>
  <si>
    <t>P-35</t>
  </si>
  <si>
    <t>Desmuntatge, inventariat i abassegament de teules àrabs, amb aprofitament per a recol·locació a l'ob</t>
  </si>
  <si>
    <t>P-36</t>
  </si>
  <si>
    <t>Enderroc de solera de rajola ceràmica amb mitjans manuals i càrrega manual de runa sobre camió o con</t>
  </si>
  <si>
    <t>P-37</t>
  </si>
  <si>
    <t>Enderroc enllistonat fusta,m.man.,càrrega manual</t>
  </si>
  <si>
    <t>P-38</t>
  </si>
  <si>
    <t>Enderroc d'envà o paret divisòria de ceràmica de 5 a 10 cm de gruix, amb mitjans manuals i càrrega m</t>
  </si>
  <si>
    <t>P-39</t>
  </si>
  <si>
    <t>Tall paviment form. H&gt;=15cm</t>
  </si>
  <si>
    <t>C178-00GF</t>
  </si>
  <si>
    <t>Màquina tallajunts amb disc de diamant per a paviment</t>
  </si>
  <si>
    <t>P-40</t>
  </si>
  <si>
    <t>Tall de mur de pedra per formació d'obertures amb forma definida en plànols, amb serra amb fil de di</t>
  </si>
  <si>
    <t>C200-H7D5</t>
  </si>
  <si>
    <t>Equip de tall d'estructures de formigó en massa o armat amb fil de diamant</t>
  </si>
  <si>
    <t>C20B-00HC</t>
  </si>
  <si>
    <t>Màquina taladradora amb broca de diamant refrigerada amb aigua per a forats de 5 a 20 cm com a màxim</t>
  </si>
  <si>
    <t>B0AN-07J4</t>
  </si>
  <si>
    <t>Tac químic de diàmetre 16 mm, amb cargol, volandera i femella</t>
  </si>
  <si>
    <t>P-41</t>
  </si>
  <si>
    <t>Enderroc d'aparell sanitari, ancoratges, aixetes, mecanismes, desguassos i desconnexió de les xarxes</t>
  </si>
  <si>
    <t>A0F-000N</t>
  </si>
  <si>
    <t>Oficial 1a lampista</t>
  </si>
  <si>
    <t>P-42</t>
  </si>
  <si>
    <t xml:space="preserve">Excavació de caixa de paviment, en terreny compacte (SPT 20-50), realitzada amb minicarregadora amb </t>
  </si>
  <si>
    <t>C133-00EQ</t>
  </si>
  <si>
    <t>Minicarregadora de combustible sobre pneumàtics de 2 a 5,9 t, amb accessori retroexcavador de 40 a 60 cm d'amplària</t>
  </si>
  <si>
    <t>P221B-EL8B</t>
  </si>
  <si>
    <t>Excavació de rasa i pou de fins a 4 m de fondària, en terreny compacte (SPT 20-50), realitzada amb retroexcavadora de combustible i càrrega mecànica sobre camió amb retroexcavadora</t>
  </si>
  <si>
    <t>Excav.rasa/pou,hfins a 4 m,terreny compact.(SPT 20-50),retro. De combustible,+càrr.mec.s/camió</t>
  </si>
  <si>
    <t>C13C-00LP</t>
  </si>
  <si>
    <t>Retroexcavadora sobre pneumàtics de 8 a 10 t</t>
  </si>
  <si>
    <t>P-43</t>
  </si>
  <si>
    <t>Excav.rasa/pou,hfins a 2 m,terreny compact.(SPT 20-50),minicarregadora+retro. De combustible,+càrr.m</t>
  </si>
  <si>
    <t>P-44</t>
  </si>
  <si>
    <t>Excav. Rasa instal.,hfins a 1 m,terreny compact.(SPT 20-50),minicarregadora+retro.,comb.,+terres dei</t>
  </si>
  <si>
    <t>P-45</t>
  </si>
  <si>
    <t>C13A-00FR</t>
  </si>
  <si>
    <t>Compactador combustible duplex manual de 700 kg</t>
  </si>
  <si>
    <t>P-46</t>
  </si>
  <si>
    <t>Repàs sòl/paret rasa/recalçat hfins a 1,5 m</t>
  </si>
  <si>
    <t>P-47</t>
  </si>
  <si>
    <t>Repàs sòl/paret rasa/recalçat hfins a 2,5 m</t>
  </si>
  <si>
    <t>P2253-5479</t>
  </si>
  <si>
    <t>Reblert de rasa o pou amb graves per a drenatge de pedra calcària, en tongades de 25 cm com a màxim</t>
  </si>
  <si>
    <t>Reblert rasa/pou grava drenatge pedra calc.,&lt;=25cm</t>
  </si>
  <si>
    <t>C138-00KR</t>
  </si>
  <si>
    <t>Pala carregadora sobre pneumàtics de 8 a 14 t</t>
  </si>
  <si>
    <t>B03J-0K8O</t>
  </si>
  <si>
    <t>Grava de pedrera de pedra calcària, per a drens</t>
  </si>
  <si>
    <t>P-48</t>
  </si>
  <si>
    <t>Terraplenat+picon.rasa/pou,terres adeq.,gfins a 25 cm,95% PM,amb picó vibrant de comb. I minicarrega</t>
  </si>
  <si>
    <t>C13A-00FP</t>
  </si>
  <si>
    <t>Picó vibrant de combustible amb placa de 30x30 cm</t>
  </si>
  <si>
    <t>P-49</t>
  </si>
  <si>
    <t>Classif.obra residus construcció/demoliciós/construcció/demolició,m.man.</t>
  </si>
  <si>
    <t>P-50</t>
  </si>
  <si>
    <t>Transp.terres no contaminades,obra ext./centr. Valor.,camió 20t,carreg.mec.,rec.més de 15 i fins a 2</t>
  </si>
  <si>
    <t>C154-003K</t>
  </si>
  <si>
    <t>Camió per a transport de 20 t</t>
  </si>
  <si>
    <t>P-51</t>
  </si>
  <si>
    <t>Transport residus,instal.gestió residus,camió 20t,càrrega mec.,rec.més de 15 i fins a 20 km</t>
  </si>
  <si>
    <t>P-52</t>
  </si>
  <si>
    <t>Transp.res.especials,instal.gestió residus,contenidor 1m3</t>
  </si>
  <si>
    <t>C1R1-00CW</t>
  </si>
  <si>
    <t>Subministrament de contenidor paletitzat amb estructura de reixa metàl·lica d'1 m3 de capacitat i recollida amb residus especials</t>
  </si>
  <si>
    <t>P-53</t>
  </si>
  <si>
    <t xml:space="preserve">Disposició controlada dipòsit autoritzat inclòs el cànon sobre la deposició controlada dels residus </t>
  </si>
  <si>
    <t>B2RA-28V5</t>
  </si>
  <si>
    <t>P-54</t>
  </si>
  <si>
    <t>Disposició controlada centre reciclatge,residus plàstic no perillosos,0,035t/m3,LER 17 02 03</t>
  </si>
  <si>
    <t>B2RA-28TU</t>
  </si>
  <si>
    <t>P-55</t>
  </si>
  <si>
    <t>Disposició controlada centre reciclatge,residus paper/cartró no perillosos,0,04t/m3,LER 15 01 01</t>
  </si>
  <si>
    <t>B2RA-28UL</t>
  </si>
  <si>
    <t>P-56</t>
  </si>
  <si>
    <t>B2RA-28V1</t>
  </si>
  <si>
    <t>P-57</t>
  </si>
  <si>
    <t>Disposició controlada centre reciclatge,residus fusta no perillosos,0,19t/m3,LER 17 02 01</t>
  </si>
  <si>
    <t>B2RA-28TK</t>
  </si>
  <si>
    <t>P-58</t>
  </si>
  <si>
    <t>Disposició controlada centre reciclatge,residus metalls no perillosos,0,2t/m3,LER 17 04 07</t>
  </si>
  <si>
    <t>B2RA-28UG</t>
  </si>
  <si>
    <t>P-59</t>
  </si>
  <si>
    <t>Disposició controlada centre reciclatge,residus vidre inerts,0,7t/m3,LER 17 02 02</t>
  </si>
  <si>
    <t>B2RA-28TW</t>
  </si>
  <si>
    <t>P-60</t>
  </si>
  <si>
    <t>Disposició controlada centre reciclatge,residus ceràmics inerts,0,8t/m3,LER 17 01 03</t>
  </si>
  <si>
    <t>B2RA-28TM</t>
  </si>
  <si>
    <t>P-61</t>
  </si>
  <si>
    <t>B2RA-28VA</t>
  </si>
  <si>
    <t>P-62</t>
  </si>
  <si>
    <t>Disposició controlada centre reciclatge,residus form. Inerts,1,45t/m3,LER 17 01 01</t>
  </si>
  <si>
    <t>B2RA-28TN</t>
  </si>
  <si>
    <t>P-63</t>
  </si>
  <si>
    <t>Disposició de terres no cont. De densitat aparent 1,6 t/m3, a VNME</t>
  </si>
  <si>
    <t>B2RB-HFVL</t>
  </si>
  <si>
    <t>P-64</t>
  </si>
  <si>
    <t>Arm.rases i pous AP500S barres corrug.</t>
  </si>
  <si>
    <t>Subtotal element compost</t>
  </si>
  <si>
    <t>P-65</t>
  </si>
  <si>
    <t xml:space="preserve">Form.rases/pous fonam.,Formigó per armar HA - 25 / B / 20 / XC2 quant.ciment 275kg/m3, aigua/ciment </t>
  </si>
  <si>
    <t>A0F-000T</t>
  </si>
  <si>
    <t>Oficial 1a paleta</t>
  </si>
  <si>
    <t>C172-003J</t>
  </si>
  <si>
    <t>Camió amb bomba de formigonar</t>
  </si>
  <si>
    <t>B06F2-HZBD</t>
  </si>
  <si>
    <t>Formigó per armar HA - 25 / B / 20 / XC2 amb una quantitat de ciment de 275 kg/m3 i relació aigua ciment =&lt; 0.6</t>
  </si>
  <si>
    <t>P-66</t>
  </si>
  <si>
    <t>Form.rases/pous fonam.,Formigó en massa HM - 25 / B / 20 / X0 quant.ciment 275kg/m3, aigua/ciment =&lt;</t>
  </si>
  <si>
    <t>B06F1-I5GQ</t>
  </si>
  <si>
    <t>Formigó en massa HM - 25 / B / 20 / X0 amb una quantitat de ciment de 275 kg/m3 i relació aigua ciment =&lt; 0.6</t>
  </si>
  <si>
    <t>P-67</t>
  </si>
  <si>
    <t>Armadura p/murs cont. AP500S barres corrug.,h&lt;=3m</t>
  </si>
  <si>
    <t>P-68</t>
  </si>
  <si>
    <t>Muntatge+desm.1 cara encofrat,plafó met.250x50cm,p/mur conten.rectil.,1c.,h&lt;= 3 m</t>
  </si>
  <si>
    <t>A01-FEOZ</t>
  </si>
  <si>
    <t>Ajudant encofrador</t>
  </si>
  <si>
    <t>A0F-000F</t>
  </si>
  <si>
    <t>Oficial 1a encofrador</t>
  </si>
  <si>
    <t>B0DZ5-0F6S</t>
  </si>
  <si>
    <t>Part proporcional d'elements auxiliars per a plafons metàl·lics, de 50x250 cm</t>
  </si>
  <si>
    <t>B0DZ1-0ZLZ</t>
  </si>
  <si>
    <t>Desencofrant</t>
  </si>
  <si>
    <t>B0D80-0CNX</t>
  </si>
  <si>
    <t>Plafó metàl·lic de 50x250 cm per a 50 usos</t>
  </si>
  <si>
    <t>B0AK-07AS</t>
  </si>
  <si>
    <t>Clau acer</t>
  </si>
  <si>
    <t>B0D21-07OY</t>
  </si>
  <si>
    <t>Tauló de fusta de pi per a 10 usos</t>
  </si>
  <si>
    <t>B0D62-07PL</t>
  </si>
  <si>
    <t>cu</t>
  </si>
  <si>
    <t>Puntal metàl·lic i telescòpic per a 3 m d'alçària i 150 usos</t>
  </si>
  <si>
    <t>P-69</t>
  </si>
  <si>
    <t>Formigonament de murs de contencióh&lt;=3m,Formigó per armar HA - 25 / F / 20 / XC2 quant.ciment 275kg/</t>
  </si>
  <si>
    <t>B06F2-LQTJ</t>
  </si>
  <si>
    <t>Formigó per armar HA - 25 / F / 20 / XC2 amb una quantitat de ciment de 275 kg/m3 i relació aigua ciment =&lt; 0.6</t>
  </si>
  <si>
    <t>P-70</t>
  </si>
  <si>
    <t>Armadura d/llosa AP500T Malla electr.acer corr.ME 15x15cm,D:6-6mm,6x2,2m B500T</t>
  </si>
  <si>
    <t>B0B8-107V</t>
  </si>
  <si>
    <t>Malla electrosoldada de barres corrugades d'acer ME 15x15 cm D:6-6 mm 6x2,2 m B500T UNE-EN 10080</t>
  </si>
  <si>
    <t>P3Z3-D53H</t>
  </si>
  <si>
    <t>Capa de neteja i anivellament 10 cm de gruix amb Formigó de neteja, amb una dosificació de 150 kg/m3 de ciment, consistència plàstica i grandària màxima del granulat 20 mm, HL-150 kg/m3/P/20, abocat des de camió</t>
  </si>
  <si>
    <t>Cap.net/anivell. G=10cm, Formigó neteja HL-150/P/20, camió</t>
  </si>
  <si>
    <t>B067-2A9W</t>
  </si>
  <si>
    <t>Formigó de neteja, amb una dosificació de 150 kg/m3 de ciment, consistència plàstica i grandària màxima del granulat 20 mm, HL-150 kg/m3/P/20</t>
  </si>
  <si>
    <t>P-71</t>
  </si>
  <si>
    <t>Cap.net/anivell. G=10cm, Formigó neteja HL-150/B/20, camió</t>
  </si>
  <si>
    <t>B067-2A9V</t>
  </si>
  <si>
    <t>Formigó de neteja, amb una dosificació de 150 kg/m3 de ciment, consistència tova i grandària màxima del granulat 20 mm, HL-150 kg/m3/B/20</t>
  </si>
  <si>
    <t>P-72</t>
  </si>
  <si>
    <t>Biga fusta 20x100cm,Element fusta lam. Combinada GL24c,33/45mm,7x13-20x100cm,ct.l=fins a 15 m,insect</t>
  </si>
  <si>
    <t>A0F-000K</t>
  </si>
  <si>
    <t>Oficial 1a fuster</t>
  </si>
  <si>
    <t>C15G-00DC</t>
  </si>
  <si>
    <t>Grua autopropulsada de 20 t</t>
  </si>
  <si>
    <t>B433-1BSY</t>
  </si>
  <si>
    <t>Element de fusta laminada combinada GL24c, amb gruix de laminat 33/45 mm, de 7x13 a 20x100 cm de secció constant i llargària fins a 15 m, treballada al taller i amb tractament insecticida-fungicida amb un nivell de penetració NP 1 segons UNE-EN 351-1</t>
  </si>
  <si>
    <t>P-73</t>
  </si>
  <si>
    <t>B435-2HIY</t>
  </si>
  <si>
    <t>Part proporcional de ferramentes i junts per a fusta contralaminada</t>
  </si>
  <si>
    <t>P-74</t>
  </si>
  <si>
    <t>P-75</t>
  </si>
  <si>
    <t>Bigueta fusta,Element fusta lam. Combinada GL24c,33/45mm,7x13-20x100cm,ct.l=fins a 5 m,insect.-fung.</t>
  </si>
  <si>
    <t>B433-1BSX</t>
  </si>
  <si>
    <t>Element de fusta laminada combinada GL24c, amb gruix de laminat 33/45 mm, de 7x13 a 20x100 cm de secció constant i llargària fins a 5 m, treballada al taller i amb tractament insecticida-fungicida amb un nivell de penetració NP 1 segons UNE-EN 351-1</t>
  </si>
  <si>
    <t>P435-6UHR</t>
  </si>
  <si>
    <t>Cabiró de fusta d'avet C24 acabat a tall de serra, de 3.5x3.5 a 7x7 cm de secció i llargària fins a 5 m, treballada al taller i amb tractament insecticida-fungicida amb un nivell de penetració NP1 (UNE-EN 351-1), col·locat clavat</t>
  </si>
  <si>
    <t>Cabiró fusta avet C24 tall serra,7x7cm,kfins a 5 m,insect.-fung.,NP1cabiró fusta,col.clavat</t>
  </si>
  <si>
    <t>B432-1C10</t>
  </si>
  <si>
    <t>Cabiró de fusta d'avet C24 acabat a tall de serra, de 3.5x3.5 a 7x7 cm de secció i llargària fins a 5 m, treballada al taller i amb tractament insecticida-fungicida amb un nivell de penetració NP1 (UNE-EN 351-1)</t>
  </si>
  <si>
    <t>B0AK-07AT</t>
  </si>
  <si>
    <t>Clau acer galvanitzat</t>
  </si>
  <si>
    <t>P-76</t>
  </si>
  <si>
    <t>Paret estructural per a interior Panell fusta contralaminada g=140 mm,5 ucapes,disposició transv. En</t>
  </si>
  <si>
    <t>B436-S0WB</t>
  </si>
  <si>
    <t>Panell de fusta contralaminada de 140 mm de gruix formada per 5 capes de fusta d'avet C24, encolades amb adhesiu sense urea-formaldehíde amb la disposició transversal de la fusta en les dues cares del panell, sense tractament hidròfug, amb acabat superficial tipus habitatge en una de les cares amb fusta d'avet de Douglas amb lasur</t>
  </si>
  <si>
    <t>P-77</t>
  </si>
  <si>
    <t>Pilar fusta 20x20cm,Element fusta lam. Combinada GL24c,33/45mm,7x13-20x100cm,ct.l=fins a 5 m,insect.</t>
  </si>
  <si>
    <t>P-78</t>
  </si>
  <si>
    <t xml:space="preserve">Sostre Panell fusta contralaminada g=160 mm,5 ucapes,disposició long. En les dues cares,s/hidròfug. </t>
  </si>
  <si>
    <t>B436-LA9Q</t>
  </si>
  <si>
    <t>Panell de fusta contralaminada de 160 mm de gruix formada per 5 capes de fusta d'avet C24, encolades amb adhesiu sense urea-formaldehíde amb la disposició longitudinal de la fusta en les dues cares del panell, sense tractament hidròfug, amb acabat superficial tipus habitatge en una de les cares amb fusta d'avet de Douglas amb lasur</t>
  </si>
  <si>
    <t>P-79</t>
  </si>
  <si>
    <t xml:space="preserve">Sostre Panell fusta contralaminada g=140 mm,5 ucapes,disposició long. En les dues cares,s/hidròfug. </t>
  </si>
  <si>
    <t>B436-JJFX</t>
  </si>
  <si>
    <t>Panell de fusta contralaminada de 140 mm de gruix formada per 5 capes de fusta d'avet C24, encolades amb adhesiu sense urea-formaldehíde amb la disposició longitudinal de la fusta en les dues cares del panell, sense tractament hidròfug, amb acabat superficial tipus habitatge en una de les cares amb fusta d'avet de Douglas amb lasur</t>
  </si>
  <si>
    <t>P-81</t>
  </si>
  <si>
    <t>P-82</t>
  </si>
  <si>
    <t>P-83</t>
  </si>
  <si>
    <t>P-84</t>
  </si>
  <si>
    <t>P-85</t>
  </si>
  <si>
    <t>Avaluació del sistema estructural: pilars i bigues de fusta, murs paredat i fonamentació de les edif</t>
  </si>
  <si>
    <t>P-86</t>
  </si>
  <si>
    <t>Protecció curativa/preventiva atacs xil·lòfags i altres, en els elements de fusta estructural:
Trac</t>
  </si>
  <si>
    <t>P-87</t>
  </si>
  <si>
    <t>P-88</t>
  </si>
  <si>
    <t>Acer S275JR,p/biga peça simp.,perf.lam.IP,HE,UP,treb.taller+antiox.,col.obra sold.</t>
  </si>
  <si>
    <t>A01-FEP1</t>
  </si>
  <si>
    <t>Ajudant soldador</t>
  </si>
  <si>
    <t>A0F-000Y</t>
  </si>
  <si>
    <t>Oficial 1a soldador</t>
  </si>
  <si>
    <t>C206-00DW</t>
  </si>
  <si>
    <t>Equip i elements auxiliars per a soldadura elèctrica</t>
  </si>
  <si>
    <t>B44Z-0LY7</t>
  </si>
  <si>
    <t>Acer S275JR segons UNE-EN 10025-2, format per peça simple, en perfils laminats en calent sèrie IPN, IPE, HEB, HEA, HEM i UPN, treballat al taller per a col·locar amb soldadura i amb una capa d'imprimació antioxidant</t>
  </si>
  <si>
    <t>P-89</t>
  </si>
  <si>
    <t>Formigonament de solera de formigó per armar HA - 25 / B / 10 / XC1 amb una quantitat de ciment de 2</t>
  </si>
  <si>
    <t>B06F2-I1I5</t>
  </si>
  <si>
    <t>Formigó per armar HA - 25 / B / 10 / XC1 amb una quantitat de ciment de 275 kg/m3 i relació aigua ciment =&lt; 0.6</t>
  </si>
  <si>
    <t>P-90</t>
  </si>
  <si>
    <t>Formigonament de dau de recolzament, formigó de calç NHL5</t>
  </si>
  <si>
    <t>P-91</t>
  </si>
  <si>
    <t>B0F15-06N1</t>
  </si>
  <si>
    <t>Maó massís d'elaboració mecànica R-20, de 290x140x50 mm, cares vistes, categoria I, HD, segons la norma UNE-EN 771-1</t>
  </si>
  <si>
    <t>P-92</t>
  </si>
  <si>
    <t>Armadura prefab.gelos.,acer galv.,ampl.=280mm,rodó D=5mm/3,75mm,col.</t>
  </si>
  <si>
    <t>B4Z0-0LNY</t>
  </si>
  <si>
    <t>Armadura prefabricada en gelosia per a parets d'obra de fàbrica, d'acer galvanitzat de 280 mm d'amplària, amb rodó longitudinal de 5 mm d'i rodó transversal de 3,75 mm de</t>
  </si>
  <si>
    <t>P-93</t>
  </si>
  <si>
    <t>Desmuntatge i col·locació de canal ceràmica tortugada recuperada, en totes les cobertes, segons docu</t>
  </si>
  <si>
    <t>A0J-0029</t>
  </si>
  <si>
    <t>Conservador-restaurador</t>
  </si>
  <si>
    <t>P-94</t>
  </si>
  <si>
    <t>A0J-002A</t>
  </si>
  <si>
    <t>Conservador- restaurador responsable de la intervenció</t>
  </si>
  <si>
    <t>P-95</t>
  </si>
  <si>
    <t>P-96</t>
  </si>
  <si>
    <t>P-97</t>
  </si>
  <si>
    <t>Teulada de teula arab procedent de recuperació amb canals noves i cobertores recuperades, col·locada</t>
  </si>
  <si>
    <t>B526-0XSO</t>
  </si>
  <si>
    <t>Teula àrab de ceràmica de fabricació mecànica color envellit, de 30 peces/m2, com a màxim</t>
  </si>
  <si>
    <t>P-98</t>
  </si>
  <si>
    <t>Solera Tauler de partícules de fusta aglomerades amb resina sintètica, de 19 mm de gruix, per a ambi</t>
  </si>
  <si>
    <t>B0CU9-2G68</t>
  </si>
  <si>
    <t>Tauler de partícules de fusta aglomerades amb resina sintètica, de 19 mm de gruix, per a ambient humit tipus P3 segons UNE-EN 309, reacció al foc D-s2,d0, acabat no revestit, tallat a mida</t>
  </si>
  <si>
    <t>P-99</t>
  </si>
  <si>
    <t>Subministrament i col·locació de noves llates de fusta en cas de no disposar de material suficient (</t>
  </si>
  <si>
    <t>B0H1-H53S</t>
  </si>
  <si>
    <t>Post de fusta de pi tractada a l'autoclau amb sals de coure, encadellada de 22 mm de gruix</t>
  </si>
  <si>
    <t>P-100</t>
  </si>
  <si>
    <t>B0FJ2-0EFF</t>
  </si>
  <si>
    <t>Peça ceràmica amb bisell de 600x300x40 mm</t>
  </si>
  <si>
    <t>P-101</t>
  </si>
  <si>
    <t>P-102</t>
  </si>
  <si>
    <t>Doble enllatat amb llates de fusta de pi, de 40x40 mm + 40x25 mm de secció, creuat, col·locat cada 4</t>
  </si>
  <si>
    <t>B0D31-07P4</t>
  </si>
  <si>
    <t>Llata de fusta de pi</t>
  </si>
  <si>
    <t>P-103</t>
  </si>
  <si>
    <t>Minvell fixat parament planxa Zn g=0,82mm,desenv.&lt;=40cm,3plecs,col.fix.mecàniques</t>
  </si>
  <si>
    <t>A0F-000D</t>
  </si>
  <si>
    <t>Oficial 1a col·locador</t>
  </si>
  <si>
    <t>B5ZD0-0KW7</t>
  </si>
  <si>
    <t>Peça per a minvell de planxa de zinc de 0,82 mm de gruix, de 40 cm de desenvolupament, com a màxim, amb 3 plecs</t>
  </si>
  <si>
    <t>B5ZZ1-131R</t>
  </si>
  <si>
    <t>Clau d'acer galvanitzat de 3x50 mm, amb junt de plom</t>
  </si>
  <si>
    <t>P-104</t>
  </si>
  <si>
    <t>Canal semicirc.planxa Zn g=0,82mm,D=185mm,desenv.=40cm,col.</t>
  </si>
  <si>
    <t>B5ZJ0-0MP8</t>
  </si>
  <si>
    <t>Canal exterior de secció semicircular de planxa de zinc de gruix 0,82 mm, de 185 mm i 40 cm de desenvolupament, com a màxim</t>
  </si>
  <si>
    <t>B5ZJ1-0NJY</t>
  </si>
  <si>
    <t>Ganxo i suport d'acer galvanitzat per a canal de planxa de zinc de 0,82 mm de gruix, de D 185 mm i 40 cm de desenvolupament, com a màxim</t>
  </si>
  <si>
    <t>B5ZZB-131H</t>
  </si>
  <si>
    <t>Vis d'acer galvanitzat de 5.4x65 mm, amb junts de metall i goma i tac de niló de 8/10 mm</t>
  </si>
  <si>
    <t>P-105</t>
  </si>
  <si>
    <t>A01-FEP3</t>
  </si>
  <si>
    <t>Ajudant col·locador</t>
  </si>
  <si>
    <t>B776-0KRN</t>
  </si>
  <si>
    <t>Làmina de polietilè d'alta densitat de gruix 1 mm no resistent a la intempèrie</t>
  </si>
  <si>
    <t>P-106</t>
  </si>
  <si>
    <t>P-107</t>
  </si>
  <si>
    <t>Barrera de vapor/estanquitat amb vel de polietilè de 100 µm i 96 g/m2, col·locada amb fixacions mecà</t>
  </si>
  <si>
    <t>B775-0KR3</t>
  </si>
  <si>
    <t>Vel de polietilè de gruix 100 µm i de pes 96 g/m2</t>
  </si>
  <si>
    <t>B7CZ2-0IRG</t>
  </si>
  <si>
    <t>Tac i suport de niló per a fixar materials aïllants, de 60 mm de gruix com a màxim</t>
  </si>
  <si>
    <t>P7B1-6Q48</t>
  </si>
  <si>
    <t>Geotèxtil format per feltre de polièster no teixit lligat mecànicament de 140 a 190 g/m2, col·locat sense adherir</t>
  </si>
  <si>
    <t>Geotèxtil feltre polièst. No teix. Lligat mecàn.,140 a 190 g/m2,s/adh.</t>
  </si>
  <si>
    <t>B7B1-0KQ0</t>
  </si>
  <si>
    <t>Geotèxtil format per feltre de polièster no teixit, lligat mecànicament de 140 a 190 g/m2</t>
  </si>
  <si>
    <t>P-108</t>
  </si>
  <si>
    <t>Geotèxtil feltre polipropilè/PE no teix. Lligat tèrm.,110 a 130 g/m2,s/adh.</t>
  </si>
  <si>
    <t>B7B1-0KPP</t>
  </si>
  <si>
    <t>Geotèxtil format per feltre de polipropilè/polietilè no teixit, lligat térmicament de 110 a 130 g/m2</t>
  </si>
  <si>
    <t>P-109</t>
  </si>
  <si>
    <t>Aïllam.Placa ríg.MW-roca,dens.=66 a 85 kg/m3,g=50mm,cond.tèrmica &lt;= 0,034 W/(m·K),col.fix.mecàniques</t>
  </si>
  <si>
    <t>B7C93-0ITY</t>
  </si>
  <si>
    <t>Placa rígida de llana mineral de roca (MW), de densitat 66 a 85 kg/m3, de 50 mm de gruix, amb una conductivitat tèrmica &lt;= 0,034 W/(m·K) i resistència tèrmica &gt;= 1,471 m2·K/W</t>
  </si>
  <si>
    <t>P-110</t>
  </si>
  <si>
    <t xml:space="preserve">Aïllament amb doble placa de suro aglomerat (ICB) per un gruix total de 120 mm, plaques amb cantell </t>
  </si>
  <si>
    <t>B7C50-0JHS</t>
  </si>
  <si>
    <t>Placa de suro aglomerat (ICB) per a aïllaments, de densitat 110 kg/m3, de 60 mm de gruix de 0,037 W/(m·K) de conductivitat tèrmica i amb cantell recte</t>
  </si>
  <si>
    <t>P-111</t>
  </si>
  <si>
    <t>Aïllam.Placa ICB aïllam.,dens.=110kg/m3,g=100mm0,037W/(m·K),cantell recte2,7m2·K/W,col.fix.mecànique</t>
  </si>
  <si>
    <t>B7C50-0JHT</t>
  </si>
  <si>
    <t>Placa de suro aglomerat (ICB) per a aïllaments, de densitat 110 kg/m3, de 100 mm de gruix de 0,037 W/(m·K) de conductivitat tèrmica i amb cantell recte</t>
  </si>
  <si>
    <t>B7CZ2-0IRH</t>
  </si>
  <si>
    <t>Tac i suport de niló per a fixar materials aïllants, de 100 mm de gruix com a màxim</t>
  </si>
  <si>
    <t>P-112</t>
  </si>
  <si>
    <t>Aïllament làm.PE ext.g=10mm,AL=21 a 24 dB,col.n/adh.</t>
  </si>
  <si>
    <t>B7C77-0JDQ</t>
  </si>
  <si>
    <t>Làmina de polietilè extruït de 10 mm de gruix, amb una millora a l'aïllament acústic a soroll d'impacte de 21 a 24 dB, i una resistència a la compressió &lt;=21 kPa, amb una millora a l'aïllament acústic a soroll d'impacte de 21 a 24 dB, i una resistència a la compressió &lt;=21 kPa</t>
  </si>
  <si>
    <t>B7CZ0-28CM</t>
  </si>
  <si>
    <t>Cinta adhesiva bituminosa autoprotegida amb alumini, de 5 cm d'amplària</t>
  </si>
  <si>
    <t>P-113</t>
  </si>
  <si>
    <t>Pint.igníf.perf.acer,unacapa imprimació p/pint.intum.+trescapes pintura intumescent,g=1500µm</t>
  </si>
  <si>
    <t>A01-FEP9</t>
  </si>
  <si>
    <t>Ajudant pintor</t>
  </si>
  <si>
    <t>A0F-000V</t>
  </si>
  <si>
    <t>Oficial 1a pintor</t>
  </si>
  <si>
    <t>B896-HYD6</t>
  </si>
  <si>
    <t>Pintura intumescent</t>
  </si>
  <si>
    <t>B8Z6-0P2I</t>
  </si>
  <si>
    <t>Imprimació per a pintura intumescent</t>
  </si>
  <si>
    <t>P-114</t>
  </si>
  <si>
    <t>Barrera front al gas radó amb làmina polimèrica Radbar 300 Conbud o equivalent, amb coeficient de di</t>
  </si>
  <si>
    <t>B7Z3-HIW8</t>
  </si>
  <si>
    <t>Cinta adhesiva per a làmines de poliolefines</t>
  </si>
  <si>
    <t>B774-.ISV</t>
  </si>
  <si>
    <t>Làmina polimèrica Radbar 300 Conbud o equivalent, amb coeficient de difusió front al gas radó, amb segellat hermètic de juntes i solapaments mitjançant cintes de butil i de tancament.</t>
  </si>
  <si>
    <t>P-115</t>
  </si>
  <si>
    <t>Enrajolat de parament vertical interior a una alçària &gt;3 m amb Rajola de gres porcellànic premsat po</t>
  </si>
  <si>
    <t>B0FG2-0GNE</t>
  </si>
  <si>
    <t>Rajola de gres porcellànic premsat polit de forma rectangular o quadrada, d'1 a 5 u peces/m2 grup BIa (UNE-EN 14411), preu superior</t>
  </si>
  <si>
    <t>B053-1VF9</t>
  </si>
  <si>
    <t>Material per a rejuntat de rajoles ceràmiques CG2 segons norma UNE-EN 13888, de color</t>
  </si>
  <si>
    <t>B094-06TK</t>
  </si>
  <si>
    <t>Adhesiu cimentós tipus C2 segons norma UNE-EN 12004</t>
  </si>
  <si>
    <t>P-116</t>
  </si>
  <si>
    <t>Aplacat amb plaques de fibra de guix tipus fermacell de 15 mm de gruix, col·locat amb fixacions mecà</t>
  </si>
  <si>
    <t>B7J1-0SL0</t>
  </si>
  <si>
    <t>Cinta de paper resistent per a junts de plaques de guix laminat</t>
  </si>
  <si>
    <t>B7J6-0GSL</t>
  </si>
  <si>
    <t>Massilla per a junt de plaques de cartró-guix</t>
  </si>
  <si>
    <t>B0AQ-07GR</t>
  </si>
  <si>
    <t>Visos per a plaques de guix laminat</t>
  </si>
  <si>
    <t>B0CC2-I65Z</t>
  </si>
  <si>
    <t>Placa de guix amb fibres amb duresa superficial (I) de gruix 15 mm, amb vora afinada (TE), segons la norma UNE-EN 15283-2+A1</t>
  </si>
  <si>
    <t>P-117</t>
  </si>
  <si>
    <t>Extradossat directe amb plaques de fibra de guix tipus fermacell de 15 mm de gruix, fixades mecànica</t>
  </si>
  <si>
    <t>B0AQ-07EX</t>
  </si>
  <si>
    <t>Visos, d'acer galvanitzats</t>
  </si>
  <si>
    <t>B0AO-07II</t>
  </si>
  <si>
    <t>Tac de niló de 6 a 8 mm de, amb vis</t>
  </si>
  <si>
    <t>B83B-0XKR</t>
  </si>
  <si>
    <t>Perfileria de planxa d'acer galvanitzat amb perfils entre 75 a 85 mm d'amplària</t>
  </si>
  <si>
    <t>P-118</t>
  </si>
  <si>
    <t>Aplacat amb tauler tricapa, de 16 mm de gruix, per a ambient humit segons UNE-EN 636, reacció al foc</t>
  </si>
  <si>
    <t>B0AO-07IG</t>
  </si>
  <si>
    <t>Tac de niló de 5 mm de diàmetre, com a màxim, amb vis</t>
  </si>
  <si>
    <t>B0CU2-2GU2</t>
  </si>
  <si>
    <t>Aplacat amb tauler tricapa, de 16 mm de gruix, per a ambient humit segons UNE-EN 636, reacció al foc B-s2, d0, treballat al taller</t>
  </si>
  <si>
    <t>B0AQ-07GT</t>
  </si>
  <si>
    <t>Visos per a fusta o tacs de PVC, d'acer, cadmiats</t>
  </si>
  <si>
    <t>P-119</t>
  </si>
  <si>
    <t>Repicat manual del morter de calç o de qualsevol altre tipus de paraments, sorrejat amb raig de sorr</t>
  </si>
  <si>
    <t>CZ11-005C</t>
  </si>
  <si>
    <t>Compressor portàtil entre 7 i 10 m3/min de cabal i 8 bar de pressió</t>
  </si>
  <si>
    <t>CZ16-00EH</t>
  </si>
  <si>
    <t>Equip de raig de sorra</t>
  </si>
  <si>
    <t>B03L-05MU</t>
  </si>
  <si>
    <t>Sorra de sílice de 0 a 3,5 mm</t>
  </si>
  <si>
    <t>P-120</t>
  </si>
  <si>
    <t>Raspallat i sanejat manual de restes de pintat i altres materials en parament vertical, per a recupe</t>
  </si>
  <si>
    <t>P-121</t>
  </si>
  <si>
    <t>Veladura i/o tenyit reintegrador superficial de parament vertical per igualar superfícies, amb pintu</t>
  </si>
  <si>
    <t>B896-HYMS</t>
  </si>
  <si>
    <t>Pintura al silicat d'un component, per a veladura de pedra natural, hidròfuga</t>
  </si>
  <si>
    <t>B015-16HR</t>
  </si>
  <si>
    <t>Diluent de pintura mineral al silicat, per a veladura de pedra natural</t>
  </si>
  <si>
    <t>P-122</t>
  </si>
  <si>
    <t>Estucat de la última capa en parament d'emblanquinat amb pasta de calç grassa i pols de marbre d'1 m</t>
  </si>
  <si>
    <t>A01-FEP7</t>
  </si>
  <si>
    <t>Ajudant estucador</t>
  </si>
  <si>
    <t>A0F-000H</t>
  </si>
  <si>
    <t>Oficial 1a estucador</t>
  </si>
  <si>
    <t>B881-0OZU</t>
  </si>
  <si>
    <t>Pasta de calç grassa i pols de marbre</t>
  </si>
  <si>
    <t>P-123</t>
  </si>
  <si>
    <t>Estuc tricapa parament corb,acabat lliscat</t>
  </si>
  <si>
    <t>B881-0OZW</t>
  </si>
  <si>
    <t>Morter preparat de calç grassa apagada i sorra fina de dosificació 1:3</t>
  </si>
  <si>
    <t>B881-0OZV</t>
  </si>
  <si>
    <t>Morter preparat de calç grassa apagada i sorra fina de dosificació 1:4</t>
  </si>
  <si>
    <t>P-124</t>
  </si>
  <si>
    <t>P-125</t>
  </si>
  <si>
    <t>P-126</t>
  </si>
  <si>
    <t>Pint.est.acer st.pro,g.d=M,cl.exp.=C2,2capes,g=120µm,manual</t>
  </si>
  <si>
    <t>B898-2MHX</t>
  </si>
  <si>
    <t>Pintura epoxi bicomponent, per a sistemes de protecció de l'acer</t>
  </si>
  <si>
    <t>B898-2MHY</t>
  </si>
  <si>
    <t>Pintura de poliuretà bicomponent, per a sistemes de protecció de l'acer</t>
  </si>
  <si>
    <t>P-127</t>
  </si>
  <si>
    <t>Tractament param.vert./mobiliari fusta s/policromia,fungicida incolor,brotxa</t>
  </si>
  <si>
    <t>B8ZK-0P39</t>
  </si>
  <si>
    <t>Protector químic insecticida-fungicida per a fusta (TP8)</t>
  </si>
  <si>
    <t>P-128</t>
  </si>
  <si>
    <t xml:space="preserve">Elaboració i entrega de documentació dels treballs de restauració de les façanes incloent ortofotos </t>
  </si>
  <si>
    <t>P-129</t>
  </si>
  <si>
    <t>Elaboració i entrega d'informe tècnic dels treballs de restauració de les façanes realitzat per àmbi</t>
  </si>
  <si>
    <t>P-130</t>
  </si>
  <si>
    <t xml:space="preserve">Actuació tipus A1.B.01 de l'àmbit 1 de façana Bonaventura Bassegoda, en buits i emmarcaments de maó </t>
  </si>
  <si>
    <t>P-131</t>
  </si>
  <si>
    <t xml:space="preserve">Actuació tipus A1.B.02 de l'àmbit 1 de façana Bonaventura Bassegoda, en buits i emmarcaments de maó </t>
  </si>
  <si>
    <t>P-132</t>
  </si>
  <si>
    <t xml:space="preserve">Actuació tipus A1.B.03 de l'àmbit 1 de façana Bonaventura Bassegoda, en buits i emmarcaments de maó </t>
  </si>
  <si>
    <t>P-133</t>
  </si>
  <si>
    <t xml:space="preserve">Actuació tipus A1.B.04 de l'àmbit 1 de façana Bonaventura Bassegoda, en buits i emmarcaments de maó </t>
  </si>
  <si>
    <t>P-134</t>
  </si>
  <si>
    <t xml:space="preserve">Actuació tipus A1.B.05 de l'àmbit 1 de façana Bonaventura Bassegoda, en buits i emmarcaments de maó </t>
  </si>
  <si>
    <t>P-135</t>
  </si>
  <si>
    <t xml:space="preserve">Actuació tipus A1.B.06 de l'àmbit 1 de façana Bonaventura Bassegoda, en buits i emmarcaments de maó </t>
  </si>
  <si>
    <t>P-136</t>
  </si>
  <si>
    <t xml:space="preserve">Actuació tipus A1.B.07 de l'àmbit 1 de façana Bonaventura Bassegoda, en buits i emmarcaments de maó </t>
  </si>
  <si>
    <t>P-137</t>
  </si>
  <si>
    <t xml:space="preserve">Actuació tipus A1.B.08 de l'àmbit 1 de façana Bonaventura Bassegoda, en buits i emmarcaments de maó </t>
  </si>
  <si>
    <t>P-138</t>
  </si>
  <si>
    <t xml:space="preserve">Actuació tipus A1.B.09 de l'àmbit 1 de façana Bonaventura Bassegoda, en buits i emmarcaments de maó </t>
  </si>
  <si>
    <t>P-139</t>
  </si>
  <si>
    <t xml:space="preserve">Actuació tipus A1.C.01 de l'àmbit 1 de façana Bonaventura Bassegoda, en cornisa, segons indicacions </t>
  </si>
  <si>
    <t>P-140</t>
  </si>
  <si>
    <t xml:space="preserve">Actuació tipus A1.C.02 de l'àmbit 1 de façana Bonaventura Bassegoda, en cornisa, segons indicacions </t>
  </si>
  <si>
    <t>P-141</t>
  </si>
  <si>
    <t xml:space="preserve">Actuació tipus A1.C.03 de l'àmbit 1 de façana Bonaventura Bassegoda, en cornisa, segons indicacions </t>
  </si>
  <si>
    <t>P-142</t>
  </si>
  <si>
    <t xml:space="preserve">Actuació tipus A1.C.04 de l'àmbit 1 de façana Bonaventura Bassegoda, en cornisa, segons indicacions </t>
  </si>
  <si>
    <t>P-143</t>
  </si>
  <si>
    <t xml:space="preserve">Actuació tipus A1.C.05 de l'àmbit 1 de façana Bonaventura Bassegoda, en cornisa, segons indicacions </t>
  </si>
  <si>
    <t>P-144</t>
  </si>
  <si>
    <t>Actuació tipus A1.P.01 de l'àmbit 1 de façana Bonaventura Bassegoda, en parament, segons indicacions</t>
  </si>
  <si>
    <t>P-145</t>
  </si>
  <si>
    <t>Actuació tipus A1.P.02 de l'àmbit 1 de façana Bonaventura Bassegoda, en parament, segons indicacions</t>
  </si>
  <si>
    <t>P-146</t>
  </si>
  <si>
    <t>Actuació tipus A1.P.03 de l'àmbit 1 de façana Bonaventura Bassegoda, en parament, segons indicacions</t>
  </si>
  <si>
    <t>P-147</t>
  </si>
  <si>
    <t>Actuació tipus A1.P.04 de l'àmbit 1 de façana Bonaventura Bassegoda, en parament, segons indicacions</t>
  </si>
  <si>
    <t>P-148</t>
  </si>
  <si>
    <t>Actuació tipus A1.P.05 de l'àmbit 1 de façana Bonaventura Bassegoda, en parament, segons indicacions</t>
  </si>
  <si>
    <t>P-149</t>
  </si>
  <si>
    <t>Actuació tipus A1.P.06 de l'àmbit 1 de façana Bonaventura Bassegoda, en parament, segons indicacions</t>
  </si>
  <si>
    <t>P-150</t>
  </si>
  <si>
    <t>Actuació tipus A2.B1.01 de l'àmbit 2 de façana carrer Joan Roig, en buits i emmarcaments de maó mass</t>
  </si>
  <si>
    <t>P-151</t>
  </si>
  <si>
    <t>Actuació tipus A2.B1.02 de l'àmbit 2 de façana carrer Joan Roig, en buits i emmarcaments de maó mass</t>
  </si>
  <si>
    <t>P-152</t>
  </si>
  <si>
    <t>Actuació tipus A2.B1.03 de l'àmbit 2 de façana carrer Joan Roig, en buits i emmarcaments de maó mass</t>
  </si>
  <si>
    <t>P-153</t>
  </si>
  <si>
    <t>Actuació tipus A2.B1.04 de l'àmbit 2 de façana carrer Joan Roig, en buits i emmarcaments de maó mass</t>
  </si>
  <si>
    <t>P-154</t>
  </si>
  <si>
    <t>Actuació tipus A2.B1.05 de l'àmbit 2 de façana carrer Joan Roig, en buits i emmarcaments de maó mass</t>
  </si>
  <si>
    <t>P-155</t>
  </si>
  <si>
    <t>Actuació tipus A2.B1.06 de l'àmbit 2 de façana carrer Joan Roig, en buits i emmarcaments de maó mass</t>
  </si>
  <si>
    <t>P-156</t>
  </si>
  <si>
    <t>Actuació tipus A2.B1.07 de l'àmbit 2 de façana carrer Joan Roig, en buits i emmarcaments de maó mass</t>
  </si>
  <si>
    <t>P-157</t>
  </si>
  <si>
    <t>Actuació tipus A2.B1.08 de l'àmbit 2 de façana carrer Joan Roig, en buits i emmarcaments de maó mass</t>
  </si>
  <si>
    <t>P-158</t>
  </si>
  <si>
    <t>Actuació tipus A2.B1.09 de l'àmbit 2 de façana carrer Joan Roig, en buits i emmarcaments de maó mass</t>
  </si>
  <si>
    <t>P-159</t>
  </si>
  <si>
    <t>Actuació tipus A2.C1.01 de l'àmbit 2 de façana carrer Joan Roig, en cornisa de façana tester nau, se</t>
  </si>
  <si>
    <t>P-160</t>
  </si>
  <si>
    <t>Actuació tipus A2.C1.02 de l'àmbit 2 de façana carrer Joan Roig, en cornisa de façana tester nau, se</t>
  </si>
  <si>
    <t>P-161</t>
  </si>
  <si>
    <t>Actuació tipus A2.C1.03 de l'àmbit 2 de façana carrer Joan Roig, en cornisa de façana tester nau, se</t>
  </si>
  <si>
    <t>P-162</t>
  </si>
  <si>
    <t>Actuació tipus A2.C1.04 de l'àmbit 2 de façana carrer Joan Roig, en cornisa de façana tester nau, se</t>
  </si>
  <si>
    <t>P-163</t>
  </si>
  <si>
    <t>Actuació tipus A2.C1.05 de l'àmbit 2 de façana carrer Joan Roig, en cornisa de façana tester nau, se</t>
  </si>
  <si>
    <t>P-164</t>
  </si>
  <si>
    <t>Actuació tipus A2.C1.06 de l'àmbit 2 de façana carrer Joan Roig, en cornisa de façana tester nau, se</t>
  </si>
  <si>
    <t>P-165</t>
  </si>
  <si>
    <t>Actuació tipus A2.M1.01 de l'àmbit 2 de façana carrer Joan Roig, en elements metàl·lics, segons indi</t>
  </si>
  <si>
    <t>P-166</t>
  </si>
  <si>
    <t>Actuació tipus A2.M1.02 de l'àmbit 2 de façana carrer Joan Roig, en elements metàl·lics, segons indi</t>
  </si>
  <si>
    <t>P-167</t>
  </si>
  <si>
    <t>Actuació tipus A2.M1.03 de l'àmbit 2 de façana carrer Joan Roig, en elements metàl·lics, segons indi</t>
  </si>
  <si>
    <t>P-168</t>
  </si>
  <si>
    <t>Actuació tipus A2.M1.04 de l'àmbit 2 de façana carrer Joan Roig, en elements metàl·lics, segons indi</t>
  </si>
  <si>
    <t>P-169</t>
  </si>
  <si>
    <t>Actuació tipus A2.P1.10 de l'àmbit 2 de façana carrer Joan Roig, en façana tester nau, segons indica</t>
  </si>
  <si>
    <t>P-170</t>
  </si>
  <si>
    <t>Actuació tipus A2.P1.01 de l'àmbit 2 de façana carrer Joan Roig, en façana tester nau, segons indica</t>
  </si>
  <si>
    <t>P-171</t>
  </si>
  <si>
    <t>Actuació tipus A2.P1.02 de l'àmbit 2 de façana carrer Joan Roig, en façana tester nau, segons indica</t>
  </si>
  <si>
    <t>P-172</t>
  </si>
  <si>
    <t>Actuació tipus A2.P1.03 de l'àmbit 2 de façana carrer Joan Roig, en façana tester nau, segons indica</t>
  </si>
  <si>
    <t>P-173</t>
  </si>
  <si>
    <t>Actuació tipus A2.P1.04 de l'àmbit 2 de façana carrer Joan Roig, en façana tester nau, segons indica</t>
  </si>
  <si>
    <t>P-174</t>
  </si>
  <si>
    <t>Actuació tipus A2.P1.05 de l'àmbit 2 de façana carrer Joan Roig, en façana tester nau, segons indica</t>
  </si>
  <si>
    <t>P-175</t>
  </si>
  <si>
    <t>Actuació tipus A2.P1.06 de l'àmbit 2 de façana carrer Joan Roig, en façana tester nau, segons indica</t>
  </si>
  <si>
    <t>P-176</t>
  </si>
  <si>
    <t>Actuació tipus A2.P1.07 de l'àmbit 2 de façana carrer Joan Roig, en façana tester nau, segons indica</t>
  </si>
  <si>
    <t>P-177</t>
  </si>
  <si>
    <t>Actuació tipus A2.P1.08 de l'àmbit 2 de façana carrer Joan Roig, en façana tester nau, segons indica</t>
  </si>
  <si>
    <t>P-178</t>
  </si>
  <si>
    <t>Actuació tipus A2.P1.09 de l'àmbit 2 de façana carrer Joan Roig, en façana tester nau, segons indica</t>
  </si>
  <si>
    <t>P-179</t>
  </si>
  <si>
    <t>Actuació tipus A3.C.01 de l'àmbit 3 de façana carrer Santa Anna, en cornisa, segons indicacions de d</t>
  </si>
  <si>
    <t>P-180</t>
  </si>
  <si>
    <t>Actuació tipus A3.C.02 de l'àmbit 3 de façana carrer Santa Anna, en cornisa, segons indicacions de d</t>
  </si>
  <si>
    <t>P-181</t>
  </si>
  <si>
    <t>Actuació tipus A3.C.03 de l'àmbit 3 de façana carrer Santa Anna, en cornisa, segons indicacions de d</t>
  </si>
  <si>
    <t>P-182</t>
  </si>
  <si>
    <t>Actuació tipus A3.P.01 de l'àmbit 3 de façana carrer Santa Anna, en paraments, segons indicacions de</t>
  </si>
  <si>
    <t>P-183</t>
  </si>
  <si>
    <t>Actuació tipus A3.P.02 de l'àmbit 3 de façana carrer Santa Anna, en paraments, segons indicacions de</t>
  </si>
  <si>
    <t>P-184</t>
  </si>
  <si>
    <t>Actuació tipus A3.P.03 de l'àmbit 3 de façana carrer Santa Anna, en paraments, segons indicacions de</t>
  </si>
  <si>
    <t>P-185</t>
  </si>
  <si>
    <t>Actuació tipus A3.P.04 de l'àmbit 3 de façana carrer Santa Anna, en paraments, segons indicacions de</t>
  </si>
  <si>
    <t>P-186</t>
  </si>
  <si>
    <t>Actuació tipus A3.P.05 de l'àmbit 3 de façana carrer Santa Anna, en paraments, segons indicacions de</t>
  </si>
  <si>
    <t>P-187</t>
  </si>
  <si>
    <t>Actuació tipus A3.P.06 de l'àmbit 3 de façana carrer Santa Anna, en paraments, segons indicacions de</t>
  </si>
  <si>
    <t>P-188</t>
  </si>
  <si>
    <t>Actuació tipus A3.P.07 de l'àmbit 3 de façana carrer Santa Anna, en paraments, segons indicacions de</t>
  </si>
  <si>
    <t>P-189</t>
  </si>
  <si>
    <t>Actuació tipus A4.P.01 de l'àmbit 4 de façana carrer Santa Anna interior, en parament amb revestimen</t>
  </si>
  <si>
    <t>P-190</t>
  </si>
  <si>
    <t>Actuació tipus A4.P.02 de l'àmbit 4 de façana carrer Santa Anna interior, en parament amb revestimen</t>
  </si>
  <si>
    <t>P-191</t>
  </si>
  <si>
    <t>Actuació tipus A4.P.03 de l'àmbit 4 de façana carrer Santa Anna interior, en parament amb revestimen</t>
  </si>
  <si>
    <t>P-192</t>
  </si>
  <si>
    <t>Actuació tipus A4.P.04 de l'àmbit 4 de façana carrer Santa Anna interior, en parament amb revestimen</t>
  </si>
  <si>
    <t>P-193</t>
  </si>
  <si>
    <t>Actuació tipus A4.P.05 de l'àmbit 4 de façana carrer Santa Anna interior, en parament amb revestimen</t>
  </si>
  <si>
    <t>P-194</t>
  </si>
  <si>
    <t>Actuació tipus A5.P.01 de l'àmbit 5 de façana caseta de dalt, en parament (inclou lateral interior),</t>
  </si>
  <si>
    <t>P-195</t>
  </si>
  <si>
    <t>Actuació tipus A5.P.02 de l'àmbit 5 de façana caseta de dalt, en parament (inclou lateral interior),</t>
  </si>
  <si>
    <t>P-196</t>
  </si>
  <si>
    <t>Actuació tipus A5.P.03 de l'àmbit 5 de façana caseta de dalt, en parament (inclou lateral interior),</t>
  </si>
  <si>
    <t>P-197</t>
  </si>
  <si>
    <t>Actuació tipus A5.P.04 de l'àmbit 5 de façana caseta de dalt, en parament (inclou lateral interior),</t>
  </si>
  <si>
    <t>P-198</t>
  </si>
  <si>
    <t>Actuació tipus A5.P.05 de l'àmbit 5 de façana caseta de dalt, en parament (inclou lateral interior),</t>
  </si>
  <si>
    <t>P-199</t>
  </si>
  <si>
    <t>Actuació tipus A5.P.06 de l'àmbit 5 de façana caseta de dalt, en parament (inclou lateral interior),</t>
  </si>
  <si>
    <t>P-200</t>
  </si>
  <si>
    <t>Actuació tipus A5.P.07 de l'àmbit 5 de façana caseta de dalt, en parament (inclou lateral interior),</t>
  </si>
  <si>
    <t>P-201</t>
  </si>
  <si>
    <t>Actuació tipus A5.P.08 de l'àmbit 5 de façana caseta de dalt, en parament (inclou lateral interior),</t>
  </si>
  <si>
    <t>P-202</t>
  </si>
  <si>
    <t>Actuació tipus A5.P.09 de l'àmbit 5 de façana caseta de dalt, en parament (inclou lateral interior),</t>
  </si>
  <si>
    <t>P-203</t>
  </si>
  <si>
    <t>Actuació tipus A6.P.01 de l'àmbit 6 de façana pati interior, en mur de maçoneria de pedra i calç, se</t>
  </si>
  <si>
    <t>P-204</t>
  </si>
  <si>
    <t>Actuació tipus A6.P.02 de l'àmbit 6 de façana pati interior, en mur de maçoneria de pedra i calç, se</t>
  </si>
  <si>
    <t>P-205</t>
  </si>
  <si>
    <t>Actuació tipus A6.P.03 de l'àmbit 6 de façana pati interior, en mur de maçoneria de pedra i calç, se</t>
  </si>
  <si>
    <t>P-206</t>
  </si>
  <si>
    <t>Actuació tipus A6.P.04 de l'àmbit 6 de façana pati interior, en mur de maçoneria de pedra i calç, se</t>
  </si>
  <si>
    <t>P-207</t>
  </si>
  <si>
    <t>Actuació tipus A6.P.05 de l'àmbit 6 de façana pati interior, en mur de maçoneria de pedra i calç, se</t>
  </si>
  <si>
    <t>P-208</t>
  </si>
  <si>
    <t>Actuació tipus A6.P.06 de l'àmbit 6 de façana pati interior, en mur de maçoneria de pedra i calç, se</t>
  </si>
  <si>
    <t>P-209</t>
  </si>
  <si>
    <t>Actuació tipus A2.C2.01 de l'àmbit 2 de façana carrer Joan Roig, en cornisa de façana caseta del mig</t>
  </si>
  <si>
    <t>P-210</t>
  </si>
  <si>
    <t>Actuació tipus A2.C2.02 de l'àmbit 2 de façana carrer Joan Roig, en cornisa de façana caseta del mig</t>
  </si>
  <si>
    <t>P-211</t>
  </si>
  <si>
    <t>Actuació tipus A2.C2.03 de l'àmbit 2 de façana carrer Joan Roig, en cornisa de façana caseta del mig</t>
  </si>
  <si>
    <t>P-212</t>
  </si>
  <si>
    <t>Actuació tipus A2.C2.04 de l'àmbit 2 de façana carrer Joan Roig, en cornisa de façana caseta del mig</t>
  </si>
  <si>
    <t>P-213</t>
  </si>
  <si>
    <t>Actuació tipus A2.C2.05 de l'àmbit 2 de façana carrer Joan Roig, en cornisa de façana caseta del mig</t>
  </si>
  <si>
    <t>P-214</t>
  </si>
  <si>
    <t>Actuació tipus A2.C3.01 de l'àmbit 2 de façana carrer Joan Roig, en cornisa de façana caseta de dalt</t>
  </si>
  <si>
    <t>P-215</t>
  </si>
  <si>
    <t>Actuació tipus A2.C3.02 de l'àmbit 2 de façana carrer Joan Roig, en cornisa de façana caseta de dalt</t>
  </si>
  <si>
    <t>P-216</t>
  </si>
  <si>
    <t>Actuació tipus A2.C3.03 de l'àmbit 2 de façana carrer Joan Roig, en cornisa de façana caseta de dalt</t>
  </si>
  <si>
    <t>P-217</t>
  </si>
  <si>
    <t>Actuació tipus A2.C3.04 de l'àmbit 2 de façana carrer Joan Roig, en cornisa de façana caseta de dalt</t>
  </si>
  <si>
    <t>P-218</t>
  </si>
  <si>
    <t>Actuació tipus A2.C3.05 de l'àmbit 2 de façana carrer Joan Roig, en cornisa de façana caseta de dalt</t>
  </si>
  <si>
    <t>P-219</t>
  </si>
  <si>
    <t>Actuació tipus A2.P2.01 de l'àmbit 2 de façana carrer Joan Roig, en façana caseta del mig, segons in</t>
  </si>
  <si>
    <t>P-220</t>
  </si>
  <si>
    <t>Actuació tipus A2.P2.02 de l'àmbit 2 de façana carrer Joan Roig, en façana caseta del mig, segons in</t>
  </si>
  <si>
    <t>P-221</t>
  </si>
  <si>
    <t>Actuació tipus A2.P2.03 de l'àmbit 2 de façana carrer Joan Roig, en façana caseta del mig, segons in</t>
  </si>
  <si>
    <t>P-222</t>
  </si>
  <si>
    <t>Actuació tipus A2.P2.04 de l'àmbit 2 de façana carrer Joan Roig, en façana caseta del mig, segons in</t>
  </si>
  <si>
    <t>P-223</t>
  </si>
  <si>
    <t>Actuació tipus A2.P3.01 de l'àmbit 2 de façana carrer Joan Roig, en façana caseta de dalt, segons in</t>
  </si>
  <si>
    <t>P-224</t>
  </si>
  <si>
    <t>Actuació tipus A2.P3.02 de l'àmbit 2 de façana carrer Joan Roig, en façana caseta de dalt, segons in</t>
  </si>
  <si>
    <t>P-225</t>
  </si>
  <si>
    <t>Actuació tipus A2.P3.03 de l'àmbit 2 de façana carrer Joan Roig, en façana caseta de dalt, segons in</t>
  </si>
  <si>
    <t>P-226</t>
  </si>
  <si>
    <t>Actuació tipus A2.P3.04 de l'àmbit 2 de façana carrer Joan Roig, en façana caseta de dalt, segons in</t>
  </si>
  <si>
    <t>P-227</t>
  </si>
  <si>
    <t>Actuació tipus A5.C.01 de l'àmbit 5 de façana caseta de dalt, en cornisa, segons indicacions de docu</t>
  </si>
  <si>
    <t>P-228</t>
  </si>
  <si>
    <t>Actuació tipus A5.C.02 de l'àmbit 5 de façana caseta de dalt, en cornisa, segons indicacions de docu</t>
  </si>
  <si>
    <t>P-229</t>
  </si>
  <si>
    <t>Actuació tipus A5.C.03 de l'àmbit 5 de façana caseta de dalt, en cornisa, segons indicacions de docu</t>
  </si>
  <si>
    <t>P-230</t>
  </si>
  <si>
    <t>Actuació tipus A5.C.04 de l'àmbit 5 de façana caseta de dalt, en cornisa, segons indicacions de docu</t>
  </si>
  <si>
    <t>P-231</t>
  </si>
  <si>
    <t>Actuació tipus A5.C.05 de l'àmbit 5 de façana caseta de dalt, en cornisa lateral interior, segons in</t>
  </si>
  <si>
    <t>P-232</t>
  </si>
  <si>
    <t>Actuació tipus A5.C.06 de l'àmbit 5 de façana caseta de dalt, en cornisa lateral interior, segons in</t>
  </si>
  <si>
    <t>P-233</t>
  </si>
  <si>
    <t>Actuació tipus A5.C.07 de l'àmbit 5 de façana caseta de dalt, en cornisa lateral interior, segons in</t>
  </si>
  <si>
    <t>P-234</t>
  </si>
  <si>
    <t>Estructura de rastrells de fusta de pi de 50x50 mm col·locats cada 56 cm, segons documentació gràfic</t>
  </si>
  <si>
    <t>P-235</t>
  </si>
  <si>
    <t>Subbase Tot-u art.,estesa+picon.98%PM</t>
  </si>
  <si>
    <t>C131-005G</t>
  </si>
  <si>
    <t>Corró vibratori autopropulsat, de 12 a 14 t</t>
  </si>
  <si>
    <t>C151-002Z</t>
  </si>
  <si>
    <t>Camió cisterna de 8 m3</t>
  </si>
  <si>
    <t>C136-00F4</t>
  </si>
  <si>
    <t>Motoanivelladora petita</t>
  </si>
  <si>
    <t>B03F-05NW</t>
  </si>
  <si>
    <t>Tot-u artificial</t>
  </si>
  <si>
    <t>P-236</t>
  </si>
  <si>
    <t>B7C24-0KLD</t>
  </si>
  <si>
    <t>Planxa de poliestirè expandit (EPS) elastificat de 10 mm de gruix</t>
  </si>
  <si>
    <t>P-237</t>
  </si>
  <si>
    <t>P-238</t>
  </si>
  <si>
    <t>Paviment int.Rajola gres porcell.premsat polit,rectang/quadr. 1 a 5 u peces/m2,preu sup.Adhesiu cime</t>
  </si>
  <si>
    <t>B053-1VF8</t>
  </si>
  <si>
    <t>Material per a rejuntat de rajoles ceràmiques CG1 segons norma UNE-EN 13888, de color</t>
  </si>
  <si>
    <t>B094-06TJ</t>
  </si>
  <si>
    <t>Adhesiu cimentós tipus C1 segons norma UNE-EN 12004</t>
  </si>
  <si>
    <t>P-239</t>
  </si>
  <si>
    <t>Col·locació de paviment de rajola hidràulica recuperada 20x20x2,5, col·locat a truc de maceta amb mo</t>
  </si>
  <si>
    <t>B9C0-0HKK</t>
  </si>
  <si>
    <t>Beurada de color</t>
  </si>
  <si>
    <t>B03L-05N4</t>
  </si>
  <si>
    <t>Sorra de pedrera de 0 a 5 mm</t>
  </si>
  <si>
    <t>P-240</t>
  </si>
  <si>
    <t>A0F-000S</t>
  </si>
  <si>
    <t>Oficial 1a d'obra pública</t>
  </si>
  <si>
    <t>B0F14-06HN</t>
  </si>
  <si>
    <t>Maó massís d'elaboració manual, de 290x140x50 mm, cares vistes, categoria I, HD, segons la norma UNE-EN 771-1</t>
  </si>
  <si>
    <t>P-241</t>
  </si>
  <si>
    <t>P-242</t>
  </si>
  <si>
    <t>P-243</t>
  </si>
  <si>
    <t>P-244</t>
  </si>
  <si>
    <t>B090-06VU</t>
  </si>
  <si>
    <t>Adhesiu d'aplicació a dues cares de cautxú sintètic</t>
  </si>
  <si>
    <t>P-245</t>
  </si>
  <si>
    <t>Restauració de fusteria de fusta tipus F01 a F08 de 162x244 cm formada per dues fulles batents. Incl</t>
  </si>
  <si>
    <t>A0F-000P</t>
  </si>
  <si>
    <t>Oficial 1a manyà</t>
  </si>
  <si>
    <t>A01-FEPB</t>
  </si>
  <si>
    <t>Ajudant manyà</t>
  </si>
  <si>
    <t>B0H2-16WA</t>
  </si>
  <si>
    <t>Quadró de fusta de melis</t>
  </si>
  <si>
    <t>B090-H4LM</t>
  </si>
  <si>
    <t>Cola blanca neutra</t>
  </si>
  <si>
    <t>B091-06VH</t>
  </si>
  <si>
    <t>Adhesiu en dispersió aquosa</t>
  </si>
  <si>
    <t>B8A1-0P19</t>
  </si>
  <si>
    <t>Vernís ignífug a base de resines a l'aigua d'un u component, per a fusta, amb classe de reacció al foc B-s1,d0</t>
  </si>
  <si>
    <t>B091-06VL</t>
  </si>
  <si>
    <t>Adhesiu de resines epoxi sense dissolvents, de dos components i baixa viscositat, per a ús estructural per a injectar</t>
  </si>
  <si>
    <t>BAS0-0ZF6</t>
  </si>
  <si>
    <t>Ferramenta per a porta d'entrada d'una fulla batent, de preu alt</t>
  </si>
  <si>
    <t>B8Z3-0P25</t>
  </si>
  <si>
    <t>Producte decapant desincrustador genèric</t>
  </si>
  <si>
    <t>P-246</t>
  </si>
  <si>
    <t>Restauració de fusteria de fusta tipus F09 de 98x255 cm formada per dues fulles batents. Inclou el d</t>
  </si>
  <si>
    <t>P-247</t>
  </si>
  <si>
    <t>Restauració de fusteria de fusta tipus F11 de 100x83 cm formada per una fulla batent. Inclou el desm</t>
  </si>
  <si>
    <t>P-248</t>
  </si>
  <si>
    <t>Restauració de fusteria de fusta tipus F13 de 86x163 cm formada per dues fulles batents. Inclou el d</t>
  </si>
  <si>
    <t>P-249</t>
  </si>
  <si>
    <t xml:space="preserve">Restauració de fusteria de fusta tipus P01 de 219x260 cm formada per dues fulles batents. Inclou el </t>
  </si>
  <si>
    <t>P-250</t>
  </si>
  <si>
    <t>Restauració de fusteria de fusta tipus P02 de 108x234 cm formada per una fulla batent. Inclou el des</t>
  </si>
  <si>
    <t>P-251</t>
  </si>
  <si>
    <t xml:space="preserve">Restauració de fusteria de fusta tipus P04 de 148x310 cm formada per dues fulles batents. Inclou el </t>
  </si>
  <si>
    <t>P-252</t>
  </si>
  <si>
    <t>Lluernari de dimensions 108x536 cm amb perfils TPT de Jansen serie Viss 50 o equivalent d'acer galva</t>
  </si>
  <si>
    <t>BAB0-.CL4</t>
  </si>
  <si>
    <t>P-253</t>
  </si>
  <si>
    <t>Fusteria metàl·lica tipus F14 amb perfils TPT de Jansen serie Janisol o equivalent d'acer galvanitza</t>
  </si>
  <si>
    <t>BAB0-.F14</t>
  </si>
  <si>
    <t>P-254</t>
  </si>
  <si>
    <t>Fusteria metàl·lica tipus F15 amb perfils TPT de Jansen serie Janisol o equivalent d'acer galvanitza</t>
  </si>
  <si>
    <t>BAB0-.F15</t>
  </si>
  <si>
    <t>P-255</t>
  </si>
  <si>
    <t>Fusteria metàl·lica tipus F16 amb perfils TPT de Jansen serie Janisol o equivalent d'acer galvanitza</t>
  </si>
  <si>
    <t>BAB0-.F16</t>
  </si>
  <si>
    <t>P-256</t>
  </si>
  <si>
    <t>Fusteria metàl·lica tipus F17 amb perfils TPT de Jansen serie Janisol o equivalent d'acer galvanitza</t>
  </si>
  <si>
    <t>BAB0-.F17</t>
  </si>
  <si>
    <t>P-257</t>
  </si>
  <si>
    <t>Fusteria metàl·lica tipus F18 amb perfils TPT de Jansen serie Janisol o equivalent d'acer galvanitza</t>
  </si>
  <si>
    <t>BAB0-.F18</t>
  </si>
  <si>
    <t>P-258</t>
  </si>
  <si>
    <t>P-259</t>
  </si>
  <si>
    <t>P-260</t>
  </si>
  <si>
    <t xml:space="preserve">Porta metàl·lica tipus P03 amb perfils TPT de Jansen serie Janisol o equivalent d'acer galvanitzat, </t>
  </si>
  <si>
    <t>BAB0-.P03</t>
  </si>
  <si>
    <t>Porta metàl·lica tipus P03 amb perfils TPT de Jansen serie Janisol o equivalent d'acer galvanitzat, formada per un element batent i dos fixes laterals de dimensions totals 138x279 cm amb forma trapezoidal corbada.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premarc d'acer galvanitzat, ferratges, manetes, pany amb clau i porter automàtic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</si>
  <si>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P-261</t>
  </si>
  <si>
    <t>Porta metàl·lica corredissa tipus P05 amb perfils TPT de Jansen serie Janisol o equivalent d'acer ga</t>
  </si>
  <si>
    <t>BAB0-.P05</t>
  </si>
  <si>
    <t>Porta metàl·lica corredissa tipus P05 amb perfils TPT de Jansen serie Janisol o equivalent d'acer galvanitzat, formada per un element corredís de 195x263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La porta corre per davant de la paret.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</si>
  <si>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P-262</t>
  </si>
  <si>
    <t>Porta metàl·lica corredissa tipus P06 amb perfils TPT de Jansen serie Janisol o equivalent d'acer ga</t>
  </si>
  <si>
    <t>BAB0-.P06</t>
  </si>
  <si>
    <t>Porta metàl·lica corredissa tipus P06 amb perfils TPT de Jansen serie Janisol o equivalent d'acer galvanitzat, formada per un element corredís de 185x266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La porta corre per davant de la paret.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</si>
  <si>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P-263</t>
  </si>
  <si>
    <t>Conjunt de portes plegables tipus P07 amb perfils TPT de Jansen serie Janisol tabique plegable o equ</t>
  </si>
  <si>
    <t>BAB0-.P07</t>
  </si>
  <si>
    <t>Conjunt de portes plegables tipus P07 amb perfils TPT de Jansen serie Janisol tabique plegable o equivalent d'acer galvanitzat, formada per cinc elements plegables de dimensions totals 551x280 cm.
Fusteria amb les següents característiques:
- Perfileria TPT formada per perfils de qualitat S235JRG2 segons la EN10025:1993 laminats en fred amb muntants i travessers portants amb ranura negativa, amb tractament Sendzimir (zincat en calent) superficial de 50 a 150 micres segons norma UNE 37-508 i acabat lacat
- Estanquitat a base de juntes d'EPDM en muntants i travessers, amb llengüeta en els travessers.
- Envidrament amb elements de suport d'acer inoxidable allotjats a la ranura negativa i perfil opressor cargolat, amb juntes de EPDM contra el vidre.
- Tapetes i escopidor de xapa acabat lacat igual que la fusteria.
- Acabat de color conforme ISO 12944-2, lacat amb un mínim de 100 micres amb protecció contra la corrosió C4
- Inclou pany amb clau i guia Jansen.
- Fusteria totalment col·locada sense incloure el vidre, tot segons especificacions de plànols.
Valors a complir conjunt fusteria:
U:1,3 W/m2K
factor solar: 0,58
Classificacions:
-Resistència a la pluja batent (EN 12154): RE 1200 
-Resistència a la càrrega de vent (EN 13116): 2kN/m2 
-Permeabilitat a l'aire (EN 12152): Classe AE 
-Coeficient de transmissió tèrmica (EN 1077-1): &gt;0,74W/m2K 
-Resistència a l'impacte (EN 14019): Classe E5/I5
-Aïllament acústic (EN 717-1): npd 
-Aïllament acústic (140-3): fins Rw 47 dB
-Protecció anti-efracció (ENV 1627): fins RC3 
-Resistència mecànica (EN 1192): Classe 4 
-Resistència antibales (EN 1522): fins FB 4 NS</t>
  </si>
  <si>
    <t>P-264</t>
  </si>
  <si>
    <t xml:space="preserve">Porta metàl·lica tipus P08 amb perfils TPT de Jansen serie Janisol o equivalent d'acer galvanitzat, </t>
  </si>
  <si>
    <t>BAB0-.P08</t>
  </si>
  <si>
    <t>P-265</t>
  </si>
  <si>
    <t xml:space="preserve">Porta metàl·lica tipus P09 amb perfils TPT de Jansen serie Janisol o equivalent d'acer galvanitzat, </t>
  </si>
  <si>
    <t>BAB0-.P09</t>
  </si>
  <si>
    <t>P-266</t>
  </si>
  <si>
    <t xml:space="preserve">Porta metàl·lica tipus P10 amb perfils TPT de Jansen serie Janisol o equivalent d'acer galvanitzat, </t>
  </si>
  <si>
    <t>BAB0-.P10</t>
  </si>
  <si>
    <t>P-267</t>
  </si>
  <si>
    <t xml:space="preserve">Porta metàl·lica tipus P11 amb perfils TPT de Jansen serie Janisol o equivalent d'acer galvanitzat, </t>
  </si>
  <si>
    <t>BAB0-.P11</t>
  </si>
  <si>
    <t>P-268</t>
  </si>
  <si>
    <t xml:space="preserve">Porta metàl·lica tipus P12 amb perfils TPT de Jansen serie Janisol o equivalent d'acer galvanitzat, </t>
  </si>
  <si>
    <t>BAB0-.P12</t>
  </si>
  <si>
    <t>P-269</t>
  </si>
  <si>
    <t xml:space="preserve">Porta metàl·lica tipus P13 amb perfils TPT de Jansen serie Janisol o equivalent d'acer galvanitzat, </t>
  </si>
  <si>
    <t>BAB0-.P13</t>
  </si>
  <si>
    <t>P-270</t>
  </si>
  <si>
    <t>Fusteria de fusta tipus F10 de 98x255 cm formada per dues fulles batents, mantenint material, config</t>
  </si>
  <si>
    <t>BAQ8-.F10</t>
  </si>
  <si>
    <t>P-271</t>
  </si>
  <si>
    <t>Fusteria de fusta tipus F12 de 83x83 cm formada per una fulla batent, mantenint material, configurac</t>
  </si>
  <si>
    <t>BAQ8-.F12</t>
  </si>
  <si>
    <t>P-272</t>
  </si>
  <si>
    <t>Fusteria de fusta tipus F19 de 133x88 cm formada per una fulla batent, mantenint material, configura</t>
  </si>
  <si>
    <t>BAQ8-.F19</t>
  </si>
  <si>
    <t>P-273</t>
  </si>
  <si>
    <t>Fusteria de fusta tipus F20 de 62x92 cm formada per una fulla batent, mantenint material, configurac</t>
  </si>
  <si>
    <t>BAQ8-.F20</t>
  </si>
  <si>
    <t>P-274</t>
  </si>
  <si>
    <t>Fusteria de fusta tipus F21 de 91x124 cm formada per dues fulles batents, mantenint material, config</t>
  </si>
  <si>
    <t>BAQ8-.F21</t>
  </si>
  <si>
    <t>P-275</t>
  </si>
  <si>
    <t>Fusteria de fusta tipus F22 de 128x179 cm formada per dues fulles batents, mantenint material, confi</t>
  </si>
  <si>
    <t>BAQ8-.F22</t>
  </si>
  <si>
    <t>P-276</t>
  </si>
  <si>
    <t>Fusteria de fusta tipus F23 a F26 de 88x133 cm formada per una fulla batent, mantenint material, con</t>
  </si>
  <si>
    <t>BAQ8-.F23</t>
  </si>
  <si>
    <t>P-277</t>
  </si>
  <si>
    <t>PORTA INTERIOR I1 PER A UN BUIT D'OBRA DE 82X218CM, DE FULLA BATENT DE FUSTA AMB MARC DE FUSTA , AMB</t>
  </si>
  <si>
    <t>P-278</t>
  </si>
  <si>
    <t>PORTA INTERIOR I2 DE FUSTA DE PI PER A UN BUIT D'OBRA DE 82X218CM, DE FULLA CORREDISSA PER A L'INTER</t>
  </si>
  <si>
    <t>P-279</t>
  </si>
  <si>
    <t>PORTA INTERIOR I3 PER A UN BUIT D'OBRA DE 82X218CM, DE FULLA BATENT DE FUSTA DE PI AMB MARC DE FUSTA</t>
  </si>
  <si>
    <t>P-280</t>
  </si>
  <si>
    <t>PORTA INTERIOR I4 PER UN BUIT D'OBRA DE 75X220 CM, DE FULLA PIVOTANT CEGA, AMB MARC DE PLATINA D'ACE</t>
  </si>
  <si>
    <t>P-281</t>
  </si>
  <si>
    <t>P-282</t>
  </si>
  <si>
    <t>P-283</t>
  </si>
  <si>
    <t>P-284</t>
  </si>
  <si>
    <t xml:space="preserve">Reixa metàl·lica batent tipus R06, de dimensions 160x196 cm, formada per un bastiment perimetral de </t>
  </si>
  <si>
    <t>BB33-.R06</t>
  </si>
  <si>
    <t>P-285</t>
  </si>
  <si>
    <t xml:space="preserve">Reixa metàl·lica fixa tipus R07 i R10, de dimensions 42x176 cm, formada per un bastiment perimetral </t>
  </si>
  <si>
    <t>BB33-.R07</t>
  </si>
  <si>
    <t>P-286</t>
  </si>
  <si>
    <t xml:space="preserve">Reixa metàl·lica fixa tipus R08 i R11, de dimensions 42x126 cm, formada per un bastiment perimetral </t>
  </si>
  <si>
    <t>BB33-.R08</t>
  </si>
  <si>
    <t>P-287</t>
  </si>
  <si>
    <t>Reixa metàl·lica fixa tipus R09, de dimensions 42x156 cm, formada per un bastiment perimetral de per</t>
  </si>
  <si>
    <t>BB33-R09</t>
  </si>
  <si>
    <t>P-288</t>
  </si>
  <si>
    <t xml:space="preserve">Reixa d'acer inoxidable tipus R12, de dimensions totals 1.603x148 cm, formada per 9 mòduls fixes de </t>
  </si>
  <si>
    <t>BB34-.R12</t>
  </si>
  <si>
    <t>P-289</t>
  </si>
  <si>
    <t xml:space="preserve">Vidre aïllant de lluna incolora de 4 mm de gruix, cambra d'aire de 18 mm i lluna de 3+3 mm de gruix </t>
  </si>
  <si>
    <t>A0F-0010</t>
  </si>
  <si>
    <t>Oficial 1a vidrier</t>
  </si>
  <si>
    <t>BC13-.J73</t>
  </si>
  <si>
    <t>P-290</t>
  </si>
  <si>
    <t>Vidre fotovoltaic de silici amorf (6+3.2+6) amb grau de transparència del 20%, amb una potència màxi</t>
  </si>
  <si>
    <t>A01-FEPD</t>
  </si>
  <si>
    <t>Ajudant electricista</t>
  </si>
  <si>
    <t>BC14-.F71</t>
  </si>
  <si>
    <t>P-291</t>
  </si>
  <si>
    <t>Vidre aïllant, reflectora cs 3+3.1 but.transparent/6/4+4.1 but.transparent, col.llistó vidre</t>
  </si>
  <si>
    <t>BC14-1MNQ</t>
  </si>
  <si>
    <t>Vidre aïllant de lluna reflectora de control solar de 3+3 mm de gruix amb 1 butiral transparent classe 2 (B) 2 segons UNE-EN 12600, cambra d'aire de 6 mm i lluna de 4+4 mm de gruix amb 1 butiral transparent de lluna incolora, classe 2 (B) 2 segons UNE-EN 12600</t>
  </si>
  <si>
    <t>P-292</t>
  </si>
  <si>
    <t>Baixant Tub fosa grisa,DN=100mm,p/unió campana anell.estanq.,fix.mec.brides</t>
  </si>
  <si>
    <t>BDY0-0LNB</t>
  </si>
  <si>
    <t>Element de muntatge per a baixant de tub de fosa grisa de D nominal 100 mm i de 7,16 kg de pes</t>
  </si>
  <si>
    <t>BDW1-1C2I</t>
  </si>
  <si>
    <t>Accessori per a baixant de tub de fosa grisa de DN 100 mm</t>
  </si>
  <si>
    <t>BD11-0MDJ</t>
  </si>
  <si>
    <t>Brida per a tub de planxa galvanitzada</t>
  </si>
  <si>
    <t>BD14-0ME1</t>
  </si>
  <si>
    <t>Tub de fosa grisa segons UNE-EN 877 de DN 100 mm, per a unió de campana amb anella elastomèrica d'estanquitat</t>
  </si>
  <si>
    <t>P-293</t>
  </si>
  <si>
    <t>Baixant tub zinc-titani unió electrosoldada,DN=100mm G=0,6mm,fix.mec.brides</t>
  </si>
  <si>
    <t>BDY1-0LMI</t>
  </si>
  <si>
    <t>Element de muntatge per a baixant de tub de planxa de zinc-titani de DN 100 mm i 0,6 mm de gruix</t>
  </si>
  <si>
    <t>BD11-H4Y5</t>
  </si>
  <si>
    <t>Brida de xapa de zinc-titani per a tub de zinc-titani de diàmetre nominal 100 mm</t>
  </si>
  <si>
    <t>BD18-H6AE</t>
  </si>
  <si>
    <t>Tub de xapa de zinc-titani amb unió longitudinal electrosoldada, de diàmetre nominal 100 mm i de 0,6 mm de gruix</t>
  </si>
  <si>
    <t>BDW1-1C2S</t>
  </si>
  <si>
    <t>Accessori per a baixant de tub de zinc titani de DN 100 mm i 0,6 mm de gruix</t>
  </si>
  <si>
    <t>P-294</t>
  </si>
  <si>
    <t>Baixant PVC-U paret massissa,B,DN=110mm,fix.mec.brides</t>
  </si>
  <si>
    <t>BD11-0MDE</t>
  </si>
  <si>
    <t>Brida per a tub de PVC d'entre 75 i 110 mm</t>
  </si>
  <si>
    <t>BD1A-1NDM</t>
  </si>
  <si>
    <t>Tub de PVC-U de paret massissa, àrea d'aplicació B segons norma UNE-EN 1329-1, de DN 110 mm i de llargària 3 m, classe de reacció al foc B-s1, d0 segons norma UNE-EN 13501-1, per a encolar</t>
  </si>
  <si>
    <t>BDW3-FFA8</t>
  </si>
  <si>
    <t>Element de muntatge per a tub de PVC de D=110 mm</t>
  </si>
  <si>
    <t>BDW3-FFAA</t>
  </si>
  <si>
    <t>Accessori genèric per a tub de PVC de D=110 mm</t>
  </si>
  <si>
    <t>P-295</t>
  </si>
  <si>
    <t>Desg.ap.sanitari tub PVC-U,paret massissa,àrea aplicació B,DN=40mm</t>
  </si>
  <si>
    <t>A01-FEPE</t>
  </si>
  <si>
    <t>Ajudant lampista</t>
  </si>
  <si>
    <t>BDW3-FFAF</t>
  </si>
  <si>
    <t>Element de muntatge per a tub de PVC de D=40 mm</t>
  </si>
  <si>
    <t>BDW3-FFAB</t>
  </si>
  <si>
    <t>Accessori genèric per a tub de PVC de D=40 mm</t>
  </si>
  <si>
    <t>BD1A-1NDT</t>
  </si>
  <si>
    <t>Tub de PVC-U de paret massissa, àrea d'aplicació B segons norma UNE-EN 1329-1, de DN 40 mm i de llargària 5 m, classe de reacció al foc B-s1, d0 segons norma UNE-EN 13501-1, per a encolar</t>
  </si>
  <si>
    <t>P-296</t>
  </si>
  <si>
    <t>Desg.ap.sanitari tub PVC-U,paret massissa,àrea aplicació B,DN=50mm</t>
  </si>
  <si>
    <t>BD1A-1NDU</t>
  </si>
  <si>
    <t>Tub de PVC-U de paret massissa, àrea d'aplicació B segons norma UNE-EN 1329-1, de DN 50 mm i de llargària 5 m, classe de reacció al foc B-s1, d0 segons norma UNE-EN 13501-1, per a encolar</t>
  </si>
  <si>
    <t>BDW3-FFAG</t>
  </si>
  <si>
    <t>Element de muntatge per a tub de PVC de D=50 mm</t>
  </si>
  <si>
    <t>BDW3-FFAC</t>
  </si>
  <si>
    <t>Accessori genèric per a tub de PVC de D=50 mm</t>
  </si>
  <si>
    <t>P-297</t>
  </si>
  <si>
    <t>Desg.ap.sanitari tub PVC-U,paret massissa,àrea aplicació B,DN=75mm</t>
  </si>
  <si>
    <t>BD1A-1NDV</t>
  </si>
  <si>
    <t>Tub de PVC-U de paret massissa, àrea d'aplicació B segons norma UNE-EN 1329-1, de DN 75 mm i de llargària 5 m, classe de reacció al foc B-s1, d0 segons norma UNE-EN 13501-1, per a encolar</t>
  </si>
  <si>
    <t>BDW3-FFA7</t>
  </si>
  <si>
    <t>Element de muntatge per a tub de PVC de D=75 mm</t>
  </si>
  <si>
    <t>BDW3-FFA9</t>
  </si>
  <si>
    <t>Accessori genèric per a tub de PVC de D=75 mm</t>
  </si>
  <si>
    <t>P-298</t>
  </si>
  <si>
    <t>Desg.ap.sanitari tub PVC-U,paret massissa,àrea aplicació B,DN=110mm</t>
  </si>
  <si>
    <t>BD1A-1NDX</t>
  </si>
  <si>
    <t>Tub de PVC-U de paret massissa, àrea d'aplicació B segons norma UNE-EN 1329-1, de DN 110 mm i de llargària 5 m, classe de reacció al foc B-s1, d0 segons norma UNE-EN 13501-1, per a encolar</t>
  </si>
  <si>
    <t>P-299</t>
  </si>
  <si>
    <t>Canal form.pref.,mida=30x30cm a/tapa,col.s/llit de Form.no estructural HNE-20/B/20,g=10cm,acabada</t>
  </si>
  <si>
    <t>B069-I4L6</t>
  </si>
  <si>
    <t>Formigó d'ús no estructural HNE-20/B/20 de resistència a compressió 20 N/mm2, consistència tova i grandària màxima del granulat 20 mm</t>
  </si>
  <si>
    <t>BD59-H62J</t>
  </si>
  <si>
    <t>Canal de formigó prefabricat de mides exteriors 30x30 cm amb tapa canal de formigó tipus reixeta</t>
  </si>
  <si>
    <t>PD5J-43AS</t>
  </si>
  <si>
    <t>Làmina drenant nodular de polietilè d'alta densitat, amb nòduls de 20 mm d'alçària aproximada i una resistència a la compressió aproximada de 180 kN/m2, fixada mecànicament sobre parament vertical</t>
  </si>
  <si>
    <t>Làmina drenant nodular PEAD,h.nòd=20mm,,r.compr.=180kN/m2,fix.mec.,vert.</t>
  </si>
  <si>
    <t>BD5G-0LIM</t>
  </si>
  <si>
    <t>Làmina drenant nodular de polietilè d'alta densitat, amb nòduls de 20 mm d'alçària aproximada i una resistència a la compressió aproximada de 180 kN/m2</t>
  </si>
  <si>
    <t>PD5M-50U6</t>
  </si>
  <si>
    <t>Drenatge amb tub ranurat de PVC de diàmetre 125 mm</t>
  </si>
  <si>
    <t>Drenatge tub ranur.PVC D=125mm</t>
  </si>
  <si>
    <t>BD5O-0LK3</t>
  </si>
  <si>
    <t>Tub circular ranurat de PVC, de paret simple i 125 mm de</t>
  </si>
  <si>
    <t>P-301</t>
  </si>
  <si>
    <t>Clavegueró Tub PVC-U paret sòlida,sanej.soterrat s/press.,DN110,SN 4,UNE-EN 1401-1,p/unió elàst.clav</t>
  </si>
  <si>
    <t>BD7F-1OJ7</t>
  </si>
  <si>
    <t>Tub de PVC-U de paret sòlida per a sanejament soterrat sense pressió, superfícies interna llisa i externa llisa, diàmetre nominal DN 110, classe de rigidesa anular SN 4 (rigidesa anular &gt;= 4kN/m2), codi d'àrea d'aplicació U (ús en l'exterior de l'estructura dels edificis), fabricació segons norma UNE-EN 1401-1, de color taronja-marró RAL 8023, per a unió elàstica amb anella elastomèrica d'estanquitat</t>
  </si>
  <si>
    <t>B03L-05N5</t>
  </si>
  <si>
    <t>Sorra de pedrera de 0 a 3,5 mm</t>
  </si>
  <si>
    <t>P-302</t>
  </si>
  <si>
    <t>Clavegueró Tub PVC-U paret sòlida,sanej.soterrat s/press.,DN160,SN 2,UNE-EN 1401-1,p/unió elàst.clav</t>
  </si>
  <si>
    <t>BD7F-1OIT</t>
  </si>
  <si>
    <t>Tub de PVC-U de paret sòlida per a sanejament soterrat sense pressió, superfícies interna llisa i externa llisa, diàmetre nominal DN 160, classe de rigidesa anular SN 2 (rigidesa anular &gt;= 2kN/m2), codi d'àrea d'aplicació U (ús en l'exterior de l'estructura dels edificis), fabricació segons norma UNE-EN 1401-1, de color taronja-marró RAL 8023, per a unió elàstica amb anella elastomèrica d'estanquitat</t>
  </si>
  <si>
    <t>BDW3-FFAK</t>
  </si>
  <si>
    <t>Accessori genèric per a tub de PVC de D=160 mm</t>
  </si>
  <si>
    <t>BDW3-FFAP</t>
  </si>
  <si>
    <t>Element de muntatge per a tub de PVC de D=160 mm</t>
  </si>
  <si>
    <t>P-303</t>
  </si>
  <si>
    <t>Clavegueró Tub PVC-U paret sòlida,sanej.soterrat s/press.,DN200,SN 2,UNE-EN 1401-1,p/unió elàst.clav</t>
  </si>
  <si>
    <t>BDW3-FFAQ</t>
  </si>
  <si>
    <t>Element de muntatge per a tub de PVC de D=200 mm</t>
  </si>
  <si>
    <t>BDW3-FFAL</t>
  </si>
  <si>
    <t>Accessori genèric per a tub de PVC de D=200 mm</t>
  </si>
  <si>
    <t>BD7F-1OIU</t>
  </si>
  <si>
    <t>Tub de PVC-U de paret sòlida per a sanejament soterrat sense pressió, superfícies interna llisa i externa llisa, diàmetre nominal DN 200, classe de rigidesa anular SN 2 (rigidesa anular &gt;= 2kN/m2), codi d'àrea d'aplicació U (ús en l'exterior de l'estructura dels edificis), fabricació segons norma UNE-EN 1401-1, de color taronja-marró RAL 8023, per a unió elàstica amb anella elastomèrica d'estanquitat</t>
  </si>
  <si>
    <t>P-304</t>
  </si>
  <si>
    <t>Sifó PVC DN 200</t>
  </si>
  <si>
    <t>P-305</t>
  </si>
  <si>
    <t>Ventilació de la xarxa de sanejament</t>
  </si>
  <si>
    <t>P-306</t>
  </si>
  <si>
    <t>Flexible,Conducte circular,Al+espiral acer+PE+LV,D=102mm,col.</t>
  </si>
  <si>
    <t>A0F-000C</t>
  </si>
  <si>
    <t>Oficial 1a calefactor</t>
  </si>
  <si>
    <t>A01-FEPC</t>
  </si>
  <si>
    <t>Ajudant calefactor</t>
  </si>
  <si>
    <t>BE41-0O1J</t>
  </si>
  <si>
    <t>Conducte circular d'alumini+espiral d'acer+polièster i feltre de llana mineral de vidre de 102 mm de diàmetre sense gruixos definits</t>
  </si>
  <si>
    <t>P-307</t>
  </si>
  <si>
    <t>Flexible,Conducte circular,Al+espiral acer+PE+LV,D=254mm,col.</t>
  </si>
  <si>
    <t>BE41-0O1L</t>
  </si>
  <si>
    <t>Conducte circular d'alumini+espiral d'acer+polièster i feltre de llana mineral de vidre de 254 mm de diàmetre sense gruixos definits</t>
  </si>
  <si>
    <t>P-308</t>
  </si>
  <si>
    <t>Conducte helicoïdal circ. De planxa ac.galv.,D=100mm,g=0,5mm,munt.superf.</t>
  </si>
  <si>
    <t>BE421-0O46</t>
  </si>
  <si>
    <t>Conducte helicoïdal circular de planxa d'acer galvanitzat de 100 mm de diàmetre (s/UNE-EN 1506), de gruix 0,5 mm</t>
  </si>
  <si>
    <t>BEW1-0OWY</t>
  </si>
  <si>
    <t>Suport estàndard per a conducte circular de 100 mm de</t>
  </si>
  <si>
    <t>P-309</t>
  </si>
  <si>
    <t>Conducte helicoïdal circ. De planxa ac.galv.,D=125mm,g=0,5mm,munt.superf.</t>
  </si>
  <si>
    <t>BE421-0O48</t>
  </si>
  <si>
    <t>Conducte helicoïdal circular de planxa d'acer galvanitzat de 125 mm de diàmetre (s/UNE-EN 1506), de gruix 0,5 mm</t>
  </si>
  <si>
    <t>BEW1-0OWZ</t>
  </si>
  <si>
    <t>Suport estàndard per a conducte circular de 125 mm de</t>
  </si>
  <si>
    <t>P-310</t>
  </si>
  <si>
    <t>Conducte helicoïdal circ. De planxa ac.galv.,D=150mm,g=0,5mm,munt.superf.</t>
  </si>
  <si>
    <t>BE421-0O4C</t>
  </si>
  <si>
    <t>Conducte helicoïdal circular de planxa d'acer galvanitzat de 150 mm de diàmetre (s/UNE-EN 1506), de gruix 0,5 mm</t>
  </si>
  <si>
    <t>BEW1-0OXM</t>
  </si>
  <si>
    <t>Suport estàndard per a conducte circular de 150 mm de</t>
  </si>
  <si>
    <t>P-311</t>
  </si>
  <si>
    <t>Conducte helicoïdal circ. De planxa ac.galv.,D=225mm,g=0,5mm,munt.superf.</t>
  </si>
  <si>
    <t>BE421-0O4J</t>
  </si>
  <si>
    <t>Conducte helicoïdal circular de planxa d'acer galvanitzat de 225 mm de diàmetre (s/UNE-EN 1506), de gruix 0,5 mm</t>
  </si>
  <si>
    <t>BEW1-0OXX</t>
  </si>
  <si>
    <t>Suport estàndard per a conducte circular de 225 mm de</t>
  </si>
  <si>
    <t>P-312</t>
  </si>
  <si>
    <t>Formació cond.placa llana min.roca,aïll.106 a 115 kg/m3,kraft-Al.p/ext.+tel nat.p/int.,encast.cel ra</t>
  </si>
  <si>
    <t>BEY3-1OLC</t>
  </si>
  <si>
    <t>Part proporcional d'elements de muntatge per a conducte rectangular de llana aïllant, de preu alt</t>
  </si>
  <si>
    <t>B7C93-0IVF</t>
  </si>
  <si>
    <t>Placa rígida de llana mineral de roca (MW), de densitat 106 a 115 kg/m3, de 25 mm de gruix, amb revestiment de paper kraft-alumini per la cara externa i tel natural per l'altra cara</t>
  </si>
  <si>
    <t>BEW2-FG88</t>
  </si>
  <si>
    <t>Suport estàndard per a conducte rectangular llana aïllant, preu alt</t>
  </si>
  <si>
    <t>P-313</t>
  </si>
  <si>
    <t>Col·lector p/terra radiant, 4 vias ,col.superficial</t>
  </si>
  <si>
    <t>BE90-COL1</t>
  </si>
  <si>
    <t>P-314</t>
  </si>
  <si>
    <t>Col·lector p/terra radiant, 9 vias ,col.superficial</t>
  </si>
  <si>
    <t>B290-COL2</t>
  </si>
  <si>
    <t>Col·lector p/terra radiant, 8 vias ,col.superficial</t>
  </si>
  <si>
    <t>P-315</t>
  </si>
  <si>
    <t>Panell amb tetons 65mm</t>
  </si>
  <si>
    <t>B290-PAN1</t>
  </si>
  <si>
    <t xml:space="preserve">Panell amb tetons </t>
  </si>
  <si>
    <t>P-316</t>
  </si>
  <si>
    <t>Additiu superplastificant per a morter segons norma UNEIX EN 934-2</t>
  </si>
  <si>
    <t>BE93-ADIT</t>
  </si>
  <si>
    <t>Additiu REHAU per aconseguir un morter de ciment CT-C25-F4 segons UNE EN 13813 i DIN 18560 amb 45 mm de
morter per sobre del tub. Millora la conductivitat tèrmica i augmenta la resistència a la flexotracció. Subministrament
en envàs de plàstic de 10 kg.</t>
  </si>
  <si>
    <t>P-317</t>
  </si>
  <si>
    <t>Armari metàl·lic p/col.terra rad.,&lt;=4 sortides,tapa,col.col.mural</t>
  </si>
  <si>
    <t>BE93-ARM1</t>
  </si>
  <si>
    <t>P-318</t>
  </si>
  <si>
    <t>Armari metàl·lic p/col.terra rad.,&lt;=13 sortides,tapa,col.col.mural</t>
  </si>
  <si>
    <t>BE93-ARM2</t>
  </si>
  <si>
    <t>Armari metàl·lic p/col.terra rad.,&lt;=8 sortides,tapa,col.col.mural</t>
  </si>
  <si>
    <t>P-319</t>
  </si>
  <si>
    <t>Banda perimetral amb faldó de 10 mm de gruix i 150 mm d'alçada</t>
  </si>
  <si>
    <t>BE93-BAPE</t>
  </si>
  <si>
    <t>P-320</t>
  </si>
  <si>
    <t>Film de polietilè de 0,2 mm de gruix i 1,2 m d'amplada</t>
  </si>
  <si>
    <t>BE93-FILM</t>
  </si>
  <si>
    <t xml:space="preserve">Film de polietilè </t>
  </si>
  <si>
    <t>P-321</t>
  </si>
  <si>
    <t>Grapes per a panell llis i tetons per a tub de ø16 i ø20 mm</t>
  </si>
  <si>
    <t>BE93-GRAP</t>
  </si>
  <si>
    <t>P-322</t>
  </si>
  <si>
    <t>Colze guia per a tub de ø16</t>
  </si>
  <si>
    <t>BE93-GUIA</t>
  </si>
  <si>
    <t>P-323</t>
  </si>
  <si>
    <t>Junta de dilatació</t>
  </si>
  <si>
    <t>BE93-JUPE</t>
  </si>
  <si>
    <t>P-324</t>
  </si>
  <si>
    <t>Tub ø16 x 1,5</t>
  </si>
  <si>
    <t>BE93-TU16</t>
  </si>
  <si>
    <t>Tub PEX-A ø16 x 15</t>
  </si>
  <si>
    <t>P-325</t>
  </si>
  <si>
    <t>Capçal termoelèctric</t>
  </si>
  <si>
    <t>BE96-CACO</t>
  </si>
  <si>
    <t>Actuador tèrmic REHAU UNI (230 V) per a control de les vàlvules dels col·lectors REHAU. Posició normalment
tancada. Senyalització de l'estat d'obertura a la part superior de l'actuador. Compatible amb tots els col·lectors
REHAU per a instal·lacions residencials mitjançant l'adaptador universal, inclòs al subministrament. Funció de
primera obertura a la fase d'instal·lació sense necessitat de connectar el termòstat. Potència absorbida de només 1 W.</t>
  </si>
  <si>
    <t>P-326</t>
  </si>
  <si>
    <t>Control terra radiant</t>
  </si>
  <si>
    <t>BE96-CONT</t>
  </si>
  <si>
    <t>Base REHAU NEA SMART 2.0 BUS/ràdio, 230 V. Color blanc (similar a RAL 9003). Compatible amb tots els
termòstats i sondes de temperatura NEA SMART 2.0 (bus o sense fil). Operació i maneig disponibles
mitjançant l'app REHAU. Permet la connexió de màxim 8 termòstats i 12 actuadors tèrmics. 4 sortides de relé
(contactes sense potencial) per a bombes circuladores, deshumidificadors, generadors de calor i de fred. 4 entrades
digitals per a senyal ´´change over´´, sensor de punt de rosada, commutació del mode operatiu. Port LAN/WLAN
integrat. ZOBUS (bus de 2 cables) per a termòstats/sondes de temperatura versió BUS i senyal de radiofreqüència
de 869 MHz per a la versió sense fil. Abast: 25 m dins edificis. Dimensió: 317x83,5x52,6 mm.</t>
  </si>
  <si>
    <t>P-327</t>
  </si>
  <si>
    <t>Termostat digital on/off. Temperatura regulable 10-30 ºC</t>
  </si>
  <si>
    <t>BE96-TERM</t>
  </si>
  <si>
    <t xml:space="preserve"> Termostat digital on/off. Temperatura regulable 10-30 ºC</t>
  </si>
  <si>
    <t>P-328</t>
  </si>
  <si>
    <t>Subministrament i muntatge de bomba de calor monobloc d'aigua BAETULEN model BAEHEAT B30 R515B de po</t>
  </si>
  <si>
    <t>BEJ0-.C01</t>
  </si>
  <si>
    <t>P-329</t>
  </si>
  <si>
    <t>Acumulador higiènic de producció instantània vertical de 300 l</t>
  </si>
  <si>
    <t>Altres</t>
  </si>
  <si>
    <t>BEJ0-DEP1</t>
  </si>
  <si>
    <t>acumulador higiènic de producció instantània vertical de 300 l</t>
  </si>
  <si>
    <t>Subtotal altres</t>
  </si>
  <si>
    <t>P-330</t>
  </si>
  <si>
    <t>Esquema de principi</t>
  </si>
  <si>
    <t>BEJ0-EQ01</t>
  </si>
  <si>
    <t>EQUEMA DE PRINCIPI</t>
  </si>
  <si>
    <t>P-331</t>
  </si>
  <si>
    <t>Recuperador de calor HRA4000, 4.000 m3/h</t>
  </si>
  <si>
    <t>BEJ0-RE01</t>
  </si>
  <si>
    <t>BEJ0-CTR2</t>
  </si>
  <si>
    <t>accesoris</t>
  </si>
  <si>
    <t>P-332</t>
  </si>
  <si>
    <t>Recuperador de calor HRA1400, 1.000 m3/h</t>
  </si>
  <si>
    <t>BEJ0-RE02</t>
  </si>
  <si>
    <t>Recuperador de calor hra1400, 1.000 m3/h</t>
  </si>
  <si>
    <t>BEJ0-CTR1</t>
  </si>
  <si>
    <t>P-333</t>
  </si>
  <si>
    <t>Recuperador de calor VMC SLIM 200 m3/h</t>
  </si>
  <si>
    <t>BEJ0-RE03</t>
  </si>
  <si>
    <t>P-334</t>
  </si>
  <si>
    <t>Multitov.llarg abast,orient.man.,p/inst.param. Vert./horitz.,placa=500x100mm,núm.tover.= 5,diàm.=80m</t>
  </si>
  <si>
    <t>BEKC-2RE0</t>
  </si>
  <si>
    <t>Multitovera de llarg abast orientable manualment per a instal·lar en parament vertical o horitzontal, formada per placa de 500 x 100 mm d'acer galvanitzat lacat, amb 5 toveres de 80 mm de diàmetre i 44 mm de diàmetre de boca, d'alumini lacat de color especial, distribuïdes en una fila</t>
  </si>
  <si>
    <t>P-335</t>
  </si>
  <si>
    <t>Reixeta impuls/retorn,una fixes horitzs.,alum.anod.plat.,200x100mm, 20mm,corba45°,mateix sentit,fixa</t>
  </si>
  <si>
    <t>BEKL-0MJY</t>
  </si>
  <si>
    <t>Reixeta d'impulsió o retorn, d'una filera d'aletes fixes horitzontals, d'alumini anoditzat platejat, de 200x100 mm, d'aletes separades 20 mm, de secció corba 45°, totes en el mateix sentit i per a fixar al bastiment</t>
  </si>
  <si>
    <t>P-336</t>
  </si>
  <si>
    <t>Boca extracció circular PVC, D125mm,col.</t>
  </si>
  <si>
    <t>BEKR-J0QO</t>
  </si>
  <si>
    <t>Boca d'extracció circular de PVC, de 125 mm de diàmetre</t>
  </si>
  <si>
    <t>P-337</t>
  </si>
  <si>
    <t>Extractors en línia per a conductes Marca SODECA model SVE/PLUS-100/L</t>
  </si>
  <si>
    <t>BEW2-FG8B</t>
  </si>
  <si>
    <t>Suport estàndard per a conducte rectangular metàl·lic, preu superior</t>
  </si>
  <si>
    <t>BEM1-VE01</t>
  </si>
  <si>
    <t>1099306 SVE/PLUS-100/L</t>
  </si>
  <si>
    <t>P-338</t>
  </si>
  <si>
    <t>Legalizació climatització</t>
  </si>
  <si>
    <t>P-339</t>
  </si>
  <si>
    <t>Tub Cu R220 (recuit),DN=18mm,g=0.8,soldat capil.,dific.mitjà,col.superf.</t>
  </si>
  <si>
    <t>B0A1-07KA</t>
  </si>
  <si>
    <t>Abraçadora plàstica, de 18 mm de diàmetre interior</t>
  </si>
  <si>
    <t>BF51-04NN</t>
  </si>
  <si>
    <t>Tub de coure R220 (recuit) de 18 mm de diàmetre nominal i de gruix 0,8 mm, segons la norma UNE-EN 1057</t>
  </si>
  <si>
    <t>BFW6-04NU</t>
  </si>
  <si>
    <t>Accessori per a tub de coure 18 mm de diàmetre nominal per a soldar per capil·laritat</t>
  </si>
  <si>
    <t>BFYC-04OX</t>
  </si>
  <si>
    <t>Part proporcional d'elements de muntatge, per a tub de coure sanitari de 18 mm de diàmetre nominal, per a soldar per capilaritat</t>
  </si>
  <si>
    <t>P-340</t>
  </si>
  <si>
    <t>Tubs distribució d'aigua en sales humides (banys, cuines etc) Tub polietil.multic D=20mm,capa interi</t>
  </si>
  <si>
    <t>BFWF-09RV</t>
  </si>
  <si>
    <t>Accessori per a tubs de polietilè multicapa, de 20 mm de diàmetre nominal exterior, metàl·lic, per a connectar a pressió</t>
  </si>
  <si>
    <t>BFYH-0A44</t>
  </si>
  <si>
    <t>Part proporcional d'elements de muntatge per a tubs de polietilè multicapa, de 20 mm de diàmetre nominal exterior, per a connectar a pressió</t>
  </si>
  <si>
    <t>BF90-1N7U</t>
  </si>
  <si>
    <t>Tub de polietilè multicapa de 20x2 mm, amb capa interior de polietilè, ànima d'alumini i protecció exterior de polietilè, amb una pressió màxima de servei de 12 bar</t>
  </si>
  <si>
    <t>B0A1-07KK</t>
  </si>
  <si>
    <t>Abraçadora plàstica, de 20 mm de diàmetre interior</t>
  </si>
  <si>
    <t>P-341</t>
  </si>
  <si>
    <t>Tubs distribució d'aigua en sales humides (banys, cuines etc) Tub polietil.multic D=25mm,capa interi</t>
  </si>
  <si>
    <t>B0A1-07KL</t>
  </si>
  <si>
    <t>Abraçadora plàstica, de 25 mm de diàmetre interior</t>
  </si>
  <si>
    <t>BFYH-0A46</t>
  </si>
  <si>
    <t>Part proporcional d'elements de muntatge per a tubs de polietilè multicapa, de 25 mm de diàmetre nominal exterior, per a connectar a pressió</t>
  </si>
  <si>
    <t>BFWF-09S1</t>
  </si>
  <si>
    <t>Accessori per a tubs de polietilè multicapa, de 25 mm de diàmetre nominal exterior, metàl·lic, per a connectar a pressió</t>
  </si>
  <si>
    <t>BF90-1N7V</t>
  </si>
  <si>
    <t>Tub de polietilè multicapa de 25x2,5 mm, amb capa interior de polietilè, ànima d'alumini i protecció exterior de polietilè, amb una pressió màxima de servei de 12 bar</t>
  </si>
  <si>
    <t>P-342</t>
  </si>
  <si>
    <t>Tub PE 100,DN 40,PN 10 (SDR 17),barres 6m,UNE-EN 12201-2,+p.p.accessoris electrosold.,superf.,grau d</t>
  </si>
  <si>
    <t>C20P-WLSF</t>
  </si>
  <si>
    <t>Equip i elements auxiliars per a soldadura per electrofusió de canonades de polietilè, diàmetre nominal DN 20 a 630 mm, de funcionament manual i control de la soldadura automàtic, alimentació elèctrica monofàsica a 230 V, potència 3,6 kW, grau de protecció IP54, amb funció de documentació i traçabilitat de la soldadura, ports de comunicacions USB i paral·lel, contrassenya de supervisor, possibiltat d'introduïr coordenades GPS, amb escàner lector de codi de barres</t>
  </si>
  <si>
    <t>B0A1-07KP</t>
  </si>
  <si>
    <t>Abraçadora plàstica, de 40 mm de diàmetre interior</t>
  </si>
  <si>
    <t>BFB3-097A</t>
  </si>
  <si>
    <t>Tub de polietilè de designació PE 100, diàmetre nominal DN 40, pressió nominal PN 10 (SDR 17), subministrat en barres de 6 m, fabricació segons norma UNE-EN 12201-2</t>
  </si>
  <si>
    <t>BFWF-W63E</t>
  </si>
  <si>
    <t>Accessori per a tubs de polietilè de densitat alta, de 40 mm de diàmetre nominal exterior, de plàstic, 16 bar de pressió nominal, per a electrosoldadura</t>
  </si>
  <si>
    <t>P-343</t>
  </si>
  <si>
    <t>Tub PE 100,DN 25,PN 16 (SDR 11),en rotlle,UNE-EN 12201-2,+p.p.accessoris electrosold.,superf.,grau d</t>
  </si>
  <si>
    <t>BFWF-W632</t>
  </si>
  <si>
    <t>Accessori per a tubs de polietilè de densitat alta, de 25 mm de diàmetre nominal exterior, de plàstic, 16 bar de pressió nominal, per a electrosoldadura</t>
  </si>
  <si>
    <t>BFB3-095R</t>
  </si>
  <si>
    <t>Tub de polietilè de designació PE 100, diàmetre nominal DN 25, pressió nominal PN 16 (SDR 11), subministrat en rotlle, fabricació segons norma UNE-EN 12201-2</t>
  </si>
  <si>
    <t>P-344</t>
  </si>
  <si>
    <t>Tub PE 100,DN 32,PN 10 (SDR 17),en rotlle,UNE-EN 12201-2,+p.p.accessoris electrosold.,superf.,grau d</t>
  </si>
  <si>
    <t>B0A1-07KF</t>
  </si>
  <si>
    <t>Abraçadora plàstica, de 32 mm de diàmetre interior</t>
  </si>
  <si>
    <t>BFB3-096T</t>
  </si>
  <si>
    <t>Tub de polietilè de designació PE 100, diàmetre nominal DN 32, pressió nominal PN 10 (SDR 17), subministrat en rotlle, fabricació segons norma UNE-EN 12201-2</t>
  </si>
  <si>
    <t>BFWF-W63C</t>
  </si>
  <si>
    <t>Accessori per a tubs de polietilè de densitat alta, de 32 mm de diàmetre nominal exterior, de plàstic, 16 bar de pressió nominal, per a electrosoldadura</t>
  </si>
  <si>
    <t>P-345</t>
  </si>
  <si>
    <t>Aïllament tèrmic escum.elastom.,fluids (-50 i 105°C),D=18mm,g=9mm,factor dif.vapor&gt;= 5000 1superf.mi</t>
  </si>
  <si>
    <t>BFY3-065I</t>
  </si>
  <si>
    <t>Part proporcional d'elements de muntatge per a aïllament tèrmic d'escuma elastomèrica, de 9 mm de gruix</t>
  </si>
  <si>
    <t>BFQ0-0DBI</t>
  </si>
  <si>
    <t>Aïllament tèrmic d'escuma elastomèrica per a canonades que transporten fluids a temperatura entre -50°C i 105°C, per a tub de diàmetre exterior 18 mm, de 9 mm de gruix, classe de reacció al foc BL-s2, d0 segons norma UNE-EN 13501-1, factor de resistència a la difusió del vapor d'aigua &gt;= 5000 1</t>
  </si>
  <si>
    <t>P-346</t>
  </si>
  <si>
    <t>Aïllament tèrmic escum.elastom.,fluids (-50 i 105°C),D=18mm,g=25mm,factor dif.vapor&gt;= 7000 1superf.m</t>
  </si>
  <si>
    <t>BFQ0-0DCZ</t>
  </si>
  <si>
    <t>Aïllament tèrmic d'escuma elastomèrica per a canonades que transporten fluids a temperatura entre -50°C i 105°C, per a tub de diàmetre exterior 18 mm, de 25 mm de gruix, classe de reacció al foc BL-s2, d0 segons norma UNE-EN 13501-1, factor de resistència a la difusió del vapor d'aigua &gt;= 7000 1</t>
  </si>
  <si>
    <t>BFY3-065M</t>
  </si>
  <si>
    <t>Part proporcional d'elements de muntatge per a aïllament tèrmic d'escuma elastomèrica, de 25 mm de gruix</t>
  </si>
  <si>
    <t>P-347</t>
  </si>
  <si>
    <t>Aïllament tèrmic escum.elastom.,fluids (-50 i 105°C),D=22mm,g=9mm,factor dif.vapor&gt;= 5000 1superf.mi</t>
  </si>
  <si>
    <t>BFQ0-0DEX</t>
  </si>
  <si>
    <t>Aïllament tèrmic d'escuma elastomèrica per a canonades que transporten fluids a temperatura entre -50°C i 105°C, per a tub de diàmetre exterior 22 mm, de 9 mm de gruix, classe de reacció al foc BL-s2, d0 segons norma UNE-EN 13501-1, factor de resistència a la difusió del vapor d'aigua &gt;= 5000 1</t>
  </si>
  <si>
    <t>P-348</t>
  </si>
  <si>
    <t>Aïllament tèrmic escum.elastom.,fluids (-50 i 105°C),D=22mm,g=25mm,factor dif.vapor&gt;= 7000 1superf.m</t>
  </si>
  <si>
    <t>BFQ0-0DGI</t>
  </si>
  <si>
    <t>Aïllament tèrmic d'escuma elastomèrica per a canonades que transporten fluids a temperatura entre -50°C i 105°C, per a tub de diàmetre exterior 22 mm, de 25 mm de gruix, classe de reacció al foc BL-s2, d0 segons norma UNE-EN 13501-1, factor de resistència a la difusió del vapor d'aigua &gt;= 7000 1</t>
  </si>
  <si>
    <t>P-349</t>
  </si>
  <si>
    <t>Aïllament tèrmic escum.elastom.,fluids (-50 i 105°C),D=28mm,g=25mm,factor dif.vapor&gt;= 7000 1superf.m</t>
  </si>
  <si>
    <t>BFQ0-0DGK</t>
  </si>
  <si>
    <t>Aïllament tèrmic d'escuma elastomèrica per a canonades que transporten fluids a temperatura entre -50°C i 105°C, per a tub de diàmetre exterior 28 mm, de 25 mm de gruix, classe de reacció al foc BL-s2, d0 segons norma UNE-EN 13501-1, factor de resistència a la difusió del vapor d'aigua &gt;= 7000 1</t>
  </si>
  <si>
    <t>P-350</t>
  </si>
  <si>
    <t>Quadre General de distribució</t>
  </si>
  <si>
    <t>BAW6-XI02</t>
  </si>
  <si>
    <t>Suministro e instalación del Cuadro General, incluye Armario de chapa de acero de color blanco RAL 9003 sistema PrismaSeT, tipo P,con tratamiento por cataforesis mas polvo de epoxy poliéster polimerizado en caliente. De dimensiones externas según plano. Con grado de protección IP30, IK08, obtenido con puerta transparente. Cada aparato o conjunto de aparatos se montará sobre una placa soporte o un perfil que sirva de soporte de fijación a quien corresponderá una tapa perforada que irá montada sobre el frontal del cofret y que protegerá contra los contactos directos. El cuadro deberá cumplir el marcado CE, de obligado cumplimiento, según norma IEC 61439 1&amp;2 y deberá tener toda la información digitalizada susceptible de ser requerida en la fase de mantenimiento así como la información técnica del cuadro, accesible mediante un código QR visible en el frontal del mismo. Incluido suministro e instalación de aparamenta correspondiente según esquema unifilar. Marca Schneider Electric o equivalente. Todo instalado, comprobado y en funcionamiento.</t>
  </si>
  <si>
    <t>P-351</t>
  </si>
  <si>
    <t>Quadre Secundari Apartament</t>
  </si>
  <si>
    <t>BAW6-XI11</t>
  </si>
  <si>
    <t>Suministro e instalación del Cuadro Secundario PLANTA APARTAMENT, incluye Armario de chapa de acero de color blanco RAL 9003 sistema PrismaSeT,con tratamiento por cataforesis mas polvo de epoxy poliéster polimerizado en caliente. De dimensiones externas según plano. Con grado de protección IP30, IK08, obtenido con puerta transparente. Cada aparato o conjunto de aparatos se montará sobre una placa soporte o un perfil que sirva de soporte de fijación a quien corresponderá una tapa perforada que irá montada sobre el frontal del cofret y que protegerá contra los contactos directos. El cuadro deberá cumplir el marcado CE, de obligado cumplimiento, según norma IEC 61439 1&amp;2 y deberá tener toda la información digitalizada susceptible de ser requerida en la fase de mantenimiento así como la información técnica del cuadro, accesible mediante un código QR visible en el frontal del mismo. Incluido suministro e instalación de aparamenta correspondiente según esquema unifilar. Marca Schneider Electric o equivalente. Todo instalado, comprobado y en funcionamiento.</t>
  </si>
  <si>
    <t>P-352</t>
  </si>
  <si>
    <t>Quadre Secundari SOLAR FV</t>
  </si>
  <si>
    <t>BAW6-XI15</t>
  </si>
  <si>
    <t>Suministro e instalación del Cuadro Secundario SOLAR FV, incluye Armario de chapa de acero de color blanco RAL 9003 sistema PrismaSeT,con tratamiento por cataforesis mas polvo de epoxy poliéster polimerizado en caliente. De dimensiones externas según plano. Con grado de protección IP30, IK08, obtenido con puerta transparente. Cada aparato o conjunto de aparatos se montará sobre una placa soporte o un perfil que sirva de soporte de fijación a quien corresponderá una tapa perforada que irá montada sobre el frontal del cofret y que protegerá contra los contactos directos. El cuadro deberá cumplir el marcado CE, de obligado cumplimiento, según norma IEC 61439 1&amp;2 y deberá tener toda la información digitalizada susceptible de ser requerida en la fase de mantenimiento así como la información técnica del cuadro, accesible mediante un código QR visible en el frontal del mismo. Incluido suministro e instalación de aparamenta correspondiente según esquema unifilar. Marca Schneider Electric o equivalente. Todo instalado, comprobado y en funcionamiento.</t>
  </si>
  <si>
    <t>P-353</t>
  </si>
  <si>
    <t>Caixa deriv.plàstic,100x100mm,prot.IP-40,munt.superf.</t>
  </si>
  <si>
    <t>BG12-0G56</t>
  </si>
  <si>
    <t>Caixa de derivació quadrada de plàstic, de 100x100 mm, amb grau de protecció IP-40 i per a muntar superficialment</t>
  </si>
  <si>
    <t>BGW2-093M</t>
  </si>
  <si>
    <t>Part proporcional d'accessoris de caixa de derivació quadrada</t>
  </si>
  <si>
    <t>PG13-E30N</t>
  </si>
  <si>
    <t>Caixa de derivació rectangular de plàstic, de 130x200 mm, amb grau de protecció IP-40, encastada</t>
  </si>
  <si>
    <t>Caixa deriv.plàstic,130x200mm,prot.IP-40,encastada</t>
  </si>
  <si>
    <t>BG13-0G11</t>
  </si>
  <si>
    <t>Caixa de derivació rectangular de plàstic, de 130x200 mm, amb grau de protecció IP-40 i per a encastar</t>
  </si>
  <si>
    <t>P-354</t>
  </si>
  <si>
    <t>C.G.P.polièst.+fibra,160A,UNESA 9,BUC, IP-43, IK09,munt.superf.</t>
  </si>
  <si>
    <t>BG16-0BW1</t>
  </si>
  <si>
    <t>Caixa general de protecció de polièster reforçat amb fibra de vidre, de 160 A, segons esquema Unesa número 9, seccionable en càrrega (BUC), inclosa base portafusibles trifàsica (sense fusibles), neutre seccionable, borns de connexió i grau de protecció IP-43, IK09</t>
  </si>
  <si>
    <t>BGW2-093I</t>
  </si>
  <si>
    <t>Part proporcional d'accessoris de caixa general de protecció</t>
  </si>
  <si>
    <t>P-355</t>
  </si>
  <si>
    <t>CPM TMF1, 25-63 A (17,32-43,64 kW),400V,s/compt.,s/ICP-M,s/ID,col.superf.</t>
  </si>
  <si>
    <t>BG1B-H64P</t>
  </si>
  <si>
    <t>Conjunt de protecció i mesura del tipus TMF1 per a subministrament trifàsic individual superior a 15 kW, per a mesura directa, potència entre 17,32 kW i 43,64 kW (entre 25 A i 63 A), tensió de 400 V, format per conjunt de caixes modulars de doble aïllament de polièster reforçat amb fibra de vidre de mides totals 540x810x171 mm, amb base de fusibles (sense incloure els fusibles), sense equip de comptage, sense ICP-M i sense interruptor diferencial</t>
  </si>
  <si>
    <t>P-356</t>
  </si>
  <si>
    <t>Safata xapa llisa acer galvanitzat sendzimir,60mmx200mm,col.s/sup.horitz.</t>
  </si>
  <si>
    <t>BGWA-0AN0</t>
  </si>
  <si>
    <t>Part proporcional d'accessoris i elements d'acabat per a safates metàl·liques d'acer galvanitzat sendzimir, de 60 mm d'alçària i 200 mm d'amplària</t>
  </si>
  <si>
    <t>BGY1-1P20</t>
  </si>
  <si>
    <t>Part proporcional d'elements de suport per a safates metàl·liques d'acer d'acer galvanitzat sendzimir de 200 mm d'amplària, per a instal·lació sobre suports horitzontals</t>
  </si>
  <si>
    <t>BG2J-0BE8</t>
  </si>
  <si>
    <t>Safata metàl·lica de xapa llisa d'acer galvanitzat sendzimir, d'alçària 60 mm i amplària 200 mm</t>
  </si>
  <si>
    <t>P-357</t>
  </si>
  <si>
    <t>Tub corbable corrugat PE,doble capa,DN=40mm,15J,450N,canal.sot.</t>
  </si>
  <si>
    <t>BG2Q-1KTI</t>
  </si>
  <si>
    <t>Tub corbable corrugat de polietilè, de doble capa, llisa la interior i corrugada l'exterior, de 40 mm de diàmetre nominal, aïllant i no propagador de la flama, resistència a l'impacte de 15 J, resistència a compressió de 450 N, per a canalitzacions soterrades</t>
  </si>
  <si>
    <t>PG2N-EUH3</t>
  </si>
  <si>
    <t>Tub flexible corrugat de PVC folrat exteriorment, de 20 mm de diàmetre nominal, aïllant i no propagador de la flama, resistència a l'impacte de 2 J, resistència a compressió de 320 N i una rigidesa dielèctrica de 2000 V, muntat encastat</t>
  </si>
  <si>
    <t>Tub flexible corrugat PVC folrat,DN=20mm,2J,320N,2000V,encastat</t>
  </si>
  <si>
    <t>BG2Q-1KSQ</t>
  </si>
  <si>
    <t>Tub flexible corrugat de PVC folrat exteriorment, de 20 mm de diàmetre nominal, aïllant i no propagador de la flama, resistència a l'impacte de 2 J, resistència a compressió de 320 N i una rigidesa dielèctrica de 2000 V</t>
  </si>
  <si>
    <t>P-358</t>
  </si>
  <si>
    <t>Tub flexible corrugat plàstic s/halògens,DN=20mmbaixa emissió fums,2J,320N,2000V,encastat</t>
  </si>
  <si>
    <t>BG2Q-1KT4</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</si>
  <si>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t>
  </si>
  <si>
    <t>P-359</t>
  </si>
  <si>
    <t>Tub flexible corrugat plàstic s/halògens,DN=25mmbaixa emissió fums,2J,320N,2000V,encastat</t>
  </si>
  <si>
    <t>BG2Q-1KT5</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</si>
  <si>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t>
  </si>
  <si>
    <t>P-360</t>
  </si>
  <si>
    <t>Tub rígid acer galv.,DN=20mm,impacte=20J,resist.compress.=4000N,unió endollada+munt.superf.</t>
  </si>
  <si>
    <t>BG2O-1KWB</t>
  </si>
  <si>
    <t>Tub rígid d'acer galvanitzat, de 20 mm de diàmetre nominal, resistència a l'impacte de 20 J, resistència a compressió de 4000 N, per a endollar</t>
  </si>
  <si>
    <t>BGWC-09N6</t>
  </si>
  <si>
    <t>Part proporcional d'accessoris per a tubs rígids d'acer</t>
  </si>
  <si>
    <t>PG2O-6SXP</t>
  </si>
  <si>
    <t>Tub rígid d'acer galvanitzat, de 32 mm de diàmetre nominal, resistència a l'impacte de 20 J, resistència a compressió de 4000 N, amb unió roscada i muntat superficialment</t>
  </si>
  <si>
    <t>Tub rígid acer galv.,DN=32mm,impacte=20J,resist.compress.=4000N,unió roscada+munt.superf.</t>
  </si>
  <si>
    <t>BG2O-1KW8</t>
  </si>
  <si>
    <t>Tub rígid d'acer galvanitzat, de 32 mm de diàmetre nominal, resistència a l'impacte de 20 J, resistència a compressió de 4000 N, per a roscar</t>
  </si>
  <si>
    <t>PG2P-6T0E</t>
  </si>
  <si>
    <t>Tub rígid de PVC, de 32 mm de diàmetre nominal, aïllant i no propagador de la flama, amb una resistència a l'impacte de 2 J, resistència a compressió de 1250 N i una rigidesa dielèctrica de 2000 V, amb unió roscada i muntat superficialment</t>
  </si>
  <si>
    <t>Tub rígid PVC,DN=32mm,impacte=2J,resist.compress.=1250N,unió roscada+munt.superf.</t>
  </si>
  <si>
    <t>BG2P-1KUE</t>
  </si>
  <si>
    <t>Tub rígid de PVC, de 32 mm de diàmetre nominal, aïllant i no propagador de la flama, amb una resistència a l'impacte de 2 J, resistència a compressió de 1250 N i una rigidesa dielèctrica de 2000 V</t>
  </si>
  <si>
    <t>BGWC-09N4</t>
  </si>
  <si>
    <t>Part proporcional d'accessoris per a tubs rígids de PVC</t>
  </si>
  <si>
    <t>P-361</t>
  </si>
  <si>
    <t>Cable 0,6/1 kV RZ1-K (AS), 3x1,5mm2,col.canal/safata</t>
  </si>
  <si>
    <t>BG33-G2VP</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</si>
  <si>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t>
  </si>
  <si>
    <t>P-362</t>
  </si>
  <si>
    <t>Cable 0,6/1 kV RZ1-K (AS), 3x2,5mm2,col.canal/safata</t>
  </si>
  <si>
    <t>BG33-G2VO</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</si>
  <si>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</si>
  <si>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P-363</t>
  </si>
  <si>
    <t>Cable 0,6/1 kV RZ1-K (AS), 3x6mm2,col.canal/safata</t>
  </si>
  <si>
    <t>BG33-G2VR</t>
  </si>
  <si>
    <t>Cable amb conductor de coure de tensió assignada0,6/1 kV, de designació RZ1-K (AS), construcció segons norma UNE 21123-4, tripolar, de secció 3x6 mm2, amb coberta del cable de poliolefines, classe de reacció al foc Cca-s1b, d1, a1 segons la norma UNE-EN 50575 amb baixa emissió fums</t>
  </si>
  <si>
    <t>P-364</t>
  </si>
  <si>
    <t>Cable 0,6/1 kV RZ1-K (AS), 5x1,5mm2,col.canal/safata</t>
  </si>
  <si>
    <t>BG33-G2WV</t>
  </si>
  <si>
    <t>Cable amb conductor de coure de tensió assignada0,6/1 kV, de designació RZ1-K (AS), construcció segons norma UNE 21123-4, pentapolar, de secció 5x1,5 mm2, amb coberta del cable de poliolefines, classe de reacció al foc Cca-s1b, d1, a1 segons la norma UNE-EN 50575 amb baixa emissió fums</t>
  </si>
  <si>
    <t>P-365</t>
  </si>
  <si>
    <t>Cable 0,6/1 kV RZ1-K (AS), 5x16mm2,col.canal/safata</t>
  </si>
  <si>
    <t>BG33-G2WW</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</si>
  <si>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t>
  </si>
  <si>
    <t>P-366</t>
  </si>
  <si>
    <t>Cable 0,6/1 kV ZZ-F, 1x4mm2,col.canal/safata</t>
  </si>
  <si>
    <t>BG33-G30K</t>
  </si>
  <si>
    <t>Cable amb conductor de coure de tensió assignada0,6/1 kV, de designació ZZ-F, construcció segons norma UNE-EN 50618, unipolar, de secció 1x4 mm2, amb coberta del cable de poliolefines, classe de reacció al foc Fca segons la norma UNE-EN 50575 amb baixa emissió fums</t>
  </si>
  <si>
    <t>P-367</t>
  </si>
  <si>
    <t>Cable 0,6/1 kV RZ1-K (AS), 5x10mm2,col.tub</t>
  </si>
  <si>
    <t>BG33-G2X0</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</si>
  <si>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t>
  </si>
  <si>
    <t>P-368</t>
  </si>
  <si>
    <t>Cable 0,6/1 kV RZ1-K (AS), 5x35mm2,col.tub</t>
  </si>
  <si>
    <t>BG33-G2WR</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</si>
  <si>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t>
  </si>
  <si>
    <t>PG35-HIIT</t>
  </si>
  <si>
    <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 col·locat en tub</t>
  </si>
  <si>
    <t>Cable Cu 450/750 V, H07Z1-K (AS) Type 2, 1x2,5mm2, Cca-s1b, d1, a1,col.tub</t>
  </si>
  <si>
    <t>BG35-HIIU</t>
  </si>
  <si>
    <t>Cable amb conductor de coure de tensió assignada inferior o igual a 450/750 V, de designació H07Z1-K (AS) Type 2, construcció segons norma UNE-EN 50525-3-31, unipolar, de secció 1x2,5 mm2, amb aïllament de poliolefines, classe de reacció al foc Cca-s1b, d1, a1 segons la norma UNE-EN 50575, amb baixa emissió fums</t>
  </si>
  <si>
    <t>P-369</t>
  </si>
  <si>
    <t>Conductor Cu nu,1x16mm2,munt.superf.</t>
  </si>
  <si>
    <t>BG3I-06W1</t>
  </si>
  <si>
    <t>Conductor de coure nu, unipolar de secció 1x16 mm2</t>
  </si>
  <si>
    <t>BGWF-0ARJ</t>
  </si>
  <si>
    <t>Part proporcional d'accessoris per a conductors de coure nus</t>
  </si>
  <si>
    <t>P-370</t>
  </si>
  <si>
    <t>Conductor Cu nu,1x50mm2,munt.superf.</t>
  </si>
  <si>
    <t>BG3I-06W4</t>
  </si>
  <si>
    <t>Conductor de coure nu, unipolar de secció 1x50 mm2</t>
  </si>
  <si>
    <t>PG47-ELQC</t>
  </si>
  <si>
    <t>Interruptor automàtic magnetotèrmic de 10 A d'intensitat nominal, tipus PIA corba C, bipolar (1P+N), de 6000 A de poder de tall segons UNE-EN 60898 i de 10 kA de poder de tall segons UNE-EN 60947-2, de 2 mòduls DIN de 18 mm d'amplària, muntat en perfil DIN</t>
  </si>
  <si>
    <t>Interruptor auto.magnet.,I=10A,PIA corbaC,bipol.(1P+N),tall=6000A/10kA,2mòd.DIN,munt.perf.DIN</t>
  </si>
  <si>
    <t>BG49-189N</t>
  </si>
  <si>
    <t>Interruptor automàtic magnetotèrmic de 10 A d'intensitat nominal, tipus PIA corba C, bipolar (1P+N), de 6000 A de poder de tall segons UNE-EN 60898 i de 10 kA de poder de tall segons UNE-EN 60947-2, de 2 mòduls DIN de 18 mm d'amplària, per a muntar en perfil DIN</t>
  </si>
  <si>
    <t>BGWD-0AS2</t>
  </si>
  <si>
    <t>Part proporcional d'accessoris per a interruptors magnetotèrmics</t>
  </si>
  <si>
    <t>P-371</t>
  </si>
  <si>
    <t>Tallacircuit (I) gavineta 100A,base 0,munt.superf.+cargols</t>
  </si>
  <si>
    <t>BGWD-0AS4</t>
  </si>
  <si>
    <t>Part proporcional d'accessoris per a tallacircuits tipus ganiveta</t>
  </si>
  <si>
    <t>BGY0-0B2V</t>
  </si>
  <si>
    <t>Part proporcional d'elements especials per a tallacircuits tipus ganiveta</t>
  </si>
  <si>
    <t>BG4I-0A1U</t>
  </si>
  <si>
    <t>Tallacircuit unipolar amb fusible de ganiveta de 100 A amb base de grandària 0</t>
  </si>
  <si>
    <t>PG62-6NP3</t>
  </si>
  <si>
    <t>Caixa de mecanismes per a centralització de funcions en lloc de treball, de material plàstic, de 3 columnes, amb capacitat per a 6 mecanismes modulars, muntat superficialment</t>
  </si>
  <si>
    <t>Caixa mec.central.,plàstic,3 columnes,p/6mecanismes modulars,muntat superf.</t>
  </si>
  <si>
    <t>BG61-1OGT</t>
  </si>
  <si>
    <t>Caixa de mecanismes per a centralització de funcions en lloc de treball, de material plàstic, de 3 columnes, amb capacitat per a 6 mecanismes modulars, per a muntar superficialment</t>
  </si>
  <si>
    <t>PG65-483R</t>
  </si>
  <si>
    <t>Caixa de mecanismes, per a un element, preu alt, encastada</t>
  </si>
  <si>
    <t>Caixa mecanismes,p/un element,preu alt,encastada</t>
  </si>
  <si>
    <t>BG64-07EI</t>
  </si>
  <si>
    <t>Caixa per a mecanismes, per a un element, preu alt</t>
  </si>
  <si>
    <t>P-374</t>
  </si>
  <si>
    <t>Comm.,(1P),10AX/250V,a/tecla,preu mitjà,munt.superf.</t>
  </si>
  <si>
    <t>BGW8-0ASI</t>
  </si>
  <si>
    <t>Part proporcional d'accessoris per a interruptors i commutadors</t>
  </si>
  <si>
    <t>BG69-1NNW</t>
  </si>
  <si>
    <t>Commutador per a muntar superficialment, unipolar (1P), 10 AX/250 V, amb tecla, preu mitjà,</t>
  </si>
  <si>
    <t>P-375</t>
  </si>
  <si>
    <t>Interruptor,(2P),10AX/250V,a/tecla,preu mitjà,munt.superf.</t>
  </si>
  <si>
    <t>BG69-1NR1</t>
  </si>
  <si>
    <t>Interruptor per a muntar superficialment, bipolar (2P), 10 AX/250 V, amb tecla, preu mitjà,</t>
  </si>
  <si>
    <t>P-376</t>
  </si>
  <si>
    <t>Interruptor botonera multiple, de tipus universal, unipolar (1P), amb tecles, per a control d'il·lum</t>
  </si>
  <si>
    <t>BG69-1NZ2</t>
  </si>
  <si>
    <t>Interruptor botonera multiple, de tipo universal, unipolar (1P), con teclas, para control de iluminación tipo DALI de multiples salas
Incluye todos los elementos y accesorios para su instalació y funcionamiento.
Montada y colocada en condiciones normativas</t>
  </si>
  <si>
    <t>PG6I-78FN</t>
  </si>
  <si>
    <t>Marc per a l'adaptació de mecanismes modulars a caixa rectangular, d'1 mòdul, preu mitjà, col·locat</t>
  </si>
  <si>
    <t>Marc p/adapt.mod-rect.,1mòd.,preu mitjà,col.</t>
  </si>
  <si>
    <t>BG66-1OA0</t>
  </si>
  <si>
    <t>Bastidor per a caixa rectangular per al muntatge de mecanismes modulars, d'1 mòdul, per a fixar a caixa de mecanismes rectangular</t>
  </si>
  <si>
    <t>BG6D-1OB3</t>
  </si>
  <si>
    <t>Marc per a l'adaptació de mecanismes modulars a caixa rectangular, d'1 mòdul, preu mitjà</t>
  </si>
  <si>
    <t>P-377</t>
  </si>
  <si>
    <t>Pols. Superfície,10A/250V,1NA,a/tecla,preu mitjà</t>
  </si>
  <si>
    <t>BG6E-1NTG</t>
  </si>
  <si>
    <t>Polsador, de superfície, 10 A 250 V, amb 1 contacte NA, amb tecla, preu mitjà,</t>
  </si>
  <si>
    <t>BGW8-0ASK</t>
  </si>
  <si>
    <t>Part proporcional d'accessoris per a polsadors</t>
  </si>
  <si>
    <t>P-378</t>
  </si>
  <si>
    <t>Pols.persiana m+e superfície,10A/250V,2NA,a/tecla,preu mitjà</t>
  </si>
  <si>
    <t>BG6E-1NTK</t>
  </si>
  <si>
    <t>Polsador per a persiana amb enclavament mecànic i elèctric, de superfície, 10 A 250 V, amb 2 contactes NA, amb tecla, preu mitjà,</t>
  </si>
  <si>
    <t>PG6O-77N1</t>
  </si>
  <si>
    <t>Presa de corrent de tipus modular de 2 mòduls estrets, bipolar amb presa de terra lateral (2P+T), 16 A 250 V, amb tapa protegida, preu alt, muntada sobre caixa o bastidor</t>
  </si>
  <si>
    <t>Presa corrent,tipus mod.2mòd.estrets(2P+T),16A/250V,a/tapa protegida,preu alt,munt.caixa/bast.</t>
  </si>
  <si>
    <t>BG6G-1NWZ</t>
  </si>
  <si>
    <t>Presa de corrent de tipus modular de 2 mòduls estrets, bipolar amb presa de terra lateral (2P+T), 16 A 250 V, amb tapa protegida, preu alt, per a muntar sobre bastidor o caixa</t>
  </si>
  <si>
    <t>PG6O-77N8</t>
  </si>
  <si>
    <t>Presa de corrent de tipus modular de 2 mòduls estrets, bipolar amb presa de terra lateral (2P+T), 16 A 250 V, amb tapa vermella, preu alt, muntada sobre caixa o bastidor</t>
  </si>
  <si>
    <t>Presa corrent,tipus mod.2mòd.estrets(2P+T),16A/250V,a/tapa vermella,preu alt,munt.caixa/bast.</t>
  </si>
  <si>
    <t>BG6G-1NX8</t>
  </si>
  <si>
    <t>Presa de corrent de tipus modular de 2 mòduls estrets, bipolar amb presa de terra lateral (2P+T), 16 A 250 V, amb tapa vermella, preu alt, per a muntar sobre bastidor o caixa</t>
  </si>
  <si>
    <t>PG6O-77O2</t>
  </si>
  <si>
    <t>Presa de corrent de tipus modular d'1 mòdul estret, bipolar (2P), 16 A 250 V, amb tapa, preu mitjà, muntada sobre caixa o bastidor</t>
  </si>
  <si>
    <t>Presa corrent,tipus mod.1mòd.estret(2P),16A/250V,a/tapa,preu mitjà,munt.caixa/bast.</t>
  </si>
  <si>
    <t>BG6G-1NYW</t>
  </si>
  <si>
    <t>Presa de corrent de tipus modular d'1 mòdul estret, bipolar (2P), 16 A 250 V, amb tapa, preu mitjà, per a muntar sobre bastidor o caixa</t>
  </si>
  <si>
    <t>P-380</t>
  </si>
  <si>
    <t>Detector moviments,conex.bus cable,p/caixa univ.+placa+marc preu eco,a/accessoris,munt.</t>
  </si>
  <si>
    <t>BG83-H6J1</t>
  </si>
  <si>
    <t>Detector de moviment, amb connexió a bus de cable, per a caixa universal, amb adaptador, placa i marc de preu econòmic, amb accessoris de muntatge</t>
  </si>
  <si>
    <t>PGD1-E3B9</t>
  </si>
  <si>
    <t>Piqueta de connexió a terra d'acer, amb recobriment de coure de gruix estàndard, de 2500 mm de llargària de 18,3 mm de diàmetre, clavada a terra</t>
  </si>
  <si>
    <t>Piqueta connex.terra acer,estànd.,long.=2500mm,D=18,3mm,clav.terr.</t>
  </si>
  <si>
    <t>BGYD-0B2W</t>
  </si>
  <si>
    <t>Part proporcional d'elements especials per a piquetes de connexió a terra</t>
  </si>
  <si>
    <t>BGD5-06SP</t>
  </si>
  <si>
    <t>Piqueta de connexió a terra d'acer i recobriment de coure, de 2500 mm de llargària, de 18,3 mm de diàmetre, estàndard</t>
  </si>
  <si>
    <t>P-381</t>
  </si>
  <si>
    <t>Piqueta connex.terra acer,300µm,long.=2000mm,D=14,6mm,clav.terr.</t>
  </si>
  <si>
    <t>BGD5-06SW</t>
  </si>
  <si>
    <t>Piqueta de connexió a terra d'acer i recobriment de coure, de 2000 mm de llargària, de 14,6 mm de diàmetre, de 300 µm</t>
  </si>
  <si>
    <t>P-382</t>
  </si>
  <si>
    <t>Punt connex.terra pont secc.platina coure,munt.caixa,col.superf.</t>
  </si>
  <si>
    <t>BGD4-16WD</t>
  </si>
  <si>
    <t>Punt de connexió a terra amb pont seccionador de platina de coure, muntat en caixa estanca i per muntar superficialment</t>
  </si>
  <si>
    <t>P-383</t>
  </si>
  <si>
    <t>Xarxa equipotencial general</t>
  </si>
  <si>
    <t>P-384</t>
  </si>
  <si>
    <t>Downlight suspes circular LED 4W 2700k acabat blanc IRC90</t>
  </si>
  <si>
    <t>BH22-A044</t>
  </si>
  <si>
    <t>Downlight suspesa circular LED 4W 2700k acabat blanc IRC90</t>
  </si>
  <si>
    <t>P-385</t>
  </si>
  <si>
    <t>Subministrament i instal·lació de downlight de superfície circular LED direccionable 11W 3000k ICR90</t>
  </si>
  <si>
    <t>BH22-AA43</t>
  </si>
  <si>
    <t>P-386</t>
  </si>
  <si>
    <t>Projector orientable Urbidermis Santa &amp; Cole ARNE S 15W, realitzat en injecció d'alumini acabat pint</t>
  </si>
  <si>
    <t>BH42-IL21</t>
  </si>
  <si>
    <t>Projector orientable Urbidermis Santa &amp; Cole ARNE S 15W, realitzat en injecció d'alumini acabat pintat. Sistema òptic de tecnologia LED, de distribució asimètrica viària IESNA Type II. Font d'alimentació electrònica. Classe I. IP66. IK08.
Inclou:
Braç de fixació individual mural amb braç curt per a projector Urbidermis Santa &amp; Cole ARNE S.
Part proporcional de la catenaria
Totalment instal·lat i funcionant.
Marca/Model: Santa&amp;Cole Urbidermis ARNE S 15W o equivalent</t>
  </si>
  <si>
    <t>P-387</t>
  </si>
  <si>
    <t>Lluminària suspesa lineal LED amb difusor.1130mm 24+32W 3000K IRC80</t>
  </si>
  <si>
    <t>BH21-AA01</t>
  </si>
  <si>
    <t>P-388</t>
  </si>
  <si>
    <t>Aplic de superficie de paret 20W</t>
  </si>
  <si>
    <t>BH21-IL22</t>
  </si>
  <si>
    <t>P-389</t>
  </si>
  <si>
    <t>Aplic encastable 2,2W</t>
  </si>
  <si>
    <t>BH21-IL09</t>
  </si>
  <si>
    <t>P-390</t>
  </si>
  <si>
    <t>Lluminària tira led amb difusor 15W/m</t>
  </si>
  <si>
    <t>BH21-IL10</t>
  </si>
  <si>
    <t>Lluminària TIRA LED amb difusor 15W/m</t>
  </si>
  <si>
    <t>P-391</t>
  </si>
  <si>
    <t>Carril enllum.3 circ.,rectang.,alumini extruit,16A,p/munt.superf.,col. reg 0-10V</t>
  </si>
  <si>
    <t>BH42-IL01</t>
  </si>
  <si>
    <t>P-392</t>
  </si>
  <si>
    <t>Projector orientable LED per a muntatge en carril triàsic 28W 3000K CRI90</t>
  </si>
  <si>
    <t>BH42-IL02</t>
  </si>
  <si>
    <t>projector orientable LED per a muntatge en carril triàsic 28W 3000K CRI90</t>
  </si>
  <si>
    <t>P-393</t>
  </si>
  <si>
    <t>Llum emerg.led,no permanent,IP66,classe II,240 a 270 lm,auton&lt; 1h,,forma rect.,policarbon.,preu alt,</t>
  </si>
  <si>
    <t>BH65-2IIZ</t>
  </si>
  <si>
    <t>Llum d'emergència amb làmpada led, amb una vida útil de 100000 h, no permanent i estanca amb grau de protecció IP66, aïllament classe II, amb un flux aproximat de 240 a 270 lm, 1 h d'autonomia, de forma rectangular amb difusor i cos de policarbonat, preu alt</t>
  </si>
  <si>
    <t>P-394</t>
  </si>
  <si>
    <t>Llum emerg.led,no permanent,IP4X,classe II,170 a 200 lm,auton&lt; 1h,,forma rect.,policarbon.,preu alt,</t>
  </si>
  <si>
    <t>BH65-2IIV</t>
  </si>
  <si>
    <t>Llum d'emergència amb làmpada led, amb una vida útil de 100000 h, no permanent i no estanca amb grau de protecció IP4X, aïllament classe II, amb un flux aproximat de 170 a 200 lm, 1 h d'autonomia, de forma rectangular amb difusor i cos de policarbonat, preu alt</t>
  </si>
  <si>
    <t>P-395</t>
  </si>
  <si>
    <t>Sensor nivell il.luminació exterior+acoblador, p/conex.bus, a/accessoris</t>
  </si>
  <si>
    <t>BHV1-CON2</t>
  </si>
  <si>
    <t>P-396</t>
  </si>
  <si>
    <t>Sensor nivell il.luminació interior+acoblador, p/conex.bus, a/accessoris</t>
  </si>
  <si>
    <t>BHV1-H6XO</t>
  </si>
  <si>
    <t>Sensor de nivell d'il.luminació interior, per a connexio a bus amb unitat d'acoblador, amb accessoris de muntatge</t>
  </si>
  <si>
    <t>P-397</t>
  </si>
  <si>
    <t>Cable de comunicacions p/bus de dades, 2x1 mm2 trenat i apantallat</t>
  </si>
  <si>
    <t>BHV1-H6XK</t>
  </si>
  <si>
    <t>Cable de comunicacions per a bus de dades, 2x1 mm2 trenat i apantallat</t>
  </si>
  <si>
    <t>P-398</t>
  </si>
  <si>
    <t>Canonada Tub degoteig d=16mm,degoters c/33cm, mec.antisucció,superf.</t>
  </si>
  <si>
    <t>B0B7-106P</t>
  </si>
  <si>
    <t>Acer en barres corrugades B400S de límit elàstic &gt;= 400 N/mm2</t>
  </si>
  <si>
    <t>BFYH-0A3A</t>
  </si>
  <si>
    <t>Part proporcional d'elements de muntatge per a tubs de polietilè de densitat baixa, de 16 mm de diàmetre nominal exterior, per a connectar a pressió</t>
  </si>
  <si>
    <t>BJSS-28MQ</t>
  </si>
  <si>
    <t>Tub per a reg per degoteig de 16 mm de diàmetre, amb degoters autocompensats integrats cada 33 cm, amb mecanisme antisucció</t>
  </si>
  <si>
    <t>P-399</t>
  </si>
  <si>
    <t>Prog.reg piles,sistema teclat programador,preu mitjà,n.estacions =&lt;4,munt.superf.conn. Ap.control/el</t>
  </si>
  <si>
    <t>BJSA2-26IK</t>
  </si>
  <si>
    <t>Programador de reg amb alimentació amb piles, sistema de programació per teclat al programador, preu mitjà, per a un nombre màxim de 4 estacions</t>
  </si>
  <si>
    <t>P-400</t>
  </si>
  <si>
    <t>BJSA-BOM1</t>
  </si>
  <si>
    <t>bomba</t>
  </si>
  <si>
    <t>P-401</t>
  </si>
  <si>
    <t>Electovàlvula reg 1*,9V,pres.max:10bar+regulador cabal</t>
  </si>
  <si>
    <t>BJS2-28ME</t>
  </si>
  <si>
    <t>Conjunt d'accessoris per al muntatge d'una electrovàlvula d'1´´</t>
  </si>
  <si>
    <t>BJSF-28KW</t>
  </si>
  <si>
    <t>Electrovàlvula per a instal·lacio de reg, d'1´´ de diàmetre, de material plàstic, amb solenoide de 9V, per a una pressió màxima de 10 bar i amb regulador de cabal</t>
  </si>
  <si>
    <t>P-402</t>
  </si>
  <si>
    <t>Inundador cil.soter. L=46cm,D=7,6cm,cabal 0,9l/min,1/2*,soterr.forat exist.,connexió bobina</t>
  </si>
  <si>
    <t>BJS9-28M7</t>
  </si>
  <si>
    <t>Connexió per a difusor o aspersor amb bobina de 1/2´´</t>
  </si>
  <si>
    <t>BJSI-2F6Q</t>
  </si>
  <si>
    <t>Inundador amb cilindre soterrable de longitud 46 cm, diàmetre 7,6 cm, i un cabal de 0,9 l/min</t>
  </si>
  <si>
    <t>P-403</t>
  </si>
  <si>
    <t>Pericó rect. D/PP p/reg d/51x37cm,H=31cm+tapa, col. S/llit grava+rebl.</t>
  </si>
  <si>
    <t>B03J-0K8V</t>
  </si>
  <si>
    <t>Grava de pedrera, per a drens</t>
  </si>
  <si>
    <t>BJSM-H6R8</t>
  </si>
  <si>
    <t>Pericó rectangular de polipropilè per a instal·lacions de reg de 51x37 cm i 31 cm d'alçada, amb tapa amb cargol per a tancar</t>
  </si>
  <si>
    <t>P-404</t>
  </si>
  <si>
    <t xml:space="preserve">Plataforma elevadora accessible muntada en caixa tancada i que serveix a tres nivells, el de la nau </t>
  </si>
  <si>
    <t>BLV0-.E5L</t>
  </si>
  <si>
    <t>P-405</t>
  </si>
  <si>
    <t>Extintor manual pols seca poliv.,6kg,pressió incorpo.,pintat,sup.paret</t>
  </si>
  <si>
    <t>BMY3-0TC7</t>
  </si>
  <si>
    <t>Part proporcional d'elements especials per a extintors</t>
  </si>
  <si>
    <t>BM33-0T4F</t>
  </si>
  <si>
    <t>Extintor de pols seca polivalent, de càrrega 6 kg, amb pressió incorporada, pintat</t>
  </si>
  <si>
    <t>PM90-HC45</t>
  </si>
  <si>
    <t>Comptador de llamps amb registre del nombre de descàrregues, amb dispositiu de mesurador de la intensitat de corrent, muntat en el cable conductor de la instal·lació del parallamps</t>
  </si>
  <si>
    <t>Comptador llamps a/dispositiu mesu.intensitat corrent</t>
  </si>
  <si>
    <t>BM90-H6PJ</t>
  </si>
  <si>
    <t>Comptador de llamps amb registre del nombre de descàrregues, per a muntar en el cable conductor de la instal·lació del parallamps, amb dispositiu de mesurador de la intensitat de corrent</t>
  </si>
  <si>
    <t>PM93-B30Q</t>
  </si>
  <si>
    <t>Parallamps amb capçal dotat de dispositiu d'encebament (PDC) no electrònic, amb un avanç del temps d'encebament de 60 µs, amb N-I radi=80m,N-II radi=90m, N-III radi=105m,N-IV radi=120m d'acord amb assaig UNE 21186, amb pal d'acer galvanitzat de 6 m d'alçària, peça d'adaptació del dispositiu i elements de fixació per a suport amb placa base muntat sobre coberta</t>
  </si>
  <si>
    <t xml:space="preserve">Parallamps PDC no electr.,temps enceb.60µs,niv.protec.I-r80,II-r90,III-r105,IV-r120,+fix.placa base </t>
  </si>
  <si>
    <t>BM91-0T72</t>
  </si>
  <si>
    <t>Parallamps amb capçal dotat de dispositiu d'encebament (PDC) no electrònic, amb un avanç del temps d'encebament de 60 µs, amb N-I radi=80m,N-II radi=90m, N-III radi=105m,N-IV radi=120m d'acord amb assaig UNE 21186, amb pal d'acer galvanitzat de 6 m d'alçària, peça d'adaptació del dispositiu i elements de fixació per a suport amb placa base</t>
  </si>
  <si>
    <t>P-407</t>
  </si>
  <si>
    <t>Retol seny. Instal.protecció/incendis,210x210mm2,làmi.polièster/adhes.,col.adherit</t>
  </si>
  <si>
    <t>BMS0-1K0P</t>
  </si>
  <si>
    <t>Rètol senyalització instal·lació de protecció contra incendis, quadrat, de 210x210 mm2 de làmina polièster autoadhesiva</t>
  </si>
  <si>
    <t>P-408</t>
  </si>
  <si>
    <t>Retol seny. Recorregut evac.sortida emerg.,445x148mm2,làmi.polièster/adhes.,col.adherit</t>
  </si>
  <si>
    <t>BMS0-1K12</t>
  </si>
  <si>
    <t>Rètol senyalització recorregut d'evacuació a sortida emergència, rectangular, de 445x148 mm2 de làmina polièster autoadhesiva</t>
  </si>
  <si>
    <t>P-409</t>
  </si>
  <si>
    <t>Retol seny. Sort.emergència,420x210mm2,làmi.polièster/adhes.,col.adherit</t>
  </si>
  <si>
    <t>BMS0-1K0G</t>
  </si>
  <si>
    <t>Rètol senyalització sortida d'emergència, rectangular, de 420x210 mm2 de làmina polièster autoadhesiva</t>
  </si>
  <si>
    <t>P-410</t>
  </si>
  <si>
    <t>Vàlvula bola manual rosca,2peces,pas tot.,llautó,DN=1*1/4,PN=25bar,superf.</t>
  </si>
  <si>
    <t>BN38-0XBG</t>
  </si>
  <si>
    <t>Vàlvula de bola manual amb rosca, de dues peces amb pas total, de llautó, de diàmetre nominal 1´´1/4 ´´, de 25 bar pressió nominal, de preu alt</t>
  </si>
  <si>
    <t>P-411</t>
  </si>
  <si>
    <t>P-412</t>
  </si>
  <si>
    <t>Vàlvula de bola manual d'escaire amb rosca, 1/2´´- 3/8´´</t>
  </si>
  <si>
    <t>BEN38-ESC1</t>
  </si>
  <si>
    <t>P-413</t>
  </si>
  <si>
    <t>P-414</t>
  </si>
  <si>
    <t>Vàlvula bola manual rosca,2peces,pas tot.,llautó,DN=3/4,PN=16bar,superf.</t>
  </si>
  <si>
    <t>BN38-H3NU</t>
  </si>
  <si>
    <t>Vàlvula de bola manual amb rosca, de dues peces amb pas total, de llautó, de diàmetre nominal 3/4 ´´, de 16 bar pressió nominal, de preu alt</t>
  </si>
  <si>
    <t>P-415</t>
  </si>
  <si>
    <t>Vàlvula bola manual rosca,2peces,pas tot.,llautó,DN=1/2,PN=16bar,superf.</t>
  </si>
  <si>
    <t>BN38-H4EQ</t>
  </si>
  <si>
    <t>Vàlvula de bola manual amb rosca, de dues peces amb pas total, de llautó, de diàmetre nominal 1/2 ´´, de 16 bar pressió nominal, de preu alt</t>
  </si>
  <si>
    <t>P-416</t>
  </si>
  <si>
    <t>Vàlvula bola manual rosca,2peces,pas tot.,llautó,DN=1,PN=16bar,superf.</t>
  </si>
  <si>
    <t>BN38-HDRD</t>
  </si>
  <si>
    <t>Vàlvula de bola manual amb rosca, de dues peces amb pas total, de llautó, de diàmetre nominal 1 ´´, de 16 bar pressió nominal, de preu alt</t>
  </si>
  <si>
    <t>P-417</t>
  </si>
  <si>
    <t>Lector de targetes</t>
  </si>
  <si>
    <t>BP23-LEC1</t>
  </si>
  <si>
    <t>lector de targetes</t>
  </si>
  <si>
    <t>P-418</t>
  </si>
  <si>
    <t>Sistema videoporter 3 placa exterior i 1 monitor interior</t>
  </si>
  <si>
    <t>BP23-VID1</t>
  </si>
  <si>
    <t>VID 1</t>
  </si>
  <si>
    <t>P-419</t>
  </si>
  <si>
    <t>Sistema videoporter 2 placa exterior i 3 monitor interior</t>
  </si>
  <si>
    <t>BP23-VID2</t>
  </si>
  <si>
    <t>vid2</t>
  </si>
  <si>
    <t>P-420</t>
  </si>
  <si>
    <t>Cable transm.dades,4par.,cat.6a U/UTP,poliolefina/poliolefina,n/propag.flama UNE-EN 60332,col.tub/ca</t>
  </si>
  <si>
    <t>BP44-X2XC</t>
  </si>
  <si>
    <t>Cable per a transmissió de dades amb conductors de coure, de 4 parells, categoria 6a U/UTP, aïllament de poliolefina i coberta de poliolefina, de baixa emissió de fums i opacitat reduïda, no propagador de la flama segons UNE-EN 60332-1-2, classe de reacció al foc Dca-s2, d2, a2 segons la norma UNE-EN 50575</t>
  </si>
  <si>
    <t>P-421</t>
  </si>
  <si>
    <t>Armari metàl.+bastid.rack 19*,24 U,1200x800x800mm,1 comp.,a/porta metàl.perforada+pany,a/laterals,fi</t>
  </si>
  <si>
    <t>BP75-1AIK</t>
  </si>
  <si>
    <t>Armari de peu metàl·lic amb bastidor tipus rack 19´´, de 24 unitats d'alçària, de 1200x800x800 mm (alçària x amplària x fondària), d'1 compartiment, amb 1 porta metàl·lica amb perforacions amb pany i clau, amb panells laterals i estructura fixa</t>
  </si>
  <si>
    <t>P-422</t>
  </si>
  <si>
    <t>Passafils 1U</t>
  </si>
  <si>
    <t>BP76-AA06</t>
  </si>
  <si>
    <t xml:space="preserve">Pasahilos Excel 1U 5 anillas, Ref. 100-586 de Excel, color Negro, Fijación de perfil estándar de 19 pulgadas, Conforme a RoHS Restricción de sustancias peligrosas. 1U de altura panel metálico y 5 anillas verticales plásticas. Marca Excel o equivalente </t>
  </si>
  <si>
    <t>P-423</t>
  </si>
  <si>
    <t># ventilador axialp/entrades cables,Q=156m3/h,230V,120x120,a/filtre+reixeta,col.</t>
  </si>
  <si>
    <t>BP7F-1AGH</t>
  </si>
  <si>
    <t># ventilador de tipus axial per a entrades de cables, cabal de 156 m3/h, 230 V de tensió d'alimentació, de 120x120 mm, amb filtre i reixeta protectora</t>
  </si>
  <si>
    <t>P-424</t>
  </si>
  <si>
    <t>Panell int.fix,24 RJ45 cat.6 U/UTP, p/rack 19¬,1U,a/org.cablesfixat mecànicament</t>
  </si>
  <si>
    <t>BP7G-1AEV</t>
  </si>
  <si>
    <t>Panell integrat fix, equipat amb 24 connectors RJ45 categoria 6 U/UTP, per a muntar sobre bastidor rack 19´´, d'1 unitat d'alçària, amb organitzador de cables</t>
  </si>
  <si>
    <t>PP7H-781U</t>
  </si>
  <si>
    <t>Presa de senyal de veu i dades, de tipus modular de 2 mòduls estrets, amb connector RJ45 doble, categoria 6 F/UTP, amb connexió per desplaçament de l'aïllament, amb tapa, preu alt, muntada sobre caixa o bastidor</t>
  </si>
  <si>
    <t>Presa senyal,tipus mod.2mòd.estrets,RJ45 doble,cat.6 F/UTP,despl.aïlla.,a/tapa,preu alt,munt.caixa/b</t>
  </si>
  <si>
    <t>BP7K-1O4K</t>
  </si>
  <si>
    <t>Presa de senyal de veu i dades, de tipus modular de 2 mòduls estrets, amb connector RJ45 doble, categoria 6 F/UTP, amb connexió per desplaçament de l'aïllament, amb tapa, de preu alt, per a muntar sobre bastidor o caixa</t>
  </si>
  <si>
    <t>P-425</t>
  </si>
  <si>
    <t>Presa senyal,tipus mod.1mòd.estret,RJ45 simple,cat.6 U/UTP,despl.aïlla.,a/tapa,preu mitjà,munt.caixa</t>
  </si>
  <si>
    <t>BP7K-1O5E</t>
  </si>
  <si>
    <t>Presa de senyal de veu i dades, de tipus modular d'1 mòdul estret, amb connector RJ45 simple, categoria 6 U/UTP, amb connexió per desplaçament de l'aïllament, amb tapa, de preu mitjà, per a muntar sobre bastidor o caixa</t>
  </si>
  <si>
    <t>P-426</t>
  </si>
  <si>
    <t>Regl.aliment.fixa,8 schucko 2P+T,int.2P-16A,p/armar. Rack 19¬,1 U,horitz.fix.mec.</t>
  </si>
  <si>
    <t>BP7L-1AGG</t>
  </si>
  <si>
    <t>Regleta d'alimentació fixa, amb 8 bases schucko 2P+T de 16 A i 250 V, i un interruptor bipolar de 16 A, per a armaris rack 19´´, d'1 unitat d'alçària, muntatge horitzontal</t>
  </si>
  <si>
    <t>P-427</t>
  </si>
  <si>
    <t>Legalització de la instal·lació</t>
  </si>
  <si>
    <t>P-428</t>
  </si>
  <si>
    <t xml:space="preserve">ARMARI INTERIOR A1 PER A UN BUIT D'OBRA DE 940X100CM DE FONDARIA (9.4m X 5.7m ALÇADA PUNT MÉS ALT), </t>
  </si>
  <si>
    <t>P-429</t>
  </si>
  <si>
    <t>ARMARI INTERIOR A2 PER A UN BUIT D'OBRA DE 650X140CM DE FONDARIA (6.5 m X 2.05m ALÇADA ARMARI, I PAR</t>
  </si>
  <si>
    <t>P-430</t>
  </si>
  <si>
    <t>ARMARI INTERIOR A3 PER A UN BUIT D'OBRA DE 93X50CM DE FONDARIA (0.86m X 3.24m alçada), DE FULLES BAT</t>
  </si>
  <si>
    <t>P-431</t>
  </si>
  <si>
    <t>ARMARI INTERIOR A4 PER A UN BUIT D'OBRA DE 93X50CM DE FONDARIA (0.86m X 3.24m alçada), DE FULLES BAT</t>
  </si>
  <si>
    <t>P-432</t>
  </si>
  <si>
    <t>ARMARI INTERIOR A5 PER A UN BUIT D'OBRA DE 881X42CM DE FONDARIA (8.75m X 2.3m alçada), DE FULLES BAT</t>
  </si>
  <si>
    <t>P-433</t>
  </si>
  <si>
    <t>P-434</t>
  </si>
  <si>
    <t>P-435</t>
  </si>
  <si>
    <t>Poda planif/conif. H&lt; 4 m,escala/perxa,aplec+càrreg+transport brossa planta compostatge dist&lt;20km</t>
  </si>
  <si>
    <t>A01-FEPJ</t>
  </si>
  <si>
    <t>Ajudant jardiner</t>
  </si>
  <si>
    <t>A0F-0011</t>
  </si>
  <si>
    <t>Oficial 1a jardiner especialista en arboricultura</t>
  </si>
  <si>
    <t>C152-003B</t>
  </si>
  <si>
    <t>Camió grua</t>
  </si>
  <si>
    <t>CRE2-00BZ</t>
  </si>
  <si>
    <t>Tisores pneumàtiques, amb part proporcional de compressor</t>
  </si>
  <si>
    <t>B2RA-28U0</t>
  </si>
  <si>
    <t>Disposició controlada en planta de compostage de residus vegetals nets no perillosos amb una densitat 0,5 t/m3, procedents de poda o sega, amb codi 20 02 01 segons la Llista Europea de Residus</t>
  </si>
  <si>
    <t>P-436</t>
  </si>
  <si>
    <t>Ajudes a les escomeses a realitzar en l'edifici. Incloent material, mà d'obra i accessoris necessari</t>
  </si>
  <si>
    <t>P-437</t>
  </si>
  <si>
    <t>Reblert, certificat i segellat de tots els forats oberts per a pas d'instal·lacions entre sectors d'</t>
  </si>
  <si>
    <t>P-438</t>
  </si>
  <si>
    <t>Conjunt d'ajuts d'obra civil per deixar les instal·lacions completament acabades, incloent:
-Obertu</t>
  </si>
  <si>
    <t>P-439</t>
  </si>
  <si>
    <t>Nota Sanejament</t>
  </si>
  <si>
    <t>P-440</t>
  </si>
  <si>
    <t>Nota elèctricitat</t>
  </si>
  <si>
    <t>P-441</t>
  </si>
  <si>
    <t>Nota fontaneria</t>
  </si>
  <si>
    <t>P-442</t>
  </si>
  <si>
    <t>Nota telecomunicacions</t>
  </si>
  <si>
    <t>Partida alçada</t>
  </si>
  <si>
    <t>Connexió escomeses</t>
  </si>
  <si>
    <t>Partida alçada d'abonament íntegre de seguretat i salut a l'obra en base a l'estudi i el pla de segu</t>
  </si>
  <si>
    <t>P-80</t>
  </si>
  <si>
    <t>Sostre Panell fusta contralaminada g=60 mm,3 ucapes,disposició long. En les dues cares,s/hidròfug. A</t>
  </si>
  <si>
    <t>B436-I51D</t>
  </si>
  <si>
    <t>Panell de fusta contralaminada de 60 mm de gruix formada per 3 capes de fusta d'avet C24, encolades amb adhesiu sense urea-formaldehíde amb la disposició longitudinal de la fusta en les dues cares del panell, sense tractament hidròfug, amb acabat superficial no vist per a revestir les 2 cares</t>
  </si>
  <si>
    <t>Subtotal partida d'obra</t>
  </si>
  <si>
    <t>P-300</t>
  </si>
  <si>
    <t>Drenatge perimetral fonament corregut,excav.rasa ampl.=1m,fond.=fins a 1 m,miniexcavadora de combust</t>
  </si>
  <si>
    <t>P-372</t>
  </si>
  <si>
    <t>Caixa mec.central. 3columnes 2preses corrent (2P+T)10/16A tapa blanc,a/tapa vermella, preses veu i d</t>
  </si>
  <si>
    <t>P-373</t>
  </si>
  <si>
    <t>Caixa mec.central. IP54</t>
  </si>
  <si>
    <t>PP7H-CAI2</t>
  </si>
  <si>
    <t>proteccio ip54</t>
  </si>
  <si>
    <t>P-379</t>
  </si>
  <si>
    <t>Presa corrent,tipus mod.1mòd.estret,(2P),16A,250V,a/tapa,preu mitjà,a/marc p/adapt.mod-rect.1mòd.pre</t>
  </si>
  <si>
    <t>P-406</t>
  </si>
  <si>
    <t>Parallamps encebament no electrònic,antena 6m,radi 45m,s/sòcol,baixant L=30m</t>
  </si>
  <si>
    <t>CO2eq (kg)</t>
  </si>
  <si>
    <t>MJ</t>
  </si>
  <si>
    <t>Oficial 1a jardiner especial.arboricult.</t>
  </si>
  <si>
    <t>Conservador-restaurador responsable intervenció</t>
  </si>
  <si>
    <t>Compressor+dos martells pneumàtics</t>
  </si>
  <si>
    <t>Corró vibratori autopropulsat,12 a 14 t</t>
  </si>
  <si>
    <t>Minicarregadora combustible s/pneumàtics 2 a 5,9 t,+acces.retroexcavador a=40-60cm</t>
  </si>
  <si>
    <t>Minicarregadora combustible s/pneumàtics 2 a 5,9 t</t>
  </si>
  <si>
    <t>Pala carregadora s/pneumàtics 8 a 14 t</t>
  </si>
  <si>
    <t>Picó vibrant combustible,plac.30x30cm</t>
  </si>
  <si>
    <t>Compactador combustible duplex manual,700 kg</t>
  </si>
  <si>
    <t>Retroexcavadora s/pneumàtics 8 a 10 t</t>
  </si>
  <si>
    <t>Camió cisterna 8m3</t>
  </si>
  <si>
    <t>Camió transp.20 t</t>
  </si>
  <si>
    <t>Camió transp.7 t</t>
  </si>
  <si>
    <t>Grua autopropulsada 20t</t>
  </si>
  <si>
    <t>Camió bomba formigonar</t>
  </si>
  <si>
    <t>Formigonera 165l</t>
  </si>
  <si>
    <t>Màquina tallajunts disc diamant p/paviment</t>
  </si>
  <si>
    <t>Subministr.cont.estruc.reixa metàl.,1m3 +recollida res.especials</t>
  </si>
  <si>
    <t>Equip tall fil diamant</t>
  </si>
  <si>
    <t>Equip+elem.aux.p/soldadura elèctrica</t>
  </si>
  <si>
    <t>Equip tall oxiacetilènic</t>
  </si>
  <si>
    <t>Màquina taladr.diamant refrig.aigua forats 5-20cm</t>
  </si>
  <si>
    <t>Equip p/sold.electrofusió canonades PE DN 20 a 630 mm,func.manual,control sold.automàt.,230V,3,6kW,I</t>
  </si>
  <si>
    <t>Plataform.elevad. Telesc.artic.,autopro.motor gasoil,h=20m,ampl.=9,8,carreg.227kg,700x245x245 cm,P=1</t>
  </si>
  <si>
    <t>Desbrossadora manual braç+capçal fil-disc</t>
  </si>
  <si>
    <t>Tisores pneumàtiques+p.p.compressor</t>
  </si>
  <si>
    <t>Aparell manual pressió,per fitosanit.herbicid.</t>
  </si>
  <si>
    <t>Compressor portàt.,7 i 10 m3/min,pres=8bar</t>
  </si>
  <si>
    <t>Eq.raig de sorra</t>
  </si>
  <si>
    <t>Diluent pintura silicat,p/velad.pedra</t>
  </si>
  <si>
    <t>Tot-u art.</t>
  </si>
  <si>
    <t>Grava pedra calc.grandària màxima 20 mm p/forms.</t>
  </si>
  <si>
    <t>Grava pedra calc.p/drens</t>
  </si>
  <si>
    <t>Grava p/drens</t>
  </si>
  <si>
    <t>Sorra pedra calc. P/forms.</t>
  </si>
  <si>
    <t>Sorra sílice 0 a 3,5 mm</t>
  </si>
  <si>
    <t>Sorra 0 a 5 mm</t>
  </si>
  <si>
    <t>Sorra 0 a 3,5 mm</t>
  </si>
  <si>
    <t>Sorra p/morters</t>
  </si>
  <si>
    <t>Beurada p/ceràmica CG1 (UNE-EN 13888),color</t>
  </si>
  <si>
    <t>Beurada p/ceràmica CG2 (UNE-EN 13888),color</t>
  </si>
  <si>
    <t>Calç hidràu.natural NHL 5,sacs</t>
  </si>
  <si>
    <t>Calç aèria hidratada CL 90-S,sacs</t>
  </si>
  <si>
    <t>Ciment pòrtland CEM I 32,5R, &amp; sacs</t>
  </si>
  <si>
    <t>Ciment pòrtland+fill.calc. CEM II/B-L 32,5R, &amp; sacs</t>
  </si>
  <si>
    <t>Formigó neteja HL-150/B/20</t>
  </si>
  <si>
    <t>Formigó neteja HL-150/P/20</t>
  </si>
  <si>
    <t>Form.no estructural HNE-20/B/20</t>
  </si>
  <si>
    <t>Formigó en massa HM - 25 / B / 20 / X0 quant.ciment 275kg/m3, aigua/ciment =&lt; 0.6</t>
  </si>
  <si>
    <t>Formigó per armar HA - 25 / B / 20 / XC2 quant.ciment 275kg/m3, aigua/ciment =&lt; 0.6</t>
  </si>
  <si>
    <t>Formigó per armar HA - 25 / B / 10 / XC1 quant.ciment 275kg/m3, aigua/ciment =&lt; 0.6</t>
  </si>
  <si>
    <t>Formigó per armar HA - 25 / F / 20 / XC2 quant.ciment 275kg/m3, aigua/ciment =&lt; 0.6</t>
  </si>
  <si>
    <t>Addit. Inclus.aire/plastificant morter,UNE-EN 934-3</t>
  </si>
  <si>
    <t>Adh.apl.2cares,cautxú</t>
  </si>
  <si>
    <t>Adhesiu dispers.aquosa</t>
  </si>
  <si>
    <t>Adhesiu res.epoxi s/dissolv.baix.visc.,p/ús estruc.p/injec.</t>
  </si>
  <si>
    <t>Adhesiu cimentós C1</t>
  </si>
  <si>
    <t>Adhesiu cimentós C2</t>
  </si>
  <si>
    <t>Abraçadora plàstica,d/int.=18mm</t>
  </si>
  <si>
    <t>Abraçadora plàstica,d/int.=32mm</t>
  </si>
  <si>
    <t>Abraçadora plàstica,d/int.=20mm</t>
  </si>
  <si>
    <t>Abraçadora plàstica,d/int.=25mm</t>
  </si>
  <si>
    <t>Abraçadora plàstica,d/int.=40mm</t>
  </si>
  <si>
    <t>Clau acer galv.</t>
  </si>
  <si>
    <t>Filferro recuit,D=1,3mm</t>
  </si>
  <si>
    <t>Tac químic D=16mm,carg./voland./fem.</t>
  </si>
  <si>
    <t>Tac niló D&lt;=5mm,+vis</t>
  </si>
  <si>
    <t>Tac niló D=6 a 8 mm,+vis</t>
  </si>
  <si>
    <t>Visos acer,galvanitzats</t>
  </si>
  <si>
    <t>Visos p/guix lam.</t>
  </si>
  <si>
    <t>Visos p/fusta/tacs PVC acer,cadmiats</t>
  </si>
  <si>
    <t>Acer b/corrugada B400S</t>
  </si>
  <si>
    <t>Acer b/corrugada B500S</t>
  </si>
  <si>
    <t>Malla electr.acer corr.ME 15x15cm,D:6-6mm,6x2,2m B500T</t>
  </si>
  <si>
    <t>Placa guix fibres,I,g=15mm (TE)</t>
  </si>
  <si>
    <t>Tauler partic.fust.aglomer.+res.sint.,g=19mm,p/amb.humit tp.P3,rf=D-s2,d0,no revestit,tallat mida</t>
  </si>
  <si>
    <t>Tauló fusta pi p/10 usos</t>
  </si>
  <si>
    <t>Llata fusta pi</t>
  </si>
  <si>
    <t>Puntal metàl·lic telescòpic h=3m,150usos</t>
  </si>
  <si>
    <t>Plafó metàl·lic50x250cm,50usos</t>
  </si>
  <si>
    <t>Part propor.elem.aux.plafó met.50x250cm</t>
  </si>
  <si>
    <t>Maó massís,el.manual,290x140x50mm,c.vist.,categoria I,HD,UNE-EN 771-1</t>
  </si>
  <si>
    <t>Maó massís el.mec. R20,290x140x50mm,c.vist.,categoria I,HD,UNE-EN 771-1</t>
  </si>
  <si>
    <t>Rajola gres porcell.premsat polit,rectang/quadr. 1 a 5 u peces/m2,preu sup.</t>
  </si>
  <si>
    <t>Peça ceràmica+bisell 600x300x40mm</t>
  </si>
  <si>
    <t>Post pi encadellada autoclau g=22mm</t>
  </si>
  <si>
    <t>Quadró fusta melis</t>
  </si>
  <si>
    <t>Panell amb tetons</t>
  </si>
  <si>
    <t>Disposició controlada planta compost.,residus vegetals nets no perillosos,0,5t/m3,LER 20 02 01</t>
  </si>
  <si>
    <t>Cabiró fusta avet C24 tall serra,7x7cm,kfins a 5 m,insect.-fung.,NP1</t>
  </si>
  <si>
    <t>Element fusta lam. Combinada GL24c,33/45mm,7x13-20x100cm,ct.l=fins a 5 m,insect.-fung.,NP1</t>
  </si>
  <si>
    <t>Element fusta lam. Combinada GL24c,33/45mm,7x13-20x100cm,ct.l=fins a 15 m,insect.-fung.,NP1</t>
  </si>
  <si>
    <t>P.p.ferr.p/f.contral</t>
  </si>
  <si>
    <t>Panell fusta contralaminada g=60 mm,3 ucapes,disposició long. En les dues cares,s/hidròfug. acabat s</t>
  </si>
  <si>
    <t xml:space="preserve">Panell fusta contralaminada g=140 mm,5 ucapes,disposició long. En les dues cares,s/hidròfug. 1 cara </t>
  </si>
  <si>
    <t xml:space="preserve">Panell fusta contralaminada g=160 mm,5 ucapes,disposició long. En les dues cares,s/hidròfug. 1 cara </t>
  </si>
  <si>
    <t>Panell fusta contralaminada g=140 mm,5 ucapes,disposició transv. En les dues cares,s/hidròfug. 1 car</t>
  </si>
  <si>
    <t>Acer S275JR,peça simp.,perf.lam.IP,HE,UP,treb.taller p/col.sold.+antiox.</t>
  </si>
  <si>
    <t>Armadura prefab.gelos.,acer galv.,ampl.=280mm,rodó 5mm/3,75mm</t>
  </si>
  <si>
    <t>Teula àrab ceràmica mec.,color envellit,30u/m2</t>
  </si>
  <si>
    <t>Peça p/minvell planxa Zn g=0,82mm,desenv.&lt;=40cm,3plecs</t>
  </si>
  <si>
    <t>Canal exterior semicirc.planxa Zn,0,82mm,D=185mm/desen&lt;40cm</t>
  </si>
  <si>
    <t>Ganxo+suport acer galv. P/can.Zn.g=.82 D=185mm d&lt;40cm</t>
  </si>
  <si>
    <t>Clau acer galv. 3x50mm,junt plom</t>
  </si>
  <si>
    <t>Vis acer galv.5.4x65mm,junt metall/goma,tac D=8/10mm</t>
  </si>
  <si>
    <t>Làmina polimèrica Radbar 300 Conbud o equivalent, amb coeficient de difusió front al gas radó, amb s</t>
  </si>
  <si>
    <t>Vel poliet.,g=100µm,96g/m2</t>
  </si>
  <si>
    <t>Làm.poliet.alt.dens.g=1mm,n/resist.intemp.</t>
  </si>
  <si>
    <t>Geotèxtil feltre polipropilè/PE no teix.lligat tèrm.,110 a 130 g/m2</t>
  </si>
  <si>
    <t>Geotèxtil feltre polièst. No teix.lligat mecàn.,140 a 190 g/m2</t>
  </si>
  <si>
    <t>Planxa EPS elastif.,g=10mm</t>
  </si>
  <si>
    <t>Placa ICB aïllam.,dens.=110kg/m3,g=60mm0,037W/(m·K),cantell recte</t>
  </si>
  <si>
    <t>Placa ICB aïllam.,dens.=110kg/m3,g=100mm0,037W/(m·K),cantell recte</t>
  </si>
  <si>
    <t>Làm.PE ext.,g=10mm,AL=21 a 24 dB,resist.compress.=&lt;=21 kPa,AL=21 a 24 dB,resist.compress.&lt;=21 kPa</t>
  </si>
  <si>
    <t>Placa ríg.MW-roca,dens.=66 a 85 kg/m3,g=50mm,cond.tèrmica &lt;= 0,034 W/(m·K)</t>
  </si>
  <si>
    <t>Placa ríg.MW-roca,dens.=106 a 115 kg/m3,g=25mm,kraft-Al.p/ext.+tel nat.p/int.</t>
  </si>
  <si>
    <t>Cinta adhesiva bituminosa autoprot. Alumini ampl.=5cm</t>
  </si>
  <si>
    <t>Tac+suport niló p/fix.mat.aïll.,g&lt;=60mm</t>
  </si>
  <si>
    <t>Tac+suport niló p/fix.mat.aïll.,g&lt;=100mm</t>
  </si>
  <si>
    <t>Cinta pap.resist., p/junts plaques guix laminat</t>
  </si>
  <si>
    <t>Massilla p/junt cartró-guix</t>
  </si>
  <si>
    <t>Cinta adhesiva p/lèmi.poliolefines</t>
  </si>
  <si>
    <t>Perfileria planxa acer galv.,ampl.=75 a 85 mm</t>
  </si>
  <si>
    <t>Pasta calç grassa+pols marbre</t>
  </si>
  <si>
    <t>Morter calç grassa+sorra fina de dosificació1:4</t>
  </si>
  <si>
    <t>Morter calç grassa+sorra fina de dosificació1:3</t>
  </si>
  <si>
    <t>Pintura silicat 1 comp.,p/veladura pedra natural</t>
  </si>
  <si>
    <t>Pintura epoxi bicomponent,p/sist.protecc.acer</t>
  </si>
  <si>
    <t>Pintura poliur.bicomp.,p/sist.protecc.acer</t>
  </si>
  <si>
    <t>Vernís ignífug a base de resines a l'aigua,un comp.,p/fusta,classe reacció al foc B-s1,d0</t>
  </si>
  <si>
    <t>Prod.decapant desincrust.genèr.</t>
  </si>
  <si>
    <t>Imprimació p/pint.intum.</t>
  </si>
  <si>
    <t>Protector p/fusta (TP8)</t>
  </si>
  <si>
    <t>Beurada color</t>
  </si>
  <si>
    <t>Ferramenta p/porta entr.1bat.preu alt</t>
  </si>
  <si>
    <t>Cuadro General</t>
  </si>
  <si>
    <t>Cuadro Secundario APARTAMENT</t>
  </si>
  <si>
    <t>Cuadro Secundario SOLAR FV</t>
  </si>
  <si>
    <t>Vidre aïllant, reflectora cs 3+3.1 but.transparent/6/4+4.1 but.transparent</t>
  </si>
  <si>
    <t>Brida p/tub PVC,D=entre 75 i 110 mm</t>
  </si>
  <si>
    <t>Brida p/tub planx.galv.</t>
  </si>
  <si>
    <t>Brida zinc-titani p/tub zinc-titani DN=100mm</t>
  </si>
  <si>
    <t>Tub fosa grisa,DN=100mm,p/unió campana anell.estanq.</t>
  </si>
  <si>
    <t>Tub zinc-titani unió electrosoldada,DN=100mm g=0,6mm</t>
  </si>
  <si>
    <t>Tub PVC-U paret massissa,àrea aplicació B,DN=110mm,llarg.=3m,p/encolar</t>
  </si>
  <si>
    <t>Tub PVC-U paret massissa,àrea aplicació B,DN=40mm,llarg.=5m,p/encolar</t>
  </si>
  <si>
    <t>Tub PVC-U paret massissa,àrea aplicació B,DN=50mm,llarg.=5m,p/encolar</t>
  </si>
  <si>
    <t>Tub PVC-U paret massissa,àrea aplicació B,DN=75mm,llarg.=5m,p/encolar</t>
  </si>
  <si>
    <t>Tub PVC-U paret massissa,àrea aplicació B,DN=110mm,llarg.=5m,p/encolar</t>
  </si>
  <si>
    <t>Canal form.pref.,mida=30x30cm a/tapa</t>
  </si>
  <si>
    <t>Làmina drenant nodular PEAD,h.nòd=20mm,,r.compr.=180kN/m2</t>
  </si>
  <si>
    <t>Tub circ. Ranur. PVC,paret simp.,D=125mm</t>
  </si>
  <si>
    <t>Tub PVC-U paret sòlida,sanej.soterrat s/press.,DN160,SN 2,UNE-EN 1401-1,p/unió elàst.</t>
  </si>
  <si>
    <t>Tub PVC-U paret sòlida,sanej.soterrat s/press.,DN200,SN 2,UNE-EN 1401-1,p/unió elàst.</t>
  </si>
  <si>
    <t>Tub PVC-U paret sòlida,sanej.soterrat s/press.,DN110,SN 4,UNE-EN 1401-1,p/unió elàst.</t>
  </si>
  <si>
    <t>Accessori p/baixant tub fosa grisa,DN=100mm</t>
  </si>
  <si>
    <t>Accessori p/baixant tub zinc titani,DN=100mm,g=0,6mm</t>
  </si>
  <si>
    <t>Element munt. P/tub PVC,D=75mm</t>
  </si>
  <si>
    <t>Element munt. P/tub PVC,D=110mm</t>
  </si>
  <si>
    <t>Accessori genèric p/tub PVC,D=75mm</t>
  </si>
  <si>
    <t>Accessori genèric p/tub PVC,D=110mm</t>
  </si>
  <si>
    <t>Accessori genèric p/tub PVC,D=40mm</t>
  </si>
  <si>
    <t>Accessori genèric p/tub PVC,D=50mm</t>
  </si>
  <si>
    <t>Element munt. P/tub PVC,D=40mm</t>
  </si>
  <si>
    <t>Element munt. P/tub PVC,D=50mm</t>
  </si>
  <si>
    <t>Accessori genèric p/tub PVC,D=160mm</t>
  </si>
  <si>
    <t>Accessori genèric p/tub PVC,D=200mm</t>
  </si>
  <si>
    <t>Element munt. P/tub PVC,D=160mm</t>
  </si>
  <si>
    <t>Element munt. P/tub PVC,D=200mm</t>
  </si>
  <si>
    <t>Element munt.p/baix.fosa grisa DN=100mm 7,16kg</t>
  </si>
  <si>
    <t>Element munt.p/baix.planxa zinc-titani,DN=100mm,g=0,6mm</t>
  </si>
  <si>
    <t>Conducte circular,Al+espiral acer+PE+LV,D=102mm</t>
  </si>
  <si>
    <t>Conducte circular,Al+espiral acer+PE+LV,D=254mm</t>
  </si>
  <si>
    <t>Conducte helicoïdal circ. De planxa ac.galv.,D=100mm,g=0,5mm</t>
  </si>
  <si>
    <t>Conducte helicoïdal circ. De planxa ac.galv.,D=125mm,g=0,5mm</t>
  </si>
  <si>
    <t>Conducte helicoïdal circ. De planxa ac.galv.,D=150mm,g=0,5mm</t>
  </si>
  <si>
    <t>Conducte helicoïdal circ. De planxa ac.galv.,D=225mm,g=0,5mm</t>
  </si>
  <si>
    <t>Additiu REHAU per aconseguir un morter de ciment CT-C25-F4 segons UNE EN 13813 i DIN 18560 amb 45 mm</t>
  </si>
  <si>
    <t>Film de polietilè  i 1 m d'amplada</t>
  </si>
  <si>
    <t>Tub PEX-A ø16 x 1,5</t>
  </si>
  <si>
    <t>Actuador tèrmic REHAU UNI (230 V) per a control de les vàlvules dels col·lectors REHAU. Posició norm</t>
  </si>
  <si>
    <t>Base REHAU NEA SMART 2.0 BUS/ràdio, 230 V. Color blanc (similar a RAL 9003). Compatible amb tots els</t>
  </si>
  <si>
    <t>Reixeta impuls/retorn,una fixes horitzs.,alum.anod.plat.,200x100mm, 20mm,corba 45°,mateix sentit,p/f</t>
  </si>
  <si>
    <t>Boca extracció circular PVC, D125mm</t>
  </si>
  <si>
    <t>Vàlvula de bola manual d'escaire amb rosca, de dues peces amb pas total, de llautó, de diàmetre nomi</t>
  </si>
  <si>
    <t>Suport estàndard p/conducte circ.D=100mm</t>
  </si>
  <si>
    <t>Suport estàndard p/conducte circ.D=125mm</t>
  </si>
  <si>
    <t>Suport estàndard p/conducte circ.D=150mm</t>
  </si>
  <si>
    <t>Suport estàndard p/conducte circ.D=225mm</t>
  </si>
  <si>
    <t>Suport estàndard p/conducte rect.llana aïll.,preu alt</t>
  </si>
  <si>
    <t>Suport estàndard p/conducte rect.metàl·lic,preu sup.</t>
  </si>
  <si>
    <t>P.p.conducte rect.,llana aïll.,preu alt</t>
  </si>
  <si>
    <t>Tub Cu R220 (recuit),DN=18mm,g=0,8mm,UNE-EN 1057</t>
  </si>
  <si>
    <t>Tub polietil.multic D=20mm,capa interior de polietilè,ànima alum. I protecció ext.PE,pres=12bar</t>
  </si>
  <si>
    <t>Tub polietil.multic D=25mm,capa interior de polietilè,ànima alum. I protecció ext.PE,pres=12bar</t>
  </si>
  <si>
    <t>Tub PE 100,DN 25,PN 16 (SDR 11),en rotlle,UNE-EN 12201-2</t>
  </si>
  <si>
    <t>Tub PE 100,DN 32,PN 10 (SDR 17),en rotlle,UNE-EN 12201-2</t>
  </si>
  <si>
    <t>Tub PE 100,DN 40,PN 10 (SDR 17),barres 6m,UNE-EN 12201-2</t>
  </si>
  <si>
    <t>Aïllament tèrmic escum.elastom.,fluids (-50 i 105°C),D=18mm,g=9mm,factor dif.vapor&gt;= 5000 1</t>
  </si>
  <si>
    <t>Aïllament tèrmic escum.elastom.,fluids (-50 i 105°C),D=18mm,g=25mm,factor dif.vapor&gt;= 7000 1</t>
  </si>
  <si>
    <t>Aïllament tèrmic escum.elastom.,fluids (-50 i 105°C),D=22mm,g=9mm,factor dif.vapor&gt;= 5000 1</t>
  </si>
  <si>
    <t>Aïllament tèrmic escum.elastom.,fluids (-50 i 105°C),D=22mm,g=25mm,factor dif.vapor&gt;= 7000 1</t>
  </si>
  <si>
    <t>Aïllament tèrmic escum.elastom.,fluids (-50 i 105°C),D=28mm,g=25mm,factor dif.vapor&gt;= 7000 1</t>
  </si>
  <si>
    <t>Acc.tub coureDN=18mm, p/ soldar capil·lar.</t>
  </si>
  <si>
    <t>Accessori p/tubs poliet.multic. DN=20mm, metàl·lic,p/connec.pressió</t>
  </si>
  <si>
    <t>Accessori p/tubs poliet.multic. DN=25mm, metàl·lic,p/connec.pressió</t>
  </si>
  <si>
    <t>Accessori p/tubs PEAD DN=25mm, plàst.,16bar,p/electrosold.</t>
  </si>
  <si>
    <t>Accessori p/tubs PEAD DN=32mm, plàst.,16bar,p/electrosold.</t>
  </si>
  <si>
    <t>Accessori p/tubs PEAD DN=40mm, plàst.,16bar,p/electrosold.</t>
  </si>
  <si>
    <t>Pp.elem.munt.p/aïll.escum.elastom.,g=9mm</t>
  </si>
  <si>
    <t>Pp.elem.munt.p/aïll.escum.elastom.,g=25mm</t>
  </si>
  <si>
    <t>Pp.elem.munt.,tub Cu sanit. DN=18mm,p/soldar per capilaritat</t>
  </si>
  <si>
    <t>Pp.elem.munt.p/tubs PE baixa dens. DN=16mm,p/connec.pressió</t>
  </si>
  <si>
    <t>Pp.elem.munt.p/tubs poliet.multic. DN=20mm,p/connec.pressió</t>
  </si>
  <si>
    <t>Pp.elem.munt.p/tubs poliet.multic. DN=25mm,p/connec.pressió</t>
  </si>
  <si>
    <t>Caixa deriv.plàstic,100x100mm,prot.IP-40,p/munt.superf.</t>
  </si>
  <si>
    <t>Caixa deriv.plàstic,130x200mm,prot.IP-40,p/encastar</t>
  </si>
  <si>
    <t>C.G.P.polièst.+fibra,160A,UNESA 9,BUC, IP-43, IK09</t>
  </si>
  <si>
    <t>CPM TMF1, 25-63 A (17,32-43,64 kW),400V,s/compt.,s/ICP-M,s/ID</t>
  </si>
  <si>
    <t>Safata xapa llisa acer galvanitzat sendzimir,60mmx200mm</t>
  </si>
  <si>
    <t>Tub rígid acer galv.,DN=32mm,impacte=20J,resist.compress.=4000N,p/roscar</t>
  </si>
  <si>
    <t>Tub rígid acer galv.,DN=20mm,impacte=20J,resist.compress.=4000N,p/endollar</t>
  </si>
  <si>
    <t>Tub rígid PVC,DN=32mm,impacte=2J,resist.compress.=1250N</t>
  </si>
  <si>
    <t>Tub flexible corrugat PVC,folrat,DN=20mm,2J,320N,2000V</t>
  </si>
  <si>
    <t>Tub flexible corrugat plàstic s/halògens,DN=20mm,baixa emissió fums,2J,320N,2000V</t>
  </si>
  <si>
    <t>Tub flexible corrugat plàstic s/halògens,DN=25mm,baixa emissió fums,2J,320N,2000V</t>
  </si>
  <si>
    <t>Tub corbable corrugat PE,doble capa,DN=40mm,15J,450N,p/canal.soterrada</t>
  </si>
  <si>
    <t>Cable 0,6/1 kV RZ1-K (AS), 3x2,5mm2</t>
  </si>
  <si>
    <t>Cable 0,6/1 kV RZ1-K (AS), 3x1,5mm2</t>
  </si>
  <si>
    <t>Cable 0,6/1 kV RZ1-K (AS), 3x6mm2</t>
  </si>
  <si>
    <t>Cable 0,6/1 kV RZ1-K (AS), 5x35mm2</t>
  </si>
  <si>
    <t>Cable 0,6/1 kV RZ1-K (AS), 5x1,5mm2</t>
  </si>
  <si>
    <t>Cable 0,6/1 kV RZ1-K (AS), 5x16mm2</t>
  </si>
  <si>
    <t>Cable 0,6/1 kV RZ1-K (AS), 5x10mm2</t>
  </si>
  <si>
    <t>Cable 0,6/1 kV ZZ-F, 1x4mm2</t>
  </si>
  <si>
    <t>Cable Cu 450/750 V, H07Z1-K (AS) Type 2, 1x2,5mm2, Cca-s1b, d1, a1</t>
  </si>
  <si>
    <t>Conductor Cu nu,1x16mm2</t>
  </si>
  <si>
    <t>Conductor Cu nu,1x50mm2</t>
  </si>
  <si>
    <t>Interruptor auto.magnet.,I=10A,PIA corbaC,bipol.(1P+N),tall=6000A/10kA,2mòd.DIN p/munt.perf.DIN</t>
  </si>
  <si>
    <t>Tallacircuit (I) gavineta 100A,base 0</t>
  </si>
  <si>
    <t>Caixa mec.central.,plàstic,3col.x6mec.mod.,p/munt.superf.</t>
  </si>
  <si>
    <t>Caixa mecanismes,p/un element,preu alt</t>
  </si>
  <si>
    <t>Bastidor p/c.rectangular,p/mec.mod.,1mòd.,p/fixar a caixa rectangular</t>
  </si>
  <si>
    <t>Comm.,p/munt.superf.,(1P),10AX/250V,a/tecla,preu mitjà,</t>
  </si>
  <si>
    <t>Interruptor,p/munt.superf.,(2P),10AX/250V,a/tecla,preu mitjà,</t>
  </si>
  <si>
    <t>Interruptor botonera multiple, de tipo universal, unipolar (1P), con teclas, para control de ilumina</t>
  </si>
  <si>
    <t>Marc p/adapt.mod-rect.,1mòd.,preu mitjà</t>
  </si>
  <si>
    <t>Pols.,superfície,10A/250V,1NA,a/tecla,preu mitjà</t>
  </si>
  <si>
    <t>Pols.persiana m+e,superfície,10A/250V,2NA,a/tecla,preu mitjà</t>
  </si>
  <si>
    <t>Presa corrent,tipus mod.2mòd.estrets,(2P+T),16A/250V,a/tapa protegida,preu alt,p/bast./caixa</t>
  </si>
  <si>
    <t>Presa corrent,tipus mod.2mòd.estrets,(2P+T),16A/250V,a/tapa vermella,preu alt,p/bast./caixa</t>
  </si>
  <si>
    <t>Presa corrent,tipus mod.1mòd.estret,(2P),16A/250V,a/tapa,preu mitjà,p/bast./caixa</t>
  </si>
  <si>
    <t>Detector moviments,conex.bus cable,p/caixa univ.+placa+marc preu eco,a/accessoris</t>
  </si>
  <si>
    <t>Punt connex.terra,pont secc.platina coure,munt.caix.p/munt.superf.</t>
  </si>
  <si>
    <t>Piqueta connex.terra acer,long.=2500mm,D=18,3mm,estànd.</t>
  </si>
  <si>
    <t>Piqueta connex.terra acer,long.=2000mm,D=14,6mm,300µm</t>
  </si>
  <si>
    <t>P.p.accessoris caixa gral.protecció</t>
  </si>
  <si>
    <t>P.p.accessoris caixa derivació quadr.</t>
  </si>
  <si>
    <t>P.p.accessoris p/interr./comm.</t>
  </si>
  <si>
    <t>P.p.accessoris p/pols.</t>
  </si>
  <si>
    <t>P.p.accessoris p/safat.met.acer galvanitzat sendzimir,,60x200mm</t>
  </si>
  <si>
    <t>P.p.accessoris p/tubs rígids PVC</t>
  </si>
  <si>
    <t>P.p.accessoris p/tubs rígids acer</t>
  </si>
  <si>
    <t>P.p.accessoris p/interr.magnetot.</t>
  </si>
  <si>
    <t>P.p.accessoris p/tallacirc.ganiv.</t>
  </si>
  <si>
    <t>P.p.accessoris p/inversor fotovoltaic</t>
  </si>
  <si>
    <t>P.p.accessoris p/conduc.Cu.nus</t>
  </si>
  <si>
    <t>P.p.elem.especials p/tallacirc.ganiv.</t>
  </si>
  <si>
    <t>P.p.elem.suport p/safat.met.acer galvanitzat sendzimir ample=200mm,s/sup.horitz.</t>
  </si>
  <si>
    <t>P.p.elem.especials p/piqu.connex.terr.</t>
  </si>
  <si>
    <t>Llum emerg.led,no permanent,IP4X,classe II,170 a 200 lm,auton&lt; 1h,,forma rect.,policarbon.,preu alt</t>
  </si>
  <si>
    <t>Llum emerg.led,no permanent,IP66,classe II,240 a 270 lm,auton&lt; 1h,,forma rect.,policarbon.,preu alt</t>
  </si>
  <si>
    <t>Acc.electrovàlvula 1*</t>
  </si>
  <si>
    <t>Connexió dif/asp.bobina,1/2*</t>
  </si>
  <si>
    <t>Prog.reg piles,programació teclat programador,preu mitjà,n.estacions =&lt;4</t>
  </si>
  <si>
    <t>Electovàlvula reg,d=1*,9V,pres.max:10bar+regulador cabal</t>
  </si>
  <si>
    <t>Inundador cil.soter. L=46cm,D=7,6cm,cabal 0,9l/min</t>
  </si>
  <si>
    <t>Pericó rect. D/PP p/reg d/51x37cm,H=31cm+tapa</t>
  </si>
  <si>
    <t>Tub degoteig d=16mm,degoters c/33cm, mec.antisucció</t>
  </si>
  <si>
    <t>Extintor pols seca poliv.,6kg,pressió incorpo.pintat</t>
  </si>
  <si>
    <t>Parallamps PDC no electr.,temps enceb.60µs,niv.protec.I-r80,II-r90,III-r105,IV-r120,+fix.placa base</t>
  </si>
  <si>
    <t>Retol seny. Sort.emergència,420x210mm2,làmi.polièster/adhes.</t>
  </si>
  <si>
    <t>Retol seny. Instal.protecció/incendis,210x210mm2,làmi.polièster/adhes.</t>
  </si>
  <si>
    <t>Retol seny. Recorregut evac.sortida emerg.,445x148mm2,làmi.polièster/adhes.</t>
  </si>
  <si>
    <t>P.p.elements especials p/extint.</t>
  </si>
  <si>
    <t>Vàlvula bola manual+rosca,2peces,pas tot.,llautó,DN=1*1/4*,preu alt,PN=25bar,preu alt</t>
  </si>
  <si>
    <t>Vàlvula bola manual+rosca,2peces,pas tot.,llautó,DN=3/4*,preu alt,PN=16bar,preu alt</t>
  </si>
  <si>
    <t>Vàlvula bola manual+rosca,2peces,pas tot.,llautó,DN=1/2*,preu alt,PN=16bar,preu alt</t>
  </si>
  <si>
    <t>Vàlvula bola manual+rosca,2peces,pas tot.,llautó,DN=1*,preu alt,PN=16bar,preu alt</t>
  </si>
  <si>
    <t>Cable trans.dades,Cu,4par.,cat.6a U/UTP,poliolefina/poliolefina,n/propag.flama UNE-EN 60332, Dca-s2,</t>
  </si>
  <si>
    <t>Armari peu metàl.+bastid.rack 19*,24U,1200x800x800mm,1comp./porta metàl.perforada+pany,a/laterals,es</t>
  </si>
  <si>
    <t xml:space="preserve">Pasahilos Excel 1U 5 anillas  </t>
  </si>
  <si>
    <t># ventilador axial p/entrades cables,Q=156m3/h,230V,120x120,a/filtre+reixeta</t>
  </si>
  <si>
    <t>Panell int.fix,24 RJ45 cat.6 U/UTP, p/rack 19*,1U,a/org.cables</t>
  </si>
  <si>
    <t>Presa senyal,tipus mod.2mòd.estrets,RJ45 doble,cat.6 F/UTP,despl.aïlla.,a/tapa,preu alt,p/bast./caix</t>
  </si>
  <si>
    <t>Presa senyal,tipus mod.1mòd.estret,RJ45 simple,cat.6 U/UTP,despl.aïlla.,a/tapa,preu mitjà,p/bast./ca</t>
  </si>
  <si>
    <t>Regl.aliment.fixa,8 schucko 2P+T,int.2P-16A,p/armar. Rack 19*,1 U,horitz.</t>
  </si>
  <si>
    <t>Producte herbicida contacte</t>
  </si>
  <si>
    <t>ESQUEMA DE PRINCIPI</t>
  </si>
  <si>
    <t>Carril enllum.3 circ.,rectang.,alumini extruit,16A,p/munt.superf.,col. reg 0-10V 3 mtres</t>
  </si>
  <si>
    <t>AMIDAMENTS</t>
  </si>
  <si>
    <t>N</t>
  </si>
  <si>
    <t>01.01.01.001</t>
  </si>
  <si>
    <t>L</t>
  </si>
  <si>
    <t>C</t>
  </si>
  <si>
    <t>Unitats</t>
  </si>
  <si>
    <t>Volum</t>
  </si>
  <si>
    <t>01.01.01.002</t>
  </si>
  <si>
    <t>Longitud</t>
  </si>
  <si>
    <t>Ample</t>
  </si>
  <si>
    <t>Alçada</t>
  </si>
  <si>
    <t>A executar amb intervenció façana per risc colapse</t>
  </si>
  <si>
    <t>T</t>
  </si>
  <si>
    <t>Façana pati gran</t>
  </si>
  <si>
    <t>*</t>
  </si>
  <si>
    <t>Coberta nau</t>
  </si>
  <si>
    <t>Pati casa mig Joan Roig</t>
  </si>
  <si>
    <t>Pati casa dalt Santa Anna</t>
  </si>
  <si>
    <t>01.01.01.003</t>
  </si>
  <si>
    <t>Àrea</t>
  </si>
  <si>
    <t>Pati gran</t>
  </si>
  <si>
    <t>Exterior pati petit</t>
  </si>
  <si>
    <t>01.01.01.004</t>
  </si>
  <si>
    <t>Nesprer</t>
  </si>
  <si>
    <t>Buguenvil·lia</t>
  </si>
  <si>
    <t>01.01.02.001</t>
  </si>
  <si>
    <t>Segons informe tècnic</t>
  </si>
  <si>
    <t>01.01.02.002</t>
  </si>
  <si>
    <t>F10</t>
  </si>
  <si>
    <t>F12</t>
  </si>
  <si>
    <t>F19</t>
  </si>
  <si>
    <t>F20</t>
  </si>
  <si>
    <t>F21</t>
  </si>
  <si>
    <t>F22</t>
  </si>
  <si>
    <t>F23 a F26</t>
  </si>
  <si>
    <t>Finestres nau pati petit</t>
  </si>
  <si>
    <t>Escala exterior</t>
  </si>
  <si>
    <t>01.01.02.003</t>
  </si>
  <si>
    <t>Nau pati petit</t>
  </si>
  <si>
    <t>Volums exteriors dipòsit</t>
  </si>
  <si>
    <t>Lluernaris coberta nau</t>
  </si>
  <si>
    <t>Escala interior nau</t>
  </si>
  <si>
    <t>01.01.02.004</t>
  </si>
  <si>
    <t>Plaça carrer de Joan Roig</t>
  </si>
  <si>
    <t>01.01.02.005</t>
  </si>
  <si>
    <t>01.01.02.006</t>
  </si>
  <si>
    <t>Casa del mig PB</t>
  </si>
  <si>
    <t>Casa de dalt PB</t>
  </si>
  <si>
    <t>Nau</t>
  </si>
  <si>
    <t>01.01.02.007</t>
  </si>
  <si>
    <t>01.01.02.008</t>
  </si>
  <si>
    <t>Tancament casa del mig</t>
  </si>
  <si>
    <t>01.01.02.009</t>
  </si>
  <si>
    <t>Casa del mig</t>
  </si>
  <si>
    <t>Casa de dalt</t>
  </si>
  <si>
    <t>01.01.02.010</t>
  </si>
  <si>
    <t>01.01.02.011</t>
  </si>
  <si>
    <t>01.01.02.012</t>
  </si>
  <si>
    <t>Amplada</t>
  </si>
  <si>
    <t>01.01.02.013</t>
  </si>
  <si>
    <t>Casa del mig P1</t>
  </si>
  <si>
    <t>01.01.02.014</t>
  </si>
  <si>
    <t>01.01.02.015</t>
  </si>
  <si>
    <t>01.01.02.016</t>
  </si>
  <si>
    <t>01.01.02.017</t>
  </si>
  <si>
    <t>01.01.02.018</t>
  </si>
  <si>
    <t>01.01.02.019</t>
  </si>
  <si>
    <t>Gruix</t>
  </si>
  <si>
    <t>Façana carrer Santa Anna</t>
  </si>
  <si>
    <t>01.01.02.020</t>
  </si>
  <si>
    <t>Façana Nau fusteries</t>
  </si>
  <si>
    <t>Mur pati gran fusteries Espai Bioclimàtic</t>
  </si>
  <si>
    <t>Façana Nau amb casa del mig</t>
  </si>
  <si>
    <t>Mur pati gran triangle</t>
  </si>
  <si>
    <t>Carrer de Joan Roig</t>
  </si>
  <si>
    <t>Façana carrer de Joan Roig</t>
  </si>
  <si>
    <t>01.01.02.021</t>
  </si>
  <si>
    <t>01.01.03.001</t>
  </si>
  <si>
    <t>01.01.03.002</t>
  </si>
  <si>
    <t>01.01.03.003</t>
  </si>
  <si>
    <t>Àrea(m2)</t>
  </si>
  <si>
    <t>Gruix (m)</t>
  </si>
  <si>
    <t>LLosa 40cm</t>
  </si>
  <si>
    <t>Casa del Mig</t>
  </si>
  <si>
    <t>Base (m)</t>
  </si>
  <si>
    <t>Longitud(m)</t>
  </si>
  <si>
    <t>Altura (m)</t>
  </si>
  <si>
    <t>Sabata Correguda 80x60cm</t>
  </si>
  <si>
    <t>Sabata Correguda 110x60cm</t>
  </si>
  <si>
    <t>Jardí</t>
  </si>
  <si>
    <t>Sabata Correguda 70x60cm</t>
  </si>
  <si>
    <t>Unitats (nº)</t>
  </si>
  <si>
    <t>Àrea (m2)</t>
  </si>
  <si>
    <t>Sabata Aïllada 80x80cm</t>
  </si>
  <si>
    <t>Pou de fonamentació 80x80cm</t>
  </si>
  <si>
    <t>01.01.03.004</t>
  </si>
  <si>
    <t>SOLS</t>
  </si>
  <si>
    <t>PARETS</t>
  </si>
  <si>
    <t>Perímetre (m)</t>
  </si>
  <si>
    <t>01.01.03.005</t>
  </si>
  <si>
    <t>01.01.03.006</t>
  </si>
  <si>
    <t>Canonades soterrades terra radiant</t>
  </si>
  <si>
    <t>De carrer Santa Anna a Nau</t>
  </si>
  <si>
    <t>De carrer Santa Anna a Casa de Dalt</t>
  </si>
  <si>
    <t>De carrer Santa Anna a Casa del mig</t>
  </si>
  <si>
    <t>Electricitat</t>
  </si>
  <si>
    <t>Casa del mig a casa de dalt</t>
  </si>
  <si>
    <t>Fontaneria</t>
  </si>
  <si>
    <t>Pati a casa de dalt</t>
  </si>
  <si>
    <t>Casa de dalt a casa del mig</t>
  </si>
  <si>
    <t>Sanejament residual</t>
  </si>
  <si>
    <t>Pati</t>
  </si>
  <si>
    <t>Casa de dalt a nau</t>
  </si>
  <si>
    <t>Sanejament pluvial</t>
  </si>
  <si>
    <t>Pous</t>
  </si>
  <si>
    <t>01.01.03.007</t>
  </si>
  <si>
    <t>01.02.01.01.001</t>
  </si>
  <si>
    <t>Unitats(m2)</t>
  </si>
  <si>
    <t>Produnditat (m)</t>
  </si>
  <si>
    <t>Pous de fonamentació 80x80cm</t>
  </si>
  <si>
    <t>01.02.01.02.001</t>
  </si>
  <si>
    <t xml:space="preserve">Casa del Mig </t>
  </si>
  <si>
    <t>Unitats(nº)</t>
  </si>
  <si>
    <t>01.02.01.02.002</t>
  </si>
  <si>
    <t>Sabata Corregudan110x60cm</t>
  </si>
  <si>
    <t>01.02.01.02.003</t>
  </si>
  <si>
    <t>Gruix(m)</t>
  </si>
  <si>
    <t>Quantia (Kg/m3)</t>
  </si>
  <si>
    <t>Llosa 40cm</t>
  </si>
  <si>
    <t xml:space="preserve">Mermes i detalls </t>
  </si>
  <si>
    <t>01.02.01.03.001</t>
  </si>
  <si>
    <t>MFA 20</t>
  </si>
  <si>
    <t>01.02.01.03.002</t>
  </si>
  <si>
    <t>Quantia (kg/m3)</t>
  </si>
  <si>
    <t>01.02.01.03.003</t>
  </si>
  <si>
    <t>Cares</t>
  </si>
  <si>
    <t>01.02.02.01.001</t>
  </si>
  <si>
    <t>Volum(m3)</t>
  </si>
  <si>
    <t xml:space="preserve">Pilar de 18x18cm </t>
  </si>
  <si>
    <t>Pilar de 18x45cm</t>
  </si>
  <si>
    <t>01.02.02.01.002</t>
  </si>
  <si>
    <t>Murs Casa del Mig</t>
  </si>
  <si>
    <t>01.02.02.01.003</t>
  </si>
  <si>
    <t>01.02.03.01.001</t>
  </si>
  <si>
    <t xml:space="preserve">Biga 18x28 </t>
  </si>
  <si>
    <t>Mermes i detalls</t>
  </si>
  <si>
    <t>01.02.03.01.002</t>
  </si>
  <si>
    <t>Capa de compressió tricapa</t>
  </si>
  <si>
    <t>Casa de Dalt</t>
  </si>
  <si>
    <t>01.02.03.01.003</t>
  </si>
  <si>
    <t>Forjat machihembrat</t>
  </si>
  <si>
    <t>Sostre PB Casa del Mig</t>
  </si>
  <si>
    <t>01.02.03.01.004</t>
  </si>
  <si>
    <t>Biga 10x20cm</t>
  </si>
  <si>
    <t>01.02.03.01.005</t>
  </si>
  <si>
    <t>Perímetre(m)</t>
  </si>
  <si>
    <t>Biga 23x20cm</t>
  </si>
  <si>
    <t>Biga 15x18cm</t>
  </si>
  <si>
    <t>Espai Bioclimàtic</t>
  </si>
  <si>
    <t>Biga 9x20cm</t>
  </si>
  <si>
    <t>01.02.03.01.006</t>
  </si>
  <si>
    <t>Bigues 9x20</t>
  </si>
  <si>
    <t>01.02.03.01.007</t>
  </si>
  <si>
    <t>Base(m)</t>
  </si>
  <si>
    <t>Ample(m)</t>
  </si>
  <si>
    <t>Alçada(m)</t>
  </si>
  <si>
    <t>Dau 20x20x20cm (nau)</t>
  </si>
  <si>
    <t>Dau 20x20x20cm(Espai Bioclimàtic)</t>
  </si>
  <si>
    <t>01.02.03.01.008</t>
  </si>
  <si>
    <t>01.02.03.01.009</t>
  </si>
  <si>
    <t>01.02.03.02.001</t>
  </si>
  <si>
    <t>kg/ml</t>
  </si>
  <si>
    <t>UPN 140</t>
  </si>
  <si>
    <t>La Nau</t>
  </si>
  <si>
    <t>UPN 120</t>
  </si>
  <si>
    <t>La Nau 1</t>
  </si>
  <si>
    <t>La Nau 2</t>
  </si>
  <si>
    <t>UPN 100</t>
  </si>
  <si>
    <t>01.02.03.02.002</t>
  </si>
  <si>
    <t>m2/ml</t>
  </si>
  <si>
    <t>01.02.03.02.003</t>
  </si>
  <si>
    <t>Unitats(Nº)</t>
  </si>
  <si>
    <t>Dau de 20x20x20cm</t>
  </si>
  <si>
    <t>01.02.03.02.004</t>
  </si>
  <si>
    <t>01.02.03.02/P7D6-613L Pint.igníf.perf.acer,unacapa imprimació p/pint.intum.+trescapes pintura intumescent,g=1500µm</t>
  </si>
  <si>
    <t>V</t>
  </si>
  <si>
    <t>01.02.03.03.001</t>
  </si>
  <si>
    <t>Cèrcols perimetrals</t>
  </si>
  <si>
    <t>01.02.03.03.002</t>
  </si>
  <si>
    <t>Unitats(m)</t>
  </si>
  <si>
    <t xml:space="preserve">Nau </t>
  </si>
  <si>
    <t>01.02.04.01.001</t>
  </si>
  <si>
    <t>Escala Casa del Mig</t>
  </si>
  <si>
    <t>Interior</t>
  </si>
  <si>
    <t>Hall entrada nau</t>
  </si>
  <si>
    <t>01.02.05.01.001</t>
  </si>
  <si>
    <t>01.02.05.01.002</t>
  </si>
  <si>
    <t>01.03.01.001</t>
  </si>
  <si>
    <t>SO_1</t>
  </si>
  <si>
    <t>SO_2</t>
  </si>
  <si>
    <t>SO_4</t>
  </si>
  <si>
    <t>SO_3</t>
  </si>
  <si>
    <t>Espai bioclimàtic</t>
  </si>
  <si>
    <t>01.03.01.002</t>
  </si>
  <si>
    <t>01.03.01.003</t>
  </si>
  <si>
    <t>01.03.01.004</t>
  </si>
  <si>
    <t>Sota làmina antiradó</t>
  </si>
  <si>
    <t>Sobre làmina antiradó</t>
  </si>
  <si>
    <t>01.03.01.005</t>
  </si>
  <si>
    <t>01.03.02.01.001</t>
  </si>
  <si>
    <t>01.03.02.01.002</t>
  </si>
  <si>
    <t>01.03.02.01.003</t>
  </si>
  <si>
    <t>01.03.02.01.004</t>
  </si>
  <si>
    <t>01.03.02.01.005</t>
  </si>
  <si>
    <t>01.03.02.01.006</t>
  </si>
  <si>
    <t>01.03.02.01.007</t>
  </si>
  <si>
    <t>01.03.02.01.008</t>
  </si>
  <si>
    <t>01.03.02.01.009</t>
  </si>
  <si>
    <t>01.03.02.01.010</t>
  </si>
  <si>
    <t>01.03.02.01.011</t>
  </si>
  <si>
    <t>01.03.02.01.012</t>
  </si>
  <si>
    <t>01.03.02.01.013</t>
  </si>
  <si>
    <t>01.03.02.01.014</t>
  </si>
  <si>
    <t>01.03.02.01.015</t>
  </si>
  <si>
    <t>01.03.02.01.016</t>
  </si>
  <si>
    <t>01.03.02.01.017</t>
  </si>
  <si>
    <t>01.03.02.01.018</t>
  </si>
  <si>
    <t>01.03.02.01.019</t>
  </si>
  <si>
    <t>01.03.02.01.020</t>
  </si>
  <si>
    <t>01.03.02.02.001</t>
  </si>
  <si>
    <t>01.03.02.02.002</t>
  </si>
  <si>
    <t>01.03.02.02.003</t>
  </si>
  <si>
    <t>01.03.02.02.004</t>
  </si>
  <si>
    <t>01.03.02.02.005</t>
  </si>
  <si>
    <t>01.03.02.02.006</t>
  </si>
  <si>
    <t>01.03.02.02.007</t>
  </si>
  <si>
    <t>01.03.02.02.008</t>
  </si>
  <si>
    <t>01.03.02.02.009</t>
  </si>
  <si>
    <t>01.03.02.02.010</t>
  </si>
  <si>
    <t>01.03.02.02.011</t>
  </si>
  <si>
    <t>01.03.02.02.012</t>
  </si>
  <si>
    <t>01.03.02.02.013</t>
  </si>
  <si>
    <t>01.03.02.02.014</t>
  </si>
  <si>
    <t>01.03.02.02.015</t>
  </si>
  <si>
    <t>01.03.02.02.016</t>
  </si>
  <si>
    <t>01.03.02.02.017</t>
  </si>
  <si>
    <t>01.03.02.02.018</t>
  </si>
  <si>
    <t>01.03.02.02.019</t>
  </si>
  <si>
    <t>01.03.02.02.020</t>
  </si>
  <si>
    <t>01.03.02.02.021</t>
  </si>
  <si>
    <t>01.03.02.02.022</t>
  </si>
  <si>
    <t>01.03.02.02.023</t>
  </si>
  <si>
    <t>01.03.02.02.024</t>
  </si>
  <si>
    <t>01.03.02.02.025</t>
  </si>
  <si>
    <t>01.03.02.02.026</t>
  </si>
  <si>
    <t>01.03.02.02.027</t>
  </si>
  <si>
    <t>01.03.02.02.028</t>
  </si>
  <si>
    <t>01.03.02.02.029</t>
  </si>
  <si>
    <t>01.03.02.02.030</t>
  </si>
  <si>
    <t>01.03.02.02.031</t>
  </si>
  <si>
    <t>01.03.02.02.032</t>
  </si>
  <si>
    <t>01.03.02.02.033</t>
  </si>
  <si>
    <t>01.03.02.02.034</t>
  </si>
  <si>
    <t>01.03.02.02.035</t>
  </si>
  <si>
    <t>01.03.02.02.036</t>
  </si>
  <si>
    <t>01.03.02.02.037</t>
  </si>
  <si>
    <t>01.03.02.02.038</t>
  </si>
  <si>
    <t>01.03.02.02.039</t>
  </si>
  <si>
    <t>01.03.02.02.040</t>
  </si>
  <si>
    <t>01.03.02.02.041</t>
  </si>
  <si>
    <t>01.03.02.02.042</t>
  </si>
  <si>
    <t>01.03.02.02.043</t>
  </si>
  <si>
    <t>01.03.02.02.044</t>
  </si>
  <si>
    <t>01.03.02.02.045</t>
  </si>
  <si>
    <t>01.03.02.02.046</t>
  </si>
  <si>
    <t>01.03.02.02.047</t>
  </si>
  <si>
    <t>01.03.02.03.001</t>
  </si>
  <si>
    <t>01.03.02.03.002</t>
  </si>
  <si>
    <t>01.03.02.03.003</t>
  </si>
  <si>
    <t>01.03.02.03.004</t>
  </si>
  <si>
    <t>01.03.02.03.005</t>
  </si>
  <si>
    <t>01.03.02.03.006</t>
  </si>
  <si>
    <t>01.03.02.03.007</t>
  </si>
  <si>
    <t>01.03.02.03.008</t>
  </si>
  <si>
    <t>01.03.02.03.009</t>
  </si>
  <si>
    <t>01.03.02.03.010</t>
  </si>
  <si>
    <t>01.03.02.04.001</t>
  </si>
  <si>
    <t>01.03.02.04.002</t>
  </si>
  <si>
    <t>01.03.02.04.003</t>
  </si>
  <si>
    <t>01.03.02.04.004</t>
  </si>
  <si>
    <t>01.03.02.04.005</t>
  </si>
  <si>
    <t>01.03.02.05.001</t>
  </si>
  <si>
    <t>01.03.02.05.002</t>
  </si>
  <si>
    <t>01.03.02.05.003</t>
  </si>
  <si>
    <t>01.03.02.05.004</t>
  </si>
  <si>
    <t>01.03.02.05.005</t>
  </si>
  <si>
    <t>01.03.02.05.006</t>
  </si>
  <si>
    <t>01.03.02.05.007</t>
  </si>
  <si>
    <t>01.03.02.05.008</t>
  </si>
  <si>
    <t>01.03.02.05.009</t>
  </si>
  <si>
    <t>01.03.02.05.010</t>
  </si>
  <si>
    <t>01.03.02.05.011</t>
  </si>
  <si>
    <t>01.03.02.05.012</t>
  </si>
  <si>
    <t>01.03.02.05.013</t>
  </si>
  <si>
    <t>01.03.02.05.014</t>
  </si>
  <si>
    <t>01.03.02.05.015</t>
  </si>
  <si>
    <t>01.03.02.05.016</t>
  </si>
  <si>
    <t>01.03.02.06.001</t>
  </si>
  <si>
    <t>01.03.02.06.002</t>
  </si>
  <si>
    <t>01.03.02.06.003</t>
  </si>
  <si>
    <t>01.03.02.06.004</t>
  </si>
  <si>
    <t>01.03.02.06.005</t>
  </si>
  <si>
    <t>01.03.02.06.006</t>
  </si>
  <si>
    <t>01.03.02.07.001</t>
  </si>
  <si>
    <t>01.03.02.07.002</t>
  </si>
  <si>
    <t>01.03.02.07.003</t>
  </si>
  <si>
    <t>Façana carrer Joan Roig</t>
  </si>
  <si>
    <t>Façana Bonaventura Bassegoda</t>
  </si>
  <si>
    <t>Façana c/Santa Anna</t>
  </si>
  <si>
    <t>Alçat interior</t>
  </si>
  <si>
    <t>01.03.02.07.004</t>
  </si>
  <si>
    <t>Dies</t>
  </si>
  <si>
    <t>01.03.03.001</t>
  </si>
  <si>
    <t>Espai bioclimàtic Coberta C_4</t>
  </si>
  <si>
    <t>01.03.03.002</t>
  </si>
  <si>
    <t>01.03.03.003</t>
  </si>
  <si>
    <t>01.03.03.004</t>
  </si>
  <si>
    <t>01.03.03.005</t>
  </si>
  <si>
    <t>01.03.03.006</t>
  </si>
  <si>
    <t>C_1 Nau</t>
  </si>
  <si>
    <t>C_2 Casa del mig</t>
  </si>
  <si>
    <t>C_3 Casa de dalt</t>
  </si>
  <si>
    <t>01.03.03.007</t>
  </si>
  <si>
    <t>01.03.03.008</t>
  </si>
  <si>
    <t>01.03.03.009</t>
  </si>
  <si>
    <t>01.03.03.010</t>
  </si>
  <si>
    <t>01.03.03.011</t>
  </si>
  <si>
    <t>01.03.03.012</t>
  </si>
  <si>
    <t>01.03.03.013</t>
  </si>
  <si>
    <t>01.03.03.014</t>
  </si>
  <si>
    <t>01.03.03.015</t>
  </si>
  <si>
    <t>01.03.04.01.001</t>
  </si>
  <si>
    <t>F01 a F08</t>
  </si>
  <si>
    <t>01.03.04.01.002</t>
  </si>
  <si>
    <t>F09</t>
  </si>
  <si>
    <t>01.03.04.01.003</t>
  </si>
  <si>
    <t>01.03.04.01.004</t>
  </si>
  <si>
    <t>F11</t>
  </si>
  <si>
    <t>01.03.04.01.005</t>
  </si>
  <si>
    <t>01.03.04.01.006</t>
  </si>
  <si>
    <t>F13</t>
  </si>
  <si>
    <t>01.03.04.01.007</t>
  </si>
  <si>
    <t>01.03.04.01.008</t>
  </si>
  <si>
    <t>01.03.04.01.009</t>
  </si>
  <si>
    <t>01.03.04.01.010</t>
  </si>
  <si>
    <t>01.03.04.01.011</t>
  </si>
  <si>
    <t>01.03.04.01.012</t>
  </si>
  <si>
    <t>P01</t>
  </si>
  <si>
    <t>01.03.04.01.013</t>
  </si>
  <si>
    <t>P02</t>
  </si>
  <si>
    <t>01.03.04.01.014</t>
  </si>
  <si>
    <t>P04</t>
  </si>
  <si>
    <t>01.03.04.01.015</t>
  </si>
  <si>
    <t>OC00</t>
  </si>
  <si>
    <t>01.03.04.02.001</t>
  </si>
  <si>
    <t>F14</t>
  </si>
  <si>
    <t>01.03.04.02.002</t>
  </si>
  <si>
    <t>F15</t>
  </si>
  <si>
    <t>01.03.04.02.003</t>
  </si>
  <si>
    <t>F16</t>
  </si>
  <si>
    <t>01.03.04.02.004</t>
  </si>
  <si>
    <t>01.03.04.02.005</t>
  </si>
  <si>
    <t>F18</t>
  </si>
  <si>
    <t>01.03.04.02.006</t>
  </si>
  <si>
    <t>P03</t>
  </si>
  <si>
    <t>01.03.04.02.007</t>
  </si>
  <si>
    <t>P05</t>
  </si>
  <si>
    <t>01.03.04.02.008</t>
  </si>
  <si>
    <t>P06</t>
  </si>
  <si>
    <t>01.03.04.02.009</t>
  </si>
  <si>
    <t>P07</t>
  </si>
  <si>
    <t>01.03.04.02.010</t>
  </si>
  <si>
    <t>P08</t>
  </si>
  <si>
    <t>01.03.04.02.011</t>
  </si>
  <si>
    <t>P09</t>
  </si>
  <si>
    <t>01.03.04.02.012</t>
  </si>
  <si>
    <t>P10</t>
  </si>
  <si>
    <t>01.03.04.02.013</t>
  </si>
  <si>
    <t>P11</t>
  </si>
  <si>
    <t>01.03.04.02.014</t>
  </si>
  <si>
    <t>P12</t>
  </si>
  <si>
    <t>01.03.04.02.015</t>
  </si>
  <si>
    <t>P13</t>
  </si>
  <si>
    <t>01.03.04.02.016</t>
  </si>
  <si>
    <t>F17</t>
  </si>
  <si>
    <t>01.03.04.03.001</t>
  </si>
  <si>
    <t>R06</t>
  </si>
  <si>
    <t>01.03.04.03.002</t>
  </si>
  <si>
    <t>R07</t>
  </si>
  <si>
    <t>R10</t>
  </si>
  <si>
    <t>01.03.04.03.003</t>
  </si>
  <si>
    <t>R08</t>
  </si>
  <si>
    <t>R11</t>
  </si>
  <si>
    <t>01.03.04.03.004</t>
  </si>
  <si>
    <t>R09</t>
  </si>
  <si>
    <t>01.03.04.03.005</t>
  </si>
  <si>
    <t>R12</t>
  </si>
  <si>
    <t>01.04.01.001</t>
  </si>
  <si>
    <t>01.04.01.002</t>
  </si>
  <si>
    <t>01.04.01.003</t>
  </si>
  <si>
    <t>01.04.01.004</t>
  </si>
  <si>
    <t>01.04.01.005</t>
  </si>
  <si>
    <t>01.04.01.006</t>
  </si>
  <si>
    <t>01.04.01.007</t>
  </si>
  <si>
    <t>01.04.02.001</t>
  </si>
  <si>
    <t>01.04.02.002</t>
  </si>
  <si>
    <t>01.04.02.003</t>
  </si>
  <si>
    <t>01.04.02.004</t>
  </si>
  <si>
    <t>01.04.02.005</t>
  </si>
  <si>
    <t>01.04.02.006</t>
  </si>
  <si>
    <t>01.04.02.007</t>
  </si>
  <si>
    <t>01.04.02.008</t>
  </si>
  <si>
    <t>I8</t>
  </si>
  <si>
    <t>01.04.02.009</t>
  </si>
  <si>
    <t>I9</t>
  </si>
  <si>
    <t>01.05.01.001</t>
  </si>
  <si>
    <t>01.05.01.002</t>
  </si>
  <si>
    <t>01.05.01.003</t>
  </si>
  <si>
    <t>01.05.01.004</t>
  </si>
  <si>
    <t>Casa de dalt P1</t>
  </si>
  <si>
    <t>01.05.01.005</t>
  </si>
  <si>
    <t>S_2</t>
  </si>
  <si>
    <t>01.05.01.006</t>
  </si>
  <si>
    <t>01.05.01.007</t>
  </si>
  <si>
    <t>01.05.01.008</t>
  </si>
  <si>
    <t>S_1</t>
  </si>
  <si>
    <t>01.05.01.009</t>
  </si>
  <si>
    <t>01.05.02.001</t>
  </si>
  <si>
    <t>Casa de dalt mitgeres</t>
  </si>
  <si>
    <t>Casa de dalt façanes</t>
  </si>
  <si>
    <t>Casa del mig mitgeres</t>
  </si>
  <si>
    <t>Casa del mig façanes</t>
  </si>
  <si>
    <t>Nau secció B</t>
  </si>
  <si>
    <t>Nau secció I</t>
  </si>
  <si>
    <t>01.05.02.002</t>
  </si>
  <si>
    <t>Nau secció A</t>
  </si>
  <si>
    <t>Nau secció J</t>
  </si>
  <si>
    <t>01.05.02.003</t>
  </si>
  <si>
    <t>01.05.02.004</t>
  </si>
  <si>
    <t>01.05.02.005</t>
  </si>
  <si>
    <t>01.05.02.006</t>
  </si>
  <si>
    <t>01.05.02.007</t>
  </si>
  <si>
    <t>01.04.01/P83ED-.EII Extradossat directe amb plaques de fibra de guix tipus fermacell de 15 mm de gruix, fixades mecànica</t>
  </si>
  <si>
    <t>01.04.01/P83EA-.Y8P Aplacat amb plaques de fibra de guix tipus fermacell de 15 mm de gruix, col·locat amb fixacions mecà</t>
  </si>
  <si>
    <t>01.05.02.008</t>
  </si>
  <si>
    <t>01.04.01/P864-.EKW Aplacat amb tauler tricapa, de 16 mm de gruix, per a ambient humit segons UNE-EN 636, reacció al foc</t>
  </si>
  <si>
    <t>01.04.02/PAQB-.I01 PORTA INTERIOR I1 PER A UN BUIT D'OBRA DE 82X218CM, DE FULLA BATENT DE FUSTA AMB MARC DE FUSTA , AMB</t>
  </si>
  <si>
    <t>01.04.02/PAQB-.I02 PORTA INTERIOR I2 DE FUSTA DE PI PER A UN BUIT D'OBRA DE 82X218CM, DE FULLA CORREDISSA PER A L'INTER</t>
  </si>
  <si>
    <t>01.04.02/PAQB-.I03 PORTA INTERIOR I3 PER A UN BUIT D'OBRA DE 82X218CM, DE FULLA BATENT DE FUSTA DE PI AMB MARC DE FUSTA</t>
  </si>
  <si>
    <t>01.04.02/PAQB-.I04 PORTA INTERIOR I4 PER UN BUIT D'OBRA DE 75X220 CM, DE FULLA PIVOTANT CEGA, AMB MARC DE PLATINA D'ACE</t>
  </si>
  <si>
    <t>01.04.02/PAQB-.I05 PORTA INTERIOR I5 CORREDISSA DE FUSTA, PER UN BUIT D'OBRA DE 80X220 CM.</t>
  </si>
  <si>
    <t>01.04.02/PAQB-.I06 PORTA INTERIOR I6 CORREDISSA DE FUSTA, PER UN BUIT D'OBRA DE 80X220 CM.</t>
  </si>
  <si>
    <t>01.04.02/PAQB-.I07 PORTA INTERIOR I7 PER ARMARI DE 275X69CM, DE TRES FULLES BATENTS CEGUES DE DM LLIS</t>
  </si>
  <si>
    <t xml:space="preserve">01.07.01/PQ52-ES01 ARMARI INTERIOR A1 PER A UN BUIT D'OBRA DE 940X100CM DE FONDARIA (9.4m X 5.7m ALÇADA PUNT MÉS ALT), </t>
  </si>
  <si>
    <t>01.07.01/PQ52-ES02 ARMARI INTERIOR A2 PER A UN BUIT D'OBRA DE 650X140CM DE FONDARIA (6.5 m X 2.05m ALÇADA ARMARI, I PAR</t>
  </si>
  <si>
    <t>01.07.01/PQ52-ES03 ARMARI INTERIOR A3 PER A UN BUIT D'OBRA DE 93X50CM DE FONDARIA (0.86m X 3.24m alçada), DE FULLES BAT</t>
  </si>
  <si>
    <t>01.07.01/PQ52-ES04 ARMARI INTERIOR A4 PER A UN BUIT D'OBRA DE 93X50CM DE FONDARIA (0.86m X 3.24m alçada), DE FULLES BAT</t>
  </si>
  <si>
    <t>01.07.01/PQ52-ES05 ARMARI INTERIOR A5 PER A UN BUIT D'OBRA DE 881X42CM DE FONDARIA (8.75m X 2.3m alçada), DE FULLES BAT</t>
  </si>
  <si>
    <t>01.07.01/PQ52-ES06 ARMARI INTERIOR A6 SEGONS DEFINICIÓ DE PLÀNOLS.</t>
  </si>
  <si>
    <t>01.07.01/PQ52-ES07 ARMARI INTERIOR A7 SEGONS DEFINICIÓ DE PLÀNOLS.</t>
  </si>
  <si>
    <t>01.06.01.001</t>
  </si>
  <si>
    <t>01.06.03.01.001</t>
  </si>
  <si>
    <t>PRODUCCIO</t>
  </si>
  <si>
    <t>01.06.03.01.002</t>
  </si>
  <si>
    <t>NAU</t>
  </si>
  <si>
    <t>CASA DEL MIG</t>
  </si>
  <si>
    <t>CASA DE DALT</t>
  </si>
  <si>
    <t>01.06.03.01.003</t>
  </si>
  <si>
    <t>ESCOMESA</t>
  </si>
  <si>
    <t>01.06.03.01.004</t>
  </si>
  <si>
    <t>01.06.03.01.005</t>
  </si>
  <si>
    <t>01.06.03.01.006</t>
  </si>
  <si>
    <t>01.06.03.01.007</t>
  </si>
  <si>
    <t>01.06.03.01.008</t>
  </si>
  <si>
    <t>01.06.03.01.009</t>
  </si>
  <si>
    <t>01.06.03.01.010</t>
  </si>
  <si>
    <t>01.06.03.01.011</t>
  </si>
  <si>
    <t>01.06.03.02.001</t>
  </si>
  <si>
    <t>01.06.03.02.002</t>
  </si>
  <si>
    <t>01.06.03.02.003</t>
  </si>
  <si>
    <t>01.06.03.02.004</t>
  </si>
  <si>
    <t>01.06.03.02.005</t>
  </si>
  <si>
    <t>01.06.03.03.001</t>
  </si>
  <si>
    <t>01.06.04.01.001</t>
  </si>
  <si>
    <t>01.06.04.01.002</t>
  </si>
  <si>
    <t>01.06.04.01.003</t>
  </si>
  <si>
    <t>01.06.04.01.004</t>
  </si>
  <si>
    <t>01.06.04.02.001</t>
  </si>
  <si>
    <t>01.06.04.02.002</t>
  </si>
  <si>
    <t>01.06.04.02.003</t>
  </si>
  <si>
    <t>01.06.04.02.004</t>
  </si>
  <si>
    <t>PLUVIAL</t>
  </si>
  <si>
    <t>FECAL</t>
  </si>
  <si>
    <t>01.06.04.02.005</t>
  </si>
  <si>
    <t>01.06.04.03.001</t>
  </si>
  <si>
    <t>EXTERIOR</t>
  </si>
  <si>
    <t>01.06.04.03.002</t>
  </si>
  <si>
    <t>01.06.04.03.003</t>
  </si>
  <si>
    <t>01.06.04.03.004</t>
  </si>
  <si>
    <t>01.06.04.03.005</t>
  </si>
  <si>
    <t>01.06.04.03.006</t>
  </si>
  <si>
    <t>01.06.05.01.001</t>
  </si>
  <si>
    <t>01.06.05.01.002</t>
  </si>
  <si>
    <t>01.06.05.01.003</t>
  </si>
  <si>
    <t>01.06.05.01.004</t>
  </si>
  <si>
    <t>01.06.05.01.005</t>
  </si>
  <si>
    <t>01.06.05.01.006</t>
  </si>
  <si>
    <t>01.06.05.01.007</t>
  </si>
  <si>
    <t>01.06.05.01.008</t>
  </si>
  <si>
    <t>01.06.05.01.009</t>
  </si>
  <si>
    <t>01.06.05.01.010</t>
  </si>
  <si>
    <t>01.06.05.01.011</t>
  </si>
  <si>
    <t>01.06.05.01.012</t>
  </si>
  <si>
    <t>01.06.05.02.01.001</t>
  </si>
  <si>
    <t>01.06.05.02.01.002</t>
  </si>
  <si>
    <t>01.06.05.02.01.003</t>
  </si>
  <si>
    <t>01.06.05.02.01.004</t>
  </si>
  <si>
    <t>01.06.05.02.02.001</t>
  </si>
  <si>
    <t>01.06.05.02.02.002</t>
  </si>
  <si>
    <t>EXT NAU</t>
  </si>
  <si>
    <t>01.06.05.02.02.003</t>
  </si>
  <si>
    <t>EXT CASA DEL MIG</t>
  </si>
  <si>
    <t>EXT CASA DE DALT</t>
  </si>
  <si>
    <t>01.06.05.02.02.004</t>
  </si>
  <si>
    <t>01.06.05.02.02.005</t>
  </si>
  <si>
    <t>01.06.05.02.02.006</t>
  </si>
  <si>
    <t>01.06.05.02.02.007</t>
  </si>
  <si>
    <t>01.06.05.02.03.001</t>
  </si>
  <si>
    <t>01.06.05.02.03.002</t>
  </si>
  <si>
    <t>01.06.05.02.03.003</t>
  </si>
  <si>
    <t>01.06.06.01.001</t>
  </si>
  <si>
    <t>01.06.06.01.002</t>
  </si>
  <si>
    <t>01.06.06.01.003</t>
  </si>
  <si>
    <t>01.06.06.01.004</t>
  </si>
  <si>
    <t>01.06.06.02.001</t>
  </si>
  <si>
    <t>LLUMS</t>
  </si>
  <si>
    <t>01.06.06.02.002</t>
  </si>
  <si>
    <t>TC</t>
  </si>
  <si>
    <t>TC SIMPLES</t>
  </si>
  <si>
    <t>TC EXTERIOR</t>
  </si>
  <si>
    <t>RECU / VENT</t>
  </si>
  <si>
    <t>01.06.06.02.003</t>
  </si>
  <si>
    <t>01.06.06.02.004</t>
  </si>
  <si>
    <t>CARRIL</t>
  </si>
  <si>
    <t>01.06.06.02.005</t>
  </si>
  <si>
    <t>BOMBA DE CALOR</t>
  </si>
  <si>
    <t>01.06.06.02.006</t>
  </si>
  <si>
    <t>LGA</t>
  </si>
  <si>
    <t>01.06.06.02.007</t>
  </si>
  <si>
    <t>01.06.06.02.008</t>
  </si>
  <si>
    <t>01.06.06.02.009</t>
  </si>
  <si>
    <t>01.06.06.02.010</t>
  </si>
  <si>
    <t>01.06.06.02.011</t>
  </si>
  <si>
    <t>3x1.5</t>
  </si>
  <si>
    <t>3x2.5</t>
  </si>
  <si>
    <t>01.06.06.02.012</t>
  </si>
  <si>
    <t>01.06.06.03.001</t>
  </si>
  <si>
    <t>01.06.06.03.002</t>
  </si>
  <si>
    <t>01.06.06.03.003</t>
  </si>
  <si>
    <t>01.06.06.03.004</t>
  </si>
  <si>
    <t>01.06.06.03.005</t>
  </si>
  <si>
    <t>01.06.06.03.006</t>
  </si>
  <si>
    <t>01.06.06.03.007</t>
  </si>
  <si>
    <t>01.06.06.03.008</t>
  </si>
  <si>
    <t>01.06.06.03.009</t>
  </si>
  <si>
    <t>01.06.06.03.010</t>
  </si>
  <si>
    <t>01.06.06.04.001</t>
  </si>
  <si>
    <t>QGD</t>
  </si>
  <si>
    <t>01.06.06.04.002</t>
  </si>
  <si>
    <t>01.06.06.04.003</t>
  </si>
  <si>
    <t>01.06.06.04.004</t>
  </si>
  <si>
    <t>01.06.06.04.005</t>
  </si>
  <si>
    <t>01.06.06.04.006</t>
  </si>
  <si>
    <t>CGP</t>
  </si>
  <si>
    <t>TMF</t>
  </si>
  <si>
    <t>01.06.06.05.001</t>
  </si>
  <si>
    <t>01.06.06.05.002</t>
  </si>
  <si>
    <t>01.06.07.001</t>
  </si>
  <si>
    <t>i01 pati</t>
  </si>
  <si>
    <t>i011 pati</t>
  </si>
  <si>
    <t>i011 carrer Santa Anna</t>
  </si>
  <si>
    <t>i011 Nau</t>
  </si>
  <si>
    <t>i011 Casa del mig</t>
  </si>
  <si>
    <t>i011 Casa de dalt</t>
  </si>
  <si>
    <t>01.06.07.002</t>
  </si>
  <si>
    <t>01.06.07.003</t>
  </si>
  <si>
    <t>01.06.07.004</t>
  </si>
  <si>
    <t>01.06.07.005</t>
  </si>
  <si>
    <t>01.06.07.006</t>
  </si>
  <si>
    <t>01.06.07.007</t>
  </si>
  <si>
    <t>01.06.07.008</t>
  </si>
  <si>
    <t>01.06.07.009</t>
  </si>
  <si>
    <t>01.06.08.02.002</t>
  </si>
  <si>
    <t>01.06.08.02.003</t>
  </si>
  <si>
    <t>01.06.08.02.006</t>
  </si>
  <si>
    <t>01.06.09.01.001</t>
  </si>
  <si>
    <t>01.06.09.01.002</t>
  </si>
  <si>
    <t>01.06.09.01.003</t>
  </si>
  <si>
    <t>01.06.09.01.004</t>
  </si>
  <si>
    <t>01.06.09.01.005</t>
  </si>
  <si>
    <t>01.06.09.01.006</t>
  </si>
  <si>
    <t>WIFI NAU</t>
  </si>
  <si>
    <t>01.06.09.01.007</t>
  </si>
  <si>
    <t>01.06.09.02.001</t>
  </si>
  <si>
    <t>01.06.09.02.002</t>
  </si>
  <si>
    <t>01.06.09.02.003</t>
  </si>
  <si>
    <t>01.06.09.02.004</t>
  </si>
  <si>
    <t>WIFI CASA DEL MIG</t>
  </si>
  <si>
    <t>WIFI CASA DE DALT</t>
  </si>
  <si>
    <t>01.06.09.02.005</t>
  </si>
  <si>
    <t>01.06.09.02.006</t>
  </si>
  <si>
    <t>01.06.10.001</t>
  </si>
  <si>
    <t>01.06.10.002</t>
  </si>
  <si>
    <t>01.06.10.003</t>
  </si>
  <si>
    <t>01.06.10.004</t>
  </si>
  <si>
    <t>01.06.10.005</t>
  </si>
  <si>
    <t>01.06.10.006</t>
  </si>
  <si>
    <t>01.06.11.001</t>
  </si>
  <si>
    <t>01.06.12.01.001</t>
  </si>
  <si>
    <t>NAU I CASA DEL MIG</t>
  </si>
  <si>
    <t>01.06.12.01.002</t>
  </si>
  <si>
    <t>01.06.12.01.003</t>
  </si>
  <si>
    <t>01.06.12.01.004</t>
  </si>
  <si>
    <t>01.06.12.01.005</t>
  </si>
  <si>
    <t>01.06.12.01.006</t>
  </si>
  <si>
    <t>01.06.12.01.007</t>
  </si>
  <si>
    <t>01.06.12.02.001</t>
  </si>
  <si>
    <t>01.06.12.02.002</t>
  </si>
  <si>
    <t>01.06.12.02.003</t>
  </si>
  <si>
    <t>01.06.12.02.004</t>
  </si>
  <si>
    <t>01.06.12.02.005</t>
  </si>
  <si>
    <t>01.06.12.02.006</t>
  </si>
  <si>
    <t>01.06.12.02.007</t>
  </si>
  <si>
    <t>01.06.13.01.001</t>
  </si>
  <si>
    <t>01.06.13.01.002</t>
  </si>
  <si>
    <t>01.06.13.01.003</t>
  </si>
  <si>
    <t>01.06.13.01.004</t>
  </si>
  <si>
    <t>01.06.13.02.001</t>
  </si>
  <si>
    <t>01.06.13.02.002</t>
  </si>
  <si>
    <t>01.06.13.02.003</t>
  </si>
  <si>
    <t>01.07.01.001</t>
  </si>
  <si>
    <t>01.07.01.002</t>
  </si>
  <si>
    <t>01.07.01.003</t>
  </si>
  <si>
    <t>01.07.01.004</t>
  </si>
  <si>
    <t>01.07.01.005</t>
  </si>
  <si>
    <t>01.07.01.006</t>
  </si>
  <si>
    <t>01.07.01.007</t>
  </si>
  <si>
    <t>01.07.01.008</t>
  </si>
  <si>
    <t>01.08.01.001</t>
  </si>
  <si>
    <t>01.08.02.001</t>
  </si>
  <si>
    <t>Mur contenció jardí</t>
  </si>
  <si>
    <t>01.08.02.002</t>
  </si>
  <si>
    <t>Murs Jardí</t>
  </si>
  <si>
    <t>01.08.03.001</t>
  </si>
  <si>
    <t>01.08.04.001</t>
  </si>
  <si>
    <t>01.08.04.002</t>
  </si>
  <si>
    <t>SO_5</t>
  </si>
  <si>
    <t>01.08.05.001</t>
  </si>
  <si>
    <t>01.08.05.002</t>
  </si>
  <si>
    <t>01.08.05.003</t>
  </si>
  <si>
    <t>01.08.05.004</t>
  </si>
  <si>
    <t>01.08.05.005</t>
  </si>
  <si>
    <t>01.08.05.006</t>
  </si>
  <si>
    <t>01.08.05.007</t>
  </si>
  <si>
    <t>01.08.06.001</t>
  </si>
  <si>
    <t>01.08.07.001</t>
  </si>
  <si>
    <t>01.09.01.001</t>
  </si>
  <si>
    <t>01.09.01.002</t>
  </si>
  <si>
    <t>01.09.01.003</t>
  </si>
  <si>
    <t>01.09.01.004</t>
  </si>
  <si>
    <t>01.GR.01.001</t>
  </si>
  <si>
    <t>01.GR.01/P2RA-EU5R Disposició controlada centre reciclatge,residus fusta no perillosos,0,19t/m3,LER 17 02 01</t>
  </si>
  <si>
    <t>01.GR.01/P2RA-EU61 Disposició controlada centre reciclatge,residus vidre inerts,0,7t/m3,LER 17 02 02</t>
  </si>
  <si>
    <t>01.GR.01.002</t>
  </si>
  <si>
    <t xml:space="preserve">01.GR.01/P2RA-EU5P Disposició controlada dipòsit autoritzat inclòs el cànon sobre la deposició controlada dels residus </t>
  </si>
  <si>
    <t>01.GR.01/P2RA-EU64 Disposició controlada centre reciclatge,residus ceràmics inerts,0,8t/m3,LER 17 01 03</t>
  </si>
  <si>
    <t>01.GR.01/P2RA-EU6E Disposició controlada centre reciclatge,residus form. Inerts,1,45t/m3,LER 17 01 01</t>
  </si>
  <si>
    <t>01.GR.01.003</t>
  </si>
  <si>
    <t xml:space="preserve">01.01.02/P2110-.KWA Enderroc de volum d'edificació en interior i en exterior, incloent tot tipus de material (ceràmica, </t>
  </si>
  <si>
    <t>01.01.02/P214M-.KZG Enderroc de sostre complet, incloent paviment, entrebigat, bigues de fusta i estructura de fals sost</t>
  </si>
  <si>
    <t>01.01.02/P214O-4RO7 Enderroc pilar,maó massís,m.man.,càrrega manual</t>
  </si>
  <si>
    <t>01.01.02/P214T-.RQF Enderroc d'envà o paret divisòria de ceràmica de 5 a 10 cm de gruix, amb mitjans manuals i càrrega m</t>
  </si>
  <si>
    <t>01.01.02/P214Q-4RPQ Enderroc de solera de rajola ceràmica amb mitjans manuals i càrrega manual de runa sobre camió o con</t>
  </si>
  <si>
    <t>Esponjament</t>
  </si>
  <si>
    <t>01.GR.01.004</t>
  </si>
  <si>
    <t>01.01.02/P2146-HYDL Demol.pavim. Panot.s/form. G fins a 10 cm,ampl.fins a 2 m,compressor + càrrega cam. Manuals,Entorn u</t>
  </si>
  <si>
    <t>01.01.02/P2143-.RQT Enderroc de paviment existent i/o solera de formigó lleugerament armat, de fins a 15 cm de gruix, am</t>
  </si>
  <si>
    <t>01.01.02/P214O-4RO9 Enderroc mur,maçon.,compres.,càrrega manual</t>
  </si>
  <si>
    <t>01.GR.01.005</t>
  </si>
  <si>
    <t>Fusteries a substituir</t>
  </si>
  <si>
    <t>01.01.02/P214O-4ROD Enderroc escala fusta,+estruc.+graons+barana fusta,m.man.,càrrega manual</t>
  </si>
  <si>
    <t>01.01.02/P2140-4RRN Arrencada full+bastim. Porta int.,m.man.,càrr.man.</t>
  </si>
  <si>
    <t>01.01.02/P214O-.RO1 Enderroc de biga o bigueta de fusta, amb mitjans manuals i d'elevació i càrrega manual de runa sobre</t>
  </si>
  <si>
    <t>01.01.02/P214Q-4RQ4 Enderroc enllistonat fusta,m.man.,càrrega manual</t>
  </si>
  <si>
    <t>01.GR.01.006</t>
  </si>
  <si>
    <t>Fusteries a restaurar i retirar vidre</t>
  </si>
  <si>
    <t>01.GR.01.007</t>
  </si>
  <si>
    <t>01.01.01/P2140-.URN Neteja i retirada d'elements existents a l'interior i exterior de les edificacions del conjunt i sel</t>
  </si>
  <si>
    <t>01.01.02/P21GS-.RV9 Enderroc d'aparell sanitari, ancoratges, aixetes, mecanismes, desguassos i desconnexió de les xarxes</t>
  </si>
  <si>
    <t xml:space="preserve">01.01.02/P214C-.TVF Enderroc de bancada de cuina existent i aplec d'aigüera per al reaprofitament, amb mitjans manuals, </t>
  </si>
  <si>
    <t>01.GR.02.001</t>
  </si>
  <si>
    <t>01.01.01/P1R2-.RJ6 Neteja de plantes i herbes de parament vertical i horitzontal, aplicació de tractament herbicida i c</t>
  </si>
  <si>
    <t xml:space="preserve">01.01.01/P1R2-.RJ7 Neteja i esbrossada de plantes, herbes, matolls i arbres, amb mitjans manuals i amb minicarregadora </t>
  </si>
  <si>
    <t>01.01.01/PRE31-907A Poda planif/conif. H&lt; 4 m,escala/perxa,aplec+càrreg+transport brossa planta compostatge dist&lt;20km</t>
  </si>
  <si>
    <t xml:space="preserve">01.01.03/P221B-.L9I Excavació de caixa de paviment, en terreny compacte (SPT 20-50), realitzada amb minicarregadora amb </t>
  </si>
  <si>
    <t>01.01.03/P2241-.2ST Repàs i piconatge de caixa de paviment, amb compactació del 95% PM</t>
  </si>
  <si>
    <t>01.01.03/P221B-EL9I Excav.rasa/pou,hfins a 2 m,terreny compact.(SPT 20-50),minicarregadora+retro. De combustible,+càrr.m</t>
  </si>
  <si>
    <t>01.01.03/P2243-53AB Repàs sòl/paret rasa/recalçat hfins a 1,5 m</t>
  </si>
  <si>
    <t>01.01.03/P2243-53AC Repàs sòl/paret rasa/recalçat hfins a 2,5 m</t>
  </si>
  <si>
    <t>01.01.03/P221D-DZ32 Excav. Rasa instal.,hfins a 1 m,terreny compact.(SPT 20-50),minicarregadora+retro.,comb.,+terres dei</t>
  </si>
  <si>
    <t>01.01.03/P2258-DRNF Terraplenat+picon.rasa/pou,terres adeq.,gfins a 25 cm,95% PM,amb picó vibrant de comb. I minicarrega</t>
  </si>
  <si>
    <t>01.GR.02.002</t>
  </si>
  <si>
    <t>01.GR.02.003</t>
  </si>
  <si>
    <t>01.GR.03.001</t>
  </si>
  <si>
    <t xml:space="preserve">01.GR.03/P2RA-EU5P Disposició controlada dipòsit autoritzat inclòs el cànon sobre la deposició controlada dels residus </t>
  </si>
  <si>
    <t>01.GR.03/P2RA-EU5R Disposició controlada centre reciclatge,residus fusta no perillosos,0,19t/m3,LER 17 02 01</t>
  </si>
  <si>
    <t>01.GR.03/P2RA-EU5J Disposició controlada centre reciclatge,residus plàstic no perillosos,0,035t/m3,LER 17 02 03</t>
  </si>
  <si>
    <t>01.GR.03/P2RA-EU5L Disposició controlada centre reciclatge,residus paper/cartró no perillosos,0,04t/m3,LER 15 01 01</t>
  </si>
  <si>
    <t>01.GR.03/P2RA-EU5T Disposició controlada centre reciclatge,residus metalls no perillosos,0,2t/m3,LER 17 04 07</t>
  </si>
  <si>
    <t>01.GR.03/P2RA-EU64 Disposició controlada centre reciclatge,residus ceràmics inerts,0,8t/m3,LER 17 01 03</t>
  </si>
  <si>
    <t>01.GR.03/P2RA-EU6E Disposició controlada centre reciclatge,residus form. Inerts,1,45t/m3,LER 17 01 01</t>
  </si>
  <si>
    <t>01.GR.03.002</t>
  </si>
  <si>
    <t>01.GR.03.003</t>
  </si>
  <si>
    <t>Segons fitxa Gestió de Residus</t>
  </si>
  <si>
    <t>Residus construcció</t>
  </si>
  <si>
    <t>Obra de fàbrica</t>
  </si>
  <si>
    <t>01.GR.03.004</t>
  </si>
  <si>
    <t>Formigó</t>
  </si>
  <si>
    <t>Petris</t>
  </si>
  <si>
    <t>01.GR.03.005</t>
  </si>
  <si>
    <t>Guixos</t>
  </si>
  <si>
    <t>01.GR.03.006</t>
  </si>
  <si>
    <t>Fustes</t>
  </si>
  <si>
    <t>01.GR.03.007</t>
  </si>
  <si>
    <t>Plàstics</t>
  </si>
  <si>
    <t>01.GR.03.008</t>
  </si>
  <si>
    <t>Paper i cartró</t>
  </si>
  <si>
    <t>01.GR.03.009</t>
  </si>
  <si>
    <t>Metalls barrejats</t>
  </si>
  <si>
    <t>01.GR.04.001</t>
  </si>
  <si>
    <t>01.GR.04.002</t>
  </si>
  <si>
    <t>pes</t>
  </si>
  <si>
    <t>OBRA PRINCIPAL</t>
  </si>
  <si>
    <t>TREBALLS ADDICIONALS</t>
  </si>
  <si>
    <t>Elements Comuns</t>
  </si>
  <si>
    <t>Nau Fabriqueta</t>
  </si>
  <si>
    <t>Espais exteriors</t>
  </si>
  <si>
    <t>Comprovació total</t>
  </si>
  <si>
    <t>amidament</t>
  </si>
  <si>
    <t>import</t>
  </si>
  <si>
    <t>PC1D-9O1D</t>
  </si>
  <si>
    <t>Vidre aïllant de lluna incolora de 4+4 mm de gruix amb 1 butiral transparent classe 2 (B) 2 segons UNE-EN 12600, cambra d'aire de 12 mm i lluna de 5+5 mm de gruix amb 1 butiral transparent de lluna incolora, classe 2 (B) 2 segons UNE-EN 12600, col·locat amb llistó de vidre sobre fusta, acer o alumini</t>
  </si>
  <si>
    <t>TANCAMENT INTERIOR INCLINAT I8 DE DIMENSIONS 501X129 CM, AMB FUSTERIA DE FUSTA (MARC DE 75MM) AMB 6 PARTS PRACTICABLE SEGONS DEFINICIÓ. FUSTERIA FIXADA A TAULER PENTACAPA (50MM) CONTINU, FIXATS AMB CARGOLS ESBIAIXATS A LA BIGA DE FUSTA EXISTENT. AMB PREMARC A MIDA A LA PART INFERIOR. ENVIDRAMENT VALORAT EN PARTIDA A BANDA. TANCAMENT TOTALMENT COL·LOCAT I ACABAT SEGONS ESPECIFICACIONS DE PLÀNOLS. EL PREU UNITARI GLOBAL DE LA PARTIDA INCLOU EL % DE DESPESES INDIRECTES CONSIDERAT AL PRESSUPOST.</t>
  </si>
  <si>
    <t>TANCAMENT INTERIOR INCLINAT I9 DE DIMENSIONS 499X161 CM, AMB FUSTERIA DE FUSTA (MARC DE 75MM) AMB 6 PARTS PRACTICABLE SEGONS DEFINICIÓ. FUSTERIA FIXADA A TAULER PENTACAPA (50MM) CONTINU, FIXATS AMB CARGOLS ESBIAIXATS A LA BIGA DE FUSTA EXISTENT. AMB PREMARC A MIDA A LA PART INFERIOR. ENVIDRAMENT VALORAT EN PARTIDA A BANDA. TANCAMENT TOTALMENT COL·LOCAT I ACABAT SEGONS ESPECIFICACIONS DE PLÀNOLS. EL PREU UNITARI GLOBAL DE LA PARTIDA INCLOU EL % DE DESPESES INDIRECTES CONSIDERAT AL PRESSUPOST.</t>
  </si>
  <si>
    <t>PJ117-3BMM</t>
  </si>
  <si>
    <t>Lavabo mural de Roca model Ona A327682000 o equivalent, de 450x360x150 mm, de color blanc, col·locat amb suports murals.</t>
  </si>
  <si>
    <t>PJ1Z0-A7OH</t>
  </si>
  <si>
    <t>Estructura de suport per a lavabo mural, per anar en envà lleuger o de plaques, amb una alçària aproximada d'1,2 m i una amplària de 0,45 a 0,6 m, col·locada amb fixacions mecàniques</t>
  </si>
  <si>
    <t>PJ219-.SFD</t>
  </si>
  <si>
    <t>Aixeta electrònica per a lavabo de Roca model Ona-E A5A569EC00 o equivalent, muntada superficialment sobre taulell o aparell sanitari, de llautó cromat, amb dues entrades de maniguets.</t>
  </si>
  <si>
    <t>PJ3D-.FKU</t>
  </si>
  <si>
    <t>Sifó de botella per a lavabo, de Roca model A506403810 o equivalent, de llautó cromat d'1´´1/4 amb enllaç de diàmetre 30 mm, connectat a la xarxa de petita evacuació.</t>
  </si>
  <si>
    <t>PJ11C-.CWQ</t>
  </si>
  <si>
    <t>Inodor adaptat de Roca model Acces A46236000 o equivalent, suspès amb sortida horitzontal Rimless i tapa amortiguada, de 370x77x450 mm, mecanismes de descàrrega dual de 4,5-3 l i d'alimentació incorporats, de color blanc, col·locat amb fixacions ocultes murals i connectat a la xarxa d'evacuació.</t>
  </si>
  <si>
    <t>PJ11C-.CWR</t>
  </si>
  <si>
    <t>Inodor de Roca model Meridian A462AL000 o equivalent, suspès amb sortida horitzontal Rimless i tapa amortiguada, de 360x560x400 mm, mecanismes de descàrrega dual de 4,5-3 l i d'alimentació incorporats, de color blanc, col·locat amb fixacions ocultes murals i connectat a la xarxa d'evacuació.</t>
  </si>
  <si>
    <t>PJ11G-.A3W</t>
  </si>
  <si>
    <t>Cisterna encastada per a inodor, de Roca model Duplo WC One A890070020 o equivalent, amb estructura de suport per anar en envà lleuger o de plaques, amb una alçària aproximada d'1,2 m i amplària de 0,45 a 0,55 m, per a doble descàrrega una descàrrega de 3/6 l, accionament manual amb acabat en acer inoxidable, col·locat amb fixacions mecàniques.</t>
  </si>
  <si>
    <t>PJ118-.FQR</t>
  </si>
  <si>
    <t>Plat de dutxa de Roca model Terran Stonex APA0132032001100 o equivalent, de 800x800x26 mm, antilliscant amb textura grava, extraplà, de color blanc, amb desguàs i reixa del mateix color, col·locat encastat al paviment.</t>
  </si>
  <si>
    <t>PJ218-.UCE</t>
  </si>
  <si>
    <t>Columna per a dutxa monocomandament termostàtica de Roca model T-Round A5A9A2EC00 o equivalent, mural, de llautó cromat, amb dues entrades de 1/2´´ i sortida de 1/2´´, amb alçada regulable i braç de dutxa orientable, amb ruixador de 250 mm de diàmetre i dutxa de mà de 100 mm de diàmetre.</t>
  </si>
  <si>
    <t>PJ186-.CNG</t>
  </si>
  <si>
    <t>Abocador de Roca model Garda o equivalent de 420x500x445 mm, de porcellana amb alimentació integrada, de color blanc, col·locat sobre el paviment i connectat a la xarxa d'evacuació.</t>
  </si>
  <si>
    <t>PJ187-3CPG</t>
  </si>
  <si>
    <t>Reixa feta amb acer inoxidable i protecció de goma, muntat a abocador de porcellana vitrificada, preu superior</t>
  </si>
  <si>
    <t>PJ21B-.D9Q</t>
  </si>
  <si>
    <t>Aixeta mural per abocador de Roca model A5A858EC00 o equivalent, muntada superficialment, de llautó cromat, amb aixeta i sortida exterior roscada de 3/4´´, incorporades, amb entrada de 1/2´´</t>
  </si>
  <si>
    <t>PJ181-.DX1</t>
  </si>
  <si>
    <t>Pica de Roca model Redondo A870810453 o equivalent de 450x450x175 mm, de planxa d'acer inoxidable amb una pica circular, col·locada encastada a taulell.</t>
  </si>
  <si>
    <t>PJ3F-.FQI</t>
  </si>
  <si>
    <t>Sifó de botella per a aigüera d'una pica, de Roca model A506405407 o equivalent, de PVC, de 50 mm, connectat a un ramal de PVC.</t>
  </si>
  <si>
    <t>PJ181-.DYL</t>
  </si>
  <si>
    <t>Pica de Roca model A872801C01 o equivalent de 800x500x180 mm, de planxa d'acer inoxidable amb dues piques rectangulars, col·locada encastada a taulell.</t>
  </si>
  <si>
    <t>PJ3F-.FQ1</t>
  </si>
  <si>
    <t>Sifó de botella per a aigüera de dues piques, de Roca model A506405507 o equivalent, de PVC, de 50 mm, connectat a un ramal de PVC.</t>
  </si>
  <si>
    <t>PJ210-.YOK</t>
  </si>
  <si>
    <t>Aixeta monocomandament per a aigüera de Roca model A5A831FC00 o equivalent, muntada superficialment, de llautó cromat, amb broc recte giratori, amb dues entrades maniguets.</t>
  </si>
  <si>
    <t>Superfície útil</t>
  </si>
  <si>
    <t>P93G-.7Q2</t>
  </si>
  <si>
    <t>Capa de protecció de 4 cm de gruix amb morter mineral elàstic, amb morter de ciment 1:4 per terra radiant.</t>
  </si>
  <si>
    <t>Paviment de formigó de calç amb àrid, de 10 cm de gruix, amb 380 1 kg/m3 de calç hidràulica natural NHL 5, en sacs, granulat de pedra calcària i grandària màxima 20 mm, amb una proporció en volum de 1:4, elaborat amb formigonera, amb acabat remolinat.</t>
  </si>
  <si>
    <t>P5Z2C-.IR7</t>
  </si>
  <si>
    <t>Addicció de fibres de polipropilè en paviment de formigó de calç, de 12 mm de llargada, amb una proporció de 1,5 kg/m3.</t>
  </si>
  <si>
    <t>P9Z3-.P8E</t>
  </si>
  <si>
    <t>Armadura de lloses de formigó amb malla electrosoldada de barres corrugades d'acer galvanitzat 15x15 cm D:5-5 mm.</t>
  </si>
  <si>
    <t>P93G-.7PZ</t>
  </si>
  <si>
    <t>Recrescuda del suport de paviments, de 3 cm de gruix, amb morter mineral elàstic, amb morter de ciment 1:6</t>
  </si>
  <si>
    <t>Parquet industrial de fusta, de làmines de 15 mm, col·locat a trencajunts, adherit amb cautxú sintètic.</t>
  </si>
  <si>
    <t>ARMARI INTERIOR A1 PER A UN BUIT D'OBRA DE 940X100CM DE FONDARIA (9.4m X 5.7m ALÇADA PUNT MÉS ALT), DE FULLES BATENTS DE FUSTA DE PI AMB MARC DE FUSTA DE PI , AMB BASTIDOR INTERIOR DE FUSTA AMB FERRATGES I ANCORATGES D'ACER. TIRADORS FRESSATS A LA FUSTA AMB REBAIX DE 1CM. TOTALMENT COL·LOCAT I ACABAT SEGONS ESPECIFICACIONS DE PLÀNOLS. EL PREU UNITARI GLOBAL DE LA PARTIDA INCLOU EL % DE DESPESES INDIRECTES CONSIDERAT AL PRESSUPOST.</t>
  </si>
  <si>
    <t>ARMARI INTERIOR A2 PER A UN BUIT D'OBRA DE 650X140CM DE FONDARIA (6.5 m X 2.05m ALÇADA ARMARI, I PART SUPERIOR FUSTA FIXE 8.27m X 1.37m PUNT MÉS ALT), DE FULLES BATENTS DE FUSTA DE PI AMB MARC DE FUSTA DE PI , AMB BASTIDOR INTERIOR DE FUSTA AMB FERRATGES I ANCORATGES D'ACER. TIRADORS FRESSATS A LA FUSTA AMB REBAIX DE 1CM. PART SUPERIOR AMB FUSTA DE PI FIXE. I PANELAT AMB FUSTA DE PI A LA PORTA DE L'ASCENSOR. TOTALMENT COL·LOCAT I ACABAT SEGONS ESPECIFICACIONS DE PLÀNOLS. EL PREU UNITARI GLOBAL DE LA PARTIDA INCLOU EL % DE DESPESES INDIRECTES CONSIDERAT AL PRESSUPOST.</t>
  </si>
  <si>
    <t>ARMARI INTERIOR A3 PER A UN BUIT D'OBRA DE 93X50CM DE FONDARIA (0.86m X 3.24m alçada), DE FULLES BATENTS DE FUSTA DE PI AMB MARC DE FUSTA DE PI , AMB BASTIDOR INTERIOR DE FUSTA AMB FERRATGES I ANCORATGES D'ACER. TIRADORS FRESSATS A LA FUSTA AMB REBAIX DE 1CM. TOTALMENT COL·LOCAT I ACABAT SEGONS ESPECIFICACIONS DE PLÀNOLS. EL PREU UNITARI GLOBAL DE LA PARTIDA INCLOU EL % DE DESPESES INDIRECTES CONSIDERAT AL PRESSUPOST.</t>
  </si>
  <si>
    <t>ARMARI INTERIOR A4 PER A UN BUIT D'OBRA DE 93X50CM DE FONDARIA (0.86m X 3.24m alçada), DE FULLES BATENTS DE FUSTA DE PI AMB MARC DE FUSTA DE PI , AMB BASTIDOR INTERIOR DE FUSTA AMB FERRATGES I ANCORATGES D'ACER. TIRADORS FRESSATS A LA FUSTA AMB REBAIX DE 1CM. TOTALMENT COL·LOCAT I ACABAT SEGONS ESPECIFICACIONS DE PLÀNOLS. EL PREU UNITARI GLOBAL DE LA PARTIDA INCLOU EL % DE DESPESES INDIRECTES CONSIDERAT AL PRESSUPOST.</t>
  </si>
  <si>
    <t>ARMARI INTERIOR A5 PER A UN BUIT D'OBRA DE 881X42CM DE FONDARIA (8.75m X 2.3m alçada), DE FULLES BATENTS DE FUSTA DE PI AMB MARC DE FUSTA DE PI , AMB BASTIDOR INTERIOR DE FUSTA AMB FERRATGES I ANCORATGES D'ACER. TIRADORS FRESSATS A LA FUSTA AMB REBAIX DE 1CM. TOTALMENT COL·LOCAT I ACABAT SEGONS ESPECIFICACIONS DE PLÀNOLS. EL PREU UNITARI GLOBAL DE LA PARTIDA INCLOU EL % DE DESPESES INDIRECTES CONSIDERAT AL PRESSUPOST.</t>
  </si>
  <si>
    <t>ARMARI INTERIOR A6 PER A UN BUIT D'OBRA DE 270X67CM DE FONDÀRIA (2.75m X 2.2m alçada), DE FULLES BATENTS DE FUSTA DE PI AMB MARC DE FUSTA DE PI , AMB BASTIDOR INTERIOR DE FUSTA AMB FERRATGES I ANCORATGES D'ACER. TIRADORS FRESSATS A LA FUSTA AMB REBAIX DE 1CM I TROQUELAT DE FUSTA PER IMPULSIÓ SEGONS DETALLS AMB AREA MÍNIMA DE 0.049M2 AMB 627 PERFORACIONS DE DIÀMETRE 10MM CADASCUN. TOTALMENT COL·LOCAT I ACABAT SEGONS ESPECIFICACIONS DE PLÀNOLS. EL PREU UNITARI GLOBAL DE LA PARTIDA INCLOU EL % DE DESPESES INDIRECTES CONSIDERAT AL PRESSUPOST.</t>
  </si>
  <si>
    <t>ARMARI INTERIOR A7 PER A UN BUIT D'OBRA DE TRAPEZOIDAL DE 200X150CM DE FONDÀRIA (3.20m X 2.2m alçada), DE FULLES BATENTS DE FUSTA DE PI AMB MARC DE FUSTA DE PI , AMB BASTIDOR INTERIOR DE FUSTA AMB FERRATGES I ANCORATGES D'ACER. TIRADORS FRESSATS A LA FUSTA AMB REBAIX DE 1CM I TROQUELAT DE FUSTA PER RETORN SEGONS DETALLS AMB AREA MÍNIMA DE 0.049M2 AMB 627 PERFORACIONS DE DIÀMETRE 10MM CADASCUN. PANELAT DE FUSTA DE PI PER DAVANT DE LA PORTA DE L'ASCENSOR I PANELL FIXE DE 77X220CM. TOTALMENT COL·LOCAT I ACABAT SEGONS ESPECIFICACIONS DE PLÀNOLS. EL PREU UNITARI GLOBAL DE LA PARTIDA INCLOU EL % DE DESPESES INDIRECTES CONSIDERAT AL PRESSUPOST.</t>
  </si>
  <si>
    <t>ACCESSORIS I COMPLEMENTS BANYS</t>
  </si>
  <si>
    <t>01.07.02</t>
  </si>
  <si>
    <t>PJ40-.A25</t>
  </si>
  <si>
    <t>Porta-rotlles gegant de paper higiènic de Mediclinics model PRO783CS o equivalent, d'acer inoxidable, de 230 mm de diàmetre, col·locat amb fixacions mecàniques.</t>
  </si>
  <si>
    <t>PQ83-.A7P</t>
  </si>
  <si>
    <t>Eixugamans per aire calent amb sensor electrònic de presència, de Mediclinics model Machflow o equivalent, de planxa d'acer inoxidable satinat, amb filtre HEPA, instal·lat</t>
  </si>
  <si>
    <t>PG3B-.7C8</t>
  </si>
  <si>
    <t>Instal·lació elèctrica d'eixugamans.</t>
  </si>
  <si>
    <t>PJ40-.A2B</t>
  </si>
  <si>
    <t>Barra per a tovallola de Roca model Superinox A817307002 o equivalent, d'acer inoxidable, de tub de 18 mm, de 77 mm de fondària i 404 mm de llargària, col·locat amb fixacions mecàniques.</t>
  </si>
  <si>
    <t>PJ43-.A1E</t>
  </si>
  <si>
    <t>Dispensador electrònic de sabó amb sensor touchless de Roca model Ona A818020C00 o equivalent, de 45x122x90 mm, col·locat sobre aparell sanitari, amb visor de nivell de sabó i clau de seguretat, col·locat amb fixacions mecàniques.</t>
  </si>
  <si>
    <t>PJ41-.A1W</t>
  </si>
  <si>
    <t>Barra mural doble abatible per a bany adaptat de Roca model Access Comfort A816933002 o equivalent, de 800 mm de llargària i 32 mm de D, de tub d'acer inoxidable, col·locat amb fixacions mecàniques.</t>
  </si>
  <si>
    <t>PJ41-.A1U</t>
  </si>
  <si>
    <t>Barra mural recta per a bany adaptat de Roca model Access Comfort A816929002 o equivalent, de 800 mm de llargària i 32 mm de D, de tub d'acer inoxidable, col·locat amb fixacions mecàniques.</t>
  </si>
  <si>
    <t>PJ41-.A1V</t>
  </si>
  <si>
    <t>Barra mural fixa en angle per a bany adaptat de Roca model Access Pro A816937C20 o equivalent, de 841 i 841 mm de llargària i 32 mm de D, de tub d'acer inoxidable, col·locat amb fixacions mecàniques.</t>
  </si>
  <si>
    <t>PJ41-.A1T</t>
  </si>
  <si>
    <t>Seient abatible mural per a dutxa de bany adaptat de Roca model Access Pro A816923P30 o equivalent, amb banqueta de 370x331 mm i 321 cm d'alçada, antibacterià, de color blanc, col·locat amb fixacions mecàniques.</t>
  </si>
  <si>
    <t>PQZ5-.AAH</t>
  </si>
  <si>
    <t>Penjador d'acer inoxidable de Roca model Superinox A817300002 o equivalent, col·locat amb fixacions mecàniques.</t>
  </si>
  <si>
    <t>PQZ5-.AA8</t>
  </si>
  <si>
    <t>Escobilla d'acer inoxidable de Roca model Superinox A817305002 o equivalent, col·locat amb fixacions mecàniques.</t>
  </si>
  <si>
    <t>PG3B-.7CE</t>
  </si>
  <si>
    <t>Xarxa equipotencial en bany amb connexió de tots els elements metàl·lics.</t>
  </si>
  <si>
    <t>PC16-5NML</t>
  </si>
  <si>
    <t>Mirall de lluna incolora de gruix 5 mm col·locat fixat mecànicament sobre el parament</t>
  </si>
  <si>
    <t>Percentatge/Total</t>
  </si>
  <si>
    <t>Superfície Construïda parts conjunt</t>
  </si>
  <si>
    <t>Superficie Construïda Total Edificació/ Total amb urbanització</t>
  </si>
  <si>
    <t>P4FG-.EBC</t>
  </si>
  <si>
    <t>Formació de cèrcol perimetral de coberta, amb doble full de maó massís d'elaboració mecànica R-20, de 290x140x50 mm, cares vistes, resistència a compressió 8 N/mm2, categoria I, HD, segons la norma UNE-EN 771-1, col·locat amb morter de calç i sorra, amb 380 kg/m3 de calç aèria hidratada CL 70-S, amb una proporció en volum 1:4 i 10 N/mm2 de resistència a compressió, elaborat a l'obra.</t>
  </si>
  <si>
    <t>P8B6-.AR3</t>
  </si>
  <si>
    <t>P9U6-.9DW</t>
  </si>
  <si>
    <t>Sòcol per a paviment de parquet format per perfil d'acer inoxidable en C de 10x22x32 mm, de 2,5 mm de gruix, col·locat amb fixacions mecàniques a la base del paviment.</t>
  </si>
  <si>
    <t>P9U6-.9D5</t>
  </si>
  <si>
    <t>Sòcol per a paviment de formigó format per perfil d'acer inoxidable en L de 100x20 mm, de 2,5 mm de gruix, col·locat amb fixacions mecàniques a la base del paviment.</t>
  </si>
  <si>
    <t>P9U6-.9D6</t>
  </si>
  <si>
    <t>Sòcol per a paviment de rajola hidràulica format per perfil d'acer inoxidable en L de 40x20 mm, de 2,5 mm de gruix, col·locat amb fixacions mecàniques a la base del paviment.</t>
  </si>
  <si>
    <t>P9V4-.9E0</t>
  </si>
  <si>
    <t>Esglaó de tauler tricapa conformada, de 16 mm de gruix, de 300 mm d'amplada i 150 mm d'alçada, per a ambient humit segons UNE-EN 636, reacció al foc B-s2, d0, treballat al taller, col·locat amb fixacions mecàniques sobre llosa inclinada de CLT.</t>
  </si>
  <si>
    <t>Formació de paviment de peces ceràmiques de maó massís d'elaboració mecànica de 290x140x50 mm, cares vistes, col·locades amb morter de ciment pòrtland CEM I 32,5 R segons UNE-EN 197-1, amb junta reomplerta, segons detalls de plànols.</t>
  </si>
  <si>
    <t>P8B1-J1F1</t>
  </si>
  <si>
    <t>Hidrofugat de paviment amb producte hidrofugant i oleofugant de base de dispersió de nanopartícules d'altes prestacions, tipus Tecnadis PRS Perfopore o equivalent, transparent i incolor, aplicat en dues capes.</t>
  </si>
  <si>
    <t>Incorporació de dos graons a l'escala existent en PB de la casa de dalt, segons documentació gràfica. El preu unitari global de la partida inclou el % de despeses indirectes considerat al pressupost.</t>
  </si>
  <si>
    <t>P864-.EK7</t>
  </si>
  <si>
    <t>Formació de passamà fresat sobre mur de CLT a base de rebaixat de 5 cm respecte la cara exterior del mur.</t>
  </si>
  <si>
    <t>PQ72-.9KC</t>
  </si>
  <si>
    <t>MOBILIARI D'OFFICE DE 2,7 M DE LLARGADA, D'AGLOMERAT AMB LAMINAT ESTRATIFICAT AMB MÒDULS ALTS DE 330 MM DE FONDÀRIA, INCLOENT MÒDUL SOBRE CAMPANA I MODULS BAIXOS DE 600 MM DE FONDÀRIA I 800 MM D'ALÇARIA, AMB MÒDUL PER NEVERA. TAULELL DE MARBRE, CAMPANA EXTRACTORA I PLA D'INDUCCIÓ DE DOS FOGONS. TOTALMENT COL·LOCAT I ACABAT SEGONS ESPECIFICACIONS DE PLÀNOLS. EL PREU UNITARI GLOBAL DE LA PARTIDA INCLOU EL % DE DESPESES INDIRECTES CONSIDERAT AL PRESSUPOST.</t>
  </si>
  <si>
    <t>MOBILIARI DE CAFETERIA DE 2,4 M DE LLARGADA, D'AGLOMERAT AMB LAMINAT ESTRATIFICAT AMB MODULS BAIXOS DE 600 MM DE FONDÀRIA I 800 MM D'ALÇARIA I TAULELL DE MARBRE. TOTALMENT COL·LOCAT I ACABAT SEGONS ESPECIFICACIONS DE PLÀNOLS. EL PREU UNITARI GLOBAL DE LA PARTIDA INCLOU EL % DE DESPESES INDIRECTES CONSIDERAT AL PRESSUPOST.</t>
  </si>
  <si>
    <t>PN38-ES26</t>
  </si>
  <si>
    <t>BARRA DE BAR VOLADA DE MARBRE DE 2,4 M DE LLARGADA AMB PORTA INFERIOR D'ACCÉS DE 110 CM D'ALÇADA, AMB ESTRUCTURA DE SUPORT I TANCAMENT DE FUSTA. TOTALMENT COL·LOCAT I ACABAT SEGONS ESPECIFICACIONS DE PLÀNOLS. EL PREU UNITARI GLOBAL DE LA PARTIDA INCLOU EL % DE DESPESES INDIRECTES CONSIDERAT AL PRESSUPOST.</t>
  </si>
  <si>
    <t>PN38-ES27</t>
  </si>
  <si>
    <t>MOSTRADOR D'ATENCIÓ D'INFORMACIÓ DE 3,25 M DE LLARGADA EN L I 80 CM D'ALÇADA, AMB TANCAMENT DAVANTER SOTA TAULELL I PART VOLADA PER ATENCIÓ ADAPTADA. TOTALMENT COL·LOCAT I ACABAT SEGONS ESPECIFICACIONS DE PLÀNOLS. EL PREU UNITARI GLOBAL DE LA PARTIDA INCLOU EL % DE DESPESES INDIRECTES CONSIDERAT AL PRESSUPOST.</t>
  </si>
  <si>
    <t>Desbrossat, neteja, anivellament i capa de preparació del paviment del pati. Inclou la formació del drenatge perimetral, estesa de graves i impermeabilització. Tot segons detalls plànols. El preu unitari global de la partida inclou el % de despeses indirectes considerat al pressupost.</t>
  </si>
  <si>
    <t>Formació de mur de fàbrica de doble full de maó massís d'elaboració mecànica R-20, de 290x140x50 mm, cares vistes, amb pilastres cada 150 cm i formació de banc segons detall plànols, categoria I, HD, resistència a compressió 8 N/mm2,  segons la norma UNE-EN 771-1, col·locat amb ciment pòrtland CEM I 32,5 R segons UNE-EN 197-1, en sacs.</t>
  </si>
  <si>
    <t>PB1D-52WE</t>
  </si>
  <si>
    <t>Passamà de perfil d'acer de 30 a 50 mm de diàmetre, i suports de perfil d'acer de 15 mm de diàmetre cada 2 m, col·locat ancorat a l'obra</t>
  </si>
  <si>
    <t>P89P-45G1</t>
  </si>
  <si>
    <t>Pintat de tub d'acer, a l'esmalt sintètic, amb dues capes d'imprimació antioxidant i 2 capes d'acabat, 2 a 4 ´´ de diàmetre, com a màxim</t>
  </si>
  <si>
    <t>P7B1-6Q79</t>
  </si>
  <si>
    <t>Malla antiherbes de polipropilè de 130 a 140 g/m2, col·locada sense adherir.</t>
  </si>
  <si>
    <t>Paviment amb tres capes de terra existent mesclada amb aigua i estabilitzada amb calç aèria Eko-via de Saint-Astier, per a trànsit de vianants, amb piconat de terres entre capes, amb àrids de granulometria 6/10 mm triturat de cantera coral, col·locada amb estabilitzador de graves. Capes de 10 cm de gruix amb 30 cm de gruix total, segons detalls plànols. El preu unitari global de la partida inclou el % de despeses indirectes considerat al pressupost.</t>
  </si>
  <si>
    <t>Jardineria segons definició de plànols. El preu unitari global de la partida inclou el % de despeses indirectes considerat al pressupost.
Espècies conservades:
Es mantindrà el nesprer existent. Es farà una poda controlada per recuperar el seu port després de l’abandonament sofert.
La Buguenvíl·lia existent es podarà per reconduir el seu creixement assilvestrat que impedeix el pas per l’escala rampa d’accés des del carrer Santa Anna
Noves espècies:
Nou arbrat de port mitjà tipus Xicranda al pati i tipus Til·ler ”Tília Cordata” a la placeta del Joan Roig.</t>
  </si>
  <si>
    <t>PQ18-8FVC</t>
  </si>
  <si>
    <t>Seient tipus “Luxemburg armchair” de Fermob o equivalent. El preu unitari global de la partida inclou el % de despeses indirectes considerat al pressupost.</t>
  </si>
  <si>
    <t xml:space="preserve">IMPORT TOTAL DEL PRESSUPOST </t>
  </si>
  <si>
    <t>IMPORT TOTAL PEM OBRA PRINCIPAL</t>
  </si>
  <si>
    <t>IMPORT TOTAL PEM TREBALLS ADDICIONALS</t>
  </si>
  <si>
    <t xml:space="preserve">Casa Mig + Casa Dalt </t>
  </si>
  <si>
    <t>Casa del Mig + Espai bioclimàtic</t>
  </si>
  <si>
    <t>Elements comuns + Nau + Exteriors</t>
  </si>
  <si>
    <t>B07F-LOJE</t>
  </si>
  <si>
    <t>Morter de calç i sorra, amb 380 kg/m3 de calç aèria hidratada CL 70-S, amb una proporció en volum 1:4 i 10 N/mm2 de resistència a compressió, elaborat a l'obra</t>
  </si>
  <si>
    <t>Morter de calç,sorra,380kg/m3 calç aèria hidratada CL 70-S,1:4,10N/mm2,elab.a obra</t>
  </si>
  <si>
    <t>B054-LN9K</t>
  </si>
  <si>
    <t>Calç aèria hidratada CL 70-S, en sacs</t>
  </si>
  <si>
    <t>Incorporació de dos graons a l'escala existent en PB de la casa de dalt, segons documentació gràfica</t>
  </si>
  <si>
    <t xml:space="preserve">Desbrossat, neteja, anivellament i capa de preparació del paviment del pati. Inclou la formació del </t>
  </si>
  <si>
    <t>Avaluació del sistema estructural: pilars i bigues de fusta, murs paredat i fonamentació de les edificacions. El preu unitari global de la partida inclou el % de despeses indirectes considerat al pressupost.</t>
  </si>
  <si>
    <t>P4FG-.2BC</t>
  </si>
  <si>
    <t>Formació de mur de fàbrica de doble full de maó massís d'elaboració mecànica R-20, de 290x140x50 mm,</t>
  </si>
  <si>
    <t>Formació de cèrcol perimetral de coberta, amb doble full de maó massís d'elaboració mecànica R-20, d</t>
  </si>
  <si>
    <t>Addicció de fibres de polipropilè en paviment de formigó de calç, de 12 mm de llargada, amb una prop</t>
  </si>
  <si>
    <t>B0872-13Z93</t>
  </si>
  <si>
    <t>Fibres per a formigó de polipropilè, monofilament, de diàmetre &lt; 0,3 mm, llargària 12 mm, classe Ia</t>
  </si>
  <si>
    <t xml:space="preserve">Paviment de formigó de calç amb àrid, de 10 cm de gruix, amb 380 1 kg/m3 de calç hidràulica natural </t>
  </si>
  <si>
    <t>B7B1-.KP1</t>
  </si>
  <si>
    <t>Malla antiherbes de polipropilè de 130 a 140 g/m2, col·locada sense adherir</t>
  </si>
  <si>
    <t>Enrajolat de parament vertical interior a una alçària &gt;3 m amb Rajola de gres porcellànic premsat polit de 10x20 cm, grup BIa (UNE-EN 14411), col·locades amb adhesiu cimentós tipus C2 segons norma UNE-EN 12004 i rejuntat amb beurada CG2 (UNE-EN 13888), amb junta impermeable.</t>
  </si>
  <si>
    <t>Formació de passamà fresat sobre mur de CLT a base de rebaixat de 5 cm respecte la cara exterior del</t>
  </si>
  <si>
    <t>P89I-.V8W</t>
  </si>
  <si>
    <t>Pintat de parament vertical interior de guix amb amb pintura a la calç aèria CL90 amb acabat llis, amb dues capes d'acabat. Pintura 100% mineral, noble, natural i ecològica d'acabat mat, transpirable, aplicat amb dues capes.</t>
  </si>
  <si>
    <t>Pintat de parament vertical interior de guix amb amb pintura a la calç aèria CL90 amb acabat llis, a</t>
  </si>
  <si>
    <t>B896-.HJB</t>
  </si>
  <si>
    <t>Pintura a la calç aèria CL90 amb acabat llis, amb dues capes d'acabat. Pintura 100% mineral, noble, natural i ecològica d'acabat mat, transpirable, aplicat amb dues capes.</t>
  </si>
  <si>
    <t>Pintat tub acer,esmalt sint.,2antioxidant+2acabat,D 2 a 4 ¬</t>
  </si>
  <si>
    <t>B8Z6-0P2D</t>
  </si>
  <si>
    <t>Imprimació antioxidant</t>
  </si>
  <si>
    <t>B891-0P02</t>
  </si>
  <si>
    <t>Esmalt sintètic</t>
  </si>
  <si>
    <t>Tractament de protecció superficial de fusta, amb lasur a l'aigua a base de resines amb protector insecticida-fungicida, Cedria Nature Lasur ecológico o equivalent, amb components derivats de productes vegetals, lliure de compostos tòxics derivats del petroli, protecció solar enfront a rajos UV, transpirable, alta penetració en fusta, secatge ràpid, amb qualificació Ecolabel i qualitat d'aire A+, acabat satinat, aplicat en dues capes.</t>
  </si>
  <si>
    <t>Tractament de protecció superficial de fusta, amb lasur a l'aigua a base de resines amb protector in</t>
  </si>
  <si>
    <t>B8A0-.J0F</t>
  </si>
  <si>
    <t xml:space="preserve">Hidrofugat de paviment amb producte hidrofugant i oleofugant de base de dispersió de nanopartícules </t>
  </si>
  <si>
    <t>B755-.1F3</t>
  </si>
  <si>
    <t>Producte hidrofugant i oleofugant de base de dispersió de nanopartícules d'altes prestacions, tipus Tecnadis PRS Perfopore o equivalent, transparent i incolor, aplicat en dues capes.</t>
  </si>
  <si>
    <t>Recrescuda del suport de paviments, de 3 cm de gruix, amb morter mineral elàstic, amb morter de cime</t>
  </si>
  <si>
    <t>Capa de protecció de 4 cm de gruix amb morter mineral elàstic, amb morter de ciment 1:4 per terra ra</t>
  </si>
  <si>
    <t>Formació de paviment de peces ceràmiques de maó massís d'elaboració mecànica de 290x140x50 mm, cares</t>
  </si>
  <si>
    <t xml:space="preserve">Jardineria segons definició de plànols.
Espècies conservades:
Es mantindrà el nesprer existent. </t>
  </si>
  <si>
    <t xml:space="preserve">Paviment amb tres capes de terra existent mesclada amb aigua i estabilitzada amb calç aèria Eko-via </t>
  </si>
  <si>
    <t>Parquet industrial de fusta, de làmines de 15 mm, col·locat a trencajunts, adherit amb cautxú sintèt</t>
  </si>
  <si>
    <t>B9Q6-.3LW</t>
  </si>
  <si>
    <t>Sòcol per a paviment de formigó format per perfil d'acer inoxidable en L de 100x20, de 2,5 mm de gru</t>
  </si>
  <si>
    <t>B0A6-12X4</t>
  </si>
  <si>
    <t>Cargol autoroscant d'acer inoxidable</t>
  </si>
  <si>
    <t>B4R0-0LRP</t>
  </si>
  <si>
    <t>Acer inoxidable austenític de designació 1.4301 (AISI 304), en perfils laminats tipus L, rodó, quadrat, rectangular, hexagonal, planxa, treballat a taller</t>
  </si>
  <si>
    <t>Sòcol per a paviment de rajola hidràulica format per perfil d'acer inoxidable en L de 40x20 mm, de 2</t>
  </si>
  <si>
    <t>Sòcol per a paviment de parquet format per perfil d'acer inoxidable en C de 10x22x32 mm, de 2,5 mm d</t>
  </si>
  <si>
    <t>Esglaó de fusta de pi flandes per envernissar, de 5 cm de gruix, i 30 cm d'estesa, d'una peça, col·l</t>
  </si>
  <si>
    <t>B9V1-.H69</t>
  </si>
  <si>
    <t>Armadura de lloses de formigó amb malla electrosoldada de barres corrugades d'acer galvanitzat 15x15</t>
  </si>
  <si>
    <t>B0B8-.078</t>
  </si>
  <si>
    <t>Malla electrosoldada de barres corrugades d'acer galvanitzat 15x15 cm D:5-5 mm.</t>
  </si>
  <si>
    <t>PORTA INTERIOR I1 PER A UN BUIT D'OBRA DE 82X218CM, DE FULLA BATENT DE FUSTA AMB MARC DE FUSTA , AMB BASTIDOR INTERIOR DE FUSTA AMB FERRATGES I ANCORATGES D'ACER. MANETA D'ACER INOX. INTEGRADA A PARAMENT VERTICAL AMB FRONTISSES OCULTES. TOTALMENT COL·LOCADA I ACABADA SEGONS ESPECIFICACIONS DE PLÀNOLS. EL PREU UNITARI GLOBAL DE LA PARTIDA INCLOU EL % DE DESPESES INDIRECTES CONSIDERAT AL PRESSUPOST.</t>
  </si>
  <si>
    <t>PORTA INTERIOR I2 DE FUSTA DE PI PER A UN BUIT D'OBRA DE 82X218CM, DE FULLA CORREDISSA PER A L'INTERIOR DE LA PARET EXISTENT. AMB GUIA VISTA. TOTALMENT COL·LOCADA I ACABADA SEGONS ESPECIFICACIONS DE PLÀNOLS. EL PREU UNITARI GLOBAL DE LA PARTIDA INCLOU EL % DE DESPESES INDIRECTES CONSIDERAT AL PRESSUPOST.</t>
  </si>
  <si>
    <t>PORTA INTERIOR I3 PER A UN BUIT D'OBRA DE 82X218CM, DE FULLA BATENT DE FUSTA DE PI AMB MARC DE FUSTA , AMB BASTIDOR INTERIOR DE FUSTA AMB FERRATGES I ANCORATGES D'ACER. MANETA D'ACER INOX. AMB PANY MESTREJAT. TOTALMENT COL·LOCADA I ACABADA SEGONS ESPECIFICACIONS DE PLÀNOLS. EL PREU UNITARI GLOBAL DE LA PARTIDA INCLOU EL % DE DESPESES INDIRECTES CONSIDERAT AL PRESSUPOST.</t>
  </si>
  <si>
    <t>PORTA INTERIOR I4 PER UN BUIT D'OBRA DE 75X220 CM, DE FULLA PIVOTANT CEGA, AMB MARC DE PLATINA D'ACER DE 8 MM DE GRUIX. FULLA AMB BASTIDOR INTERIOR DE FUSTA AMB ACABAT DE DM PER PINTAR EN BLANC, AMB FERRATGES D'ACER I MANETA D'ACER INOX. MODEL EN ´´C´´ DE 16 MM DE DIÀMETRE, AMB PESTELL OCULT INTERIOR. TOTALMENT COL·LOCADA I ACABADA SEGONS ESPECIFICACIONS DE PLÀNOLS. EL PREU UNITARI GLOBAL DE LA PARTIDA INCLOU EL % DE DESPESES INDIRECTES CONSIDERAT AL PRESSUPOST.</t>
  </si>
  <si>
    <t>PORTA INTERIOR I5 CORREDISSA DE FUSTA, PER UN BUIT D'OBRA DE 80X220 CM. TOTALMENT COL·LOCADA I ACABADA SEGONS ESPECIFICACIONS DE PLÀNOLS. EL PREU UNITARI GLOBAL DE LA PARTIDA INCLOU EL % DE DESPESES INDIRECTES CONSIDERAT AL PRESSUPOST.</t>
  </si>
  <si>
    <t>PORTA INTERIOR I6 CORREDISSA DE FUSTA, PER UN BUIT D'OBRA DE 80X220 CM. TOTALMENT COL·LOCADA I ACABADA SEGONS ESPECIFICACIONS DE PLÀNOLS. EL PREU UNITARI GLOBAL DE LA PARTIDA INCLOU EL % DE DESPESES INDIRECTES CONSIDERAT AL PRESSUPOST.</t>
  </si>
  <si>
    <t>PORTA INTERIOR I7 PER ARMARI DE 275X69CM, DE TRES FULLES BATENTS CEGUES DE DM LLIS. TOTALMENT COL·LOCADA I ACABADA SEGONS ESPECIFICACIONS DE PLÀNOLS. EL PREU UNITARI GLOBAL DE LA PARTIDA INCLOU EL % DE DESPESES INDIRECTES CONSIDERAT AL PRESSUPOST.</t>
  </si>
  <si>
    <t>PAQB-.I08</t>
  </si>
  <si>
    <t xml:space="preserve">TANCAMENT INTERIOR INCLINAT I8 DE DIMENSIONS 501X129 CM, AMB FUSTERIA DE FUSTA (MARC DE 75MM) AMB 6 </t>
  </si>
  <si>
    <t>PAQB-.I09</t>
  </si>
  <si>
    <t xml:space="preserve">TANCAMENT INTERIOR INCLINAT I9 DE DIMENSIONS 499X161 CM, AMB FUSTERIA DE FUSTA (MARC DE 75MM) AMB 6 </t>
  </si>
  <si>
    <t>Passamà perfil acer,D=30 a 50 mm,sup.perfil acer,D=15mm,col.ancor.obra</t>
  </si>
  <si>
    <t>BB1A-0XQ0</t>
  </si>
  <si>
    <t>Passamà de perfil d'acer de 30 a 50 mm de diàmetre, i suports de perfil d'acer de 15 mm de diàmetre cada 2 m</t>
  </si>
  <si>
    <t>B07L-1PYB</t>
  </si>
  <si>
    <t>Morter per a ram de paleta de ciment, classe M 7.5 (7,5 N/mm2), de designació G segons norma UNE-EN 998-2, subministrat en sacs de 25 kg</t>
  </si>
  <si>
    <t>Mirall lluna incolora,g=5mm,col.fixat s/parament</t>
  </si>
  <si>
    <t>BC1K-0WNS</t>
  </si>
  <si>
    <t>Mirall de lluna incolora de gruix 5 mm</t>
  </si>
  <si>
    <t>B0A8-07MS</t>
  </si>
  <si>
    <t>Grapa metàl·lica per a fixar miralls</t>
  </si>
  <si>
    <t>Vidre aïllant, incolora 4+4.1 but.transparent/12/5+5.1 but.transparent, col.llistó vidre</t>
  </si>
  <si>
    <t>BC14-1MI2</t>
  </si>
  <si>
    <t>Vidre aïllant de lluna incolora de 4+4 mm de gruix amb 1 butiral transparent classe 2 (B) 2 segons UNE-EN 12600, cambra d'aire de 12 mm i lluna de 5+5 mm de gruix amb 1 butiral transparent de lluna incolora, classe 2 (B) 2 segons UNE-EN 12600</t>
  </si>
  <si>
    <t>BG3I-06VY</t>
  </si>
  <si>
    <t>Conductor de coure nu, unipolar de secció 1x6 mm2</t>
  </si>
  <si>
    <t>BGY3-0B2S</t>
  </si>
  <si>
    <t>Part proporcional d'elements especials per a conductors de coure nus</t>
  </si>
  <si>
    <t>Lavabo mural de Roca model Ona A327682000 o equivalent, de 450x360x150 mm, de color blanc, col·locat</t>
  </si>
  <si>
    <t>B7JE-0GTM</t>
  </si>
  <si>
    <t>dm3</t>
  </si>
  <si>
    <t>Massilla per a segellats, d'aplicació amb pistola, de base silicona neutra monocomponent</t>
  </si>
  <si>
    <t>BJ115-.QHM</t>
  </si>
  <si>
    <t>Plat de dutxa de Roca model Terran Stonex APA0132032001100 o equivalent, de 800x800x26 mm, antillisc</t>
  </si>
  <si>
    <t>BJ117-.PV0</t>
  </si>
  <si>
    <t xml:space="preserve">Inodor adaptat de Roca model Acces A46236000 o equivalent, suspès amb sortida horitzontal Rimless i </t>
  </si>
  <si>
    <t>BJ11O-0PMV</t>
  </si>
  <si>
    <t>Pasta per a segellar l'enllaç d'inodors, abocadors i plaques turques</t>
  </si>
  <si>
    <t>BJ11C-.CWQ</t>
  </si>
  <si>
    <t xml:space="preserve">Inodor de Roca model Meridian A462AL000 o equivalent, suspès amb sortida horitzontal Rimless i tapa </t>
  </si>
  <si>
    <t>BJ11C-.CWR</t>
  </si>
  <si>
    <t xml:space="preserve">Cisterna encastada per a inodor, de Roca model Duplo WC One A890070020 o equivalent, amb estructura </t>
  </si>
  <si>
    <t>BJ244-1PEN</t>
  </si>
  <si>
    <t>Mecanisme d'accionament manual per a inodor, acabat en acer inoxidable</t>
  </si>
  <si>
    <t>BJ11G-.P4A</t>
  </si>
  <si>
    <t>Pica de Roca model Redondo A870810453 o equivalent de 450x450x175 mm, de planxa d'acer inoxidable am</t>
  </si>
  <si>
    <t>BJ183-.PFE</t>
  </si>
  <si>
    <t>Pica de Roca model A872801C01 o equivalent de 800x500x180 mm, de planxa d'acer inoxidable amb dues p</t>
  </si>
  <si>
    <t>BJ183-.PEM</t>
  </si>
  <si>
    <t>Abocador de Roca model Garda o equivalent de 420x500x445 mm, de porcellana amb alimentació integrada</t>
  </si>
  <si>
    <t>BJ18A-.7WL</t>
  </si>
  <si>
    <t>Reixa/protecció,munt.aboc.porcell. Vitrif.,preu sup.</t>
  </si>
  <si>
    <t>BJ18B-0PN2</t>
  </si>
  <si>
    <t>Reixa feta amb acer inoxidable i protecció de goma per a abocador de porcellana vitrificada, preu superior</t>
  </si>
  <si>
    <t>Estruc.suport lavabo mural p/envà lleuger,h=1,2m,a=0,45 a 0,6 m,col.fix.mecàniques</t>
  </si>
  <si>
    <t>BJ1Z0-1J2C</t>
  </si>
  <si>
    <t>Estructura de suport per a lavabo mural, per anar en envà lleuger o de plaques, amb una alçària aproximada d'1,2 m i una amplària de 0,45 a 0,6 m</t>
  </si>
  <si>
    <t>Aixeta monocomandament per a aigüera de Roca model A5A831FC00 o equivalent, muntada superficialment,</t>
  </si>
  <si>
    <t>BJ210-.SFH</t>
  </si>
  <si>
    <t>Columna per a dutxa monocomandament termostàtica de Roca model T-Round A5A9A2EC00 o equivalent, mura</t>
  </si>
  <si>
    <t>BJ218-.RI8</t>
  </si>
  <si>
    <t>Aixeta electrònica per a lavabo de Roca model Ona-E A5A569EC00 o equivalent, muntada superficialment</t>
  </si>
  <si>
    <t>BJ219-.RA7</t>
  </si>
  <si>
    <t>Aixeta electrònica per a lavabo de Roca model Ona-E A5A569EC00 o equivalent, muntada superficialment sobre taulell o aparell sanitari, de llautó cromat, amb dues entrades de maniguets</t>
  </si>
  <si>
    <t xml:space="preserve">Aixeta mural per abocador de Roca model A5A858EC00 o equivalent, muntada superficialment, de llautó </t>
  </si>
  <si>
    <t>BJ21B-.R7P</t>
  </si>
  <si>
    <t>Sifó de botella per a lavabo, de Roca model A506403810 o equivalent, de llautó cromat d'1´´1/4 amb e</t>
  </si>
  <si>
    <t>BJ3E-.RN8</t>
  </si>
  <si>
    <t>Sifó de botella per a aigüera de dues piques, de Roca model A506405507 o equivalent, de PVC, de 50 m</t>
  </si>
  <si>
    <t>BJ3F-.SK1</t>
  </si>
  <si>
    <t>Sifó de botella per a aigüera d'una pica, de Roca model A506405407 o equivalent, de PVC, de 50 mm, c</t>
  </si>
  <si>
    <t>BJ3F-.SJY</t>
  </si>
  <si>
    <t>Porta-rotlles gegant de paper higiènic de Mediclinics model PRO783CS o equivalent, d'acer inoxidable</t>
  </si>
  <si>
    <t>BJ4Z-.68W</t>
  </si>
  <si>
    <t xml:space="preserve">Barra per a tovallola de Roca model Superinox A817307002 o equivalent, d'acer inoxidable, de tub de </t>
  </si>
  <si>
    <t>BJ4Z-.68O</t>
  </si>
  <si>
    <t xml:space="preserve">Seient abatible mural per a dutxa de bany adaptat de Roca model Access Pro A816923P30 o equivalent, </t>
  </si>
  <si>
    <t>BJ4Z-.68S</t>
  </si>
  <si>
    <t>Barra mural recta per a bany adaptat de Roca model Access Comfort A816929002 o equivalent, de 800 mm</t>
  </si>
  <si>
    <t>BJ4Z-.68K</t>
  </si>
  <si>
    <t>Barra mural fixa en angle per a bany adaptat de Roca model Access Pro A816937C20 o equivalent, de 84</t>
  </si>
  <si>
    <t>BJ4Z-.68X</t>
  </si>
  <si>
    <t xml:space="preserve">Barra mural doble abatible per a bany adaptat de Roca model Access Comfort A816933002 o equivalent, </t>
  </si>
  <si>
    <t>BJ4Z-.68C</t>
  </si>
  <si>
    <t>Dispensador electrònic de sabó amb sensor touchless de Roca model Ona A818020C00 o equivalent, de 45</t>
  </si>
  <si>
    <t>BJ4Z-.68D</t>
  </si>
  <si>
    <t>P-443</t>
  </si>
  <si>
    <t>P-444</t>
  </si>
  <si>
    <t>P-445</t>
  </si>
  <si>
    <t>P-446</t>
  </si>
  <si>
    <t>P-447</t>
  </si>
  <si>
    <t xml:space="preserve">MOBILIARI DE CAFETERIA DE 2,4 M DE LLARGADA, D'AGLOMERAT AMB LAMINAT ESTRATIFICAT AMB MODULS BAIXOS </t>
  </si>
  <si>
    <t>P-448</t>
  </si>
  <si>
    <t>BARRA DE BAR VOLADA DE MARBRE DE 2,4 M DE LLARGADA AMB PORTA INFERIOR D'ACCÉS DE 110 CM D'ALÇADA, AM</t>
  </si>
  <si>
    <t>P-449</t>
  </si>
  <si>
    <t>MOSTRADOR D'ATENCIÓ D'INFORMACIÓ DE 3,25 M DE LLARGADA EN L I 80 CM D'ALÇADA, AMB TANCAMENT DAVANTER</t>
  </si>
  <si>
    <t>P-450</t>
  </si>
  <si>
    <t>P-451</t>
  </si>
  <si>
    <t>P-452</t>
  </si>
  <si>
    <t>P-453</t>
  </si>
  <si>
    <t>P-454</t>
  </si>
  <si>
    <t>P-455</t>
  </si>
  <si>
    <t>P-456</t>
  </si>
  <si>
    <t>P-457</t>
  </si>
  <si>
    <t>P-458</t>
  </si>
  <si>
    <t>P-459</t>
  </si>
  <si>
    <t>P-460</t>
  </si>
  <si>
    <t>P-461</t>
  </si>
  <si>
    <t>P-462</t>
  </si>
  <si>
    <t>P-463</t>
  </si>
  <si>
    <t>P-464</t>
  </si>
  <si>
    <t>P-465</t>
  </si>
  <si>
    <t>Seient tipus “Luxemburg armchair” de Fermob o equivalent. El preu unitari global de la partida inclo</t>
  </si>
  <si>
    <t>BQ17-.05G</t>
  </si>
  <si>
    <t>Seient tipus “Luxemburg armchair” de Fermob o equivalent.</t>
  </si>
  <si>
    <t>P-466</t>
  </si>
  <si>
    <t>P-467</t>
  </si>
  <si>
    <t>P-468</t>
  </si>
  <si>
    <t>P-469</t>
  </si>
  <si>
    <t>P-470</t>
  </si>
  <si>
    <t>P-471</t>
  </si>
  <si>
    <t>ARMARI INTERIOR A6 PER A UN BUIT D'OBRA DE 270X67CM DE FONDÀRIA (2.75m X 2.2m alçada), DE FULLES BAT</t>
  </si>
  <si>
    <t>P-472</t>
  </si>
  <si>
    <t>ARMARI INTERIOR A7 PER A UN BUIT D'OBRA DE TRAPEZOIDAL DE 200X150CM DE FONDÀRIA (3.20m X 2.2m alçada</t>
  </si>
  <si>
    <t>P-473</t>
  </si>
  <si>
    <t>MOBILIARI D'OFFICE DE 2,7 M DE LLARGADA, D'AGLOMERAT AMB LAMINAT ESTRATIFICAT AMB MÒDULS ALTS DE 330</t>
  </si>
  <si>
    <t>P-474</t>
  </si>
  <si>
    <t>Eixugamans per aire calent amb sensor electrònic de presència, de Mediclinics model Machflow o equiv</t>
  </si>
  <si>
    <t>BQ82-.61M</t>
  </si>
  <si>
    <t>P-475</t>
  </si>
  <si>
    <t>Escobilla d'acer inoxidable de Roca model Superinox A817305002 o equivalent, col·locat amb fixacions</t>
  </si>
  <si>
    <t>BQZ5-.AA8</t>
  </si>
  <si>
    <t>P-476</t>
  </si>
  <si>
    <t xml:space="preserve">Penjador d'acer inoxidable de Roca model Superinox A817300002 o equivalent, col·locat amb fixacions </t>
  </si>
  <si>
    <t>BQZ5-.5IU</t>
  </si>
  <si>
    <t>P-477</t>
  </si>
  <si>
    <t>P-478</t>
  </si>
  <si>
    <t>P-479</t>
  </si>
  <si>
    <t>P-480</t>
  </si>
  <si>
    <t>P-481</t>
  </si>
  <si>
    <t>P-482</t>
  </si>
  <si>
    <t>P-483</t>
  </si>
  <si>
    <t>P-484</t>
  </si>
  <si>
    <t>Calç aèria hidratada CL 70-S,sacs</t>
  </si>
  <si>
    <t>Mort.ram paleta ciment M 7.5,sacs,G UNE-EN 998-2 25kg</t>
  </si>
  <si>
    <t>Fibres p/formigó de PP,llarg.=12 mm,classe Ia</t>
  </si>
  <si>
    <t>Cargol autorosc.,acer inox.</t>
  </si>
  <si>
    <t>Grapa metàl.,p/fix.mir.</t>
  </si>
  <si>
    <t>Acer inox.austenític 1.4301 (AISI 304),perf.lam.,L,rodó,rectang.,hex.,taller</t>
  </si>
  <si>
    <t xml:space="preserve">Producte hidrofugant i oleofugant de base de dispersió de nanopartícules d'altes prestacions, tipus </t>
  </si>
  <si>
    <t>Massilla segell.,silicona neut. Monocomponent</t>
  </si>
  <si>
    <t>Esmalt sint.</t>
  </si>
  <si>
    <t xml:space="preserve">Pintura a la calç aèria CL90 amb acabat llis, amb dues capes d'acabat. Pintura 100% mineral, noble, </t>
  </si>
  <si>
    <t>Esglaó de tauler tricapa conformada, de 16 mm de gruix, de 300 mm d'amplada i 150 mm d'alçada, per a</t>
  </si>
  <si>
    <t>Passamà perfil acer,D=30 a 50 mm,sup.perfil acer,D=15mm</t>
  </si>
  <si>
    <t>Vidre aïllant, incolora 4+4.1 but.transparent/12/5+5.1 but.transparent</t>
  </si>
  <si>
    <t>Mirall lluna incolora,g=5mm</t>
  </si>
  <si>
    <t>Conductor Cu nu,1x6mm2</t>
  </si>
  <si>
    <t>P.p.elem.especials p/conduc.Cu.nus</t>
  </si>
  <si>
    <t xml:space="preserve">Lavabo mural de Roca model Ona A327682000, de 450x360x150 mm, de color blanc, col·locat amb suports </t>
  </si>
  <si>
    <t>Pasta segell.enll.</t>
  </si>
  <si>
    <t>Pica de Roca model Redondo A870810453 de 450x450x175 mm, de planxa d'acer inoxidable amb una pica ci</t>
  </si>
  <si>
    <t>Reixa/protector aboca.porcell. Vitrif.,preu sup.</t>
  </si>
  <si>
    <t>Estruc.suport lavabo mural p/envà lleuger,h=1,2m,a=0,45 a 0,6 m</t>
  </si>
  <si>
    <t>Mecanisme accionam.manual p/inod.,acabat acer inox.</t>
  </si>
  <si>
    <t>V_1 nau</t>
  </si>
  <si>
    <t>V_1 casa del mig</t>
  </si>
  <si>
    <t>V_2 casa del mig</t>
  </si>
  <si>
    <t>V_2 casa de dalt</t>
  </si>
  <si>
    <t>V_4 nau</t>
  </si>
  <si>
    <t>Tram horitzontal nau</t>
  </si>
  <si>
    <t>Tram horitzontal casa del mig</t>
  </si>
  <si>
    <t>I1</t>
  </si>
  <si>
    <t>I2</t>
  </si>
  <si>
    <t>I3</t>
  </si>
  <si>
    <t>I4</t>
  </si>
  <si>
    <t>I5</t>
  </si>
  <si>
    <t>I6</t>
  </si>
  <si>
    <t>I7</t>
  </si>
  <si>
    <t>01.04.02.010</t>
  </si>
  <si>
    <t>01.05.01.010</t>
  </si>
  <si>
    <t>01.05.01.011</t>
  </si>
  <si>
    <t>01.05.01.012</t>
  </si>
  <si>
    <t>01.05.01.013</t>
  </si>
  <si>
    <t>Perímetre</t>
  </si>
  <si>
    <t>01.05.01.014</t>
  </si>
  <si>
    <t>01.05.01.015</t>
  </si>
  <si>
    <t>01.05.01.016</t>
  </si>
  <si>
    <t>01.05.01.017</t>
  </si>
  <si>
    <t>01.05.01.018</t>
  </si>
  <si>
    <t>V_3 casa de dalt</t>
  </si>
  <si>
    <t>cares</t>
  </si>
  <si>
    <t xml:space="preserve">01.04.02/PAQB-.I08 TANCAMENT INTERIOR INCLINAT I8 DE DIMENSIONS 501X129 CM, AMB FUSTERIA DE FUSTA (MARC DE 75MM) AMB 6 </t>
  </si>
  <si>
    <t xml:space="preserve">01.04.02/PAQB-.I09 TANCAMENT INTERIOR INCLINAT I9 DE DIMENSIONS 499X161 CM, AMB FUSTERIA DE FUSTA (MARC DE 75MM) AMB 6 </t>
  </si>
  <si>
    <t>01.05.01/P9V4-.9E0 Esglaó de fusta de pi flandes per envernissar, de 5 cm de gruix, i 30 cm d'estesa, d'una peça, col·l</t>
  </si>
  <si>
    <t>01.05.02.009</t>
  </si>
  <si>
    <t>01.06.03.03.002</t>
  </si>
  <si>
    <t>01.06.03.03.003</t>
  </si>
  <si>
    <t>01.06.03.03.004</t>
  </si>
  <si>
    <t>01.06.03.03.005</t>
  </si>
  <si>
    <t>01.06.03.03.006</t>
  </si>
  <si>
    <t>01.06.03.03.007</t>
  </si>
  <si>
    <t>01.06.03.03.008</t>
  </si>
  <si>
    <t>01.06.03.03.009</t>
  </si>
  <si>
    <t>01.06.03.03.010</t>
  </si>
  <si>
    <t>01.06.03.03.011</t>
  </si>
  <si>
    <t>01.06.03.03.012</t>
  </si>
  <si>
    <t>01.06.03.03.013</t>
  </si>
  <si>
    <t>Casa de dalt office</t>
  </si>
  <si>
    <t>01.06.03.03.014</t>
  </si>
  <si>
    <t>01.06.03.03.015</t>
  </si>
  <si>
    <t>Casa del mig cafeteria</t>
  </si>
  <si>
    <t>01.06.03.03.016</t>
  </si>
  <si>
    <t>01.06.03.03.017</t>
  </si>
  <si>
    <t>01.07.01.009</t>
  </si>
  <si>
    <t>01.07.01.010</t>
  </si>
  <si>
    <t>01.07.01.011</t>
  </si>
  <si>
    <t>01.07.02.001</t>
  </si>
  <si>
    <t>01.07.02.002</t>
  </si>
  <si>
    <t>01.07.02.003</t>
  </si>
  <si>
    <t>01.07.02.004</t>
  </si>
  <si>
    <t>01.07.02.005</t>
  </si>
  <si>
    <t>01.07.02.006</t>
  </si>
  <si>
    <t>01.07.02.007</t>
  </si>
  <si>
    <t>01.07.02.008</t>
  </si>
  <si>
    <t>01.07.02.009</t>
  </si>
  <si>
    <t>01.07.02.010</t>
  </si>
  <si>
    <t>01.07.02.011</t>
  </si>
  <si>
    <t>01.07.02.012</t>
  </si>
  <si>
    <t>01.07.02.013</t>
  </si>
  <si>
    <t>01.08.03.002</t>
  </si>
  <si>
    <t>Exterior</t>
  </si>
  <si>
    <t>01.08.04.003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</si>
</sst>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00"/>
    <numFmt numFmtId="166" formatCode="###,###,##0.00000"/>
    <numFmt numFmtId="167" formatCode="#,##0.000"/>
    <numFmt numFmtId="168" formatCode="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11"/>
      <color rgb="FF008000"/>
      <name val="Calibri"/>
      <family val="2"/>
    </font>
    <font>
      <b/>
      <sz val="8"/>
      <color theme="1"/>
      <name val="Calibri"/>
      <family val="2"/>
    </font>
    <font>
      <sz val="8"/>
      <color rgb="FFFF0000"/>
      <name val="Calibri"/>
      <family val="2"/>
    </font>
    <font>
      <b/>
      <sz val="9"/>
      <color rgb="FF000000"/>
      <name val="Calibri"/>
      <family val="2"/>
    </font>
  </fonts>
  <fills count="14">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rgb="FF00FFFF"/>
        <bgColor rgb="FF00FFFF"/>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34998626667073579"/>
        <bgColor rgb="FFC0C0C0"/>
      </patternFill>
    </fill>
    <fill>
      <patternFill patternType="solid">
        <fgColor theme="0" tint="-0.14999847407452621"/>
        <bgColor rgb="FFC0C0C0"/>
      </patternFill>
    </fill>
    <fill>
      <patternFill patternType="solid">
        <fgColor theme="0" tint="-0.249977111117893"/>
        <bgColor indexed="64"/>
      </patternFill>
    </fill>
    <fill>
      <patternFill patternType="solid">
        <fgColor rgb="FFA6A6A6"/>
        <bgColor rgb="FF000000"/>
      </patternFill>
    </fill>
    <fill>
      <patternFill patternType="solid">
        <fgColor rgb="FFD9D9D9"/>
        <bgColor rgb="FF000000"/>
      </patternFill>
    </fill>
    <fill>
      <patternFill patternType="solid">
        <fgColor theme="0" tint="-0.34998626667073579"/>
        <bgColor rgb="FF000000"/>
      </patternFill>
    </fill>
  </fills>
  <borders count="4">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theme="0" tint="-0.34998626667073579"/>
      </bottom>
      <diagonal/>
    </border>
  </borders>
  <cellStyleXfs count="2">
    <xf numFmtId="0" fontId="0" fillId="0" borderId="0" applyNumberFormat="0" applyBorder="0" applyAlignment="0"/>
    <xf numFmtId="9" fontId="7" fillId="0" borderId="0" applyFont="0" applyFill="0" applyBorder="0" applyAlignment="0" applyProtection="0"/>
  </cellStyleXfs>
  <cellXfs count="103">
    <xf numFmtId="0" fontId="0" fillId="0" borderId="0" xfId="0"/>
    <xf numFmtId="0" fontId="0" fillId="0" borderId="0" xfId="0" applyAlignment="1">
      <alignment vertical="top"/>
    </xf>
    <xf numFmtId="0" fontId="0" fillId="0" borderId="0" xfId="0" applyAlignment="1">
      <alignment horizontal="justify" vertical="top" wrapText="1"/>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0" fontId="1" fillId="0" borderId="0" xfId="0" applyFont="1" applyAlignment="1">
      <alignment wrapText="1"/>
    </xf>
    <xf numFmtId="0" fontId="4" fillId="0" borderId="0" xfId="0"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7" fillId="5" borderId="0" xfId="0" applyFont="1" applyFill="1" applyProtection="1">
      <protection locked="0"/>
    </xf>
    <xf numFmtId="165" fontId="7" fillId="5" borderId="2" xfId="0" applyNumberFormat="1" applyFont="1" applyFill="1" applyBorder="1" applyAlignment="1" applyProtection="1">
      <alignment horizontal="right"/>
      <protection locked="0"/>
    </xf>
    <xf numFmtId="165" fontId="7" fillId="5" borderId="2" xfId="0" applyNumberFormat="1" applyFont="1" applyFill="1" applyBorder="1" applyProtection="1">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8" fillId="4" borderId="0" xfId="0" applyFont="1" applyFill="1" applyProtection="1">
      <protection locked="0"/>
    </xf>
    <xf numFmtId="165" fontId="8" fillId="4" borderId="2" xfId="0" applyNumberFormat="1" applyFont="1" applyFill="1" applyBorder="1" applyAlignment="1" applyProtection="1">
      <alignment horizontal="right"/>
      <protection locked="0"/>
    </xf>
    <xf numFmtId="165" fontId="8" fillId="4" borderId="2" xfId="0" applyNumberFormat="1" applyFont="1" applyFill="1" applyBorder="1" applyProtection="1">
      <protection locked="0"/>
    </xf>
    <xf numFmtId="167" fontId="1" fillId="0" borderId="0" xfId="0" applyNumberFormat="1" applyFont="1"/>
    <xf numFmtId="4" fontId="1" fillId="0" borderId="0" xfId="0" applyNumberFormat="1" applyFont="1"/>
    <xf numFmtId="167" fontId="3" fillId="9" borderId="0" xfId="0" applyNumberFormat="1" applyFont="1" applyFill="1" applyAlignment="1">
      <alignment horizontal="right"/>
    </xf>
    <xf numFmtId="167" fontId="3" fillId="8" borderId="0" xfId="0" applyNumberFormat="1" applyFont="1" applyFill="1" applyAlignment="1">
      <alignment horizontal="right"/>
    </xf>
    <xf numFmtId="4" fontId="1" fillId="10" borderId="0" xfId="0" applyNumberFormat="1" applyFont="1" applyFill="1" applyAlignment="1">
      <alignment horizontal="right"/>
    </xf>
    <xf numFmtId="4" fontId="0" fillId="0" borderId="0" xfId="0" applyNumberFormat="1"/>
    <xf numFmtId="167" fontId="3" fillId="3" borderId="0" xfId="0" applyNumberFormat="1" applyFont="1" applyFill="1" applyAlignment="1"/>
    <xf numFmtId="167" fontId="0" fillId="0" borderId="0" xfId="0" applyNumberFormat="1"/>
    <xf numFmtId="9" fontId="1" fillId="0" borderId="0" xfId="0" applyNumberFormat="1" applyFont="1"/>
    <xf numFmtId="4" fontId="1" fillId="0" borderId="0" xfId="0" applyNumberFormat="1" applyFont="1" applyAlignment="1">
      <alignment horizontal="center"/>
    </xf>
    <xf numFmtId="168" fontId="3" fillId="9" borderId="0" xfId="0" applyNumberFormat="1" applyFont="1" applyFill="1" applyAlignment="1">
      <alignment horizontal="right"/>
    </xf>
    <xf numFmtId="168" fontId="1" fillId="0" borderId="0" xfId="0" applyNumberFormat="1" applyFont="1"/>
    <xf numFmtId="9" fontId="1" fillId="0" borderId="0" xfId="1" applyFont="1"/>
    <xf numFmtId="167" fontId="1" fillId="6" borderId="0" xfId="0" applyNumberFormat="1" applyFont="1" applyFill="1"/>
    <xf numFmtId="4" fontId="10" fillId="0" borderId="0" xfId="0" applyNumberFormat="1" applyFont="1" applyAlignment="1">
      <alignment horizontal="center"/>
    </xf>
    <xf numFmtId="4" fontId="3" fillId="6" borderId="0" xfId="0" applyNumberFormat="1" applyFont="1" applyFill="1" applyAlignment="1">
      <alignment horizontal="right"/>
    </xf>
    <xf numFmtId="4" fontId="3" fillId="8" borderId="0" xfId="0" applyNumberFormat="1" applyFont="1" applyFill="1" applyBorder="1" applyAlignment="1">
      <alignment horizontal="right"/>
    </xf>
    <xf numFmtId="4" fontId="1" fillId="6" borderId="0" xfId="0" applyNumberFormat="1" applyFont="1" applyFill="1" applyBorder="1"/>
    <xf numFmtId="4" fontId="3" fillId="6" borderId="0" xfId="0" applyNumberFormat="1" applyFont="1" applyFill="1" applyBorder="1"/>
    <xf numFmtId="4" fontId="1" fillId="11" borderId="0" xfId="0" applyNumberFormat="1" applyFont="1" applyFill="1" applyBorder="1"/>
    <xf numFmtId="4" fontId="3" fillId="11" borderId="0" xfId="0" applyNumberFormat="1" applyFont="1" applyFill="1" applyBorder="1"/>
    <xf numFmtId="167" fontId="1" fillId="0" borderId="0" xfId="0" applyNumberFormat="1" applyFont="1" applyBorder="1"/>
    <xf numFmtId="167" fontId="3" fillId="0" borderId="0" xfId="0" applyNumberFormat="1" applyFont="1" applyBorder="1"/>
    <xf numFmtId="4" fontId="1" fillId="0" borderId="0" xfId="0" applyNumberFormat="1" applyFont="1" applyBorder="1"/>
    <xf numFmtId="4" fontId="3" fillId="0" borderId="0" xfId="0" applyNumberFormat="1" applyFont="1" applyBorder="1"/>
    <xf numFmtId="167" fontId="3" fillId="6" borderId="0" xfId="0" applyNumberFormat="1" applyFont="1" applyFill="1" applyBorder="1" applyAlignment="1">
      <alignment horizontal="right"/>
    </xf>
    <xf numFmtId="168" fontId="3" fillId="8" borderId="0" xfId="0" applyNumberFormat="1" applyFont="1" applyFill="1" applyAlignment="1">
      <alignment horizontal="right"/>
    </xf>
    <xf numFmtId="164" fontId="11" fillId="0" borderId="0" xfId="0" applyNumberFormat="1" applyFont="1"/>
    <xf numFmtId="4" fontId="11" fillId="0" borderId="0" xfId="0" applyNumberFormat="1" applyFont="1"/>
    <xf numFmtId="0" fontId="11" fillId="0" borderId="0" xfId="0" applyFont="1"/>
    <xf numFmtId="4" fontId="1" fillId="7" borderId="0" xfId="0" applyNumberFormat="1" applyFont="1" applyFill="1" applyBorder="1"/>
    <xf numFmtId="4" fontId="3" fillId="7" borderId="0" xfId="0" applyNumberFormat="1" applyFont="1" applyFill="1" applyBorder="1"/>
    <xf numFmtId="4" fontId="3" fillId="9" borderId="0" xfId="0" applyNumberFormat="1" applyFont="1" applyFill="1" applyBorder="1" applyAlignment="1">
      <alignment horizontal="right"/>
    </xf>
    <xf numFmtId="168" fontId="1" fillId="0" borderId="0" xfId="0" applyNumberFormat="1" applyFont="1" applyBorder="1"/>
    <xf numFmtId="167" fontId="1" fillId="0" borderId="0" xfId="0" quotePrefix="1" applyNumberFormat="1" applyFont="1" applyBorder="1"/>
    <xf numFmtId="164" fontId="3" fillId="6" borderId="0" xfId="0" applyNumberFormat="1" applyFont="1" applyFill="1" applyBorder="1"/>
    <xf numFmtId="164" fontId="3" fillId="7" borderId="0" xfId="0" applyNumberFormat="1" applyFont="1" applyFill="1" applyBorder="1"/>
    <xf numFmtId="4" fontId="1" fillId="13" borderId="0" xfId="0" applyNumberFormat="1" applyFont="1" applyFill="1" applyBorder="1"/>
    <xf numFmtId="4" fontId="1" fillId="12" borderId="0" xfId="0" applyNumberFormat="1" applyFont="1" applyFill="1" applyBorder="1"/>
    <xf numFmtId="164" fontId="3" fillId="0" borderId="0" xfId="0" applyNumberFormat="1" applyFont="1" applyBorder="1"/>
    <xf numFmtId="4" fontId="9" fillId="6" borderId="0" xfId="0" applyNumberFormat="1" applyFont="1" applyFill="1" applyBorder="1"/>
    <xf numFmtId="0" fontId="1" fillId="0" borderId="0" xfId="0" applyFont="1" applyBorder="1"/>
    <xf numFmtId="0" fontId="3" fillId="0" borderId="0" xfId="0" applyFont="1" applyBorder="1"/>
    <xf numFmtId="168" fontId="3" fillId="0" borderId="0" xfId="0" applyNumberFormat="1" applyFont="1" applyBorder="1"/>
    <xf numFmtId="0" fontId="2" fillId="2" borderId="0" xfId="0" applyFont="1" applyFill="1" applyAlignment="1">
      <alignment horizontal="center" wrapText="1"/>
    </xf>
    <xf numFmtId="0" fontId="3" fillId="0" borderId="0" xfId="0" applyFont="1" applyAlignment="1">
      <alignment wrapText="1"/>
    </xf>
    <xf numFmtId="0" fontId="11" fillId="0" borderId="0" xfId="0" applyFont="1" applyAlignment="1">
      <alignment wrapText="1"/>
    </xf>
    <xf numFmtId="49" fontId="4" fillId="0" borderId="0" xfId="0" applyNumberFormat="1" applyFont="1" applyAlignment="1">
      <alignment vertical="top"/>
    </xf>
    <xf numFmtId="165" fontId="4" fillId="4" borderId="0" xfId="0" applyNumberFormat="1" applyFont="1" applyFill="1" applyAlignment="1" applyProtection="1">
      <alignment vertical="top"/>
      <protection locked="0"/>
    </xf>
    <xf numFmtId="167" fontId="3" fillId="7" borderId="0" xfId="0" applyNumberFormat="1" applyFont="1" applyFill="1" applyAlignment="1">
      <alignment horizontal="right"/>
    </xf>
    <xf numFmtId="0" fontId="3" fillId="0" borderId="0" xfId="0" applyFont="1"/>
    <xf numFmtId="0" fontId="1" fillId="0" borderId="0" xfId="0" applyFont="1"/>
    <xf numFmtId="4" fontId="3" fillId="6" borderId="0" xfId="0" applyNumberFormat="1" applyFont="1" applyFill="1" applyAlignment="1">
      <alignment horizontal="right"/>
    </xf>
    <xf numFmtId="0" fontId="1" fillId="0" borderId="0" xfId="0" applyFont="1" applyAlignment="1">
      <alignment horizontal="right"/>
    </xf>
    <xf numFmtId="0" fontId="3" fillId="0" borderId="3" xfId="0" applyFont="1" applyBorder="1" applyAlignment="1">
      <alignment horizontal="right"/>
    </xf>
    <xf numFmtId="0" fontId="3" fillId="0" borderId="3" xfId="0" applyFont="1" applyBorder="1" applyAlignment="1">
      <alignment horizontal="right" wrapText="1"/>
    </xf>
    <xf numFmtId="4" fontId="11" fillId="0" borderId="0" xfId="0" applyNumberFormat="1" applyFont="1" applyAlignment="1">
      <alignment horizontal="right"/>
    </xf>
    <xf numFmtId="4" fontId="11" fillId="0" borderId="0" xfId="0" applyNumberFormat="1" applyFont="1"/>
    <xf numFmtId="4" fontId="1" fillId="0" borderId="0" xfId="0" applyNumberFormat="1" applyFont="1" applyAlignment="1">
      <alignment horizontal="center"/>
    </xf>
    <xf numFmtId="0" fontId="11" fillId="0" borderId="0" xfId="0" applyFont="1"/>
    <xf numFmtId="0" fontId="0" fillId="0" borderId="0" xfId="0" applyAlignment="1">
      <alignment horizontal="justify" vertical="top" wrapText="1"/>
    </xf>
    <xf numFmtId="0" fontId="0" fillId="0" borderId="0" xfId="0" applyAlignment="1">
      <alignment vertical="top"/>
    </xf>
    <xf numFmtId="165" fontId="4" fillId="4" borderId="0" xfId="0" applyNumberFormat="1" applyFont="1" applyFill="1" applyAlignment="1" applyProtection="1">
      <alignment horizontal="left" vertical="top"/>
      <protection locked="0"/>
    </xf>
    <xf numFmtId="0" fontId="0" fillId="4" borderId="0" xfId="0" applyFill="1" applyAlignment="1" applyProtection="1">
      <alignment vertical="top"/>
      <protection locked="0"/>
    </xf>
    <xf numFmtId="0" fontId="5" fillId="0" borderId="0" xfId="0" applyFont="1"/>
    <xf numFmtId="0" fontId="2" fillId="2" borderId="0" xfId="0" applyFont="1" applyFill="1" applyAlignment="1">
      <alignment horizontal="center"/>
    </xf>
    <xf numFmtId="0" fontId="4" fillId="0" borderId="0" xfId="0" applyFont="1" applyAlignment="1">
      <alignment horizontal="justify"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25"/>
  <sheetViews>
    <sheetView tabSelected="1" zoomScale="93" zoomScaleNormal="93" workbookViewId="0">
      <pane ySplit="9" topLeftCell="A989" activePane="bottomLeft" state="frozenSplit"/>
      <selection pane="bottomLeft" activeCell="V315" sqref="V315:V317"/>
    </sheetView>
  </sheetViews>
  <sheetFormatPr baseColWidth="10" defaultColWidth="9.1640625" defaultRowHeight="15" x14ac:dyDescent="0.2"/>
  <cols>
    <col min="1" max="1" width="18.6640625" customWidth="1"/>
    <col min="2" max="2" width="3.5" customWidth="1"/>
    <col min="3" max="3" width="13.6640625" customWidth="1"/>
    <col min="4" max="4" width="4.5" customWidth="1"/>
    <col min="5" max="5" width="48.6640625" style="26" customWidth="1"/>
    <col min="6" max="7" width="12.6640625" customWidth="1"/>
    <col min="8" max="8" width="13.6640625" customWidth="1"/>
    <col min="9" max="9" width="9.1640625" style="36"/>
    <col min="10" max="10" width="9.1640625" style="37" customWidth="1"/>
    <col min="11" max="11" width="9.1640625" style="36" customWidth="1"/>
    <col min="12" max="18" width="9.1640625" style="37"/>
    <col min="19" max="19" width="9.1640625" style="36"/>
    <col min="20" max="20" width="9.1640625" style="37"/>
    <col min="21" max="21" width="9.1640625" style="36"/>
    <col min="22" max="22" width="9.1640625" style="37"/>
    <col min="23" max="23" width="9.1640625" style="47"/>
    <col min="24" max="24" width="9.1640625" style="37"/>
    <col min="25" max="25" width="9.1640625" style="36"/>
    <col min="26" max="26" width="9.1640625" style="37"/>
    <col min="28" max="29" width="10.1640625" bestFit="1" customWidth="1"/>
  </cols>
  <sheetData>
    <row r="1" spans="1:26" x14ac:dyDescent="0.2">
      <c r="E1" s="86" t="s">
        <v>0</v>
      </c>
      <c r="F1" s="86" t="s">
        <v>0</v>
      </c>
      <c r="G1" s="86" t="s">
        <v>0</v>
      </c>
      <c r="H1" s="86" t="s">
        <v>0</v>
      </c>
    </row>
    <row r="2" spans="1:26" x14ac:dyDescent="0.2">
      <c r="E2" s="86" t="s">
        <v>1</v>
      </c>
      <c r="F2" s="86" t="s">
        <v>1</v>
      </c>
      <c r="G2" s="86" t="s">
        <v>1</v>
      </c>
      <c r="H2" s="86" t="s">
        <v>1</v>
      </c>
    </row>
    <row r="3" spans="1:26" x14ac:dyDescent="0.2">
      <c r="E3" s="87"/>
      <c r="F3" s="87"/>
      <c r="G3" s="87"/>
      <c r="H3" s="87"/>
      <c r="I3" s="36" t="s">
        <v>3982</v>
      </c>
      <c r="L3" s="37">
        <f>L5/Z6</f>
        <v>0.41644699140401148</v>
      </c>
      <c r="T3" s="37">
        <f>T5/Z6</f>
        <v>0.27823782234957023</v>
      </c>
      <c r="V3" s="37">
        <f>V5/Z6</f>
        <v>0.12909742120343839</v>
      </c>
      <c r="X3" s="37">
        <f>0.17</f>
        <v>0.17</v>
      </c>
      <c r="Y3" s="37">
        <f>1</f>
        <v>1</v>
      </c>
    </row>
    <row r="4" spans="1:26" x14ac:dyDescent="0.2">
      <c r="E4" s="87"/>
      <c r="F4" s="87"/>
      <c r="G4" s="87"/>
      <c r="H4" s="87"/>
      <c r="I4" s="37" t="s">
        <v>3936</v>
      </c>
      <c r="L4" s="37">
        <f>159+50+4.1+1.9+1.4+7.9+11.8+3.6</f>
        <v>239.70000000000002</v>
      </c>
      <c r="T4" s="37">
        <f>3.2+53+4.45+33.7+4.15+3.2+1.9+2.1+54.45</f>
        <v>160.15000000000003</v>
      </c>
      <c r="V4" s="37">
        <f>11+4.5+3.7+17+11.3+2.2+18.6+2.2+3.8</f>
        <v>74.300000000000011</v>
      </c>
      <c r="Y4" s="36">
        <f>L4+T4+V4</f>
        <v>474.15000000000003</v>
      </c>
    </row>
    <row r="5" spans="1:26" x14ac:dyDescent="0.2">
      <c r="I5" s="36" t="s">
        <v>3983</v>
      </c>
      <c r="K5" s="37"/>
      <c r="L5" s="37">
        <f>290.68</f>
        <v>290.68</v>
      </c>
      <c r="T5" s="37">
        <f>194.21</f>
        <v>194.21</v>
      </c>
      <c r="V5" s="37">
        <f>90.11</f>
        <v>90.11</v>
      </c>
      <c r="X5" s="37">
        <v>123</v>
      </c>
    </row>
    <row r="6" spans="1:26" x14ac:dyDescent="0.2">
      <c r="I6" s="36" t="s">
        <v>3984</v>
      </c>
      <c r="K6" s="37"/>
      <c r="Y6" s="36">
        <f>L5+T5+V5</f>
        <v>575</v>
      </c>
      <c r="Z6" s="37">
        <f>Y6+X5</f>
        <v>698</v>
      </c>
    </row>
    <row r="7" spans="1:26" ht="20" x14ac:dyDescent="0.25">
      <c r="C7" s="4"/>
      <c r="D7" s="4"/>
      <c r="E7" s="80" t="s">
        <v>2</v>
      </c>
      <c r="F7" s="4"/>
      <c r="G7" s="4"/>
      <c r="H7" s="4"/>
      <c r="I7" s="49"/>
      <c r="J7" s="88" t="s">
        <v>3890</v>
      </c>
      <c r="K7" s="88"/>
      <c r="L7" s="88"/>
      <c r="M7" s="51"/>
      <c r="N7" s="51"/>
      <c r="O7" s="51"/>
      <c r="P7" s="51"/>
      <c r="Q7" s="51"/>
      <c r="R7" s="51"/>
      <c r="S7" s="85" t="s">
        <v>3891</v>
      </c>
      <c r="T7" s="85"/>
      <c r="U7" s="85"/>
      <c r="V7" s="85"/>
      <c r="W7" s="85"/>
      <c r="X7" s="85"/>
    </row>
    <row r="8" spans="1:26" x14ac:dyDescent="0.2">
      <c r="I8" s="90" t="s">
        <v>3892</v>
      </c>
      <c r="J8" s="90"/>
      <c r="K8" s="90" t="s">
        <v>3893</v>
      </c>
      <c r="L8" s="90"/>
      <c r="M8" s="90" t="s">
        <v>3221</v>
      </c>
      <c r="N8" s="90"/>
      <c r="O8" s="90" t="s">
        <v>3286</v>
      </c>
      <c r="P8" s="90"/>
      <c r="Q8" s="90" t="s">
        <v>3894</v>
      </c>
      <c r="R8" s="90"/>
      <c r="S8" s="91" t="s">
        <v>4025</v>
      </c>
      <c r="T8" s="91"/>
      <c r="U8" s="90" t="s">
        <v>3286</v>
      </c>
      <c r="V8" s="90"/>
      <c r="W8" s="90" t="s">
        <v>3894</v>
      </c>
      <c r="X8" s="90"/>
      <c r="Y8" s="89" t="s">
        <v>3895</v>
      </c>
      <c r="Z8" s="89"/>
    </row>
    <row r="9" spans="1:26" x14ac:dyDescent="0.2">
      <c r="F9" s="5" t="s">
        <v>3</v>
      </c>
      <c r="G9" s="5" t="s">
        <v>4</v>
      </c>
      <c r="H9" s="5" t="s">
        <v>5</v>
      </c>
      <c r="I9" s="39" t="s">
        <v>4</v>
      </c>
      <c r="J9" s="52" t="s">
        <v>5</v>
      </c>
      <c r="K9" s="39" t="s">
        <v>4</v>
      </c>
      <c r="L9" s="52" t="s">
        <v>5</v>
      </c>
      <c r="M9" s="61" t="s">
        <v>4</v>
      </c>
      <c r="N9" s="52" t="s">
        <v>5</v>
      </c>
      <c r="O9" s="61" t="s">
        <v>4</v>
      </c>
      <c r="P9" s="52" t="s">
        <v>5</v>
      </c>
      <c r="Q9" s="62" t="s">
        <v>4</v>
      </c>
      <c r="R9" s="52" t="s">
        <v>5</v>
      </c>
      <c r="S9" s="38" t="s">
        <v>4</v>
      </c>
      <c r="T9" s="68" t="s">
        <v>5</v>
      </c>
      <c r="U9" s="38" t="s">
        <v>4</v>
      </c>
      <c r="V9" s="68" t="s">
        <v>5</v>
      </c>
      <c r="W9" s="46" t="s">
        <v>4</v>
      </c>
      <c r="X9" s="68" t="s">
        <v>5</v>
      </c>
      <c r="Y9" s="42" t="s">
        <v>3896</v>
      </c>
      <c r="Z9" s="40" t="s">
        <v>3897</v>
      </c>
    </row>
    <row r="10" spans="1:26" x14ac:dyDescent="0.2">
      <c r="J10" s="53"/>
      <c r="K10" s="57"/>
      <c r="L10" s="53"/>
      <c r="M10" s="57"/>
      <c r="N10" s="53"/>
      <c r="O10" s="59"/>
      <c r="P10" s="53"/>
      <c r="Q10" s="69"/>
      <c r="R10" s="53"/>
      <c r="S10" s="57"/>
      <c r="T10" s="66"/>
      <c r="U10" s="57"/>
      <c r="V10" s="66"/>
      <c r="W10" s="69"/>
      <c r="X10" s="66"/>
    </row>
    <row r="11" spans="1:26" x14ac:dyDescent="0.2">
      <c r="C11" s="6" t="s">
        <v>6</v>
      </c>
      <c r="D11" s="7" t="s">
        <v>7</v>
      </c>
      <c r="E11" s="81" t="s">
        <v>8</v>
      </c>
      <c r="J11" s="53"/>
      <c r="K11" s="57"/>
      <c r="L11" s="53"/>
      <c r="M11" s="57"/>
      <c r="N11" s="53"/>
      <c r="O11" s="59"/>
      <c r="P11" s="53"/>
      <c r="Q11" s="69"/>
      <c r="R11" s="53"/>
      <c r="S11" s="57"/>
      <c r="T11" s="66"/>
      <c r="U11" s="57"/>
      <c r="V11" s="66"/>
      <c r="W11" s="69"/>
      <c r="X11" s="66"/>
    </row>
    <row r="12" spans="1:26" x14ac:dyDescent="0.2">
      <c r="C12" s="6" t="s">
        <v>9</v>
      </c>
      <c r="D12" s="7" t="s">
        <v>7</v>
      </c>
      <c r="E12" s="81" t="s">
        <v>10</v>
      </c>
      <c r="J12" s="53"/>
      <c r="K12" s="57"/>
      <c r="L12" s="53"/>
      <c r="M12" s="57"/>
      <c r="N12" s="53"/>
      <c r="O12" s="59"/>
      <c r="P12" s="53"/>
      <c r="Q12" s="69"/>
      <c r="R12" s="53"/>
      <c r="S12" s="57"/>
      <c r="T12" s="66"/>
      <c r="U12" s="57"/>
      <c r="V12" s="66"/>
      <c r="W12" s="69"/>
      <c r="X12" s="66"/>
    </row>
    <row r="13" spans="1:26" x14ac:dyDescent="0.2">
      <c r="C13" s="6" t="s">
        <v>11</v>
      </c>
      <c r="D13" s="7" t="s">
        <v>7</v>
      </c>
      <c r="E13" s="81" t="s">
        <v>12</v>
      </c>
      <c r="J13" s="53"/>
      <c r="K13" s="57"/>
      <c r="L13" s="53"/>
      <c r="M13" s="57"/>
      <c r="N13" s="53"/>
      <c r="O13" s="59"/>
      <c r="P13" s="53"/>
      <c r="Q13" s="69"/>
      <c r="R13" s="53"/>
      <c r="S13" s="57"/>
      <c r="T13" s="66"/>
      <c r="U13" s="57"/>
      <c r="V13" s="66"/>
      <c r="W13" s="69"/>
      <c r="X13" s="66"/>
    </row>
    <row r="14" spans="1:26" x14ac:dyDescent="0.2">
      <c r="J14" s="53"/>
      <c r="K14" s="57"/>
      <c r="L14" s="53"/>
      <c r="M14" s="57"/>
      <c r="N14" s="53"/>
      <c r="O14" s="59"/>
      <c r="P14" s="53"/>
      <c r="Q14" s="69"/>
      <c r="R14" s="53"/>
      <c r="S14" s="57"/>
      <c r="T14" s="66"/>
      <c r="U14" s="57"/>
      <c r="V14" s="66"/>
      <c r="W14" s="69"/>
      <c r="X14" s="66"/>
    </row>
    <row r="15" spans="1:26" ht="37" x14ac:dyDescent="0.2">
      <c r="A15" s="3" t="s">
        <v>13</v>
      </c>
      <c r="B15" s="3">
        <v>1</v>
      </c>
      <c r="C15" s="3" t="s">
        <v>14</v>
      </c>
      <c r="D15" s="8" t="s">
        <v>15</v>
      </c>
      <c r="E15" s="13" t="s">
        <v>16</v>
      </c>
      <c r="F15" s="9">
        <v>27.41</v>
      </c>
      <c r="G15" s="10">
        <v>15</v>
      </c>
      <c r="H15" s="11">
        <f>ROUND(ROUND(F15,2)*ROUND(G15,3),2)</f>
        <v>411.15</v>
      </c>
      <c r="I15" s="36">
        <f>G15</f>
        <v>15</v>
      </c>
      <c r="J15" s="53">
        <f>F15*I15</f>
        <v>411.15</v>
      </c>
      <c r="K15" s="57"/>
      <c r="L15" s="53"/>
      <c r="M15" s="57"/>
      <c r="N15" s="53"/>
      <c r="O15" s="59"/>
      <c r="P15" s="53"/>
      <c r="Q15" s="69"/>
      <c r="R15" s="53"/>
      <c r="S15" s="57"/>
      <c r="T15" s="66"/>
      <c r="U15" s="57"/>
      <c r="V15" s="66"/>
      <c r="W15" s="69"/>
      <c r="X15" s="66"/>
    </row>
    <row r="16" spans="1:26" ht="25" x14ac:dyDescent="0.2">
      <c r="A16" s="3" t="s">
        <v>13</v>
      </c>
      <c r="B16" s="3">
        <v>2</v>
      </c>
      <c r="C16" s="3" t="s">
        <v>17</v>
      </c>
      <c r="D16" s="8" t="s">
        <v>18</v>
      </c>
      <c r="E16" s="13" t="s">
        <v>19</v>
      </c>
      <c r="F16" s="9">
        <v>2.14</v>
      </c>
      <c r="G16" s="10">
        <v>219.45</v>
      </c>
      <c r="H16" s="11">
        <f>ROUND(ROUND(F16,2)*ROUND(G16,3),2)</f>
        <v>469.62</v>
      </c>
      <c r="I16" s="36">
        <f>G16</f>
        <v>219.45</v>
      </c>
      <c r="J16" s="53">
        <f>F16*I16</f>
        <v>469.62299999999999</v>
      </c>
      <c r="K16" s="57"/>
      <c r="L16" s="53"/>
      <c r="M16" s="57"/>
      <c r="N16" s="53"/>
      <c r="O16" s="59"/>
      <c r="P16" s="53"/>
      <c r="Q16" s="69"/>
      <c r="R16" s="53"/>
      <c r="S16" s="57"/>
      <c r="T16" s="66"/>
      <c r="U16" s="57"/>
      <c r="V16" s="66"/>
      <c r="W16" s="69"/>
      <c r="X16" s="66"/>
    </row>
    <row r="17" spans="1:26" ht="37" x14ac:dyDescent="0.2">
      <c r="A17" s="3" t="s">
        <v>13</v>
      </c>
      <c r="B17" s="3">
        <v>3</v>
      </c>
      <c r="C17" s="3" t="s">
        <v>20</v>
      </c>
      <c r="D17" s="8" t="s">
        <v>18</v>
      </c>
      <c r="E17" s="13" t="s">
        <v>21</v>
      </c>
      <c r="F17" s="9">
        <v>3.52</v>
      </c>
      <c r="G17" s="10">
        <v>232</v>
      </c>
      <c r="H17" s="11">
        <f>ROUND(ROUND(F17,2)*ROUND(G17,3),2)</f>
        <v>816.64</v>
      </c>
      <c r="I17" s="36">
        <f>G17</f>
        <v>232</v>
      </c>
      <c r="J17" s="53">
        <f>F17*I17</f>
        <v>816.64</v>
      </c>
      <c r="K17" s="57"/>
      <c r="L17" s="53"/>
      <c r="M17" s="57"/>
      <c r="N17" s="53"/>
      <c r="O17" s="59"/>
      <c r="P17" s="53"/>
      <c r="Q17" s="69"/>
      <c r="R17" s="53"/>
      <c r="S17" s="57"/>
      <c r="T17" s="66"/>
      <c r="U17" s="57"/>
      <c r="V17" s="66"/>
      <c r="W17" s="69"/>
      <c r="X17" s="66"/>
    </row>
    <row r="18" spans="1:26" ht="37" x14ac:dyDescent="0.2">
      <c r="A18" s="3" t="s">
        <v>13</v>
      </c>
      <c r="B18" s="3">
        <v>4</v>
      </c>
      <c r="C18" s="3" t="s">
        <v>22</v>
      </c>
      <c r="D18" s="8" t="s">
        <v>23</v>
      </c>
      <c r="E18" s="13" t="s">
        <v>24</v>
      </c>
      <c r="F18" s="9">
        <v>47.55</v>
      </c>
      <c r="G18" s="10">
        <v>2</v>
      </c>
      <c r="H18" s="11">
        <f>ROUND(ROUND(F18,2)*ROUND(G18,3),2)</f>
        <v>95.1</v>
      </c>
      <c r="I18" s="36">
        <f>G18</f>
        <v>2</v>
      </c>
      <c r="J18" s="53">
        <f>F18*I18</f>
        <v>95.1</v>
      </c>
      <c r="K18" s="57"/>
      <c r="L18" s="53"/>
      <c r="M18" s="57"/>
      <c r="N18" s="53"/>
      <c r="O18" s="59"/>
      <c r="P18" s="53"/>
      <c r="Q18" s="69"/>
      <c r="R18" s="53"/>
      <c r="S18" s="57"/>
      <c r="T18" s="66"/>
      <c r="U18" s="57"/>
      <c r="V18" s="66"/>
      <c r="W18" s="69"/>
      <c r="X18" s="66"/>
    </row>
    <row r="19" spans="1:26" x14ac:dyDescent="0.2">
      <c r="E19" s="81" t="s">
        <v>25</v>
      </c>
      <c r="F19" s="6"/>
      <c r="G19" s="6"/>
      <c r="H19" s="12">
        <f>SUM(H15:H18)</f>
        <v>1792.5099999999998</v>
      </c>
      <c r="J19" s="54">
        <f>J15+J16+J17+J18</f>
        <v>1792.5129999999999</v>
      </c>
      <c r="K19" s="57"/>
      <c r="L19" s="53"/>
      <c r="M19" s="57"/>
      <c r="N19" s="53"/>
      <c r="O19" s="59"/>
      <c r="P19" s="53"/>
      <c r="Q19" s="69"/>
      <c r="R19" s="53"/>
      <c r="S19" s="57"/>
      <c r="T19" s="66"/>
      <c r="U19" s="57"/>
      <c r="V19" s="66"/>
      <c r="W19" s="69"/>
      <c r="X19" s="66"/>
    </row>
    <row r="20" spans="1:26" x14ac:dyDescent="0.2">
      <c r="J20" s="53"/>
      <c r="K20" s="57"/>
      <c r="L20" s="53"/>
      <c r="M20" s="57"/>
      <c r="N20" s="53"/>
      <c r="O20" s="59"/>
      <c r="P20" s="53"/>
      <c r="Q20" s="69"/>
      <c r="R20" s="53"/>
      <c r="S20" s="57"/>
      <c r="T20" s="66"/>
      <c r="U20" s="57"/>
      <c r="V20" s="66"/>
      <c r="W20" s="69"/>
      <c r="X20" s="66"/>
    </row>
    <row r="21" spans="1:26" x14ac:dyDescent="0.2">
      <c r="C21" s="6" t="s">
        <v>6</v>
      </c>
      <c r="D21" s="7" t="s">
        <v>7</v>
      </c>
      <c r="E21" s="81" t="s">
        <v>8</v>
      </c>
      <c r="J21" s="53"/>
      <c r="K21" s="57"/>
      <c r="L21" s="53"/>
      <c r="M21" s="57"/>
      <c r="N21" s="53"/>
      <c r="O21" s="59"/>
      <c r="P21" s="53"/>
      <c r="Q21" s="69"/>
      <c r="R21" s="53"/>
      <c r="S21" s="57"/>
      <c r="T21" s="66"/>
      <c r="U21" s="57"/>
      <c r="V21" s="66"/>
      <c r="W21" s="69"/>
      <c r="X21" s="66"/>
    </row>
    <row r="22" spans="1:26" x14ac:dyDescent="0.2">
      <c r="C22" s="6" t="s">
        <v>9</v>
      </c>
      <c r="D22" s="7" t="s">
        <v>7</v>
      </c>
      <c r="E22" s="81" t="s">
        <v>10</v>
      </c>
      <c r="J22" s="53"/>
      <c r="K22" s="57"/>
      <c r="L22" s="53"/>
      <c r="M22" s="57"/>
      <c r="N22" s="53"/>
      <c r="O22" s="59"/>
      <c r="P22" s="53"/>
      <c r="Q22" s="69"/>
      <c r="R22" s="53"/>
      <c r="S22" s="57"/>
      <c r="T22" s="66"/>
      <c r="U22" s="57"/>
      <c r="V22" s="66"/>
      <c r="W22" s="69"/>
      <c r="X22" s="66"/>
    </row>
    <row r="23" spans="1:26" x14ac:dyDescent="0.2">
      <c r="C23" s="6" t="s">
        <v>11</v>
      </c>
      <c r="D23" s="7" t="s">
        <v>26</v>
      </c>
      <c r="E23" s="81" t="s">
        <v>27</v>
      </c>
      <c r="J23" s="53"/>
      <c r="K23" s="57"/>
      <c r="L23" s="53"/>
      <c r="M23" s="57"/>
      <c r="N23" s="53"/>
      <c r="O23" s="59"/>
      <c r="P23" s="53"/>
      <c r="Q23" s="69"/>
      <c r="R23" s="53"/>
      <c r="S23" s="57"/>
      <c r="T23" s="66"/>
      <c r="U23" s="57"/>
      <c r="V23" s="66"/>
      <c r="W23" s="69"/>
      <c r="X23" s="66"/>
    </row>
    <row r="24" spans="1:26" x14ac:dyDescent="0.2">
      <c r="J24" s="53"/>
      <c r="K24" s="57"/>
      <c r="L24" s="53"/>
      <c r="M24" s="57"/>
      <c r="N24" s="53"/>
      <c r="O24" s="59"/>
      <c r="P24" s="53"/>
      <c r="Q24" s="69"/>
      <c r="R24" s="53"/>
      <c r="S24" s="57"/>
      <c r="T24" s="66"/>
      <c r="U24" s="57"/>
      <c r="V24" s="66"/>
      <c r="W24" s="69"/>
      <c r="X24" s="66"/>
    </row>
    <row r="25" spans="1:26" ht="409.6" x14ac:dyDescent="0.2">
      <c r="A25" s="3" t="s">
        <v>28</v>
      </c>
      <c r="B25" s="3">
        <v>1</v>
      </c>
      <c r="C25" s="3" t="s">
        <v>29</v>
      </c>
      <c r="D25" s="8" t="s">
        <v>23</v>
      </c>
      <c r="E25" s="13" t="s">
        <v>30</v>
      </c>
      <c r="F25" s="9">
        <v>7696.08</v>
      </c>
      <c r="G25" s="10">
        <v>1</v>
      </c>
      <c r="H25" s="11">
        <f t="shared" ref="H25:H45" si="0">ROUND(ROUND(F25,2)*ROUND(G25,3),2)</f>
        <v>7696.08</v>
      </c>
      <c r="I25" s="36">
        <f>G25</f>
        <v>1</v>
      </c>
      <c r="J25" s="53">
        <f>F25*I25</f>
        <v>7696.08</v>
      </c>
      <c r="K25" s="57"/>
      <c r="L25" s="53"/>
      <c r="M25" s="57"/>
      <c r="N25" s="53"/>
      <c r="O25" s="59"/>
      <c r="P25" s="53"/>
      <c r="Q25" s="69"/>
      <c r="R25" s="53"/>
      <c r="S25" s="57"/>
      <c r="T25" s="66"/>
      <c r="U25" s="57"/>
      <c r="V25" s="66"/>
      <c r="W25" s="69"/>
      <c r="X25" s="66"/>
    </row>
    <row r="26" spans="1:26" ht="25" x14ac:dyDescent="0.2">
      <c r="A26" s="3" t="s">
        <v>28</v>
      </c>
      <c r="B26" s="3">
        <v>2</v>
      </c>
      <c r="C26" s="3" t="s">
        <v>31</v>
      </c>
      <c r="D26" s="8" t="s">
        <v>18</v>
      </c>
      <c r="E26" s="13" t="s">
        <v>32</v>
      </c>
      <c r="F26" s="9">
        <v>11.76</v>
      </c>
      <c r="G26" s="10">
        <v>30.76</v>
      </c>
      <c r="H26" s="11">
        <f t="shared" si="0"/>
        <v>361.74</v>
      </c>
      <c r="I26" s="36">
        <v>2</v>
      </c>
      <c r="J26" s="53">
        <f>F26*I26</f>
        <v>23.52</v>
      </c>
      <c r="K26" s="57">
        <f>0.8+8.37+5.94+3.12</f>
        <v>18.23</v>
      </c>
      <c r="L26" s="53">
        <f>F26*K26</f>
        <v>214.38480000000001</v>
      </c>
      <c r="M26" s="57">
        <f>4.682+0.57</f>
        <v>5.2520000000000007</v>
      </c>
      <c r="N26" s="53">
        <f>F26*M26</f>
        <v>61.763520000000007</v>
      </c>
      <c r="O26" s="57">
        <f>0.689+1.17+1.128+2.291</f>
        <v>5.2780000000000005</v>
      </c>
      <c r="P26" s="53">
        <f>F26*O26</f>
        <v>62.069280000000006</v>
      </c>
      <c r="Q26" s="69"/>
      <c r="R26" s="53"/>
      <c r="S26" s="57"/>
      <c r="T26" s="66">
        <f>F26*S26</f>
        <v>0</v>
      </c>
      <c r="U26" s="57"/>
      <c r="V26" s="66">
        <f>F26*U26</f>
        <v>0</v>
      </c>
      <c r="W26" s="69"/>
      <c r="X26" s="66"/>
      <c r="Y26" s="36">
        <f>I26+K26+M26+O26+S26+U26+Q26</f>
        <v>30.759999999999998</v>
      </c>
      <c r="Z26" s="37">
        <f>J26+L26+N26+P26+T26+V26+R26</f>
        <v>361.73760000000004</v>
      </c>
    </row>
    <row r="27" spans="1:26" ht="37" x14ac:dyDescent="0.2">
      <c r="A27" s="3" t="s">
        <v>28</v>
      </c>
      <c r="B27" s="3">
        <v>3</v>
      </c>
      <c r="C27" s="3" t="s">
        <v>33</v>
      </c>
      <c r="D27" s="8" t="s">
        <v>15</v>
      </c>
      <c r="E27" s="13" t="s">
        <v>34</v>
      </c>
      <c r="F27" s="9">
        <v>31.84</v>
      </c>
      <c r="G27" s="10">
        <v>244.36</v>
      </c>
      <c r="H27" s="11">
        <f t="shared" si="0"/>
        <v>7780.42</v>
      </c>
      <c r="I27" s="36">
        <f>G27</f>
        <v>244.36</v>
      </c>
      <c r="J27" s="53">
        <f>F27*I27</f>
        <v>7780.4224000000004</v>
      </c>
      <c r="K27" s="57"/>
      <c r="L27" s="53"/>
      <c r="M27" s="57"/>
      <c r="N27" s="53"/>
      <c r="O27" s="57"/>
      <c r="P27" s="53"/>
      <c r="Q27" s="69"/>
      <c r="R27" s="53"/>
      <c r="S27" s="57"/>
      <c r="T27" s="66"/>
      <c r="U27" s="57"/>
      <c r="V27" s="66"/>
      <c r="W27" s="69"/>
      <c r="X27" s="66"/>
    </row>
    <row r="28" spans="1:26" ht="25" x14ac:dyDescent="0.2">
      <c r="A28" s="3" t="s">
        <v>28</v>
      </c>
      <c r="B28" s="3">
        <v>4</v>
      </c>
      <c r="C28" s="3" t="s">
        <v>35</v>
      </c>
      <c r="D28" s="8" t="s">
        <v>36</v>
      </c>
      <c r="E28" s="13" t="s">
        <v>37</v>
      </c>
      <c r="F28" s="9">
        <v>12.84</v>
      </c>
      <c r="G28" s="10">
        <v>9.6</v>
      </c>
      <c r="H28" s="11">
        <f t="shared" si="0"/>
        <v>123.26</v>
      </c>
      <c r="J28" s="53"/>
      <c r="K28" s="57"/>
      <c r="L28" s="53"/>
      <c r="M28" s="57"/>
      <c r="N28" s="53"/>
      <c r="O28" s="57"/>
      <c r="P28" s="53"/>
      <c r="Q28" s="69">
        <f>G28</f>
        <v>9.6</v>
      </c>
      <c r="R28" s="53">
        <f>F28*Q28</f>
        <v>123.264</v>
      </c>
      <c r="S28" s="57"/>
      <c r="T28" s="66"/>
      <c r="U28" s="57"/>
      <c r="V28" s="66"/>
      <c r="W28" s="69"/>
      <c r="X28" s="66"/>
    </row>
    <row r="29" spans="1:26" ht="61" x14ac:dyDescent="0.2">
      <c r="A29" s="3" t="s">
        <v>28</v>
      </c>
      <c r="B29" s="3">
        <v>5</v>
      </c>
      <c r="C29" s="3" t="s">
        <v>38</v>
      </c>
      <c r="D29" s="8" t="s">
        <v>18</v>
      </c>
      <c r="E29" s="13" t="s">
        <v>39</v>
      </c>
      <c r="F29" s="9">
        <v>40.06</v>
      </c>
      <c r="G29" s="10">
        <v>12.16</v>
      </c>
      <c r="H29" s="11">
        <f t="shared" si="0"/>
        <v>487.13</v>
      </c>
      <c r="J29" s="53"/>
      <c r="K29" s="57"/>
      <c r="L29" s="53"/>
      <c r="M29" s="57"/>
      <c r="N29" s="53"/>
      <c r="O29" s="57"/>
      <c r="P29" s="53"/>
      <c r="Q29" s="69">
        <f>G29</f>
        <v>12.16</v>
      </c>
      <c r="R29" s="53">
        <f>F29*Q29</f>
        <v>487.12960000000004</v>
      </c>
      <c r="S29" s="57"/>
      <c r="T29" s="66"/>
      <c r="U29" s="57"/>
      <c r="V29" s="66"/>
      <c r="W29" s="69"/>
      <c r="X29" s="66"/>
    </row>
    <row r="30" spans="1:26" ht="25" x14ac:dyDescent="0.2">
      <c r="A30" s="3" t="s">
        <v>28</v>
      </c>
      <c r="B30" s="3">
        <v>6</v>
      </c>
      <c r="C30" s="3" t="s">
        <v>40</v>
      </c>
      <c r="D30" s="8" t="s">
        <v>18</v>
      </c>
      <c r="E30" s="13" t="s">
        <v>41</v>
      </c>
      <c r="F30" s="9">
        <v>10.72</v>
      </c>
      <c r="G30" s="10">
        <v>399</v>
      </c>
      <c r="H30" s="11">
        <f t="shared" si="0"/>
        <v>4277.28</v>
      </c>
      <c r="J30" s="53"/>
      <c r="K30" s="57">
        <f>238</f>
        <v>238</v>
      </c>
      <c r="L30" s="53">
        <f t="shared" ref="L30:L35" si="1">F30*K30</f>
        <v>2551.36</v>
      </c>
      <c r="M30" s="57">
        <v>59</v>
      </c>
      <c r="N30" s="53">
        <f>F30*M30</f>
        <v>632.48</v>
      </c>
      <c r="O30" s="57">
        <v>40</v>
      </c>
      <c r="P30" s="53">
        <f>F30*O30</f>
        <v>428.8</v>
      </c>
      <c r="Q30" s="69">
        <v>62</v>
      </c>
      <c r="R30" s="53">
        <f>F30*Q30</f>
        <v>664.64</v>
      </c>
      <c r="S30" s="57"/>
      <c r="T30" s="66">
        <f>F30*S30</f>
        <v>0</v>
      </c>
      <c r="U30" s="57"/>
      <c r="V30" s="66">
        <f>F30*U30</f>
        <v>0</v>
      </c>
      <c r="W30" s="69"/>
      <c r="X30" s="66"/>
      <c r="Y30" s="36">
        <f>I30+K30+M30+O30+S30+U30+Q30</f>
        <v>399</v>
      </c>
      <c r="Z30" s="37">
        <f>J30+L30+N30+P30+T30+V30+R30</f>
        <v>4277.2800000000007</v>
      </c>
    </row>
    <row r="31" spans="1:26" ht="37" x14ac:dyDescent="0.2">
      <c r="A31" s="3" t="s">
        <v>28</v>
      </c>
      <c r="B31" s="3">
        <v>7</v>
      </c>
      <c r="C31" s="3" t="s">
        <v>42</v>
      </c>
      <c r="D31" s="8" t="s">
        <v>23</v>
      </c>
      <c r="E31" s="13" t="s">
        <v>43</v>
      </c>
      <c r="F31" s="9">
        <v>19.04</v>
      </c>
      <c r="G31" s="10">
        <v>5</v>
      </c>
      <c r="H31" s="11">
        <f t="shared" si="0"/>
        <v>95.2</v>
      </c>
      <c r="J31" s="53"/>
      <c r="K31" s="57">
        <f>G31</f>
        <v>5</v>
      </c>
      <c r="L31" s="53">
        <f t="shared" si="1"/>
        <v>95.199999999999989</v>
      </c>
      <c r="M31" s="57"/>
      <c r="N31" s="53"/>
      <c r="O31" s="57"/>
      <c r="P31" s="53"/>
      <c r="Q31" s="69"/>
      <c r="R31" s="53"/>
      <c r="S31" s="57"/>
      <c r="T31" s="66"/>
      <c r="U31" s="57"/>
      <c r="V31" s="66"/>
      <c r="W31" s="69"/>
      <c r="X31" s="66"/>
    </row>
    <row r="32" spans="1:26" ht="49" x14ac:dyDescent="0.2">
      <c r="A32" s="3" t="s">
        <v>28</v>
      </c>
      <c r="B32" s="3">
        <v>8</v>
      </c>
      <c r="C32" s="3" t="s">
        <v>44</v>
      </c>
      <c r="D32" s="8" t="s">
        <v>18</v>
      </c>
      <c r="E32" s="13" t="s">
        <v>45</v>
      </c>
      <c r="F32" s="9">
        <v>31.11</v>
      </c>
      <c r="G32" s="10">
        <v>260</v>
      </c>
      <c r="H32" s="11">
        <f t="shared" si="0"/>
        <v>8088.6</v>
      </c>
      <c r="J32" s="53"/>
      <c r="K32" s="57">
        <f>238</f>
        <v>238</v>
      </c>
      <c r="L32" s="53">
        <f t="shared" si="1"/>
        <v>7404.18</v>
      </c>
      <c r="M32" s="57">
        <v>22</v>
      </c>
      <c r="N32" s="53">
        <f>F32*M32</f>
        <v>684.42</v>
      </c>
      <c r="O32" s="57"/>
      <c r="P32" s="53"/>
      <c r="Q32" s="69"/>
      <c r="R32" s="53"/>
      <c r="S32" s="57"/>
      <c r="T32" s="66">
        <f>F32*S32</f>
        <v>0</v>
      </c>
      <c r="U32" s="57"/>
      <c r="V32" s="66"/>
      <c r="W32" s="69"/>
      <c r="X32" s="66"/>
      <c r="Y32" s="36">
        <f>I32+K32+M32+O32+S32+U32+Q32</f>
        <v>260</v>
      </c>
      <c r="Z32" s="37">
        <f>J32+L32+N32+P32+T32+V32+R32</f>
        <v>8088.6</v>
      </c>
    </row>
    <row r="33" spans="1:26" ht="49" x14ac:dyDescent="0.2">
      <c r="A33" s="3" t="s">
        <v>28</v>
      </c>
      <c r="B33" s="3">
        <v>9</v>
      </c>
      <c r="C33" s="3" t="s">
        <v>46</v>
      </c>
      <c r="D33" s="8" t="s">
        <v>18</v>
      </c>
      <c r="E33" s="13" t="s">
        <v>47</v>
      </c>
      <c r="F33" s="9">
        <v>33.36</v>
      </c>
      <c r="G33" s="10">
        <v>420</v>
      </c>
      <c r="H33" s="11">
        <f t="shared" si="0"/>
        <v>14011.2</v>
      </c>
      <c r="J33" s="53"/>
      <c r="K33" s="57">
        <v>290</v>
      </c>
      <c r="L33" s="53">
        <f t="shared" si="1"/>
        <v>9674.4</v>
      </c>
      <c r="M33" s="57">
        <v>72</v>
      </c>
      <c r="N33" s="53">
        <f>F33*M33</f>
        <v>2401.92</v>
      </c>
      <c r="O33" s="57">
        <v>58</v>
      </c>
      <c r="P33" s="53">
        <f>F33*O33</f>
        <v>1934.8799999999999</v>
      </c>
      <c r="Q33" s="69"/>
      <c r="R33" s="53"/>
      <c r="S33" s="57"/>
      <c r="T33" s="66">
        <f>F33*S33</f>
        <v>0</v>
      </c>
      <c r="U33" s="57"/>
      <c r="V33" s="66">
        <f>F33*U33</f>
        <v>0</v>
      </c>
      <c r="W33" s="69"/>
      <c r="X33" s="66"/>
      <c r="Y33" s="36">
        <f>I33+K33+M33+O33+S33+U33+Q33</f>
        <v>420</v>
      </c>
      <c r="Z33" s="37">
        <f>J33+L33+N33+P33+T33+V33+R33</f>
        <v>14011.199999999999</v>
      </c>
    </row>
    <row r="34" spans="1:26" ht="25" x14ac:dyDescent="0.2">
      <c r="A34" s="3" t="s">
        <v>28</v>
      </c>
      <c r="B34" s="3">
        <v>10</v>
      </c>
      <c r="C34" s="3" t="s">
        <v>48</v>
      </c>
      <c r="D34" s="8" t="s">
        <v>18</v>
      </c>
      <c r="E34" s="13" t="s">
        <v>49</v>
      </c>
      <c r="F34" s="9">
        <v>4.57</v>
      </c>
      <c r="G34" s="10">
        <v>67</v>
      </c>
      <c r="H34" s="11">
        <f t="shared" si="0"/>
        <v>306.19</v>
      </c>
      <c r="J34" s="53"/>
      <c r="K34" s="57">
        <f>G34</f>
        <v>67</v>
      </c>
      <c r="L34" s="53">
        <f t="shared" si="1"/>
        <v>306.19</v>
      </c>
      <c r="M34" s="57"/>
      <c r="N34" s="53"/>
      <c r="O34" s="57"/>
      <c r="P34" s="53"/>
      <c r="Q34" s="69"/>
      <c r="R34" s="53"/>
      <c r="S34" s="57"/>
      <c r="T34" s="66"/>
      <c r="U34" s="57"/>
      <c r="V34" s="66"/>
      <c r="W34" s="69"/>
      <c r="X34" s="66"/>
    </row>
    <row r="35" spans="1:26" ht="37" x14ac:dyDescent="0.2">
      <c r="A35" s="3" t="s">
        <v>28</v>
      </c>
      <c r="B35" s="3">
        <v>11</v>
      </c>
      <c r="C35" s="3" t="s">
        <v>50</v>
      </c>
      <c r="D35" s="8" t="s">
        <v>18</v>
      </c>
      <c r="E35" s="13" t="s">
        <v>51</v>
      </c>
      <c r="F35" s="9">
        <v>3.5</v>
      </c>
      <c r="G35" s="10">
        <v>67</v>
      </c>
      <c r="H35" s="11">
        <f t="shared" si="0"/>
        <v>234.5</v>
      </c>
      <c r="J35" s="53"/>
      <c r="K35" s="57">
        <f>G35</f>
        <v>67</v>
      </c>
      <c r="L35" s="53">
        <f t="shared" si="1"/>
        <v>234.5</v>
      </c>
      <c r="M35" s="57"/>
      <c r="N35" s="53"/>
      <c r="O35" s="57"/>
      <c r="P35" s="53"/>
      <c r="Q35" s="69"/>
      <c r="R35" s="53"/>
      <c r="S35" s="57"/>
      <c r="T35" s="66"/>
      <c r="U35" s="57"/>
      <c r="V35" s="66"/>
      <c r="W35" s="69"/>
      <c r="X35" s="66"/>
    </row>
    <row r="36" spans="1:26" ht="25" x14ac:dyDescent="0.2">
      <c r="A36" s="3" t="s">
        <v>28</v>
      </c>
      <c r="B36" s="3">
        <v>12</v>
      </c>
      <c r="C36" s="3" t="s">
        <v>52</v>
      </c>
      <c r="D36" s="8" t="s">
        <v>18</v>
      </c>
      <c r="E36" s="13" t="s">
        <v>53</v>
      </c>
      <c r="F36" s="9">
        <v>16.68</v>
      </c>
      <c r="G36" s="10">
        <v>3.375</v>
      </c>
      <c r="H36" s="11">
        <f t="shared" si="0"/>
        <v>56.3</v>
      </c>
      <c r="J36" s="53"/>
      <c r="K36" s="57"/>
      <c r="L36" s="53"/>
      <c r="M36" s="57">
        <f>3.375</f>
        <v>3.375</v>
      </c>
      <c r="N36" s="53">
        <f>F36*M36</f>
        <v>56.295000000000002</v>
      </c>
      <c r="O36" s="57"/>
      <c r="P36" s="53"/>
      <c r="Q36" s="69"/>
      <c r="R36" s="53"/>
      <c r="S36" s="57"/>
      <c r="T36" s="66">
        <f>F36*S36</f>
        <v>0</v>
      </c>
      <c r="U36" s="57"/>
      <c r="V36" s="66"/>
      <c r="W36" s="69"/>
      <c r="X36" s="66"/>
    </row>
    <row r="37" spans="1:26" ht="37" x14ac:dyDescent="0.2">
      <c r="A37" s="3" t="s">
        <v>28</v>
      </c>
      <c r="B37" s="3">
        <v>13</v>
      </c>
      <c r="C37" s="3" t="s">
        <v>54</v>
      </c>
      <c r="D37" s="8" t="s">
        <v>18</v>
      </c>
      <c r="E37" s="13" t="s">
        <v>55</v>
      </c>
      <c r="F37" s="9">
        <v>48.74</v>
      </c>
      <c r="G37" s="10">
        <v>32</v>
      </c>
      <c r="H37" s="11">
        <f t="shared" si="0"/>
        <v>1559.68</v>
      </c>
      <c r="J37" s="53"/>
      <c r="K37" s="57"/>
      <c r="L37" s="53"/>
      <c r="M37" s="57">
        <f>32</f>
        <v>32</v>
      </c>
      <c r="N37" s="53">
        <f>F37*M37</f>
        <v>1559.68</v>
      </c>
      <c r="O37" s="57"/>
      <c r="P37" s="53"/>
      <c r="Q37" s="69"/>
      <c r="R37" s="53"/>
      <c r="S37" s="57"/>
      <c r="T37" s="66">
        <f>F37*S37</f>
        <v>0</v>
      </c>
      <c r="U37" s="57"/>
      <c r="V37" s="66"/>
      <c r="W37" s="69"/>
      <c r="X37" s="66"/>
    </row>
    <row r="38" spans="1:26" ht="25" x14ac:dyDescent="0.2">
      <c r="A38" s="3" t="s">
        <v>28</v>
      </c>
      <c r="B38" s="3">
        <v>14</v>
      </c>
      <c r="C38" s="3" t="s">
        <v>56</v>
      </c>
      <c r="D38" s="8" t="s">
        <v>15</v>
      </c>
      <c r="E38" s="13" t="s">
        <v>57</v>
      </c>
      <c r="F38" s="9">
        <v>188.38</v>
      </c>
      <c r="G38" s="10">
        <v>2.1</v>
      </c>
      <c r="H38" s="11">
        <f t="shared" si="0"/>
        <v>395.6</v>
      </c>
      <c r="J38" s="53"/>
      <c r="K38" s="57"/>
      <c r="L38" s="53"/>
      <c r="M38" s="57">
        <f>2.1</f>
        <v>2.1</v>
      </c>
      <c r="N38" s="53">
        <f>F38*M38</f>
        <v>395.59800000000001</v>
      </c>
      <c r="O38" s="57"/>
      <c r="P38" s="53"/>
      <c r="Q38" s="69"/>
      <c r="R38" s="53"/>
      <c r="S38" s="57"/>
      <c r="T38" s="66">
        <f>F38*S38</f>
        <v>0</v>
      </c>
      <c r="U38" s="57"/>
      <c r="V38" s="66"/>
      <c r="W38" s="69"/>
      <c r="X38" s="66"/>
    </row>
    <row r="39" spans="1:26" ht="25" x14ac:dyDescent="0.2">
      <c r="A39" s="3" t="s">
        <v>28</v>
      </c>
      <c r="B39" s="3">
        <v>15</v>
      </c>
      <c r="C39" s="3" t="s">
        <v>58</v>
      </c>
      <c r="D39" s="8" t="s">
        <v>23</v>
      </c>
      <c r="E39" s="13" t="s">
        <v>59</v>
      </c>
      <c r="F39" s="9">
        <v>13.46</v>
      </c>
      <c r="G39" s="10">
        <v>9</v>
      </c>
      <c r="H39" s="11">
        <f t="shared" si="0"/>
        <v>121.14</v>
      </c>
      <c r="J39" s="53"/>
      <c r="K39" s="57">
        <v>6</v>
      </c>
      <c r="L39" s="53">
        <f>F39*K39</f>
        <v>80.760000000000005</v>
      </c>
      <c r="M39" s="57"/>
      <c r="N39" s="53"/>
      <c r="O39" s="57">
        <v>3</v>
      </c>
      <c r="P39" s="53">
        <f>F39*O39</f>
        <v>40.380000000000003</v>
      </c>
      <c r="Q39" s="69"/>
      <c r="R39" s="53"/>
      <c r="S39" s="57"/>
      <c r="T39" s="66"/>
      <c r="U39" s="57"/>
      <c r="V39" s="66">
        <f>F39*U39</f>
        <v>0</v>
      </c>
      <c r="W39" s="69"/>
      <c r="X39" s="66"/>
      <c r="Y39" s="36">
        <f>I39+K39+M39+O39+S39+U39+Q39</f>
        <v>9</v>
      </c>
      <c r="Z39" s="37">
        <f>J39+L39+N39+P39+T39+V39+R39</f>
        <v>121.14000000000001</v>
      </c>
    </row>
    <row r="40" spans="1:26" ht="25" x14ac:dyDescent="0.2">
      <c r="A40" s="3" t="s">
        <v>28</v>
      </c>
      <c r="B40" s="3">
        <v>16</v>
      </c>
      <c r="C40" s="3" t="s">
        <v>60</v>
      </c>
      <c r="D40" s="8" t="s">
        <v>18</v>
      </c>
      <c r="E40" s="13" t="s">
        <v>61</v>
      </c>
      <c r="F40" s="9">
        <v>9.42</v>
      </c>
      <c r="G40" s="10">
        <v>145.488</v>
      </c>
      <c r="H40" s="11">
        <f t="shared" si="0"/>
        <v>1370.5</v>
      </c>
      <c r="J40" s="53"/>
      <c r="K40" s="57">
        <f>15.575+44.5+23.14+12.015+17.355+4.005+2.67+8.678</f>
        <v>127.938</v>
      </c>
      <c r="L40" s="53">
        <f>F40*K40</f>
        <v>1205.17596</v>
      </c>
      <c r="M40" s="57"/>
      <c r="N40" s="53"/>
      <c r="O40" s="57">
        <f>7.425+8.64+1.485</f>
        <v>17.55</v>
      </c>
      <c r="P40" s="53">
        <f>F40*O40</f>
        <v>165.321</v>
      </c>
      <c r="Q40" s="69"/>
      <c r="R40" s="53"/>
      <c r="S40" s="57"/>
      <c r="T40" s="66"/>
      <c r="U40" s="57"/>
      <c r="V40" s="66">
        <f>F40*U40</f>
        <v>0</v>
      </c>
      <c r="W40" s="69"/>
      <c r="X40" s="66"/>
      <c r="Y40" s="36">
        <f>I40+K40+M40+O40+S40+U40+Q40</f>
        <v>145.488</v>
      </c>
      <c r="Z40" s="37">
        <f>J40+L40+N40+P40+T40+V40+R40</f>
        <v>1370.4969599999999</v>
      </c>
    </row>
    <row r="41" spans="1:26" ht="37" x14ac:dyDescent="0.2">
      <c r="A41" s="3" t="s">
        <v>28</v>
      </c>
      <c r="B41" s="3">
        <v>17</v>
      </c>
      <c r="C41" s="3" t="s">
        <v>62</v>
      </c>
      <c r="D41" s="8" t="s">
        <v>23</v>
      </c>
      <c r="E41" s="13" t="s">
        <v>63</v>
      </c>
      <c r="F41" s="9">
        <v>40.369999999999997</v>
      </c>
      <c r="G41" s="10">
        <v>1</v>
      </c>
      <c r="H41" s="11">
        <f t="shared" si="0"/>
        <v>40.369999999999997</v>
      </c>
      <c r="J41" s="53"/>
      <c r="K41" s="57"/>
      <c r="L41" s="53"/>
      <c r="M41" s="57"/>
      <c r="N41" s="53"/>
      <c r="O41" s="57">
        <f>1</f>
        <v>1</v>
      </c>
      <c r="P41" s="53">
        <f>F41*O41</f>
        <v>40.369999999999997</v>
      </c>
      <c r="Q41" s="69"/>
      <c r="R41" s="53"/>
      <c r="S41" s="57"/>
      <c r="T41" s="66"/>
      <c r="U41" s="57"/>
      <c r="V41" s="66">
        <f>F41*U41</f>
        <v>0</v>
      </c>
      <c r="W41" s="69"/>
      <c r="X41" s="66"/>
    </row>
    <row r="42" spans="1:26" ht="37" x14ac:dyDescent="0.2">
      <c r="A42" s="3" t="s">
        <v>28</v>
      </c>
      <c r="B42" s="3">
        <v>18</v>
      </c>
      <c r="C42" s="3" t="s">
        <v>64</v>
      </c>
      <c r="D42" s="8" t="s">
        <v>18</v>
      </c>
      <c r="E42" s="13" t="s">
        <v>65</v>
      </c>
      <c r="F42" s="9">
        <v>17.489999999999998</v>
      </c>
      <c r="G42" s="10">
        <v>40</v>
      </c>
      <c r="H42" s="11">
        <f t="shared" si="0"/>
        <v>699.6</v>
      </c>
      <c r="J42" s="53"/>
      <c r="K42" s="57"/>
      <c r="L42" s="53"/>
      <c r="M42" s="57"/>
      <c r="N42" s="53"/>
      <c r="O42" s="57">
        <f>40</f>
        <v>40</v>
      </c>
      <c r="P42" s="53">
        <f>F42*O42</f>
        <v>699.59999999999991</v>
      </c>
      <c r="Q42" s="69"/>
      <c r="R42" s="53"/>
      <c r="S42" s="57"/>
      <c r="T42" s="66"/>
      <c r="U42" s="57"/>
      <c r="V42" s="66">
        <f>F42*U42</f>
        <v>0</v>
      </c>
      <c r="W42" s="69"/>
      <c r="X42" s="66"/>
    </row>
    <row r="43" spans="1:26" ht="37" x14ac:dyDescent="0.2">
      <c r="A43" s="3" t="s">
        <v>28</v>
      </c>
      <c r="B43" s="3">
        <v>19</v>
      </c>
      <c r="C43" s="3" t="s">
        <v>66</v>
      </c>
      <c r="D43" s="8" t="s">
        <v>18</v>
      </c>
      <c r="E43" s="13" t="s">
        <v>67</v>
      </c>
      <c r="F43" s="9">
        <v>793.11</v>
      </c>
      <c r="G43" s="10">
        <v>7.9850000000000003</v>
      </c>
      <c r="H43" s="11">
        <f t="shared" si="0"/>
        <v>6332.98</v>
      </c>
      <c r="J43" s="53"/>
      <c r="K43" s="57"/>
      <c r="L43" s="53"/>
      <c r="M43" s="57"/>
      <c r="N43" s="53"/>
      <c r="O43" s="57"/>
      <c r="P43" s="53"/>
      <c r="Q43" s="69">
        <f>G43</f>
        <v>7.9850000000000003</v>
      </c>
      <c r="R43" s="53">
        <f>F43*Q43</f>
        <v>6332.9833500000004</v>
      </c>
      <c r="S43" s="57"/>
      <c r="T43" s="66"/>
      <c r="U43" s="57"/>
      <c r="V43" s="66"/>
      <c r="W43" s="69"/>
      <c r="X43" s="66"/>
    </row>
    <row r="44" spans="1:26" ht="25" x14ac:dyDescent="0.2">
      <c r="A44" s="3" t="s">
        <v>28</v>
      </c>
      <c r="B44" s="3">
        <v>20</v>
      </c>
      <c r="C44" s="3" t="s">
        <v>68</v>
      </c>
      <c r="D44" s="8" t="s">
        <v>15</v>
      </c>
      <c r="E44" s="13" t="s">
        <v>69</v>
      </c>
      <c r="F44" s="9">
        <v>152.82</v>
      </c>
      <c r="G44" s="10">
        <v>13.776999999999999</v>
      </c>
      <c r="H44" s="11">
        <f t="shared" si="0"/>
        <v>2105.4</v>
      </c>
      <c r="J44" s="53"/>
      <c r="K44" s="57">
        <f>1.28+1.84+1+1.08+0.74</f>
        <v>5.94</v>
      </c>
      <c r="L44" s="53">
        <f>F44*K44</f>
        <v>907.75080000000003</v>
      </c>
      <c r="M44" s="57">
        <f>2.28</f>
        <v>2.2799999999999998</v>
      </c>
      <c r="N44" s="53">
        <f>F44*M44</f>
        <v>348.42959999999994</v>
      </c>
      <c r="O44" s="57"/>
      <c r="P44" s="53"/>
      <c r="Q44" s="69">
        <f>3+0.81+0.81+0.238+0.168+0.195+0.204+0.132</f>
        <v>5.5570000000000004</v>
      </c>
      <c r="R44" s="53">
        <f>F44*Q44</f>
        <v>849.22073999999998</v>
      </c>
      <c r="S44" s="57"/>
      <c r="T44" s="66">
        <f>F44*S44</f>
        <v>0</v>
      </c>
      <c r="U44" s="57"/>
      <c r="V44" s="66"/>
      <c r="W44" s="69"/>
      <c r="X44" s="66"/>
      <c r="Y44" s="36">
        <f>I44+K44+M44+O44+S44+U44+Q44</f>
        <v>13.777000000000001</v>
      </c>
      <c r="Z44" s="37">
        <f>J44+L44+N44+P44+T44+V44+R44</f>
        <v>2105.4011399999999</v>
      </c>
    </row>
    <row r="45" spans="1:26" ht="25" x14ac:dyDescent="0.2">
      <c r="A45" s="3" t="s">
        <v>28</v>
      </c>
      <c r="B45" s="3">
        <v>21</v>
      </c>
      <c r="C45" s="3" t="s">
        <v>70</v>
      </c>
      <c r="D45" s="8" t="s">
        <v>36</v>
      </c>
      <c r="E45" s="13" t="s">
        <v>71</v>
      </c>
      <c r="F45" s="9">
        <v>42.66</v>
      </c>
      <c r="G45" s="10">
        <v>100</v>
      </c>
      <c r="H45" s="11">
        <f t="shared" si="0"/>
        <v>4266</v>
      </c>
      <c r="J45" s="53"/>
      <c r="K45" s="57">
        <f>G45</f>
        <v>100</v>
      </c>
      <c r="L45" s="53">
        <f>F45*K45</f>
        <v>4266</v>
      </c>
      <c r="M45" s="57"/>
      <c r="N45" s="53"/>
      <c r="O45" s="57"/>
      <c r="P45" s="53"/>
      <c r="Q45" s="69"/>
      <c r="R45" s="53"/>
      <c r="S45" s="57"/>
      <c r="T45" s="66"/>
      <c r="U45" s="57"/>
      <c r="V45" s="66"/>
      <c r="W45" s="69"/>
      <c r="X45" s="66"/>
    </row>
    <row r="46" spans="1:26" x14ac:dyDescent="0.2">
      <c r="E46" s="81" t="s">
        <v>25</v>
      </c>
      <c r="F46" s="6"/>
      <c r="G46" s="6"/>
      <c r="H46" s="12">
        <f>SUM(H25:H45)</f>
        <v>60409.170000000006</v>
      </c>
      <c r="J46" s="54">
        <f>J25+J26+J27</f>
        <v>15500.022400000002</v>
      </c>
      <c r="K46" s="57"/>
      <c r="L46" s="54">
        <f>L26+L30+L31+L32+L33+L34+L35+L39+L40+L44+L45</f>
        <v>26939.901559999998</v>
      </c>
      <c r="M46" s="58"/>
      <c r="N46" s="54">
        <f>N26+N30+N32+N33+N36+N37+N38+N44</f>
        <v>6140.5861199999999</v>
      </c>
      <c r="O46" s="57"/>
      <c r="P46" s="54">
        <f>P26+P30+P33+P39+P40+P41+P42</f>
        <v>3371.4202799999998</v>
      </c>
      <c r="Q46" s="69"/>
      <c r="R46" s="54">
        <f>R28+R29+R30+R43+R44</f>
        <v>8457.2376899999999</v>
      </c>
      <c r="S46" s="57"/>
      <c r="T46" s="67">
        <f>T26+T30+T32+T33+T36+T37+T38+T44</f>
        <v>0</v>
      </c>
      <c r="U46" s="57"/>
      <c r="V46" s="67">
        <f>V26+V30+V33+V39+V40+V41+V42</f>
        <v>0</v>
      </c>
      <c r="W46" s="69"/>
      <c r="X46" s="66"/>
      <c r="Z46" s="37">
        <f>J46+L46+N46+P46+T46+V46+R46</f>
        <v>60409.16805</v>
      </c>
    </row>
    <row r="47" spans="1:26" x14ac:dyDescent="0.2">
      <c r="J47" s="53"/>
      <c r="K47" s="57"/>
      <c r="L47" s="53"/>
      <c r="M47" s="57"/>
      <c r="N47" s="53"/>
      <c r="O47" s="59"/>
      <c r="P47" s="53"/>
      <c r="Q47" s="69"/>
      <c r="R47" s="53"/>
      <c r="S47" s="57"/>
      <c r="T47" s="66"/>
      <c r="U47" s="57"/>
      <c r="V47" s="66"/>
      <c r="W47" s="69"/>
      <c r="X47" s="66"/>
    </row>
    <row r="48" spans="1:26" x14ac:dyDescent="0.2">
      <c r="C48" s="6" t="s">
        <v>6</v>
      </c>
      <c r="D48" s="7" t="s">
        <v>7</v>
      </c>
      <c r="E48" s="81" t="s">
        <v>8</v>
      </c>
      <c r="J48" s="53"/>
      <c r="K48" s="57"/>
      <c r="L48" s="53"/>
      <c r="M48" s="57"/>
      <c r="N48" s="53"/>
      <c r="O48" s="59"/>
      <c r="P48" s="53"/>
      <c r="Q48" s="69"/>
      <c r="R48" s="53"/>
      <c r="S48" s="57"/>
      <c r="T48" s="66"/>
      <c r="U48" s="57"/>
      <c r="V48" s="66"/>
      <c r="W48" s="69"/>
      <c r="X48" s="66"/>
    </row>
    <row r="49" spans="1:26" x14ac:dyDescent="0.2">
      <c r="C49" s="6" t="s">
        <v>9</v>
      </c>
      <c r="D49" s="7" t="s">
        <v>7</v>
      </c>
      <c r="E49" s="81" t="s">
        <v>10</v>
      </c>
      <c r="J49" s="53"/>
      <c r="K49" s="57"/>
      <c r="L49" s="53"/>
      <c r="M49" s="57"/>
      <c r="N49" s="53"/>
      <c r="O49" s="59"/>
      <c r="P49" s="53"/>
      <c r="Q49" s="69"/>
      <c r="R49" s="53"/>
      <c r="S49" s="57"/>
      <c r="T49" s="66"/>
      <c r="U49" s="57"/>
      <c r="V49" s="66"/>
      <c r="W49" s="69"/>
      <c r="X49" s="66"/>
    </row>
    <row r="50" spans="1:26" x14ac:dyDescent="0.2">
      <c r="C50" s="6" t="s">
        <v>11</v>
      </c>
      <c r="D50" s="7" t="s">
        <v>72</v>
      </c>
      <c r="E50" s="81" t="s">
        <v>73</v>
      </c>
      <c r="J50" s="53"/>
      <c r="K50" s="57"/>
      <c r="L50" s="53"/>
      <c r="M50" s="57"/>
      <c r="N50" s="53"/>
      <c r="O50" s="59"/>
      <c r="P50" s="53"/>
      <c r="Q50" s="69"/>
      <c r="R50" s="53"/>
      <c r="S50" s="57"/>
      <c r="T50" s="66"/>
      <c r="U50" s="57"/>
      <c r="V50" s="66"/>
      <c r="W50" s="69"/>
      <c r="X50" s="66"/>
    </row>
    <row r="51" spans="1:26" x14ac:dyDescent="0.2">
      <c r="J51" s="53"/>
      <c r="K51" s="57"/>
      <c r="L51" s="53"/>
      <c r="M51" s="57"/>
      <c r="N51" s="53"/>
      <c r="O51" s="59"/>
      <c r="P51" s="53"/>
      <c r="Q51" s="69"/>
      <c r="R51" s="53"/>
      <c r="S51" s="57"/>
      <c r="T51" s="66"/>
      <c r="U51" s="57"/>
      <c r="V51" s="66"/>
      <c r="W51" s="69"/>
      <c r="X51" s="66"/>
    </row>
    <row r="52" spans="1:26" ht="37" x14ac:dyDescent="0.2">
      <c r="A52" s="3" t="s">
        <v>74</v>
      </c>
      <c r="B52" s="3">
        <v>1</v>
      </c>
      <c r="C52" s="3" t="s">
        <v>75</v>
      </c>
      <c r="D52" s="8" t="s">
        <v>15</v>
      </c>
      <c r="E52" s="13" t="s">
        <v>76</v>
      </c>
      <c r="F52" s="9">
        <v>11.32</v>
      </c>
      <c r="G52" s="10">
        <v>103.55</v>
      </c>
      <c r="H52" s="11">
        <f t="shared" ref="H52:H58" si="2">ROUND(ROUND(F52,2)*ROUND(G52,3),2)</f>
        <v>1172.19</v>
      </c>
      <c r="J52" s="53"/>
      <c r="K52" s="57">
        <f>59.5</f>
        <v>59.5</v>
      </c>
      <c r="L52" s="53">
        <f>F52*K52</f>
        <v>673.54</v>
      </c>
      <c r="M52" s="57"/>
      <c r="N52" s="53"/>
      <c r="O52" s="59"/>
      <c r="P52" s="53"/>
      <c r="Q52" s="69">
        <f>9.3</f>
        <v>9.3000000000000007</v>
      </c>
      <c r="R52" s="53">
        <f>F52*Q52</f>
        <v>105.27600000000001</v>
      </c>
      <c r="S52" s="57">
        <f>14.75</f>
        <v>14.75</v>
      </c>
      <c r="T52" s="66">
        <f>F52*S52</f>
        <v>166.97</v>
      </c>
      <c r="U52" s="57">
        <f>20</f>
        <v>20</v>
      </c>
      <c r="V52" s="66">
        <f>F52*U52</f>
        <v>226.4</v>
      </c>
      <c r="W52" s="69"/>
      <c r="X52" s="66"/>
      <c r="Y52" s="36">
        <f t="shared" ref="Y52:Z55" si="3">I52+K52+S52+U52+Q52</f>
        <v>103.55</v>
      </c>
      <c r="Z52" s="37">
        <f t="shared" si="3"/>
        <v>1172.1860000000001</v>
      </c>
    </row>
    <row r="53" spans="1:26" x14ac:dyDescent="0.2">
      <c r="A53" s="3" t="s">
        <v>74</v>
      </c>
      <c r="B53" s="3">
        <v>2</v>
      </c>
      <c r="C53" s="3" t="s">
        <v>77</v>
      </c>
      <c r="D53" s="8" t="s">
        <v>18</v>
      </c>
      <c r="E53" s="13" t="s">
        <v>78</v>
      </c>
      <c r="F53" s="9">
        <v>3.29</v>
      </c>
      <c r="G53" s="10">
        <v>399</v>
      </c>
      <c r="H53" s="11">
        <f t="shared" si="2"/>
        <v>1312.71</v>
      </c>
      <c r="J53" s="53"/>
      <c r="K53" s="57">
        <f>238</f>
        <v>238</v>
      </c>
      <c r="L53" s="53">
        <f>F53*K53</f>
        <v>783.02</v>
      </c>
      <c r="M53" s="57"/>
      <c r="N53" s="53"/>
      <c r="O53" s="59"/>
      <c r="P53" s="53"/>
      <c r="Q53" s="69">
        <f>62</f>
        <v>62</v>
      </c>
      <c r="R53" s="53">
        <f>F53*Q53</f>
        <v>203.98</v>
      </c>
      <c r="S53" s="57">
        <f>59</f>
        <v>59</v>
      </c>
      <c r="T53" s="66">
        <f>F53*S53</f>
        <v>194.11</v>
      </c>
      <c r="U53" s="57">
        <f>40</f>
        <v>40</v>
      </c>
      <c r="V53" s="66">
        <f>F53*U53</f>
        <v>131.6</v>
      </c>
      <c r="W53" s="69"/>
      <c r="X53" s="66"/>
      <c r="Y53" s="36">
        <f t="shared" si="3"/>
        <v>399</v>
      </c>
      <c r="Z53" s="37">
        <f t="shared" si="3"/>
        <v>1312.71</v>
      </c>
    </row>
    <row r="54" spans="1:26" ht="37" x14ac:dyDescent="0.2">
      <c r="A54" s="3" t="s">
        <v>74</v>
      </c>
      <c r="B54" s="3">
        <v>3</v>
      </c>
      <c r="C54" s="3" t="s">
        <v>79</v>
      </c>
      <c r="D54" s="8" t="s">
        <v>15</v>
      </c>
      <c r="E54" s="13" t="s">
        <v>80</v>
      </c>
      <c r="F54" s="9">
        <v>11.32</v>
      </c>
      <c r="G54" s="10">
        <v>47.798000000000002</v>
      </c>
      <c r="H54" s="11">
        <f t="shared" si="2"/>
        <v>541.07000000000005</v>
      </c>
      <c r="J54" s="53"/>
      <c r="K54" s="57"/>
      <c r="L54" s="53"/>
      <c r="M54" s="57"/>
      <c r="N54" s="53"/>
      <c r="O54" s="59"/>
      <c r="P54" s="53"/>
      <c r="Q54" s="69">
        <f>20.213+7.473+4.2</f>
        <v>31.885999999999999</v>
      </c>
      <c r="R54" s="53">
        <f>F54*Q54</f>
        <v>360.94952000000001</v>
      </c>
      <c r="S54" s="57">
        <f>7.917+3.259+0.896+3.84</f>
        <v>15.912000000000001</v>
      </c>
      <c r="T54" s="66">
        <f>F54*S54</f>
        <v>180.12384</v>
      </c>
      <c r="U54" s="57"/>
      <c r="V54" s="66"/>
      <c r="W54" s="69"/>
      <c r="X54" s="66"/>
      <c r="Y54" s="36">
        <f t="shared" si="3"/>
        <v>47.798000000000002</v>
      </c>
      <c r="Z54" s="37">
        <f t="shared" si="3"/>
        <v>541.07335999999998</v>
      </c>
    </row>
    <row r="55" spans="1:26" x14ac:dyDescent="0.2">
      <c r="A55" s="3" t="s">
        <v>74</v>
      </c>
      <c r="B55" s="3">
        <v>4</v>
      </c>
      <c r="C55" s="3" t="s">
        <v>81</v>
      </c>
      <c r="D55" s="8" t="s">
        <v>18</v>
      </c>
      <c r="E55" s="13" t="s">
        <v>82</v>
      </c>
      <c r="F55" s="9">
        <v>2.69</v>
      </c>
      <c r="G55" s="10">
        <v>158.614</v>
      </c>
      <c r="H55" s="11">
        <f t="shared" si="2"/>
        <v>426.67</v>
      </c>
      <c r="J55" s="53"/>
      <c r="K55" s="57"/>
      <c r="L55" s="53"/>
      <c r="M55" s="57"/>
      <c r="N55" s="53"/>
      <c r="O55" s="59"/>
      <c r="P55" s="53"/>
      <c r="Q55" s="69">
        <f>28.875+10.675+6+36.75+21.35+14</f>
        <v>117.65</v>
      </c>
      <c r="R55" s="53">
        <f>F55*Q55</f>
        <v>316.4785</v>
      </c>
      <c r="S55" s="57">
        <f>4.656+1.28+3.2+8.148+4.48+19.2</f>
        <v>40.963999999999999</v>
      </c>
      <c r="T55" s="66">
        <f>F55*S55</f>
        <v>110.19315999999999</v>
      </c>
      <c r="U55" s="57"/>
      <c r="V55" s="66"/>
      <c r="W55" s="69"/>
      <c r="X55" s="66"/>
      <c r="Y55" s="36">
        <f t="shared" si="3"/>
        <v>158.614</v>
      </c>
      <c r="Z55" s="37">
        <f t="shared" si="3"/>
        <v>426.67165999999997</v>
      </c>
    </row>
    <row r="56" spans="1:26" x14ac:dyDescent="0.2">
      <c r="A56" s="3" t="s">
        <v>74</v>
      </c>
      <c r="B56" s="3">
        <v>5</v>
      </c>
      <c r="C56" s="3" t="s">
        <v>83</v>
      </c>
      <c r="D56" s="8" t="s">
        <v>18</v>
      </c>
      <c r="E56" s="13" t="s">
        <v>84</v>
      </c>
      <c r="F56" s="9">
        <v>4.04</v>
      </c>
      <c r="G56" s="10">
        <v>20.274999999999999</v>
      </c>
      <c r="H56" s="11">
        <f t="shared" si="2"/>
        <v>81.91</v>
      </c>
      <c r="J56" s="53"/>
      <c r="K56" s="57"/>
      <c r="L56" s="53"/>
      <c r="M56" s="57"/>
      <c r="N56" s="53"/>
      <c r="O56" s="59"/>
      <c r="P56" s="53"/>
      <c r="Q56" s="69"/>
      <c r="R56" s="53"/>
      <c r="S56" s="57">
        <f>3.55+16.725</f>
        <v>20.275000000000002</v>
      </c>
      <c r="T56" s="66">
        <f>F56*S56</f>
        <v>81.911000000000016</v>
      </c>
      <c r="U56" s="57"/>
      <c r="V56" s="66"/>
      <c r="W56" s="69"/>
      <c r="X56" s="66"/>
    </row>
    <row r="57" spans="1:26" ht="37" x14ac:dyDescent="0.2">
      <c r="A57" s="3" t="s">
        <v>74</v>
      </c>
      <c r="B57" s="3">
        <v>6</v>
      </c>
      <c r="C57" s="3" t="s">
        <v>85</v>
      </c>
      <c r="D57" s="8" t="s">
        <v>15</v>
      </c>
      <c r="E57" s="13" t="s">
        <v>86</v>
      </c>
      <c r="F57" s="9">
        <v>12.65</v>
      </c>
      <c r="G57" s="10">
        <v>111.2</v>
      </c>
      <c r="H57" s="11">
        <f t="shared" si="2"/>
        <v>1406.68</v>
      </c>
      <c r="I57" s="36">
        <f>G57</f>
        <v>111.2</v>
      </c>
      <c r="J57" s="53">
        <f>F57*I57</f>
        <v>1406.68</v>
      </c>
      <c r="K57" s="57"/>
      <c r="L57" s="53"/>
      <c r="M57" s="57"/>
      <c r="N57" s="53"/>
      <c r="O57" s="59"/>
      <c r="P57" s="53"/>
      <c r="Q57" s="69"/>
      <c r="R57" s="53"/>
      <c r="S57" s="57"/>
      <c r="T57" s="66"/>
      <c r="U57" s="57"/>
      <c r="V57" s="66"/>
      <c r="W57" s="69"/>
      <c r="X57" s="66"/>
    </row>
    <row r="58" spans="1:26" ht="37" x14ac:dyDescent="0.2">
      <c r="A58" s="3" t="s">
        <v>74</v>
      </c>
      <c r="B58" s="3">
        <v>7</v>
      </c>
      <c r="C58" s="3" t="s">
        <v>87</v>
      </c>
      <c r="D58" s="8" t="s">
        <v>15</v>
      </c>
      <c r="E58" s="13" t="s">
        <v>88</v>
      </c>
      <c r="F58" s="9">
        <v>18.36</v>
      </c>
      <c r="G58" s="10">
        <v>91.92</v>
      </c>
      <c r="H58" s="11">
        <f t="shared" si="2"/>
        <v>1687.65</v>
      </c>
      <c r="I58" s="36">
        <f>G58</f>
        <v>91.92</v>
      </c>
      <c r="J58" s="53">
        <f>F58*I58</f>
        <v>1687.6512</v>
      </c>
      <c r="K58" s="57"/>
      <c r="L58" s="53"/>
      <c r="M58" s="57"/>
      <c r="N58" s="53"/>
      <c r="O58" s="59"/>
      <c r="P58" s="53"/>
      <c r="Q58" s="69"/>
      <c r="R58" s="53"/>
      <c r="S58" s="57"/>
      <c r="T58" s="66"/>
      <c r="U58" s="57"/>
      <c r="V58" s="66"/>
      <c r="W58" s="69"/>
      <c r="X58" s="66"/>
    </row>
    <row r="59" spans="1:26" x14ac:dyDescent="0.2">
      <c r="E59" s="81" t="s">
        <v>25</v>
      </c>
      <c r="F59" s="6"/>
      <c r="G59" s="6"/>
      <c r="H59" s="12">
        <f>SUM(H52:H58)</f>
        <v>6628.880000000001</v>
      </c>
      <c r="J59" s="54">
        <f>J57+J58</f>
        <v>3094.3312000000001</v>
      </c>
      <c r="K59" s="57"/>
      <c r="L59" s="54">
        <f>L52+L53</f>
        <v>1456.56</v>
      </c>
      <c r="M59" s="58"/>
      <c r="N59" s="54">
        <f>N52+N53+N54+N55+N56</f>
        <v>0</v>
      </c>
      <c r="O59" s="60"/>
      <c r="P59" s="54">
        <f>P52+P53+P54+P55+P56</f>
        <v>0</v>
      </c>
      <c r="Q59" s="69"/>
      <c r="R59" s="54">
        <f>R52+R53+R54+R55</f>
        <v>986.68401999999992</v>
      </c>
      <c r="S59" s="57"/>
      <c r="T59" s="67">
        <f>T52+T53+T54+T55+T56</f>
        <v>733.30800000000011</v>
      </c>
      <c r="U59" s="57"/>
      <c r="V59" s="67">
        <f>V52+V53</f>
        <v>358</v>
      </c>
      <c r="W59" s="69"/>
      <c r="X59" s="66"/>
      <c r="Z59" s="37">
        <f>J59+L59+T59+V59+R59</f>
        <v>6628.8832199999997</v>
      </c>
    </row>
    <row r="60" spans="1:26" x14ac:dyDescent="0.2">
      <c r="J60" s="53"/>
      <c r="K60" s="57"/>
      <c r="L60" s="53"/>
      <c r="M60" s="57"/>
      <c r="N60" s="53"/>
      <c r="O60" s="59"/>
      <c r="P60" s="53"/>
      <c r="Q60" s="69"/>
      <c r="R60" s="53"/>
      <c r="S60" s="57"/>
      <c r="T60" s="66"/>
      <c r="U60" s="57"/>
      <c r="V60" s="66"/>
      <c r="W60" s="69"/>
      <c r="X60" s="66"/>
    </row>
    <row r="61" spans="1:26" x14ac:dyDescent="0.2">
      <c r="C61" s="6" t="s">
        <v>6</v>
      </c>
      <c r="D61" s="7" t="s">
        <v>7</v>
      </c>
      <c r="E61" s="81" t="s">
        <v>8</v>
      </c>
      <c r="J61" s="53"/>
      <c r="K61" s="57"/>
      <c r="L61" s="53"/>
      <c r="M61" s="57"/>
      <c r="N61" s="53"/>
      <c r="O61" s="59"/>
      <c r="P61" s="53"/>
      <c r="Q61" s="69"/>
      <c r="R61" s="53"/>
      <c r="S61" s="57"/>
      <c r="T61" s="66"/>
      <c r="U61" s="57"/>
      <c r="V61" s="66"/>
      <c r="W61" s="69"/>
      <c r="X61" s="66"/>
    </row>
    <row r="62" spans="1:26" x14ac:dyDescent="0.2">
      <c r="C62" s="6" t="s">
        <v>9</v>
      </c>
      <c r="D62" s="7" t="s">
        <v>26</v>
      </c>
      <c r="E62" s="81" t="s">
        <v>89</v>
      </c>
      <c r="J62" s="53"/>
      <c r="K62" s="57"/>
      <c r="L62" s="53"/>
      <c r="M62" s="57"/>
      <c r="N62" s="53"/>
      <c r="O62" s="59"/>
      <c r="P62" s="53"/>
      <c r="Q62" s="69"/>
      <c r="R62" s="53"/>
      <c r="S62" s="57"/>
      <c r="T62" s="66"/>
      <c r="U62" s="57"/>
      <c r="V62" s="66"/>
      <c r="W62" s="69"/>
      <c r="X62" s="66"/>
    </row>
    <row r="63" spans="1:26" x14ac:dyDescent="0.2">
      <c r="C63" s="6" t="s">
        <v>11</v>
      </c>
      <c r="D63" s="7" t="s">
        <v>7</v>
      </c>
      <c r="E63" s="81" t="s">
        <v>90</v>
      </c>
      <c r="J63" s="53"/>
      <c r="K63" s="57"/>
      <c r="L63" s="53"/>
      <c r="M63" s="57"/>
      <c r="N63" s="53"/>
      <c r="O63" s="59"/>
      <c r="P63" s="53"/>
      <c r="Q63" s="69"/>
      <c r="R63" s="53"/>
      <c r="S63" s="57"/>
      <c r="T63" s="66"/>
      <c r="U63" s="57"/>
      <c r="V63" s="66"/>
      <c r="W63" s="69"/>
      <c r="X63" s="66"/>
    </row>
    <row r="64" spans="1:26" x14ac:dyDescent="0.2">
      <c r="C64" s="6" t="s">
        <v>91</v>
      </c>
      <c r="D64" s="7" t="s">
        <v>7</v>
      </c>
      <c r="E64" s="81" t="s">
        <v>92</v>
      </c>
      <c r="J64" s="53"/>
      <c r="K64" s="57"/>
      <c r="L64" s="53"/>
      <c r="M64" s="57"/>
      <c r="N64" s="53"/>
      <c r="O64" s="59"/>
      <c r="P64" s="53"/>
      <c r="Q64" s="69"/>
      <c r="R64" s="53"/>
      <c r="S64" s="57"/>
      <c r="T64" s="66"/>
      <c r="U64" s="57"/>
      <c r="V64" s="66"/>
      <c r="W64" s="69"/>
      <c r="X64" s="66"/>
    </row>
    <row r="65" spans="1:26" x14ac:dyDescent="0.2">
      <c r="J65" s="53"/>
      <c r="K65" s="57"/>
      <c r="L65" s="53"/>
      <c r="M65" s="57"/>
      <c r="N65" s="53"/>
      <c r="O65" s="59"/>
      <c r="P65" s="53"/>
      <c r="Q65" s="69"/>
      <c r="R65" s="53"/>
      <c r="S65" s="57"/>
      <c r="T65" s="66"/>
      <c r="U65" s="57"/>
      <c r="V65" s="66"/>
      <c r="W65" s="69"/>
      <c r="X65" s="66"/>
    </row>
    <row r="66" spans="1:26" ht="37" x14ac:dyDescent="0.2">
      <c r="A66" s="3" t="s">
        <v>93</v>
      </c>
      <c r="B66" s="3">
        <v>1</v>
      </c>
      <c r="C66" s="3" t="s">
        <v>94</v>
      </c>
      <c r="D66" s="8" t="s">
        <v>15</v>
      </c>
      <c r="E66" s="13" t="s">
        <v>95</v>
      </c>
      <c r="F66" s="9">
        <v>128.26</v>
      </c>
      <c r="G66" s="10">
        <v>3.84</v>
      </c>
      <c r="H66" s="11">
        <f>ROUND(ROUND(F66,2)*ROUND(G66,3),2)</f>
        <v>492.52</v>
      </c>
      <c r="J66" s="53"/>
      <c r="K66" s="57"/>
      <c r="L66" s="53"/>
      <c r="M66" s="57"/>
      <c r="N66" s="53"/>
      <c r="O66" s="59"/>
      <c r="P66" s="53"/>
      <c r="Q66" s="69">
        <f>G66</f>
        <v>3.84</v>
      </c>
      <c r="R66" s="53">
        <f>F66*Q66</f>
        <v>492.51839999999993</v>
      </c>
      <c r="S66" s="57"/>
      <c r="T66" s="66"/>
      <c r="U66" s="57"/>
      <c r="V66" s="66"/>
      <c r="W66" s="69"/>
      <c r="X66" s="66"/>
    </row>
    <row r="67" spans="1:26" x14ac:dyDescent="0.2">
      <c r="E67" s="81" t="s">
        <v>25</v>
      </c>
      <c r="F67" s="6"/>
      <c r="G67" s="6"/>
      <c r="H67" s="12">
        <f>SUM(H66:H66)</f>
        <v>492.52</v>
      </c>
      <c r="J67" s="53"/>
      <c r="K67" s="57"/>
      <c r="L67" s="53"/>
      <c r="M67" s="57"/>
      <c r="N67" s="53"/>
      <c r="O67" s="59"/>
      <c r="P67" s="53"/>
      <c r="Q67" s="69"/>
      <c r="R67" s="54">
        <f>R66</f>
        <v>492.51839999999993</v>
      </c>
      <c r="S67" s="57"/>
      <c r="T67" s="66"/>
      <c r="U67" s="57"/>
      <c r="V67" s="66"/>
      <c r="W67" s="69"/>
      <c r="X67" s="66"/>
    </row>
    <row r="68" spans="1:26" x14ac:dyDescent="0.2">
      <c r="J68" s="53"/>
      <c r="K68" s="57"/>
      <c r="L68" s="53"/>
      <c r="M68" s="57"/>
      <c r="N68" s="53"/>
      <c r="O68" s="59"/>
      <c r="P68" s="53"/>
      <c r="Q68" s="69"/>
      <c r="R68" s="53"/>
      <c r="S68" s="57"/>
      <c r="T68" s="66"/>
      <c r="U68" s="57"/>
      <c r="V68" s="66"/>
      <c r="W68" s="69"/>
      <c r="X68" s="66"/>
    </row>
    <row r="69" spans="1:26" x14ac:dyDescent="0.2">
      <c r="C69" s="6" t="s">
        <v>6</v>
      </c>
      <c r="D69" s="7" t="s">
        <v>7</v>
      </c>
      <c r="E69" s="81" t="s">
        <v>8</v>
      </c>
      <c r="J69" s="53"/>
      <c r="K69" s="57"/>
      <c r="L69" s="53"/>
      <c r="M69" s="57"/>
      <c r="N69" s="53"/>
      <c r="O69" s="59"/>
      <c r="P69" s="53"/>
      <c r="Q69" s="69"/>
      <c r="R69" s="53"/>
      <c r="S69" s="57"/>
      <c r="T69" s="66"/>
      <c r="U69" s="57"/>
      <c r="V69" s="66"/>
      <c r="W69" s="69"/>
      <c r="X69" s="66"/>
    </row>
    <row r="70" spans="1:26" x14ac:dyDescent="0.2">
      <c r="C70" s="6" t="s">
        <v>9</v>
      </c>
      <c r="D70" s="7" t="s">
        <v>26</v>
      </c>
      <c r="E70" s="81" t="s">
        <v>89</v>
      </c>
      <c r="J70" s="53"/>
      <c r="K70" s="57"/>
      <c r="L70" s="53"/>
      <c r="M70" s="57"/>
      <c r="N70" s="53"/>
      <c r="O70" s="59"/>
      <c r="P70" s="53"/>
      <c r="Q70" s="69"/>
      <c r="R70" s="53"/>
      <c r="S70" s="57"/>
      <c r="T70" s="66"/>
      <c r="U70" s="57"/>
      <c r="V70" s="66"/>
      <c r="W70" s="69"/>
      <c r="X70" s="66"/>
    </row>
    <row r="71" spans="1:26" x14ac:dyDescent="0.2">
      <c r="C71" s="6" t="s">
        <v>11</v>
      </c>
      <c r="D71" s="7" t="s">
        <v>7</v>
      </c>
      <c r="E71" s="81" t="s">
        <v>90</v>
      </c>
      <c r="J71" s="53"/>
      <c r="K71" s="57"/>
      <c r="L71" s="53"/>
      <c r="M71" s="57"/>
      <c r="N71" s="53"/>
      <c r="O71" s="59"/>
      <c r="P71" s="53"/>
      <c r="Q71" s="69"/>
      <c r="R71" s="53"/>
      <c r="S71" s="57"/>
      <c r="T71" s="66"/>
      <c r="U71" s="57"/>
      <c r="V71" s="66"/>
      <c r="W71" s="69"/>
      <c r="X71" s="66"/>
    </row>
    <row r="72" spans="1:26" x14ac:dyDescent="0.2">
      <c r="C72" s="6" t="s">
        <v>91</v>
      </c>
      <c r="D72" s="7" t="s">
        <v>26</v>
      </c>
      <c r="E72" s="81" t="s">
        <v>96</v>
      </c>
      <c r="J72" s="53"/>
      <c r="K72" s="57"/>
      <c r="L72" s="53"/>
      <c r="M72" s="57"/>
      <c r="N72" s="53"/>
      <c r="O72" s="59"/>
      <c r="P72" s="53"/>
      <c r="Q72" s="69"/>
      <c r="R72" s="53"/>
      <c r="S72" s="57"/>
      <c r="T72" s="66"/>
      <c r="U72" s="57"/>
      <c r="V72" s="66"/>
      <c r="W72" s="69"/>
      <c r="X72" s="66"/>
    </row>
    <row r="73" spans="1:26" x14ac:dyDescent="0.2">
      <c r="J73" s="53"/>
      <c r="K73" s="57"/>
      <c r="L73" s="53"/>
      <c r="M73" s="57"/>
      <c r="N73" s="53"/>
      <c r="O73" s="59"/>
      <c r="P73" s="53"/>
      <c r="Q73" s="69"/>
      <c r="R73" s="53"/>
      <c r="S73" s="57"/>
      <c r="T73" s="66"/>
      <c r="U73" s="57"/>
      <c r="V73" s="66"/>
      <c r="W73" s="69"/>
      <c r="X73" s="66"/>
    </row>
    <row r="74" spans="1:26" ht="37" x14ac:dyDescent="0.2">
      <c r="A74" s="3" t="s">
        <v>97</v>
      </c>
      <c r="B74" s="3">
        <v>1</v>
      </c>
      <c r="C74" s="3" t="s">
        <v>98</v>
      </c>
      <c r="D74" s="8" t="s">
        <v>15</v>
      </c>
      <c r="E74" s="13" t="s">
        <v>99</v>
      </c>
      <c r="F74" s="9">
        <v>163.75</v>
      </c>
      <c r="G74" s="10">
        <v>28.712</v>
      </c>
      <c r="H74" s="11">
        <f>ROUND(ROUND(F74,2)*ROUND(G74,3),2)</f>
        <v>4701.59</v>
      </c>
      <c r="J74" s="53"/>
      <c r="K74" s="57"/>
      <c r="L74" s="53"/>
      <c r="M74" s="57"/>
      <c r="N74" s="53"/>
      <c r="O74" s="59"/>
      <c r="P74" s="53"/>
      <c r="Q74" s="69">
        <f>17.325+6.405</f>
        <v>23.73</v>
      </c>
      <c r="R74" s="53">
        <f>F74*Q74</f>
        <v>3885.7874999999999</v>
      </c>
      <c r="S74" s="57">
        <f>1.42+2.794+0.768</f>
        <v>4.9820000000000002</v>
      </c>
      <c r="T74" s="66">
        <f>F74*S74</f>
        <v>815.80250000000001</v>
      </c>
      <c r="U74" s="57"/>
      <c r="V74" s="66"/>
      <c r="W74" s="69"/>
      <c r="X74" s="66"/>
      <c r="Y74" s="36">
        <f>I74+K74+S74+U74+Q74</f>
        <v>28.712</v>
      </c>
    </row>
    <row r="75" spans="1:26" ht="37" x14ac:dyDescent="0.2">
      <c r="A75" s="3" t="s">
        <v>97</v>
      </c>
      <c r="B75" s="3">
        <v>2</v>
      </c>
      <c r="C75" s="3" t="s">
        <v>100</v>
      </c>
      <c r="D75" s="8" t="s">
        <v>18</v>
      </c>
      <c r="E75" s="13" t="s">
        <v>101</v>
      </c>
      <c r="F75" s="9">
        <v>20.059999999999999</v>
      </c>
      <c r="G75" s="10">
        <v>49.036000000000001</v>
      </c>
      <c r="H75" s="11">
        <f>ROUND(ROUND(F75,2)*ROUND(G75,3),2)</f>
        <v>983.66</v>
      </c>
      <c r="J75" s="53"/>
      <c r="K75" s="57"/>
      <c r="L75" s="53"/>
      <c r="M75" s="57"/>
      <c r="N75" s="53"/>
      <c r="O75" s="59"/>
      <c r="P75" s="53"/>
      <c r="Q75" s="69">
        <f>28.875+10.675</f>
        <v>39.549999999999997</v>
      </c>
      <c r="R75" s="53">
        <f>F75*Q75</f>
        <v>793.37299999999993</v>
      </c>
      <c r="S75" s="57">
        <f>3.55+4.656+1.28</f>
        <v>9.4859999999999989</v>
      </c>
      <c r="T75" s="66">
        <f>F75*S75</f>
        <v>190.28915999999995</v>
      </c>
      <c r="U75" s="57"/>
      <c r="V75" s="66"/>
      <c r="W75" s="69"/>
      <c r="X75" s="66"/>
      <c r="Y75" s="36">
        <f>I75+K75+S75+U75+Q75</f>
        <v>49.035999999999994</v>
      </c>
    </row>
    <row r="76" spans="1:26" ht="25" x14ac:dyDescent="0.2">
      <c r="A76" s="3" t="s">
        <v>97</v>
      </c>
      <c r="B76" s="3">
        <v>3</v>
      </c>
      <c r="C76" s="3" t="s">
        <v>102</v>
      </c>
      <c r="D76" s="8" t="s">
        <v>103</v>
      </c>
      <c r="E76" s="13" t="s">
        <v>104</v>
      </c>
      <c r="F76" s="9">
        <v>1.9</v>
      </c>
      <c r="G76" s="10">
        <v>1839.6579999999999</v>
      </c>
      <c r="H76" s="11">
        <f>ROUND(ROUND(F76,2)*ROUND(G76,3),2)</f>
        <v>3495.35</v>
      </c>
      <c r="J76" s="53"/>
      <c r="K76" s="57"/>
      <c r="L76" s="53"/>
      <c r="M76" s="57"/>
      <c r="N76" s="53"/>
      <c r="O76" s="59"/>
      <c r="P76" s="53"/>
      <c r="Q76" s="69">
        <f>1039.5+384.3+142.38</f>
        <v>1566.1799999999998</v>
      </c>
      <c r="R76" s="53">
        <f>F76*Q76</f>
        <v>2975.7419999999997</v>
      </c>
      <c r="S76" s="70">
        <f>42.6+167.616+38.4+24.862</f>
        <v>273.47800000000001</v>
      </c>
      <c r="T76" s="66">
        <f>F76*S76</f>
        <v>519.60820000000001</v>
      </c>
      <c r="U76" s="57"/>
      <c r="V76" s="66"/>
      <c r="W76" s="69"/>
      <c r="X76" s="66"/>
      <c r="Y76" s="36">
        <f>I76+K76+S76+U76+Q76</f>
        <v>1839.6579999999999</v>
      </c>
      <c r="Z76" s="37">
        <f>J76+L76+T76+V76+R76</f>
        <v>3495.3501999999999</v>
      </c>
    </row>
    <row r="77" spans="1:26" x14ac:dyDescent="0.2">
      <c r="E77" s="81" t="s">
        <v>25</v>
      </c>
      <c r="F77" s="6"/>
      <c r="G77" s="6"/>
      <c r="H77" s="12">
        <f>SUM(H74:H76)</f>
        <v>9180.6</v>
      </c>
      <c r="J77" s="53"/>
      <c r="K77" s="57"/>
      <c r="L77" s="53"/>
      <c r="M77" s="57"/>
      <c r="N77" s="54">
        <f>N74+N75+N76</f>
        <v>0</v>
      </c>
      <c r="O77" s="59"/>
      <c r="P77" s="71">
        <f>SUM(P64:P76)</f>
        <v>0</v>
      </c>
      <c r="Q77" s="69"/>
      <c r="R77" s="54">
        <f>R74+R75+R76</f>
        <v>7654.9025000000001</v>
      </c>
      <c r="S77" s="57"/>
      <c r="T77" s="67">
        <f>T74+T75+T76</f>
        <v>1525.6998599999999</v>
      </c>
      <c r="U77" s="57"/>
      <c r="V77" s="66"/>
      <c r="W77" s="69"/>
      <c r="X77" s="66"/>
      <c r="Z77" s="37">
        <f>J77+L77+T77+V77+R77</f>
        <v>9180.6023600000008</v>
      </c>
    </row>
    <row r="78" spans="1:26" x14ac:dyDescent="0.2">
      <c r="J78" s="53"/>
      <c r="K78" s="57"/>
      <c r="L78" s="53"/>
      <c r="M78" s="57"/>
      <c r="N78" s="53"/>
      <c r="O78" s="59"/>
      <c r="P78" s="53"/>
      <c r="Q78" s="69"/>
      <c r="R78" s="53"/>
      <c r="S78" s="57"/>
      <c r="T78" s="66"/>
      <c r="U78" s="57"/>
      <c r="V78" s="66"/>
      <c r="W78" s="69"/>
      <c r="X78" s="66"/>
    </row>
    <row r="79" spans="1:26" x14ac:dyDescent="0.2">
      <c r="C79" s="6" t="s">
        <v>6</v>
      </c>
      <c r="D79" s="7" t="s">
        <v>7</v>
      </c>
      <c r="E79" s="81" t="s">
        <v>8</v>
      </c>
      <c r="J79" s="53"/>
      <c r="K79" s="57"/>
      <c r="L79" s="53"/>
      <c r="M79" s="57"/>
      <c r="N79" s="53"/>
      <c r="O79" s="59"/>
      <c r="P79" s="53"/>
      <c r="Q79" s="69"/>
      <c r="R79" s="53"/>
      <c r="S79" s="57"/>
      <c r="T79" s="66"/>
      <c r="U79" s="57"/>
      <c r="V79" s="66"/>
      <c r="W79" s="69"/>
      <c r="X79" s="66"/>
    </row>
    <row r="80" spans="1:26" x14ac:dyDescent="0.2">
      <c r="C80" s="6" t="s">
        <v>9</v>
      </c>
      <c r="D80" s="7" t="s">
        <v>26</v>
      </c>
      <c r="E80" s="81" t="s">
        <v>89</v>
      </c>
      <c r="J80" s="53"/>
      <c r="K80" s="57"/>
      <c r="L80" s="53"/>
      <c r="M80" s="57"/>
      <c r="N80" s="53"/>
      <c r="O80" s="59"/>
      <c r="P80" s="53"/>
      <c r="Q80" s="69"/>
      <c r="R80" s="53"/>
      <c r="S80" s="57"/>
      <c r="T80" s="66"/>
      <c r="U80" s="57"/>
      <c r="V80" s="66"/>
      <c r="W80" s="69"/>
      <c r="X80" s="66"/>
    </row>
    <row r="81" spans="1:24" x14ac:dyDescent="0.2">
      <c r="C81" s="6" t="s">
        <v>11</v>
      </c>
      <c r="D81" s="7" t="s">
        <v>7</v>
      </c>
      <c r="E81" s="81" t="s">
        <v>90</v>
      </c>
      <c r="J81" s="53"/>
      <c r="K81" s="57"/>
      <c r="L81" s="53"/>
      <c r="M81" s="57"/>
      <c r="N81" s="53"/>
      <c r="O81" s="59"/>
      <c r="P81" s="53"/>
      <c r="Q81" s="69"/>
      <c r="R81" s="53"/>
      <c r="S81" s="57"/>
      <c r="T81" s="66"/>
      <c r="U81" s="57"/>
      <c r="V81" s="66"/>
      <c r="W81" s="69"/>
      <c r="X81" s="66"/>
    </row>
    <row r="82" spans="1:24" x14ac:dyDescent="0.2">
      <c r="C82" s="6" t="s">
        <v>91</v>
      </c>
      <c r="D82" s="7" t="s">
        <v>72</v>
      </c>
      <c r="E82" s="81" t="s">
        <v>105</v>
      </c>
      <c r="J82" s="53"/>
      <c r="K82" s="57"/>
      <c r="L82" s="53"/>
      <c r="M82" s="57"/>
      <c r="N82" s="53"/>
      <c r="O82" s="59"/>
      <c r="P82" s="53"/>
      <c r="Q82" s="69"/>
      <c r="R82" s="53"/>
      <c r="S82" s="57"/>
      <c r="T82" s="66"/>
      <c r="U82" s="57"/>
      <c r="V82" s="66"/>
      <c r="W82" s="69"/>
      <c r="X82" s="66"/>
    </row>
    <row r="83" spans="1:24" x14ac:dyDescent="0.2">
      <c r="J83" s="53"/>
      <c r="K83" s="57"/>
      <c r="L83" s="53"/>
      <c r="M83" s="57"/>
      <c r="N83" s="53"/>
      <c r="O83" s="59"/>
      <c r="P83" s="53"/>
      <c r="Q83" s="69"/>
      <c r="R83" s="53"/>
      <c r="S83" s="57"/>
      <c r="T83" s="66"/>
      <c r="U83" s="57"/>
      <c r="V83" s="66"/>
      <c r="W83" s="69"/>
      <c r="X83" s="66"/>
    </row>
    <row r="84" spans="1:24" ht="37" x14ac:dyDescent="0.2">
      <c r="A84" s="3" t="s">
        <v>106</v>
      </c>
      <c r="B84" s="3">
        <v>1</v>
      </c>
      <c r="C84" s="3" t="s">
        <v>107</v>
      </c>
      <c r="D84" s="8" t="s">
        <v>15</v>
      </c>
      <c r="E84" s="13" t="s">
        <v>108</v>
      </c>
      <c r="F84" s="9">
        <v>147.63999999999999</v>
      </c>
      <c r="G84" s="10">
        <v>1.5920000000000001</v>
      </c>
      <c r="H84" s="11">
        <f>ROUND(ROUND(F84,2)*ROUND(G84,3),2)</f>
        <v>235.04</v>
      </c>
      <c r="J84" s="53"/>
      <c r="K84" s="57"/>
      <c r="L84" s="53"/>
      <c r="M84" s="57"/>
      <c r="N84" s="53"/>
      <c r="O84" s="59"/>
      <c r="P84" s="53"/>
      <c r="Q84" s="69"/>
      <c r="R84" s="53"/>
      <c r="S84" s="57">
        <f>G84</f>
        <v>1.5920000000000001</v>
      </c>
      <c r="T84" s="66">
        <f>F84*S84</f>
        <v>235.04288</v>
      </c>
      <c r="U84" s="57"/>
      <c r="V84" s="66"/>
      <c r="W84" s="69"/>
      <c r="X84" s="66"/>
    </row>
    <row r="85" spans="1:24" ht="25" x14ac:dyDescent="0.2">
      <c r="A85" s="3" t="s">
        <v>106</v>
      </c>
      <c r="B85" s="3">
        <v>2</v>
      </c>
      <c r="C85" s="3" t="s">
        <v>109</v>
      </c>
      <c r="D85" s="8" t="s">
        <v>103</v>
      </c>
      <c r="E85" s="13" t="s">
        <v>110</v>
      </c>
      <c r="F85" s="9">
        <v>2.0299999999999998</v>
      </c>
      <c r="G85" s="10">
        <v>175.12</v>
      </c>
      <c r="H85" s="11">
        <f>ROUND(ROUND(F85,2)*ROUND(G85,3),2)</f>
        <v>355.49</v>
      </c>
      <c r="J85" s="53"/>
      <c r="K85" s="57"/>
      <c r="L85" s="53"/>
      <c r="M85" s="57"/>
      <c r="N85" s="53"/>
      <c r="O85" s="59"/>
      <c r="P85" s="53"/>
      <c r="Q85" s="69"/>
      <c r="R85" s="53"/>
      <c r="S85" s="57">
        <f>G85</f>
        <v>175.12</v>
      </c>
      <c r="T85" s="66">
        <f>F85*S85</f>
        <v>355.49359999999996</v>
      </c>
      <c r="U85" s="57"/>
      <c r="V85" s="66"/>
      <c r="W85" s="69"/>
      <c r="X85" s="66"/>
    </row>
    <row r="86" spans="1:24" ht="25" x14ac:dyDescent="0.2">
      <c r="A86" s="3" t="s">
        <v>106</v>
      </c>
      <c r="B86" s="3">
        <v>3</v>
      </c>
      <c r="C86" s="3" t="s">
        <v>111</v>
      </c>
      <c r="D86" s="8" t="s">
        <v>18</v>
      </c>
      <c r="E86" s="13" t="s">
        <v>112</v>
      </c>
      <c r="F86" s="9">
        <v>32.51</v>
      </c>
      <c r="G86" s="10">
        <v>15.92</v>
      </c>
      <c r="H86" s="11">
        <f>ROUND(ROUND(F86,2)*ROUND(G86,3),2)</f>
        <v>517.55999999999995</v>
      </c>
      <c r="J86" s="53"/>
      <c r="K86" s="57"/>
      <c r="L86" s="53"/>
      <c r="M86" s="57"/>
      <c r="N86" s="53"/>
      <c r="O86" s="59"/>
      <c r="P86" s="53"/>
      <c r="Q86" s="69"/>
      <c r="R86" s="53"/>
      <c r="S86" s="57">
        <f>G86</f>
        <v>15.92</v>
      </c>
      <c r="T86" s="66">
        <f>F86*S86</f>
        <v>517.55919999999992</v>
      </c>
      <c r="U86" s="57"/>
      <c r="V86" s="66"/>
      <c r="W86" s="69"/>
      <c r="X86" s="66"/>
    </row>
    <row r="87" spans="1:24" x14ac:dyDescent="0.2">
      <c r="E87" s="81" t="s">
        <v>25</v>
      </c>
      <c r="F87" s="6"/>
      <c r="G87" s="6"/>
      <c r="H87" s="12">
        <f>SUM(H84:H86)</f>
        <v>1108.0899999999999</v>
      </c>
      <c r="J87" s="53"/>
      <c r="K87" s="57"/>
      <c r="L87" s="53"/>
      <c r="M87" s="57"/>
      <c r="N87" s="54">
        <f>N84+N85+N86</f>
        <v>0</v>
      </c>
      <c r="O87" s="59"/>
      <c r="P87" s="71">
        <f>SUM(P74:P86)</f>
        <v>0</v>
      </c>
      <c r="Q87" s="69"/>
      <c r="R87" s="53"/>
      <c r="S87" s="57"/>
      <c r="T87" s="72">
        <f>SUM(T84:T86)</f>
        <v>1108.0956799999999</v>
      </c>
      <c r="U87" s="57"/>
      <c r="V87" s="66"/>
      <c r="W87" s="69"/>
      <c r="X87" s="66"/>
    </row>
    <row r="88" spans="1:24" x14ac:dyDescent="0.2">
      <c r="J88" s="53"/>
      <c r="K88" s="57"/>
      <c r="L88" s="53"/>
      <c r="M88" s="57"/>
      <c r="N88" s="53"/>
      <c r="O88" s="59"/>
      <c r="P88" s="53"/>
      <c r="Q88" s="69"/>
      <c r="R88" s="53"/>
      <c r="S88" s="57"/>
      <c r="T88" s="66"/>
      <c r="U88" s="57"/>
      <c r="V88" s="66"/>
      <c r="W88" s="69"/>
      <c r="X88" s="66"/>
    </row>
    <row r="89" spans="1:24" x14ac:dyDescent="0.2">
      <c r="C89" s="6" t="s">
        <v>6</v>
      </c>
      <c r="D89" s="7" t="s">
        <v>7</v>
      </c>
      <c r="E89" s="81" t="s">
        <v>8</v>
      </c>
      <c r="J89" s="53"/>
      <c r="K89" s="57"/>
      <c r="L89" s="53"/>
      <c r="M89" s="57"/>
      <c r="N89" s="53"/>
      <c r="O89" s="59"/>
      <c r="P89" s="53"/>
      <c r="Q89" s="69"/>
      <c r="R89" s="53"/>
      <c r="S89" s="57"/>
      <c r="T89" s="66"/>
      <c r="U89" s="57"/>
      <c r="V89" s="66"/>
      <c r="W89" s="69"/>
      <c r="X89" s="66"/>
    </row>
    <row r="90" spans="1:24" x14ac:dyDescent="0.2">
      <c r="C90" s="6" t="s">
        <v>9</v>
      </c>
      <c r="D90" s="7" t="s">
        <v>26</v>
      </c>
      <c r="E90" s="81" t="s">
        <v>89</v>
      </c>
      <c r="J90" s="53"/>
      <c r="K90" s="57"/>
      <c r="L90" s="53"/>
      <c r="M90" s="57"/>
      <c r="N90" s="53"/>
      <c r="O90" s="59"/>
      <c r="P90" s="53"/>
      <c r="Q90" s="69"/>
      <c r="R90" s="53"/>
      <c r="S90" s="57"/>
      <c r="T90" s="66"/>
      <c r="U90" s="57"/>
      <c r="V90" s="66"/>
      <c r="W90" s="69"/>
      <c r="X90" s="66"/>
    </row>
    <row r="91" spans="1:24" x14ac:dyDescent="0.2">
      <c r="C91" s="6" t="s">
        <v>11</v>
      </c>
      <c r="D91" s="7" t="s">
        <v>26</v>
      </c>
      <c r="E91" s="81" t="s">
        <v>113</v>
      </c>
      <c r="J91" s="53"/>
      <c r="K91" s="57"/>
      <c r="L91" s="53"/>
      <c r="M91" s="57"/>
      <c r="N91" s="53"/>
      <c r="O91" s="59"/>
      <c r="P91" s="53"/>
      <c r="Q91" s="69"/>
      <c r="R91" s="53"/>
      <c r="S91" s="57"/>
      <c r="T91" s="66"/>
      <c r="U91" s="57"/>
      <c r="V91" s="66"/>
      <c r="W91" s="69"/>
      <c r="X91" s="66"/>
    </row>
    <row r="92" spans="1:24" x14ac:dyDescent="0.2">
      <c r="C92" s="6" t="s">
        <v>91</v>
      </c>
      <c r="D92" s="7" t="s">
        <v>7</v>
      </c>
      <c r="E92" s="81" t="s">
        <v>114</v>
      </c>
      <c r="J92" s="53"/>
      <c r="K92" s="57"/>
      <c r="L92" s="53"/>
      <c r="M92" s="57"/>
      <c r="N92" s="53"/>
      <c r="O92" s="59"/>
      <c r="P92" s="53"/>
      <c r="Q92" s="69"/>
      <c r="R92" s="53"/>
      <c r="S92" s="57"/>
      <c r="T92" s="66"/>
      <c r="U92" s="57"/>
      <c r="V92" s="66"/>
      <c r="W92" s="69"/>
      <c r="X92" s="66"/>
    </row>
    <row r="93" spans="1:24" x14ac:dyDescent="0.2">
      <c r="J93" s="53"/>
      <c r="K93" s="57"/>
      <c r="L93" s="53"/>
      <c r="M93" s="57"/>
      <c r="N93" s="53"/>
      <c r="O93" s="59"/>
      <c r="P93" s="53"/>
      <c r="Q93" s="69"/>
      <c r="R93" s="53"/>
      <c r="S93" s="57"/>
      <c r="T93" s="66"/>
      <c r="U93" s="57"/>
      <c r="V93" s="66"/>
      <c r="W93" s="69"/>
      <c r="X93" s="66"/>
    </row>
    <row r="94" spans="1:24" ht="61" x14ac:dyDescent="0.2">
      <c r="A94" s="3" t="s">
        <v>115</v>
      </c>
      <c r="B94" s="3">
        <v>1</v>
      </c>
      <c r="C94" s="3" t="s">
        <v>116</v>
      </c>
      <c r="D94" s="8" t="s">
        <v>15</v>
      </c>
      <c r="E94" s="13" t="s">
        <v>117</v>
      </c>
      <c r="F94" s="9">
        <v>1863.86</v>
      </c>
      <c r="G94" s="10">
        <v>0.31</v>
      </c>
      <c r="H94" s="11">
        <f>ROUND(ROUND(F94,2)*ROUND(G94,3),2)</f>
        <v>577.79999999999995</v>
      </c>
      <c r="J94" s="53"/>
      <c r="K94" s="57"/>
      <c r="L94" s="53"/>
      <c r="M94" s="57"/>
      <c r="N94" s="53"/>
      <c r="O94" s="59"/>
      <c r="P94" s="53"/>
      <c r="Q94" s="69"/>
      <c r="R94" s="53"/>
      <c r="S94" s="57">
        <f>G94</f>
        <v>0.31</v>
      </c>
      <c r="T94" s="66">
        <f>F94*S94</f>
        <v>577.79660000000001</v>
      </c>
      <c r="U94" s="57"/>
      <c r="V94" s="66"/>
      <c r="W94" s="69"/>
      <c r="X94" s="66"/>
    </row>
    <row r="95" spans="1:24" ht="157" x14ac:dyDescent="0.2">
      <c r="A95" s="3" t="s">
        <v>115</v>
      </c>
      <c r="B95" s="3">
        <v>2</v>
      </c>
      <c r="C95" s="3" t="s">
        <v>118</v>
      </c>
      <c r="D95" s="8" t="s">
        <v>18</v>
      </c>
      <c r="E95" s="13" t="s">
        <v>119</v>
      </c>
      <c r="F95" s="9">
        <v>229.03</v>
      </c>
      <c r="G95" s="10">
        <v>16.91</v>
      </c>
      <c r="H95" s="11">
        <f>ROUND(ROUND(F95,2)*ROUND(G95,3),2)</f>
        <v>3872.9</v>
      </c>
      <c r="J95" s="53"/>
      <c r="K95" s="57"/>
      <c r="L95" s="53"/>
      <c r="M95" s="57"/>
      <c r="N95" s="53"/>
      <c r="O95" s="59"/>
      <c r="P95" s="53"/>
      <c r="Q95" s="69"/>
      <c r="R95" s="53"/>
      <c r="S95" s="57">
        <f>G95</f>
        <v>16.91</v>
      </c>
      <c r="T95" s="66">
        <f>F95*S95</f>
        <v>3872.8973000000001</v>
      </c>
      <c r="U95" s="57"/>
      <c r="V95" s="66"/>
      <c r="W95" s="69"/>
      <c r="X95" s="66"/>
    </row>
    <row r="96" spans="1:24" x14ac:dyDescent="0.2">
      <c r="A96" s="3" t="s">
        <v>115</v>
      </c>
      <c r="B96" s="3">
        <v>3</v>
      </c>
      <c r="C96" s="3" t="s">
        <v>120</v>
      </c>
      <c r="D96" s="8" t="s">
        <v>23</v>
      </c>
      <c r="E96" s="13" t="s">
        <v>121</v>
      </c>
      <c r="F96" s="9">
        <v>288.18</v>
      </c>
      <c r="G96" s="10">
        <v>10</v>
      </c>
      <c r="H96" s="11">
        <f>ROUND(ROUND(F96,2)*ROUND(G96,3),2)</f>
        <v>2881.8</v>
      </c>
      <c r="J96" s="53"/>
      <c r="K96" s="57"/>
      <c r="L96" s="53"/>
      <c r="M96" s="57"/>
      <c r="N96" s="53"/>
      <c r="O96" s="59"/>
      <c r="P96" s="53"/>
      <c r="Q96" s="69"/>
      <c r="R96" s="53"/>
      <c r="S96" s="57">
        <f>G96</f>
        <v>10</v>
      </c>
      <c r="T96" s="66">
        <f>F96*S96</f>
        <v>2881.8</v>
      </c>
      <c r="U96" s="57"/>
      <c r="V96" s="66"/>
      <c r="W96" s="69"/>
      <c r="X96" s="66"/>
    </row>
    <row r="97" spans="1:26" x14ac:dyDescent="0.2">
      <c r="E97" s="81" t="s">
        <v>25</v>
      </c>
      <c r="F97" s="6"/>
      <c r="G97" s="6"/>
      <c r="H97" s="12">
        <f>SUM(H94:H96)</f>
        <v>7332.5</v>
      </c>
      <c r="J97" s="53"/>
      <c r="K97" s="57"/>
      <c r="L97" s="53"/>
      <c r="M97" s="57"/>
      <c r="N97" s="54">
        <f>N94+N95+N96</f>
        <v>0</v>
      </c>
      <c r="O97" s="59"/>
      <c r="P97" s="71">
        <f>SUM(P84:P96)</f>
        <v>0</v>
      </c>
      <c r="Q97" s="69"/>
      <c r="R97" s="53"/>
      <c r="S97" s="57"/>
      <c r="T97" s="67">
        <f>T94+T95+T96</f>
        <v>7332.4939000000004</v>
      </c>
      <c r="U97" s="57"/>
      <c r="V97" s="66"/>
      <c r="W97" s="69"/>
      <c r="X97" s="66"/>
    </row>
    <row r="98" spans="1:26" x14ac:dyDescent="0.2">
      <c r="J98" s="53"/>
      <c r="K98" s="57"/>
      <c r="L98" s="53"/>
      <c r="M98" s="57"/>
      <c r="N98" s="53"/>
      <c r="O98" s="59"/>
      <c r="P98" s="53"/>
      <c r="Q98" s="69"/>
      <c r="R98" s="53"/>
      <c r="S98" s="57"/>
      <c r="T98" s="66"/>
      <c r="U98" s="57"/>
      <c r="V98" s="66"/>
      <c r="W98" s="69"/>
      <c r="X98" s="66"/>
    </row>
    <row r="99" spans="1:26" x14ac:dyDescent="0.2">
      <c r="C99" s="6" t="s">
        <v>6</v>
      </c>
      <c r="D99" s="7" t="s">
        <v>7</v>
      </c>
      <c r="E99" s="81" t="s">
        <v>8</v>
      </c>
      <c r="J99" s="53"/>
      <c r="K99" s="57"/>
      <c r="L99" s="53"/>
      <c r="M99" s="57"/>
      <c r="N99" s="53"/>
      <c r="O99" s="59"/>
      <c r="P99" s="53"/>
      <c r="Q99" s="69"/>
      <c r="R99" s="53"/>
      <c r="S99" s="57"/>
      <c r="T99" s="66"/>
      <c r="U99" s="57"/>
      <c r="V99" s="66"/>
      <c r="W99" s="69"/>
      <c r="X99" s="66"/>
    </row>
    <row r="100" spans="1:26" x14ac:dyDescent="0.2">
      <c r="C100" s="6" t="s">
        <v>9</v>
      </c>
      <c r="D100" s="7" t="s">
        <v>26</v>
      </c>
      <c r="E100" s="81" t="s">
        <v>89</v>
      </c>
      <c r="J100" s="53"/>
      <c r="K100" s="57"/>
      <c r="L100" s="53"/>
      <c r="M100" s="57"/>
      <c r="N100" s="53"/>
      <c r="O100" s="59"/>
      <c r="P100" s="53"/>
      <c r="Q100" s="69"/>
      <c r="R100" s="53"/>
      <c r="S100" s="57"/>
      <c r="T100" s="66"/>
      <c r="U100" s="57"/>
      <c r="V100" s="66"/>
      <c r="W100" s="69"/>
      <c r="X100" s="66"/>
    </row>
    <row r="101" spans="1:26" x14ac:dyDescent="0.2">
      <c r="C101" s="6" t="s">
        <v>11</v>
      </c>
      <c r="D101" s="7" t="s">
        <v>72</v>
      </c>
      <c r="E101" s="81" t="s">
        <v>122</v>
      </c>
      <c r="J101" s="53"/>
      <c r="K101" s="57"/>
      <c r="L101" s="53"/>
      <c r="M101" s="57"/>
      <c r="N101" s="53"/>
      <c r="O101" s="59"/>
      <c r="P101" s="53"/>
      <c r="Q101" s="69"/>
      <c r="R101" s="53"/>
      <c r="S101" s="57"/>
      <c r="T101" s="66"/>
      <c r="U101" s="57"/>
      <c r="V101" s="66"/>
      <c r="W101" s="69"/>
      <c r="X101" s="66"/>
    </row>
    <row r="102" spans="1:26" x14ac:dyDescent="0.2">
      <c r="C102" s="6" t="s">
        <v>91</v>
      </c>
      <c r="D102" s="7" t="s">
        <v>7</v>
      </c>
      <c r="E102" s="81" t="s">
        <v>114</v>
      </c>
      <c r="J102" s="53"/>
      <c r="K102" s="57"/>
      <c r="L102" s="53"/>
      <c r="M102" s="57"/>
      <c r="N102" s="53"/>
      <c r="O102" s="59"/>
      <c r="P102" s="53"/>
      <c r="Q102" s="69"/>
      <c r="R102" s="53"/>
      <c r="S102" s="57"/>
      <c r="T102" s="66"/>
      <c r="U102" s="57"/>
      <c r="V102" s="66"/>
      <c r="W102" s="69"/>
      <c r="X102" s="66"/>
    </row>
    <row r="103" spans="1:26" x14ac:dyDescent="0.2">
      <c r="J103" s="53"/>
      <c r="K103" s="57"/>
      <c r="L103" s="53"/>
      <c r="M103" s="57"/>
      <c r="N103" s="53"/>
      <c r="O103" s="59"/>
      <c r="P103" s="53"/>
      <c r="Q103" s="69"/>
      <c r="R103" s="53"/>
      <c r="S103" s="57"/>
      <c r="T103" s="66"/>
      <c r="U103" s="57"/>
      <c r="V103" s="66"/>
      <c r="W103" s="69"/>
      <c r="X103" s="66"/>
    </row>
    <row r="104" spans="1:26" ht="61" x14ac:dyDescent="0.2">
      <c r="A104" s="3" t="s">
        <v>123</v>
      </c>
      <c r="B104" s="3">
        <v>1</v>
      </c>
      <c r="C104" s="3" t="s">
        <v>124</v>
      </c>
      <c r="D104" s="8" t="s">
        <v>15</v>
      </c>
      <c r="E104" s="13" t="s">
        <v>125</v>
      </c>
      <c r="F104" s="9">
        <v>2010.1</v>
      </c>
      <c r="G104" s="10">
        <v>0.438</v>
      </c>
      <c r="H104" s="11">
        <f t="shared" ref="H104:H112" si="4">ROUND(ROUND(F104,2)*ROUND(G104,3),2)</f>
        <v>880.42</v>
      </c>
      <c r="J104" s="53"/>
      <c r="K104" s="57"/>
      <c r="L104" s="53"/>
      <c r="M104" s="57"/>
      <c r="N104" s="53"/>
      <c r="O104" s="59"/>
      <c r="P104" s="53"/>
      <c r="Q104" s="69"/>
      <c r="R104" s="53"/>
      <c r="S104" s="57">
        <f>G104</f>
        <v>0.438</v>
      </c>
      <c r="T104" s="66">
        <f>F104*S104</f>
        <v>880.42379999999991</v>
      </c>
      <c r="U104" s="57"/>
      <c r="V104" s="66"/>
      <c r="W104" s="69"/>
      <c r="X104" s="66"/>
    </row>
    <row r="105" spans="1:26" ht="169" x14ac:dyDescent="0.2">
      <c r="A105" s="3" t="s">
        <v>123</v>
      </c>
      <c r="B105" s="3">
        <v>2</v>
      </c>
      <c r="C105" s="3" t="s">
        <v>126</v>
      </c>
      <c r="D105" s="8" t="s">
        <v>18</v>
      </c>
      <c r="E105" s="13" t="s">
        <v>127</v>
      </c>
      <c r="F105" s="9">
        <v>160.96</v>
      </c>
      <c r="G105" s="10">
        <v>39.25</v>
      </c>
      <c r="H105" s="11">
        <f t="shared" si="4"/>
        <v>6317.68</v>
      </c>
      <c r="J105" s="53"/>
      <c r="K105" s="57"/>
      <c r="L105" s="53"/>
      <c r="M105" s="57"/>
      <c r="N105" s="53"/>
      <c r="O105" s="59"/>
      <c r="P105" s="53"/>
      <c r="Q105" s="69"/>
      <c r="R105" s="53"/>
      <c r="S105" s="57"/>
      <c r="T105" s="66"/>
      <c r="U105" s="57">
        <f>G105</f>
        <v>39.25</v>
      </c>
      <c r="V105" s="66">
        <f>F105*U105</f>
        <v>6317.68</v>
      </c>
      <c r="W105" s="69"/>
      <c r="X105" s="66"/>
    </row>
    <row r="106" spans="1:26" ht="157" x14ac:dyDescent="0.2">
      <c r="A106" s="3" t="s">
        <v>123</v>
      </c>
      <c r="B106" s="3">
        <v>3</v>
      </c>
      <c r="C106" s="3" t="s">
        <v>128</v>
      </c>
      <c r="D106" s="8" t="s">
        <v>18</v>
      </c>
      <c r="E106" s="13" t="s">
        <v>129</v>
      </c>
      <c r="F106" s="9">
        <v>247.46</v>
      </c>
      <c r="G106" s="10">
        <v>54.92</v>
      </c>
      <c r="H106" s="11">
        <f t="shared" si="4"/>
        <v>13590.5</v>
      </c>
      <c r="J106" s="53"/>
      <c r="K106" s="57"/>
      <c r="L106" s="53"/>
      <c r="M106" s="57"/>
      <c r="N106" s="53"/>
      <c r="O106" s="59"/>
      <c r="P106" s="53"/>
      <c r="Q106" s="69"/>
      <c r="R106" s="53"/>
      <c r="S106" s="57">
        <f>G106</f>
        <v>54.92</v>
      </c>
      <c r="T106" s="66">
        <f>F106*S106</f>
        <v>13590.503200000001</v>
      </c>
      <c r="U106" s="57"/>
      <c r="V106" s="66"/>
      <c r="W106" s="69"/>
      <c r="X106" s="66"/>
    </row>
    <row r="107" spans="1:26" ht="49" x14ac:dyDescent="0.2">
      <c r="A107" s="3" t="s">
        <v>123</v>
      </c>
      <c r="B107" s="3">
        <v>4</v>
      </c>
      <c r="C107" s="3" t="s">
        <v>130</v>
      </c>
      <c r="D107" s="8" t="s">
        <v>15</v>
      </c>
      <c r="E107" s="13" t="s">
        <v>131</v>
      </c>
      <c r="F107" s="9">
        <v>1792.98</v>
      </c>
      <c r="G107" s="10">
        <v>2.218</v>
      </c>
      <c r="H107" s="11">
        <f t="shared" si="4"/>
        <v>3976.83</v>
      </c>
      <c r="J107" s="53"/>
      <c r="K107" s="57">
        <f>G107</f>
        <v>2.218</v>
      </c>
      <c r="L107" s="53">
        <f>F107*K107</f>
        <v>3976.8296399999999</v>
      </c>
      <c r="M107" s="57"/>
      <c r="N107" s="53"/>
      <c r="O107" s="59"/>
      <c r="P107" s="53"/>
      <c r="Q107" s="69"/>
      <c r="R107" s="53"/>
      <c r="S107" s="57"/>
      <c r="T107" s="66"/>
      <c r="U107" s="57"/>
      <c r="V107" s="66"/>
      <c r="W107" s="69"/>
      <c r="X107" s="66"/>
    </row>
    <row r="108" spans="1:26" ht="25" x14ac:dyDescent="0.2">
      <c r="A108" s="3" t="s">
        <v>123</v>
      </c>
      <c r="B108" s="3">
        <v>5</v>
      </c>
      <c r="C108" s="3" t="s">
        <v>132</v>
      </c>
      <c r="D108" s="8" t="s">
        <v>18</v>
      </c>
      <c r="E108" s="13" t="s">
        <v>133</v>
      </c>
      <c r="F108" s="9">
        <v>11.63</v>
      </c>
      <c r="G108" s="10">
        <v>399.80900000000003</v>
      </c>
      <c r="H108" s="11">
        <f t="shared" si="4"/>
        <v>4649.78</v>
      </c>
      <c r="J108" s="53"/>
      <c r="K108" s="57">
        <f>145.14</f>
        <v>145.13999999999999</v>
      </c>
      <c r="L108" s="53">
        <f>F108*K108</f>
        <v>1687.9782</v>
      </c>
      <c r="M108" s="57"/>
      <c r="N108" s="53"/>
      <c r="O108" s="59"/>
      <c r="P108" s="53"/>
      <c r="Q108" s="69"/>
      <c r="R108" s="53"/>
      <c r="S108" s="57">
        <f>87.075+72.094</f>
        <v>159.16899999999998</v>
      </c>
      <c r="T108" s="66">
        <f>F108*S108</f>
        <v>1851.1354699999999</v>
      </c>
      <c r="U108" s="57">
        <f>55.9+39.6</f>
        <v>95.5</v>
      </c>
      <c r="V108" s="66">
        <f>F108*U108</f>
        <v>1110.665</v>
      </c>
      <c r="W108" s="69"/>
      <c r="X108" s="66"/>
      <c r="Y108" s="36">
        <f>I108+K108+S108+U108+Q108</f>
        <v>399.80899999999997</v>
      </c>
      <c r="Z108" s="37">
        <f>J108+L108+T108+V108+R108</f>
        <v>4649.7786699999997</v>
      </c>
    </row>
    <row r="109" spans="1:26" x14ac:dyDescent="0.2">
      <c r="A109" s="3" t="s">
        <v>123</v>
      </c>
      <c r="B109" s="3">
        <v>6</v>
      </c>
      <c r="C109" s="3" t="s">
        <v>134</v>
      </c>
      <c r="D109" s="8" t="s">
        <v>15</v>
      </c>
      <c r="E109" s="13" t="s">
        <v>135</v>
      </c>
      <c r="F109" s="9">
        <v>307.14</v>
      </c>
      <c r="G109" s="10">
        <v>2.2370000000000001</v>
      </c>
      <c r="H109" s="11">
        <f t="shared" si="4"/>
        <v>687.07</v>
      </c>
      <c r="J109" s="53"/>
      <c r="K109" s="57"/>
      <c r="L109" s="53"/>
      <c r="M109" s="57"/>
      <c r="N109" s="53"/>
      <c r="O109" s="59"/>
      <c r="P109" s="53"/>
      <c r="Q109" s="69"/>
      <c r="R109" s="53"/>
      <c r="S109" s="57">
        <f>G109</f>
        <v>2.2370000000000001</v>
      </c>
      <c r="T109" s="66">
        <f>F109*S109</f>
        <v>687.07218</v>
      </c>
      <c r="U109" s="57"/>
      <c r="V109" s="66"/>
      <c r="W109" s="69"/>
      <c r="X109" s="66"/>
    </row>
    <row r="110" spans="1:26" x14ac:dyDescent="0.2">
      <c r="A110" s="3" t="s">
        <v>123</v>
      </c>
      <c r="B110" s="3">
        <v>7</v>
      </c>
      <c r="C110" s="3" t="s">
        <v>136</v>
      </c>
      <c r="D110" s="8" t="s">
        <v>15</v>
      </c>
      <c r="E110" s="13" t="s">
        <v>137</v>
      </c>
      <c r="F110" s="9">
        <v>314.49</v>
      </c>
      <c r="G110" s="10">
        <v>0.25600000000000001</v>
      </c>
      <c r="H110" s="11">
        <f t="shared" si="4"/>
        <v>80.510000000000005</v>
      </c>
      <c r="J110" s="53"/>
      <c r="K110" s="57">
        <f>0.168</f>
        <v>0.16800000000000001</v>
      </c>
      <c r="L110" s="53">
        <f>F110*K110</f>
        <v>52.834320000000005</v>
      </c>
      <c r="M110" s="57"/>
      <c r="N110" s="53"/>
      <c r="O110" s="59"/>
      <c r="P110" s="53"/>
      <c r="Q110" s="69"/>
      <c r="R110" s="53"/>
      <c r="S110" s="57">
        <f>0.088</f>
        <v>8.7999999999999995E-2</v>
      </c>
      <c r="T110" s="66">
        <f>F110*S110</f>
        <v>27.67512</v>
      </c>
      <c r="U110" s="57"/>
      <c r="V110" s="66"/>
      <c r="W110" s="69"/>
      <c r="X110" s="66"/>
      <c r="Y110" s="36">
        <f>I110+K110+S110+U110+Q110</f>
        <v>0.25600000000000001</v>
      </c>
      <c r="Z110" s="37">
        <f>J110+L110+T110+V110+R110</f>
        <v>80.509440000000012</v>
      </c>
    </row>
    <row r="111" spans="1:26" x14ac:dyDescent="0.2">
      <c r="A111" s="3" t="s">
        <v>123</v>
      </c>
      <c r="B111" s="3">
        <v>8</v>
      </c>
      <c r="C111" s="3" t="s">
        <v>120</v>
      </c>
      <c r="D111" s="8" t="s">
        <v>23</v>
      </c>
      <c r="E111" s="13" t="s">
        <v>121</v>
      </c>
      <c r="F111" s="9">
        <v>288.18</v>
      </c>
      <c r="G111" s="10">
        <v>11</v>
      </c>
      <c r="H111" s="11">
        <f t="shared" si="4"/>
        <v>3169.98</v>
      </c>
      <c r="J111" s="53"/>
      <c r="K111" s="57"/>
      <c r="L111" s="53"/>
      <c r="M111" s="57"/>
      <c r="N111" s="53"/>
      <c r="O111" s="59"/>
      <c r="P111" s="53"/>
      <c r="Q111" s="69"/>
      <c r="R111" s="53"/>
      <c r="S111" s="57">
        <f>G111</f>
        <v>11</v>
      </c>
      <c r="T111" s="66">
        <f>F111*S111</f>
        <v>3169.98</v>
      </c>
      <c r="U111" s="57"/>
      <c r="V111" s="66"/>
      <c r="W111" s="69"/>
      <c r="X111" s="66"/>
    </row>
    <row r="112" spans="1:26" x14ac:dyDescent="0.2">
      <c r="A112" s="3" t="s">
        <v>123</v>
      </c>
      <c r="B112" s="3">
        <v>9</v>
      </c>
      <c r="C112" s="3" t="s">
        <v>138</v>
      </c>
      <c r="D112" s="8" t="s">
        <v>18</v>
      </c>
      <c r="E112" s="13" t="s">
        <v>139</v>
      </c>
      <c r="F112" s="9">
        <v>17.2</v>
      </c>
      <c r="G112" s="10">
        <v>0.56699999999999995</v>
      </c>
      <c r="H112" s="11">
        <f t="shared" si="4"/>
        <v>9.75</v>
      </c>
      <c r="J112" s="53"/>
      <c r="K112" s="57">
        <f>G112</f>
        <v>0.56699999999999995</v>
      </c>
      <c r="L112" s="53">
        <f>F112*K112</f>
        <v>9.752399999999998</v>
      </c>
      <c r="M112" s="57"/>
      <c r="N112" s="53"/>
      <c r="O112" s="59"/>
      <c r="P112" s="53"/>
      <c r="Q112" s="69"/>
      <c r="R112" s="53"/>
      <c r="S112" s="57"/>
      <c r="T112" s="66"/>
      <c r="U112" s="57"/>
      <c r="V112" s="66"/>
      <c r="W112" s="69"/>
      <c r="X112" s="66"/>
    </row>
    <row r="113" spans="1:26" x14ac:dyDescent="0.2">
      <c r="E113" s="81" t="s">
        <v>25</v>
      </c>
      <c r="F113" s="6"/>
      <c r="G113" s="6"/>
      <c r="H113" s="12">
        <f>SUM(H104:H112)</f>
        <v>33362.519999999997</v>
      </c>
      <c r="J113" s="53"/>
      <c r="K113" s="57"/>
      <c r="L113" s="54">
        <f>L107+L108+L110+L112</f>
        <v>5727.3945599999997</v>
      </c>
      <c r="M113" s="58"/>
      <c r="N113" s="54">
        <f>N104+N106+N108+N109+N110+N111</f>
        <v>0</v>
      </c>
      <c r="O113" s="60"/>
      <c r="P113" s="71">
        <f>SUM(P100:P112)</f>
        <v>0</v>
      </c>
      <c r="Q113" s="69"/>
      <c r="R113" s="53"/>
      <c r="S113" s="57"/>
      <c r="T113" s="67">
        <f>T104+T106+T108+T109+T110+T111</f>
        <v>20206.789769999999</v>
      </c>
      <c r="U113" s="57"/>
      <c r="V113" s="67">
        <f>V105+V108</f>
        <v>7428.3450000000003</v>
      </c>
      <c r="W113" s="69"/>
      <c r="X113" s="66"/>
      <c r="Z113" s="37">
        <f>J113+L113+T113+V113+R113</f>
        <v>33362.529329999998</v>
      </c>
    </row>
    <row r="114" spans="1:26" x14ac:dyDescent="0.2">
      <c r="J114" s="53"/>
      <c r="K114" s="57"/>
      <c r="L114" s="53"/>
      <c r="M114" s="57"/>
      <c r="N114" s="53"/>
      <c r="O114" s="59"/>
      <c r="P114" s="53"/>
      <c r="Q114" s="69"/>
      <c r="R114" s="53"/>
      <c r="S114" s="57"/>
      <c r="T114" s="66"/>
      <c r="U114" s="57"/>
      <c r="V114" s="66"/>
      <c r="W114" s="69"/>
      <c r="X114" s="66"/>
    </row>
    <row r="115" spans="1:26" x14ac:dyDescent="0.2">
      <c r="C115" s="6" t="s">
        <v>6</v>
      </c>
      <c r="D115" s="7" t="s">
        <v>7</v>
      </c>
      <c r="E115" s="81" t="s">
        <v>8</v>
      </c>
      <c r="J115" s="53"/>
      <c r="K115" s="57"/>
      <c r="L115" s="53"/>
      <c r="M115" s="57"/>
      <c r="N115" s="53"/>
      <c r="O115" s="59"/>
      <c r="P115" s="53"/>
      <c r="Q115" s="69"/>
      <c r="R115" s="53"/>
      <c r="S115" s="57"/>
      <c r="T115" s="66"/>
      <c r="U115" s="57"/>
      <c r="V115" s="66"/>
      <c r="W115" s="69"/>
      <c r="X115" s="66"/>
    </row>
    <row r="116" spans="1:26" x14ac:dyDescent="0.2">
      <c r="C116" s="6" t="s">
        <v>9</v>
      </c>
      <c r="D116" s="7" t="s">
        <v>26</v>
      </c>
      <c r="E116" s="81" t="s">
        <v>89</v>
      </c>
      <c r="J116" s="53"/>
      <c r="K116" s="57"/>
      <c r="L116" s="53"/>
      <c r="M116" s="57"/>
      <c r="N116" s="53"/>
      <c r="O116" s="59"/>
      <c r="P116" s="53"/>
      <c r="Q116" s="69"/>
      <c r="R116" s="53"/>
      <c r="S116" s="57"/>
      <c r="T116" s="66"/>
      <c r="U116" s="57"/>
      <c r="V116" s="66"/>
      <c r="W116" s="69"/>
      <c r="X116" s="66"/>
    </row>
    <row r="117" spans="1:26" x14ac:dyDescent="0.2">
      <c r="C117" s="6" t="s">
        <v>11</v>
      </c>
      <c r="D117" s="7" t="s">
        <v>72</v>
      </c>
      <c r="E117" s="81" t="s">
        <v>122</v>
      </c>
      <c r="J117" s="53"/>
      <c r="K117" s="57"/>
      <c r="L117" s="53"/>
      <c r="M117" s="57"/>
      <c r="N117" s="53"/>
      <c r="O117" s="59"/>
      <c r="P117" s="53"/>
      <c r="Q117" s="69"/>
      <c r="R117" s="53"/>
      <c r="S117" s="57"/>
      <c r="T117" s="66"/>
      <c r="U117" s="57"/>
      <c r="V117" s="66"/>
      <c r="W117" s="69"/>
      <c r="X117" s="66"/>
    </row>
    <row r="118" spans="1:26" x14ac:dyDescent="0.2">
      <c r="C118" s="6" t="s">
        <v>91</v>
      </c>
      <c r="D118" s="7" t="s">
        <v>26</v>
      </c>
      <c r="E118" s="81" t="s">
        <v>140</v>
      </c>
      <c r="J118" s="53"/>
      <c r="K118" s="57"/>
      <c r="L118" s="53"/>
      <c r="M118" s="57"/>
      <c r="N118" s="53"/>
      <c r="O118" s="59"/>
      <c r="P118" s="53"/>
      <c r="Q118" s="69"/>
      <c r="R118" s="53"/>
      <c r="S118" s="57"/>
      <c r="T118" s="66"/>
      <c r="U118" s="57"/>
      <c r="V118" s="66"/>
      <c r="W118" s="69"/>
      <c r="X118" s="66"/>
    </row>
    <row r="119" spans="1:26" x14ac:dyDescent="0.2">
      <c r="J119" s="53"/>
      <c r="K119" s="57"/>
      <c r="L119" s="53"/>
      <c r="M119" s="57"/>
      <c r="N119" s="53"/>
      <c r="O119" s="59"/>
      <c r="P119" s="53"/>
      <c r="Q119" s="69"/>
      <c r="R119" s="53"/>
      <c r="S119" s="57"/>
      <c r="T119" s="66"/>
      <c r="U119" s="57"/>
      <c r="V119" s="66"/>
      <c r="W119" s="69"/>
      <c r="X119" s="66"/>
    </row>
    <row r="120" spans="1:26" ht="37" x14ac:dyDescent="0.2">
      <c r="A120" s="3" t="s">
        <v>141</v>
      </c>
      <c r="B120" s="3">
        <v>1</v>
      </c>
      <c r="C120" s="3" t="s">
        <v>142</v>
      </c>
      <c r="D120" s="8" t="s">
        <v>103</v>
      </c>
      <c r="E120" s="13" t="s">
        <v>143</v>
      </c>
      <c r="F120" s="9">
        <v>2.4900000000000002</v>
      </c>
      <c r="G120" s="10">
        <v>178.97</v>
      </c>
      <c r="H120" s="11">
        <f>ROUND(ROUND(F120,2)*ROUND(G120,3),2)</f>
        <v>445.64</v>
      </c>
      <c r="J120" s="53"/>
      <c r="K120" s="57">
        <f>49.856+16.488+20.61+28.262</f>
        <v>115.21599999999999</v>
      </c>
      <c r="L120" s="53">
        <f>F120*K120</f>
        <v>286.88783999999998</v>
      </c>
      <c r="M120" s="57"/>
      <c r="N120" s="53"/>
      <c r="O120" s="59"/>
      <c r="P120" s="53"/>
      <c r="Q120" s="69"/>
      <c r="R120" s="53"/>
      <c r="S120" s="57">
        <f>63.754</f>
        <v>63.753999999999998</v>
      </c>
      <c r="T120" s="66">
        <f>F120*S120</f>
        <v>158.74746000000002</v>
      </c>
      <c r="U120" s="57"/>
      <c r="V120" s="66"/>
      <c r="W120" s="69"/>
      <c r="X120" s="66"/>
      <c r="Y120" s="36">
        <f t="shared" ref="Y120:Z123" si="5">I120+K120+S120+U120+Q120</f>
        <v>178.97</v>
      </c>
      <c r="Z120" s="37">
        <f t="shared" si="5"/>
        <v>445.63530000000003</v>
      </c>
    </row>
    <row r="121" spans="1:26" ht="25" x14ac:dyDescent="0.2">
      <c r="A121" s="3" t="s">
        <v>141</v>
      </c>
      <c r="B121" s="3">
        <v>2</v>
      </c>
      <c r="C121" s="3" t="s">
        <v>144</v>
      </c>
      <c r="D121" s="8" t="s">
        <v>18</v>
      </c>
      <c r="E121" s="13" t="s">
        <v>145</v>
      </c>
      <c r="F121" s="9">
        <v>55.53</v>
      </c>
      <c r="G121" s="10">
        <v>4.1120000000000001</v>
      </c>
      <c r="H121" s="11">
        <f>ROUND(ROUND(F121,2)*ROUND(G121,3),2)</f>
        <v>228.34</v>
      </c>
      <c r="J121" s="53"/>
      <c r="K121" s="57">
        <f>1.49+0.516+0.645+0.499</f>
        <v>3.1500000000000004</v>
      </c>
      <c r="L121" s="53">
        <f>F121*K121</f>
        <v>174.91950000000003</v>
      </c>
      <c r="M121" s="57"/>
      <c r="N121" s="53"/>
      <c r="O121" s="59"/>
      <c r="P121" s="53"/>
      <c r="Q121" s="69"/>
      <c r="R121" s="53"/>
      <c r="S121" s="57">
        <f>0.962</f>
        <v>0.96199999999999997</v>
      </c>
      <c r="T121" s="66">
        <f>F121*S121</f>
        <v>53.41986</v>
      </c>
      <c r="U121" s="57"/>
      <c r="V121" s="66"/>
      <c r="W121" s="69"/>
      <c r="X121" s="66"/>
      <c r="Y121" s="36">
        <f t="shared" si="5"/>
        <v>4.1120000000000001</v>
      </c>
      <c r="Z121" s="37">
        <f t="shared" si="5"/>
        <v>228.33936000000003</v>
      </c>
    </row>
    <row r="122" spans="1:26" x14ac:dyDescent="0.2">
      <c r="A122" s="3" t="s">
        <v>141</v>
      </c>
      <c r="B122" s="3">
        <v>3</v>
      </c>
      <c r="C122" s="3" t="s">
        <v>136</v>
      </c>
      <c r="D122" s="8" t="s">
        <v>15</v>
      </c>
      <c r="E122" s="13" t="s">
        <v>137</v>
      </c>
      <c r="F122" s="9">
        <v>314.49</v>
      </c>
      <c r="G122" s="10">
        <v>0.192</v>
      </c>
      <c r="H122" s="11">
        <f>ROUND(ROUND(F122,2)*ROUND(G122,3),2)</f>
        <v>60.38</v>
      </c>
      <c r="J122" s="53"/>
      <c r="K122" s="57">
        <f>16*0.2*0.2*0.2</f>
        <v>0.12800000000000003</v>
      </c>
      <c r="L122" s="53">
        <f>F122*K122</f>
        <v>40.254720000000013</v>
      </c>
      <c r="M122" s="57"/>
      <c r="N122" s="53"/>
      <c r="O122" s="59"/>
      <c r="P122" s="53"/>
      <c r="Q122" s="69"/>
      <c r="R122" s="53"/>
      <c r="S122" s="57">
        <f>8*0.2*0.2*0.2</f>
        <v>6.4000000000000015E-2</v>
      </c>
      <c r="T122" s="66">
        <f>F122*S122</f>
        <v>20.127360000000007</v>
      </c>
      <c r="U122" s="57"/>
      <c r="V122" s="66"/>
      <c r="W122" s="69"/>
      <c r="X122" s="66"/>
      <c r="Y122" s="36">
        <f t="shared" si="5"/>
        <v>0.19200000000000006</v>
      </c>
      <c r="Z122" s="37">
        <f t="shared" si="5"/>
        <v>60.382080000000016</v>
      </c>
    </row>
    <row r="123" spans="1:26" ht="49" x14ac:dyDescent="0.2">
      <c r="A123" s="3" t="s">
        <v>141</v>
      </c>
      <c r="B123" s="3">
        <v>4</v>
      </c>
      <c r="C123" s="3" t="s">
        <v>146</v>
      </c>
      <c r="D123" s="8" t="s">
        <v>18</v>
      </c>
      <c r="E123" s="13" t="s">
        <v>147</v>
      </c>
      <c r="F123" s="9">
        <v>13.77</v>
      </c>
      <c r="G123" s="10">
        <v>4.1120000000000001</v>
      </c>
      <c r="H123" s="11">
        <f>ROUND(ROUND(F123,2)*ROUND(G123,3),2)</f>
        <v>56.62</v>
      </c>
      <c r="J123" s="53"/>
      <c r="K123" s="57">
        <f>K121</f>
        <v>3.1500000000000004</v>
      </c>
      <c r="L123" s="53">
        <f>F123*K123</f>
        <v>43.375500000000002</v>
      </c>
      <c r="M123" s="57"/>
      <c r="N123" s="53"/>
      <c r="O123" s="59"/>
      <c r="P123" s="53"/>
      <c r="Q123" s="69"/>
      <c r="R123" s="53"/>
      <c r="S123" s="57">
        <f>S121</f>
        <v>0.96199999999999997</v>
      </c>
      <c r="T123" s="66">
        <f>F123*S123</f>
        <v>13.246739999999999</v>
      </c>
      <c r="U123" s="57"/>
      <c r="V123" s="66"/>
      <c r="W123" s="69"/>
      <c r="X123" s="66"/>
      <c r="Y123" s="36">
        <f t="shared" si="5"/>
        <v>4.1120000000000001</v>
      </c>
      <c r="Z123" s="37">
        <f t="shared" si="5"/>
        <v>56.622240000000005</v>
      </c>
    </row>
    <row r="124" spans="1:26" x14ac:dyDescent="0.2">
      <c r="E124" s="81" t="s">
        <v>25</v>
      </c>
      <c r="F124" s="6"/>
      <c r="G124" s="6"/>
      <c r="H124" s="12">
        <f>SUM(H120:H123)</f>
        <v>790.98</v>
      </c>
      <c r="J124" s="53"/>
      <c r="K124" s="57"/>
      <c r="L124" s="54">
        <f>L120+L121+L122+L123</f>
        <v>545.43756000000008</v>
      </c>
      <c r="M124" s="58"/>
      <c r="N124" s="54">
        <f>N120+N121+N122+N123</f>
        <v>0</v>
      </c>
      <c r="O124" s="60"/>
      <c r="P124" s="71">
        <f>SUM(P111:P123)</f>
        <v>0</v>
      </c>
      <c r="Q124" s="69"/>
      <c r="R124" s="53"/>
      <c r="S124" s="57"/>
      <c r="T124" s="67">
        <f>T120+T121+T122+T123</f>
        <v>245.54142000000002</v>
      </c>
      <c r="U124" s="57"/>
      <c r="V124" s="66"/>
      <c r="W124" s="69"/>
      <c r="X124" s="66"/>
      <c r="Z124" s="37">
        <f>J124+L124+T124+V124+R124</f>
        <v>790.97898000000009</v>
      </c>
    </row>
    <row r="125" spans="1:26" x14ac:dyDescent="0.2">
      <c r="J125" s="53"/>
      <c r="K125" s="57"/>
      <c r="L125" s="53"/>
      <c r="M125" s="57"/>
      <c r="N125" s="53"/>
      <c r="O125" s="59"/>
      <c r="P125" s="53"/>
      <c r="Q125" s="69"/>
      <c r="R125" s="53"/>
      <c r="S125" s="57"/>
      <c r="T125" s="66"/>
      <c r="U125" s="57"/>
      <c r="V125" s="66"/>
      <c r="W125" s="69"/>
      <c r="X125" s="66"/>
    </row>
    <row r="126" spans="1:26" x14ac:dyDescent="0.2">
      <c r="C126" s="6" t="s">
        <v>6</v>
      </c>
      <c r="D126" s="7" t="s">
        <v>7</v>
      </c>
      <c r="E126" s="81" t="s">
        <v>8</v>
      </c>
      <c r="J126" s="53"/>
      <c r="K126" s="57"/>
      <c r="L126" s="53"/>
      <c r="M126" s="57"/>
      <c r="N126" s="53"/>
      <c r="O126" s="59"/>
      <c r="P126" s="53"/>
      <c r="Q126" s="69"/>
      <c r="R126" s="53"/>
      <c r="S126" s="57"/>
      <c r="T126" s="66"/>
      <c r="U126" s="57"/>
      <c r="V126" s="66"/>
      <c r="W126" s="69"/>
      <c r="X126" s="66"/>
    </row>
    <row r="127" spans="1:26" x14ac:dyDescent="0.2">
      <c r="C127" s="6" t="s">
        <v>9</v>
      </c>
      <c r="D127" s="7" t="s">
        <v>26</v>
      </c>
      <c r="E127" s="81" t="s">
        <v>89</v>
      </c>
      <c r="J127" s="53"/>
      <c r="K127" s="57"/>
      <c r="L127" s="53"/>
      <c r="M127" s="57"/>
      <c r="N127" s="53"/>
      <c r="O127" s="59"/>
      <c r="P127" s="53"/>
      <c r="Q127" s="69"/>
      <c r="R127" s="53"/>
      <c r="S127" s="57"/>
      <c r="T127" s="66"/>
      <c r="U127" s="57"/>
      <c r="V127" s="66"/>
      <c r="W127" s="69"/>
      <c r="X127" s="66"/>
    </row>
    <row r="128" spans="1:26" x14ac:dyDescent="0.2">
      <c r="C128" s="6" t="s">
        <v>11</v>
      </c>
      <c r="D128" s="7" t="s">
        <v>72</v>
      </c>
      <c r="E128" s="81" t="s">
        <v>122</v>
      </c>
      <c r="J128" s="53"/>
      <c r="K128" s="57"/>
      <c r="L128" s="53"/>
      <c r="M128" s="57"/>
      <c r="N128" s="53"/>
      <c r="O128" s="59"/>
      <c r="P128" s="53"/>
      <c r="Q128" s="69"/>
      <c r="R128" s="53"/>
      <c r="S128" s="57"/>
      <c r="T128" s="66"/>
      <c r="U128" s="57"/>
      <c r="V128" s="66"/>
      <c r="W128" s="69"/>
      <c r="X128" s="66"/>
    </row>
    <row r="129" spans="1:26" x14ac:dyDescent="0.2">
      <c r="C129" s="6" t="s">
        <v>91</v>
      </c>
      <c r="D129" s="7" t="s">
        <v>72</v>
      </c>
      <c r="E129" s="81" t="s">
        <v>148</v>
      </c>
      <c r="J129" s="53"/>
      <c r="K129" s="57"/>
      <c r="L129" s="53"/>
      <c r="M129" s="57"/>
      <c r="N129" s="53"/>
      <c r="O129" s="59"/>
      <c r="P129" s="53"/>
      <c r="Q129" s="69"/>
      <c r="R129" s="53"/>
      <c r="S129" s="57"/>
      <c r="T129" s="66"/>
      <c r="U129" s="57"/>
      <c r="V129" s="66"/>
      <c r="W129" s="69"/>
      <c r="X129" s="66"/>
    </row>
    <row r="130" spans="1:26" x14ac:dyDescent="0.2">
      <c r="J130" s="53"/>
      <c r="K130" s="57"/>
      <c r="L130" s="53"/>
      <c r="M130" s="57"/>
      <c r="N130" s="53"/>
      <c r="O130" s="59"/>
      <c r="P130" s="53"/>
      <c r="Q130" s="69"/>
      <c r="R130" s="53"/>
      <c r="S130" s="57"/>
      <c r="T130" s="66"/>
      <c r="U130" s="57"/>
      <c r="V130" s="66"/>
      <c r="W130" s="69"/>
      <c r="X130" s="66"/>
    </row>
    <row r="131" spans="1:26" ht="61" x14ac:dyDescent="0.2">
      <c r="A131" s="3" t="s">
        <v>149</v>
      </c>
      <c r="B131" s="3">
        <v>1</v>
      </c>
      <c r="C131" s="3" t="s">
        <v>3985</v>
      </c>
      <c r="D131" s="8" t="s">
        <v>15</v>
      </c>
      <c r="E131" s="13" t="s">
        <v>3986</v>
      </c>
      <c r="F131" s="9">
        <v>721.41</v>
      </c>
      <c r="G131" s="10">
        <v>15.744</v>
      </c>
      <c r="H131" s="11">
        <f>ROUND(ROUND(F131,2)*ROUND(G131,3),2)</f>
        <v>11357.88</v>
      </c>
      <c r="J131" s="53"/>
      <c r="K131" s="57">
        <f>8.4</f>
        <v>8.4</v>
      </c>
      <c r="L131" s="53">
        <f>F131*K131</f>
        <v>6059.8440000000001</v>
      </c>
      <c r="M131" s="59"/>
      <c r="N131" s="53"/>
      <c r="O131" s="59"/>
      <c r="P131" s="53"/>
      <c r="Q131" s="69"/>
      <c r="R131" s="53"/>
      <c r="S131" s="57">
        <f>3.738</f>
        <v>3.738</v>
      </c>
      <c r="T131" s="66">
        <f>F131*S131</f>
        <v>2696.63058</v>
      </c>
      <c r="U131" s="57">
        <f>3.606</f>
        <v>3.6059999999999999</v>
      </c>
      <c r="V131" s="66">
        <f>F131*U131</f>
        <v>2601.4044599999997</v>
      </c>
      <c r="W131" s="69"/>
      <c r="X131" s="66"/>
      <c r="Y131" s="36" t="e">
        <f>I131+K131+S131+U131+#REF!+#REF!+Q131</f>
        <v>#REF!</v>
      </c>
      <c r="Z131" s="37" t="e">
        <f>J131+L131+T131+V131+#REF!+#REF!+R131</f>
        <v>#REF!</v>
      </c>
    </row>
    <row r="132" spans="1:26" ht="37" x14ac:dyDescent="0.2">
      <c r="A132" s="3" t="s">
        <v>149</v>
      </c>
      <c r="B132" s="3">
        <v>2</v>
      </c>
      <c r="C132" s="3" t="s">
        <v>151</v>
      </c>
      <c r="D132" s="8" t="s">
        <v>36</v>
      </c>
      <c r="E132" s="13" t="s">
        <v>152</v>
      </c>
      <c r="F132" s="9">
        <v>2.37</v>
      </c>
      <c r="G132" s="10">
        <v>127.29</v>
      </c>
      <c r="H132" s="11">
        <f>ROUND(ROUND(F132,2)*ROUND(G132,3),2)</f>
        <v>301.68</v>
      </c>
      <c r="J132" s="53"/>
      <c r="K132" s="57">
        <f>68.14</f>
        <v>68.14</v>
      </c>
      <c r="L132" s="53">
        <f>F132*K132</f>
        <v>161.49180000000001</v>
      </c>
      <c r="M132" s="59"/>
      <c r="N132" s="53"/>
      <c r="O132" s="59"/>
      <c r="P132" s="53"/>
      <c r="Q132" s="69"/>
      <c r="R132" s="53"/>
      <c r="S132" s="57">
        <f>32.15</f>
        <v>32.15</v>
      </c>
      <c r="T132" s="66">
        <f>F132*S132</f>
        <v>76.195499999999996</v>
      </c>
      <c r="U132" s="57">
        <f>27</f>
        <v>27</v>
      </c>
      <c r="V132" s="66">
        <f>F132*U132</f>
        <v>63.99</v>
      </c>
      <c r="W132" s="69"/>
      <c r="X132" s="66"/>
      <c r="Y132" s="36" t="e">
        <f>I132+K132+#REF!+#REF!+Q132</f>
        <v>#REF!</v>
      </c>
      <c r="Z132" s="37" t="e">
        <f>J132+L132+T132+V132+#REF!+#REF!+R132</f>
        <v>#REF!</v>
      </c>
    </row>
    <row r="133" spans="1:26" x14ac:dyDescent="0.2">
      <c r="E133" s="81" t="s">
        <v>25</v>
      </c>
      <c r="F133" s="6"/>
      <c r="G133" s="6"/>
      <c r="H133" s="12">
        <f>SUM(H131:H132)</f>
        <v>11659.56</v>
      </c>
      <c r="J133" s="53"/>
      <c r="K133" s="57"/>
      <c r="L133" s="54">
        <f>L131+L132</f>
        <v>6221.3357999999998</v>
      </c>
      <c r="M133" s="59"/>
      <c r="N133" s="53"/>
      <c r="O133" s="59"/>
      <c r="P133" s="53"/>
      <c r="Q133" s="69"/>
      <c r="R133" s="53"/>
      <c r="S133" s="58"/>
      <c r="T133" s="67">
        <f>T131+T132</f>
        <v>2772.8260799999998</v>
      </c>
      <c r="U133" s="57"/>
      <c r="V133" s="67">
        <f>V131+V132</f>
        <v>2665.3944599999995</v>
      </c>
      <c r="W133" s="69"/>
      <c r="X133" s="66"/>
      <c r="Z133" s="37" t="e">
        <f>J133+L133+T133+V133+#REF!+#REF!+R133</f>
        <v>#REF!</v>
      </c>
    </row>
    <row r="134" spans="1:26" x14ac:dyDescent="0.2">
      <c r="J134" s="53"/>
      <c r="K134" s="57"/>
      <c r="L134" s="53"/>
      <c r="M134" s="57"/>
      <c r="N134" s="53"/>
      <c r="O134" s="59"/>
      <c r="P134" s="53"/>
      <c r="Q134" s="69"/>
      <c r="R134" s="53"/>
      <c r="S134" s="57"/>
      <c r="T134" s="66"/>
      <c r="U134" s="57"/>
      <c r="V134" s="66"/>
      <c r="W134" s="69"/>
      <c r="X134" s="66"/>
    </row>
    <row r="135" spans="1:26" x14ac:dyDescent="0.2">
      <c r="C135" s="6" t="s">
        <v>6</v>
      </c>
      <c r="D135" s="7" t="s">
        <v>7</v>
      </c>
      <c r="E135" s="81" t="s">
        <v>8</v>
      </c>
      <c r="J135" s="53"/>
      <c r="K135" s="57"/>
      <c r="L135" s="53"/>
      <c r="M135" s="57"/>
      <c r="N135" s="53"/>
      <c r="O135" s="59"/>
      <c r="P135" s="53"/>
      <c r="Q135" s="69"/>
      <c r="R135" s="53"/>
      <c r="S135" s="57"/>
      <c r="T135" s="66"/>
      <c r="U135" s="57"/>
      <c r="V135" s="66"/>
      <c r="W135" s="69"/>
      <c r="X135" s="66"/>
    </row>
    <row r="136" spans="1:26" x14ac:dyDescent="0.2">
      <c r="C136" s="6" t="s">
        <v>9</v>
      </c>
      <c r="D136" s="7" t="s">
        <v>26</v>
      </c>
      <c r="E136" s="81" t="s">
        <v>89</v>
      </c>
      <c r="J136" s="53"/>
      <c r="K136" s="57"/>
      <c r="L136" s="53"/>
      <c r="M136" s="57"/>
      <c r="N136" s="53"/>
      <c r="O136" s="59"/>
      <c r="P136" s="53"/>
      <c r="Q136" s="69"/>
      <c r="R136" s="53"/>
      <c r="S136" s="57"/>
      <c r="T136" s="66"/>
      <c r="U136" s="57"/>
      <c r="V136" s="66"/>
      <c r="W136" s="69"/>
      <c r="X136" s="66"/>
    </row>
    <row r="137" spans="1:26" x14ac:dyDescent="0.2">
      <c r="C137" s="6" t="s">
        <v>11</v>
      </c>
      <c r="D137" s="7" t="s">
        <v>153</v>
      </c>
      <c r="E137" s="81" t="s">
        <v>154</v>
      </c>
      <c r="J137" s="53"/>
      <c r="K137" s="57"/>
      <c r="L137" s="53"/>
      <c r="M137" s="57"/>
      <c r="N137" s="53"/>
      <c r="O137" s="59"/>
      <c r="P137" s="53"/>
      <c r="Q137" s="69"/>
      <c r="R137" s="53"/>
      <c r="S137" s="57"/>
      <c r="T137" s="66"/>
      <c r="U137" s="57"/>
      <c r="V137" s="66"/>
      <c r="W137" s="69"/>
      <c r="X137" s="66"/>
    </row>
    <row r="138" spans="1:26" x14ac:dyDescent="0.2">
      <c r="C138" s="6" t="s">
        <v>91</v>
      </c>
      <c r="D138" s="7" t="s">
        <v>7</v>
      </c>
      <c r="E138" s="81" t="s">
        <v>114</v>
      </c>
      <c r="J138" s="53"/>
      <c r="K138" s="57"/>
      <c r="L138" s="53"/>
      <c r="M138" s="57"/>
      <c r="N138" s="53"/>
      <c r="O138" s="59"/>
      <c r="P138" s="53"/>
      <c r="Q138" s="69"/>
      <c r="R138" s="53"/>
      <c r="S138" s="57"/>
      <c r="T138" s="66"/>
      <c r="U138" s="57"/>
      <c r="V138" s="66"/>
      <c r="W138" s="69"/>
      <c r="X138" s="66"/>
    </row>
    <row r="139" spans="1:26" x14ac:dyDescent="0.2">
      <c r="J139" s="53"/>
      <c r="K139" s="57"/>
      <c r="L139" s="53"/>
      <c r="M139" s="57"/>
      <c r="N139" s="53"/>
      <c r="O139" s="59"/>
      <c r="P139" s="53"/>
      <c r="Q139" s="69"/>
      <c r="R139" s="53"/>
      <c r="S139" s="57"/>
      <c r="T139" s="66"/>
      <c r="U139" s="57"/>
      <c r="V139" s="66"/>
      <c r="W139" s="69"/>
      <c r="X139" s="66"/>
    </row>
    <row r="140" spans="1:26" ht="145" x14ac:dyDescent="0.2">
      <c r="A140" s="3" t="s">
        <v>155</v>
      </c>
      <c r="B140" s="3">
        <v>1</v>
      </c>
      <c r="C140" s="3" t="s">
        <v>156</v>
      </c>
      <c r="D140" s="8" t="s">
        <v>18</v>
      </c>
      <c r="E140" s="13" t="s">
        <v>157</v>
      </c>
      <c r="F140" s="9">
        <v>225.4</v>
      </c>
      <c r="G140" s="10">
        <v>10.3</v>
      </c>
      <c r="H140" s="11">
        <f>ROUND(ROUND(F140,2)*ROUND(G140,3),2)</f>
        <v>2321.62</v>
      </c>
      <c r="J140" s="53"/>
      <c r="K140" s="57">
        <f>4.65</f>
        <v>4.6500000000000004</v>
      </c>
      <c r="L140" s="53">
        <f>F140*K140</f>
        <v>1048.1100000000001</v>
      </c>
      <c r="M140" s="57"/>
      <c r="N140" s="53"/>
      <c r="O140" s="59"/>
      <c r="P140" s="53"/>
      <c r="Q140" s="69"/>
      <c r="R140" s="53"/>
      <c r="S140" s="57">
        <f>5.65</f>
        <v>5.65</v>
      </c>
      <c r="T140" s="66">
        <f>F140*S140</f>
        <v>1273.5100000000002</v>
      </c>
      <c r="U140" s="57"/>
      <c r="V140" s="66"/>
      <c r="W140" s="69"/>
      <c r="X140" s="66"/>
      <c r="Y140" s="36">
        <f>I140+K140+S140+U140+Q140</f>
        <v>10.3</v>
      </c>
      <c r="Z140" s="37">
        <f>J140+L140+T140+V140+R140</f>
        <v>2321.6200000000003</v>
      </c>
    </row>
    <row r="141" spans="1:26" x14ac:dyDescent="0.2">
      <c r="E141" s="81" t="s">
        <v>25</v>
      </c>
      <c r="F141" s="6"/>
      <c r="G141" s="6"/>
      <c r="H141" s="12">
        <f>SUM(H140:H140)</f>
        <v>2321.62</v>
      </c>
      <c r="J141" s="53"/>
      <c r="K141" s="57"/>
      <c r="L141" s="54">
        <f>L140</f>
        <v>1048.1100000000001</v>
      </c>
      <c r="M141" s="58"/>
      <c r="N141" s="54">
        <f>N140</f>
        <v>0</v>
      </c>
      <c r="O141" s="60"/>
      <c r="P141" s="71">
        <v>0</v>
      </c>
      <c r="Q141" s="69"/>
      <c r="R141" s="53"/>
      <c r="S141" s="57"/>
      <c r="T141" s="67">
        <f>T140</f>
        <v>1273.5100000000002</v>
      </c>
      <c r="U141" s="57"/>
      <c r="V141" s="66"/>
      <c r="W141" s="69"/>
      <c r="X141" s="66"/>
      <c r="Z141" s="37">
        <f>J141+L141+T141+V141+R141</f>
        <v>2321.6200000000003</v>
      </c>
    </row>
    <row r="142" spans="1:26" x14ac:dyDescent="0.2">
      <c r="J142" s="53"/>
      <c r="K142" s="57"/>
      <c r="L142" s="53"/>
      <c r="M142" s="57"/>
      <c r="N142" s="53"/>
      <c r="O142" s="59"/>
      <c r="P142" s="53"/>
      <c r="Q142" s="69"/>
      <c r="R142" s="53"/>
      <c r="S142" s="57"/>
      <c r="T142" s="66"/>
      <c r="U142" s="57"/>
      <c r="V142" s="66"/>
      <c r="W142" s="69"/>
      <c r="X142" s="66"/>
    </row>
    <row r="143" spans="1:26" x14ac:dyDescent="0.2">
      <c r="C143" s="6" t="s">
        <v>6</v>
      </c>
      <c r="D143" s="7" t="s">
        <v>7</v>
      </c>
      <c r="E143" s="81" t="s">
        <v>8</v>
      </c>
      <c r="J143" s="53"/>
      <c r="K143" s="57"/>
      <c r="L143" s="53"/>
      <c r="M143" s="57"/>
      <c r="N143" s="53"/>
      <c r="O143" s="59"/>
      <c r="P143" s="53"/>
      <c r="Q143" s="69"/>
      <c r="R143" s="53"/>
      <c r="S143" s="57"/>
      <c r="T143" s="66"/>
      <c r="U143" s="57"/>
      <c r="V143" s="66"/>
      <c r="W143" s="69"/>
      <c r="X143" s="66"/>
    </row>
    <row r="144" spans="1:26" x14ac:dyDescent="0.2">
      <c r="C144" s="6" t="s">
        <v>9</v>
      </c>
      <c r="D144" s="7" t="s">
        <v>26</v>
      </c>
      <c r="E144" s="81" t="s">
        <v>89</v>
      </c>
      <c r="J144" s="53"/>
      <c r="K144" s="57"/>
      <c r="L144" s="53"/>
      <c r="M144" s="57"/>
      <c r="N144" s="53"/>
      <c r="O144" s="59"/>
      <c r="P144" s="53"/>
      <c r="Q144" s="69"/>
      <c r="R144" s="53"/>
      <c r="S144" s="57"/>
      <c r="T144" s="66"/>
      <c r="U144" s="57"/>
      <c r="V144" s="66"/>
      <c r="W144" s="69"/>
      <c r="X144" s="66"/>
    </row>
    <row r="145" spans="1:26" x14ac:dyDescent="0.2">
      <c r="C145" s="6" t="s">
        <v>11</v>
      </c>
      <c r="D145" s="7" t="s">
        <v>158</v>
      </c>
      <c r="E145" s="81" t="s">
        <v>159</v>
      </c>
      <c r="J145" s="53"/>
      <c r="K145" s="57"/>
      <c r="L145" s="53"/>
      <c r="M145" s="57"/>
      <c r="N145" s="53"/>
      <c r="O145" s="59"/>
      <c r="P145" s="53"/>
      <c r="Q145" s="69"/>
      <c r="R145" s="53"/>
      <c r="S145" s="57"/>
      <c r="T145" s="66"/>
      <c r="U145" s="57"/>
      <c r="V145" s="66"/>
      <c r="W145" s="69"/>
      <c r="X145" s="66"/>
    </row>
    <row r="146" spans="1:26" x14ac:dyDescent="0.2">
      <c r="C146" s="6" t="s">
        <v>91</v>
      </c>
      <c r="D146" s="7" t="s">
        <v>7</v>
      </c>
      <c r="E146" s="81" t="s">
        <v>159</v>
      </c>
      <c r="J146" s="53"/>
      <c r="K146" s="57"/>
      <c r="L146" s="53"/>
      <c r="M146" s="57"/>
      <c r="N146" s="53"/>
      <c r="O146" s="59"/>
      <c r="P146" s="53"/>
      <c r="Q146" s="69"/>
      <c r="R146" s="53"/>
      <c r="S146" s="57"/>
      <c r="T146" s="66"/>
      <c r="U146" s="57"/>
      <c r="V146" s="66"/>
      <c r="W146" s="69"/>
      <c r="X146" s="66"/>
    </row>
    <row r="147" spans="1:26" x14ac:dyDescent="0.2">
      <c r="J147" s="53"/>
      <c r="K147" s="57"/>
      <c r="L147" s="53"/>
      <c r="M147" s="57"/>
      <c r="N147" s="53"/>
      <c r="O147" s="59"/>
      <c r="P147" s="53"/>
      <c r="Q147" s="69"/>
      <c r="R147" s="53"/>
      <c r="S147" s="57"/>
      <c r="T147" s="66"/>
      <c r="U147" s="57"/>
      <c r="V147" s="66"/>
      <c r="W147" s="69"/>
      <c r="X147" s="66"/>
    </row>
    <row r="148" spans="1:26" ht="25" x14ac:dyDescent="0.2">
      <c r="A148" s="3" t="s">
        <v>160</v>
      </c>
      <c r="B148" s="3">
        <v>1</v>
      </c>
      <c r="C148" s="3" t="s">
        <v>161</v>
      </c>
      <c r="D148" s="8" t="s">
        <v>23</v>
      </c>
      <c r="E148" s="13" t="s">
        <v>162</v>
      </c>
      <c r="F148" s="9">
        <v>3240</v>
      </c>
      <c r="G148" s="10">
        <v>1</v>
      </c>
      <c r="H148" s="11">
        <f>ROUND(ROUND(F148,2)*ROUND(G148,3),2)</f>
        <v>3240</v>
      </c>
      <c r="I148" s="36">
        <f>G148</f>
        <v>1</v>
      </c>
      <c r="J148" s="53">
        <f>F148*I148</f>
        <v>3240</v>
      </c>
      <c r="K148" s="57"/>
      <c r="L148" s="53"/>
      <c r="M148" s="57"/>
      <c r="N148" s="53"/>
      <c r="O148" s="59"/>
      <c r="P148" s="53"/>
      <c r="Q148" s="69"/>
      <c r="R148" s="53"/>
      <c r="S148" s="57"/>
      <c r="T148" s="66"/>
      <c r="U148" s="57"/>
      <c r="V148" s="66"/>
      <c r="W148" s="69"/>
      <c r="X148" s="66"/>
    </row>
    <row r="149" spans="1:26" ht="73" x14ac:dyDescent="0.2">
      <c r="A149" s="3" t="s">
        <v>160</v>
      </c>
      <c r="B149" s="3">
        <v>2</v>
      </c>
      <c r="C149" s="3" t="s">
        <v>3987</v>
      </c>
      <c r="D149" s="8" t="s">
        <v>18</v>
      </c>
      <c r="E149" s="13" t="s">
        <v>163</v>
      </c>
      <c r="F149" s="9">
        <v>18.13</v>
      </c>
      <c r="G149" s="10">
        <v>399.80900000000003</v>
      </c>
      <c r="H149" s="11">
        <f>ROUND(ROUND(F149,2)*ROUND(G149,3),2)</f>
        <v>7248.54</v>
      </c>
      <c r="I149" s="36">
        <f>G149</f>
        <v>399.80900000000003</v>
      </c>
      <c r="J149" s="53">
        <f>F149*I149</f>
        <v>7248.5371700000005</v>
      </c>
      <c r="K149" s="57"/>
      <c r="L149" s="53"/>
      <c r="M149" s="57"/>
      <c r="N149" s="53"/>
      <c r="O149" s="59"/>
      <c r="P149" s="53"/>
      <c r="Q149" s="69"/>
      <c r="R149" s="53"/>
      <c r="S149" s="57"/>
      <c r="T149" s="66"/>
      <c r="U149" s="57"/>
      <c r="V149" s="66"/>
      <c r="W149" s="69"/>
      <c r="X149" s="66"/>
    </row>
    <row r="150" spans="1:26" x14ac:dyDescent="0.2">
      <c r="E150" s="81" t="s">
        <v>25</v>
      </c>
      <c r="F150" s="6"/>
      <c r="G150" s="6"/>
      <c r="H150" s="12">
        <f>SUM(H148:H149)</f>
        <v>10488.54</v>
      </c>
      <c r="J150" s="71">
        <f>SUM(J148:J149)</f>
        <v>10488.53717</v>
      </c>
      <c r="K150" s="57"/>
      <c r="L150" s="53"/>
      <c r="M150" s="57"/>
      <c r="N150" s="71">
        <f>SUM(N148:N149)</f>
        <v>0</v>
      </c>
      <c r="O150" s="59"/>
      <c r="P150" s="53"/>
      <c r="Q150" s="69"/>
      <c r="R150" s="53"/>
      <c r="S150" s="57"/>
      <c r="T150" s="72">
        <f>SUM(T148:T149)</f>
        <v>0</v>
      </c>
      <c r="U150" s="57"/>
      <c r="V150" s="67">
        <f>SUM(V148:V149)</f>
        <v>0</v>
      </c>
      <c r="W150" s="69"/>
      <c r="X150" s="66"/>
      <c r="Z150" s="37">
        <f>J150+L150+T150+V150+R150</f>
        <v>10488.53717</v>
      </c>
    </row>
    <row r="151" spans="1:26" x14ac:dyDescent="0.2">
      <c r="J151" s="53"/>
      <c r="K151" s="57"/>
      <c r="L151" s="53"/>
      <c r="M151" s="57"/>
      <c r="N151" s="53"/>
      <c r="O151" s="59"/>
      <c r="P151" s="53"/>
      <c r="Q151" s="69"/>
      <c r="R151" s="53"/>
      <c r="S151" s="57"/>
      <c r="T151" s="66"/>
      <c r="U151" s="57"/>
      <c r="V151" s="66"/>
      <c r="W151" s="69"/>
      <c r="X151" s="66"/>
    </row>
    <row r="152" spans="1:26" x14ac:dyDescent="0.2">
      <c r="C152" s="6" t="s">
        <v>6</v>
      </c>
      <c r="D152" s="7" t="s">
        <v>7</v>
      </c>
      <c r="E152" s="81" t="s">
        <v>8</v>
      </c>
      <c r="J152" s="53"/>
      <c r="K152" s="57"/>
      <c r="L152" s="53"/>
      <c r="M152" s="57"/>
      <c r="N152" s="53"/>
      <c r="O152" s="59"/>
      <c r="P152" s="53"/>
      <c r="Q152" s="69"/>
      <c r="R152" s="53"/>
      <c r="S152" s="57"/>
      <c r="T152" s="66"/>
      <c r="U152" s="57"/>
      <c r="V152" s="66"/>
      <c r="W152" s="69"/>
      <c r="X152" s="66"/>
    </row>
    <row r="153" spans="1:26" x14ac:dyDescent="0.2">
      <c r="C153" s="6" t="s">
        <v>9</v>
      </c>
      <c r="D153" s="7" t="s">
        <v>72</v>
      </c>
      <c r="E153" s="81" t="s">
        <v>165</v>
      </c>
      <c r="J153" s="53"/>
      <c r="K153" s="57"/>
      <c r="L153" s="53"/>
      <c r="M153" s="57"/>
      <c r="N153" s="53"/>
      <c r="O153" s="59"/>
      <c r="P153" s="53"/>
      <c r="Q153" s="69"/>
      <c r="R153" s="53"/>
      <c r="S153" s="57"/>
      <c r="T153" s="66"/>
      <c r="U153" s="57"/>
      <c r="V153" s="66"/>
      <c r="W153" s="69"/>
      <c r="X153" s="66"/>
    </row>
    <row r="154" spans="1:26" x14ac:dyDescent="0.2">
      <c r="C154" s="6" t="s">
        <v>11</v>
      </c>
      <c r="D154" s="7" t="s">
        <v>7</v>
      </c>
      <c r="E154" s="81" t="s">
        <v>166</v>
      </c>
      <c r="J154" s="53"/>
      <c r="K154" s="57"/>
      <c r="L154" s="53"/>
      <c r="M154" s="57"/>
      <c r="N154" s="53"/>
      <c r="O154" s="59"/>
      <c r="P154" s="53"/>
      <c r="Q154" s="69"/>
      <c r="R154" s="53"/>
      <c r="S154" s="57"/>
      <c r="T154" s="66"/>
      <c r="U154" s="57"/>
      <c r="V154" s="66"/>
      <c r="W154" s="69"/>
      <c r="X154" s="66"/>
    </row>
    <row r="155" spans="1:26" x14ac:dyDescent="0.2">
      <c r="J155" s="53"/>
      <c r="K155" s="57"/>
      <c r="L155" s="53"/>
      <c r="M155" s="57"/>
      <c r="N155" s="53"/>
      <c r="O155" s="59"/>
      <c r="P155" s="53"/>
      <c r="Q155" s="69"/>
      <c r="R155" s="53"/>
      <c r="S155" s="57"/>
      <c r="T155" s="66"/>
      <c r="U155" s="57"/>
      <c r="V155" s="66"/>
      <c r="W155" s="69"/>
      <c r="X155" s="66"/>
    </row>
    <row r="156" spans="1:26" ht="25" x14ac:dyDescent="0.2">
      <c r="A156" s="3" t="s">
        <v>167</v>
      </c>
      <c r="B156" s="3">
        <v>1</v>
      </c>
      <c r="C156" s="3" t="s">
        <v>168</v>
      </c>
      <c r="D156" s="8" t="s">
        <v>18</v>
      </c>
      <c r="E156" s="13" t="s">
        <v>169</v>
      </c>
      <c r="F156" s="9">
        <v>4</v>
      </c>
      <c r="G156" s="10">
        <v>396</v>
      </c>
      <c r="H156" s="11">
        <f>ROUND(ROUND(F156,2)*ROUND(G156,3),2)</f>
        <v>1584</v>
      </c>
      <c r="J156" s="53"/>
      <c r="K156" s="57">
        <f>231+7</f>
        <v>238</v>
      </c>
      <c r="L156" s="53">
        <f>F156*K156</f>
        <v>952</v>
      </c>
      <c r="M156" s="57"/>
      <c r="N156" s="53"/>
      <c r="O156" s="59"/>
      <c r="P156" s="53"/>
      <c r="Q156" s="69"/>
      <c r="R156" s="53"/>
      <c r="S156" s="57">
        <f>54+5+59</f>
        <v>118</v>
      </c>
      <c r="T156" s="66">
        <f>F156*S156</f>
        <v>472</v>
      </c>
      <c r="U156" s="57">
        <f>40</f>
        <v>40</v>
      </c>
      <c r="V156" s="66">
        <f>F156*U156</f>
        <v>160</v>
      </c>
      <c r="W156" s="69"/>
      <c r="X156" s="66"/>
      <c r="Y156" s="36">
        <f t="shared" ref="Y156:Z160" si="6">I156+K156+S156+U156+Q156</f>
        <v>396</v>
      </c>
      <c r="Z156" s="37">
        <f t="shared" si="6"/>
        <v>1584</v>
      </c>
    </row>
    <row r="157" spans="1:26" x14ac:dyDescent="0.2">
      <c r="A157" s="3" t="s">
        <v>167</v>
      </c>
      <c r="B157" s="3">
        <v>2</v>
      </c>
      <c r="C157" s="3" t="s">
        <v>170</v>
      </c>
      <c r="D157" s="8" t="s">
        <v>15</v>
      </c>
      <c r="E157" s="13" t="s">
        <v>171</v>
      </c>
      <c r="F157" s="9">
        <v>40.770000000000003</v>
      </c>
      <c r="G157" s="10">
        <v>59.4</v>
      </c>
      <c r="H157" s="11">
        <f>ROUND(ROUND(F157,2)*ROUND(G157,3),2)</f>
        <v>2421.7399999999998</v>
      </c>
      <c r="J157" s="53"/>
      <c r="K157" s="57">
        <f>34.65+1.05</f>
        <v>35.699999999999996</v>
      </c>
      <c r="L157" s="53">
        <f>F157*K157</f>
        <v>1455.489</v>
      </c>
      <c r="M157" s="57"/>
      <c r="N157" s="53"/>
      <c r="O157" s="59"/>
      <c r="P157" s="53"/>
      <c r="Q157" s="69"/>
      <c r="R157" s="53"/>
      <c r="S157" s="57">
        <f>8.1+0.75+8.85</f>
        <v>17.7</v>
      </c>
      <c r="T157" s="66">
        <f>F157*S157</f>
        <v>721.62900000000002</v>
      </c>
      <c r="U157" s="57">
        <f>6</f>
        <v>6</v>
      </c>
      <c r="V157" s="66">
        <f>F157*U157</f>
        <v>244.62</v>
      </c>
      <c r="W157" s="69"/>
      <c r="X157" s="66"/>
      <c r="Y157" s="36">
        <f t="shared" si="6"/>
        <v>59.399999999999991</v>
      </c>
      <c r="Z157" s="37">
        <f t="shared" si="6"/>
        <v>2421.7379999999998</v>
      </c>
    </row>
    <row r="158" spans="1:26" ht="49" x14ac:dyDescent="0.2">
      <c r="A158" s="3" t="s">
        <v>167</v>
      </c>
      <c r="B158" s="3">
        <v>3</v>
      </c>
      <c r="C158" s="3" t="s">
        <v>172</v>
      </c>
      <c r="D158" s="8" t="s">
        <v>18</v>
      </c>
      <c r="E158" s="13" t="s">
        <v>173</v>
      </c>
      <c r="F158" s="9">
        <v>14.32</v>
      </c>
      <c r="G158" s="10">
        <v>396</v>
      </c>
      <c r="H158" s="11">
        <f>ROUND(ROUND(F158,2)*ROUND(G158,3),2)</f>
        <v>5670.72</v>
      </c>
      <c r="J158" s="53"/>
      <c r="K158" s="57">
        <f>231+7</f>
        <v>238</v>
      </c>
      <c r="L158" s="53">
        <f>F158*K158</f>
        <v>3408.16</v>
      </c>
      <c r="M158" s="57"/>
      <c r="N158" s="53"/>
      <c r="O158" s="59"/>
      <c r="P158" s="53"/>
      <c r="Q158" s="69"/>
      <c r="R158" s="53"/>
      <c r="S158" s="57">
        <f>54+5+59</f>
        <v>118</v>
      </c>
      <c r="T158" s="66">
        <f>F158*S158</f>
        <v>1689.76</v>
      </c>
      <c r="U158" s="57">
        <f>40</f>
        <v>40</v>
      </c>
      <c r="V158" s="66">
        <f>F158*U158</f>
        <v>572.79999999999995</v>
      </c>
      <c r="W158" s="69"/>
      <c r="X158" s="66"/>
      <c r="Y158" s="36">
        <f t="shared" si="6"/>
        <v>396</v>
      </c>
      <c r="Z158" s="37">
        <f t="shared" si="6"/>
        <v>5670.72</v>
      </c>
    </row>
    <row r="159" spans="1:26" ht="25" x14ac:dyDescent="0.2">
      <c r="A159" s="3" t="s">
        <v>167</v>
      </c>
      <c r="B159" s="3">
        <v>4</v>
      </c>
      <c r="C159" s="3" t="s">
        <v>174</v>
      </c>
      <c r="D159" s="8" t="s">
        <v>15</v>
      </c>
      <c r="E159" s="13" t="s">
        <v>175</v>
      </c>
      <c r="F159" s="9">
        <v>141.80000000000001</v>
      </c>
      <c r="G159" s="10">
        <v>60.3</v>
      </c>
      <c r="H159" s="11">
        <f>ROUND(ROUND(F159,2)*ROUND(G159,3),2)</f>
        <v>8550.5400000000009</v>
      </c>
      <c r="J159" s="53"/>
      <c r="K159" s="57">
        <f>23.1+0.7+11.55+0.875</f>
        <v>36.225000000000001</v>
      </c>
      <c r="L159" s="53">
        <f>F159*K159</f>
        <v>5136.7050000000008</v>
      </c>
      <c r="M159" s="57"/>
      <c r="N159" s="53"/>
      <c r="O159" s="59"/>
      <c r="P159" s="53"/>
      <c r="Q159" s="69"/>
      <c r="R159" s="53"/>
      <c r="S159" s="57">
        <f>5.4+0.5+5.9+2.7+0.625+2.95</f>
        <v>18.074999999999999</v>
      </c>
      <c r="T159" s="66">
        <f>F159*S159</f>
        <v>2563.0350000000003</v>
      </c>
      <c r="U159" s="57">
        <f>4+2</f>
        <v>6</v>
      </c>
      <c r="V159" s="66">
        <f>F159*U159</f>
        <v>850.80000000000007</v>
      </c>
      <c r="W159" s="69"/>
      <c r="X159" s="66"/>
      <c r="Y159" s="36">
        <f t="shared" si="6"/>
        <v>60.3</v>
      </c>
      <c r="Z159" s="37">
        <f t="shared" si="6"/>
        <v>8550.5400000000009</v>
      </c>
    </row>
    <row r="160" spans="1:26" ht="25" x14ac:dyDescent="0.2">
      <c r="A160" s="3" t="s">
        <v>167</v>
      </c>
      <c r="B160" s="3">
        <v>5</v>
      </c>
      <c r="C160" s="3" t="s">
        <v>176</v>
      </c>
      <c r="D160" s="8" t="s">
        <v>18</v>
      </c>
      <c r="E160" s="13" t="s">
        <v>177</v>
      </c>
      <c r="F160" s="9">
        <v>5.05</v>
      </c>
      <c r="G160" s="10">
        <v>792</v>
      </c>
      <c r="H160" s="11">
        <f>ROUND(ROUND(F160,2)*ROUND(G160,3),2)</f>
        <v>3999.6</v>
      </c>
      <c r="J160" s="53"/>
      <c r="K160" s="57">
        <f>231+7+231+7</f>
        <v>476</v>
      </c>
      <c r="L160" s="53">
        <f>F160*K160</f>
        <v>2403.7999999999997</v>
      </c>
      <c r="M160" s="57"/>
      <c r="N160" s="53"/>
      <c r="O160" s="59"/>
      <c r="P160" s="53"/>
      <c r="Q160" s="69"/>
      <c r="R160" s="53"/>
      <c r="S160" s="57">
        <f>54+5+59+54+5+59</f>
        <v>236</v>
      </c>
      <c r="T160" s="66">
        <f>F160*S160</f>
        <v>1191.8</v>
      </c>
      <c r="U160" s="57">
        <f>40+40</f>
        <v>80</v>
      </c>
      <c r="V160" s="66">
        <f>F160*U160</f>
        <v>404</v>
      </c>
      <c r="W160" s="69"/>
      <c r="X160" s="66"/>
      <c r="Y160" s="36">
        <f t="shared" si="6"/>
        <v>792</v>
      </c>
      <c r="Z160" s="37">
        <f t="shared" si="6"/>
        <v>3999.5999999999995</v>
      </c>
    </row>
    <row r="161" spans="1:26" x14ac:dyDescent="0.2">
      <c r="E161" s="81" t="s">
        <v>25</v>
      </c>
      <c r="F161" s="6"/>
      <c r="G161" s="6"/>
      <c r="H161" s="12">
        <f>SUM(H156:H160)</f>
        <v>22226.6</v>
      </c>
      <c r="J161" s="53"/>
      <c r="K161" s="57"/>
      <c r="L161" s="54">
        <f>L156+L157+L158+L159+L160</f>
        <v>13356.153999999999</v>
      </c>
      <c r="M161" s="58"/>
      <c r="N161" s="54">
        <f>N156+N157+N158+N159+N160</f>
        <v>0</v>
      </c>
      <c r="O161" s="60"/>
      <c r="P161" s="71">
        <f>SUM(P150:P160)</f>
        <v>0</v>
      </c>
      <c r="Q161" s="69"/>
      <c r="R161" s="53"/>
      <c r="S161" s="58"/>
      <c r="T161" s="67">
        <f>T156+T157+T158+T159+T160</f>
        <v>6638.2240000000011</v>
      </c>
      <c r="U161" s="58"/>
      <c r="V161" s="67">
        <f>V156+V157+V158+V159+V160</f>
        <v>2232.2200000000003</v>
      </c>
      <c r="W161" s="69"/>
      <c r="X161" s="66"/>
      <c r="Z161" s="37">
        <f>J161+L161+T161+V161+R161</f>
        <v>22226.598000000002</v>
      </c>
    </row>
    <row r="162" spans="1:26" x14ac:dyDescent="0.2">
      <c r="J162" s="53"/>
      <c r="K162" s="57"/>
      <c r="L162" s="53"/>
      <c r="M162" s="57"/>
      <c r="N162" s="53"/>
      <c r="O162" s="59"/>
      <c r="P162" s="53"/>
      <c r="Q162" s="69"/>
      <c r="R162" s="53"/>
      <c r="S162" s="57"/>
      <c r="T162" s="66"/>
      <c r="U162" s="57"/>
      <c r="V162" s="66"/>
      <c r="W162" s="69"/>
      <c r="X162" s="66"/>
    </row>
    <row r="163" spans="1:26" x14ac:dyDescent="0.2">
      <c r="C163" s="6" t="s">
        <v>6</v>
      </c>
      <c r="D163" s="7" t="s">
        <v>7</v>
      </c>
      <c r="E163" s="81" t="s">
        <v>8</v>
      </c>
      <c r="J163" s="53"/>
      <c r="K163" s="57"/>
      <c r="L163" s="53"/>
      <c r="M163" s="57"/>
      <c r="N163" s="53"/>
      <c r="O163" s="59"/>
      <c r="P163" s="53"/>
      <c r="Q163" s="69"/>
      <c r="R163" s="53"/>
      <c r="S163" s="57"/>
      <c r="T163" s="66"/>
      <c r="U163" s="57"/>
      <c r="V163" s="66"/>
      <c r="W163" s="69"/>
      <c r="X163" s="66"/>
    </row>
    <row r="164" spans="1:26" x14ac:dyDescent="0.2">
      <c r="C164" s="6" t="s">
        <v>9</v>
      </c>
      <c r="D164" s="7" t="s">
        <v>72</v>
      </c>
      <c r="E164" s="81" t="s">
        <v>165</v>
      </c>
      <c r="J164" s="53"/>
      <c r="K164" s="57"/>
      <c r="L164" s="53"/>
      <c r="M164" s="57"/>
      <c r="N164" s="53"/>
      <c r="O164" s="59"/>
      <c r="P164" s="53"/>
      <c r="Q164" s="69"/>
      <c r="R164" s="53"/>
      <c r="S164" s="57"/>
      <c r="T164" s="66"/>
      <c r="U164" s="57"/>
      <c r="V164" s="66"/>
      <c r="W164" s="69"/>
      <c r="X164" s="66"/>
    </row>
    <row r="165" spans="1:26" x14ac:dyDescent="0.2">
      <c r="C165" s="6" t="s">
        <v>11</v>
      </c>
      <c r="D165" s="7" t="s">
        <v>26</v>
      </c>
      <c r="E165" s="81" t="s">
        <v>178</v>
      </c>
      <c r="J165" s="53"/>
      <c r="K165" s="57"/>
      <c r="L165" s="53"/>
      <c r="M165" s="57"/>
      <c r="N165" s="53"/>
      <c r="O165" s="59"/>
      <c r="P165" s="53"/>
      <c r="Q165" s="69"/>
      <c r="R165" s="53"/>
      <c r="S165" s="57"/>
      <c r="T165" s="66"/>
      <c r="U165" s="57"/>
      <c r="V165" s="66"/>
      <c r="W165" s="69"/>
      <c r="X165" s="66"/>
    </row>
    <row r="166" spans="1:26" x14ac:dyDescent="0.2">
      <c r="C166" s="6" t="s">
        <v>91</v>
      </c>
      <c r="D166" s="7" t="s">
        <v>7</v>
      </c>
      <c r="E166" s="81" t="s">
        <v>179</v>
      </c>
      <c r="J166" s="53"/>
      <c r="K166" s="57"/>
      <c r="L166" s="53"/>
      <c r="M166" s="57"/>
      <c r="N166" s="53"/>
      <c r="O166" s="59"/>
      <c r="P166" s="53"/>
      <c r="Q166" s="69"/>
      <c r="R166" s="53"/>
      <c r="S166" s="57"/>
      <c r="T166" s="66"/>
      <c r="U166" s="57"/>
      <c r="V166" s="66"/>
      <c r="W166" s="69"/>
      <c r="X166" s="66"/>
    </row>
    <row r="167" spans="1:26" x14ac:dyDescent="0.2">
      <c r="J167" s="53"/>
      <c r="K167" s="57"/>
      <c r="L167" s="53"/>
      <c r="M167" s="57"/>
      <c r="N167" s="53"/>
      <c r="O167" s="59"/>
      <c r="P167" s="53"/>
      <c r="Q167" s="69"/>
      <c r="R167" s="53"/>
      <c r="S167" s="57"/>
      <c r="T167" s="66"/>
      <c r="U167" s="57"/>
      <c r="V167" s="66"/>
      <c r="W167" s="69"/>
      <c r="X167" s="66"/>
    </row>
    <row r="168" spans="1:26" ht="97" x14ac:dyDescent="0.2">
      <c r="A168" s="3" t="s">
        <v>180</v>
      </c>
      <c r="B168" s="3">
        <v>1</v>
      </c>
      <c r="C168" s="3" t="s">
        <v>181</v>
      </c>
      <c r="D168" s="8" t="s">
        <v>23</v>
      </c>
      <c r="E168" s="13" t="s">
        <v>182</v>
      </c>
      <c r="F168" s="9">
        <v>378</v>
      </c>
      <c r="G168" s="10">
        <v>1</v>
      </c>
      <c r="H168" s="11">
        <f t="shared" ref="H168:H187" si="7">ROUND(ROUND(F168,2)*ROUND(G168,3),2)</f>
        <v>378</v>
      </c>
      <c r="J168" s="53"/>
      <c r="K168" s="57">
        <f t="shared" ref="K168:K187" si="8">G168</f>
        <v>1</v>
      </c>
      <c r="L168" s="53">
        <f t="shared" ref="L168:L187" si="9">F168*K168</f>
        <v>378</v>
      </c>
      <c r="M168" s="57"/>
      <c r="N168" s="53"/>
      <c r="O168" s="59"/>
      <c r="P168" s="53"/>
      <c r="Q168" s="69"/>
      <c r="R168" s="53"/>
      <c r="S168" s="57"/>
      <c r="T168" s="66"/>
      <c r="U168" s="57"/>
      <c r="V168" s="66"/>
      <c r="W168" s="69"/>
      <c r="X168" s="66"/>
    </row>
    <row r="169" spans="1:26" ht="109" x14ac:dyDescent="0.2">
      <c r="A169" s="3" t="s">
        <v>180</v>
      </c>
      <c r="B169" s="3">
        <v>2</v>
      </c>
      <c r="C169" s="3" t="s">
        <v>183</v>
      </c>
      <c r="D169" s="8" t="s">
        <v>23</v>
      </c>
      <c r="E169" s="13" t="s">
        <v>184</v>
      </c>
      <c r="F169" s="9">
        <v>570.24</v>
      </c>
      <c r="G169" s="10">
        <v>1</v>
      </c>
      <c r="H169" s="11">
        <f t="shared" si="7"/>
        <v>570.24</v>
      </c>
      <c r="J169" s="53"/>
      <c r="K169" s="57">
        <f t="shared" si="8"/>
        <v>1</v>
      </c>
      <c r="L169" s="53">
        <f t="shared" si="9"/>
        <v>570.24</v>
      </c>
      <c r="M169" s="57"/>
      <c r="N169" s="53"/>
      <c r="O169" s="59"/>
      <c r="P169" s="53"/>
      <c r="Q169" s="69"/>
      <c r="R169" s="53"/>
      <c r="S169" s="57"/>
      <c r="T169" s="66"/>
      <c r="U169" s="57"/>
      <c r="V169" s="66"/>
      <c r="W169" s="69"/>
      <c r="X169" s="66"/>
    </row>
    <row r="170" spans="1:26" ht="121" x14ac:dyDescent="0.2">
      <c r="A170" s="3" t="s">
        <v>180</v>
      </c>
      <c r="B170" s="3">
        <v>3</v>
      </c>
      <c r="C170" s="3" t="s">
        <v>185</v>
      </c>
      <c r="D170" s="8" t="s">
        <v>23</v>
      </c>
      <c r="E170" s="13" t="s">
        <v>186</v>
      </c>
      <c r="F170" s="9">
        <v>1140.48</v>
      </c>
      <c r="G170" s="10">
        <v>1</v>
      </c>
      <c r="H170" s="11">
        <f t="shared" si="7"/>
        <v>1140.48</v>
      </c>
      <c r="J170" s="53"/>
      <c r="K170" s="57">
        <f t="shared" si="8"/>
        <v>1</v>
      </c>
      <c r="L170" s="53">
        <f t="shared" si="9"/>
        <v>1140.48</v>
      </c>
      <c r="M170" s="57"/>
      <c r="N170" s="53"/>
      <c r="O170" s="59"/>
      <c r="P170" s="53"/>
      <c r="Q170" s="69"/>
      <c r="R170" s="53"/>
      <c r="S170" s="57"/>
      <c r="T170" s="66"/>
      <c r="U170" s="57"/>
      <c r="V170" s="66"/>
      <c r="W170" s="69"/>
      <c r="X170" s="66"/>
    </row>
    <row r="171" spans="1:26" ht="97" x14ac:dyDescent="0.2">
      <c r="A171" s="3" t="s">
        <v>180</v>
      </c>
      <c r="B171" s="3">
        <v>4</v>
      </c>
      <c r="C171" s="3" t="s">
        <v>187</v>
      </c>
      <c r="D171" s="8" t="s">
        <v>23</v>
      </c>
      <c r="E171" s="13" t="s">
        <v>188</v>
      </c>
      <c r="F171" s="9">
        <v>1140.48</v>
      </c>
      <c r="G171" s="10">
        <v>1</v>
      </c>
      <c r="H171" s="11">
        <f t="shared" si="7"/>
        <v>1140.48</v>
      </c>
      <c r="J171" s="53"/>
      <c r="K171" s="57">
        <f t="shared" si="8"/>
        <v>1</v>
      </c>
      <c r="L171" s="53">
        <f t="shared" si="9"/>
        <v>1140.48</v>
      </c>
      <c r="M171" s="57"/>
      <c r="N171" s="53"/>
      <c r="O171" s="59"/>
      <c r="P171" s="53"/>
      <c r="Q171" s="69"/>
      <c r="R171" s="53"/>
      <c r="S171" s="57"/>
      <c r="T171" s="66"/>
      <c r="U171" s="57"/>
      <c r="V171" s="66"/>
      <c r="W171" s="69"/>
      <c r="X171" s="66"/>
    </row>
    <row r="172" spans="1:26" ht="97" x14ac:dyDescent="0.2">
      <c r="A172" s="3" t="s">
        <v>180</v>
      </c>
      <c r="B172" s="3">
        <v>5</v>
      </c>
      <c r="C172" s="3" t="s">
        <v>189</v>
      </c>
      <c r="D172" s="8" t="s">
        <v>23</v>
      </c>
      <c r="E172" s="13" t="s">
        <v>190</v>
      </c>
      <c r="F172" s="9">
        <v>2566.08</v>
      </c>
      <c r="G172" s="10">
        <v>1</v>
      </c>
      <c r="H172" s="11">
        <f t="shared" si="7"/>
        <v>2566.08</v>
      </c>
      <c r="J172" s="53"/>
      <c r="K172" s="57">
        <f t="shared" si="8"/>
        <v>1</v>
      </c>
      <c r="L172" s="53">
        <f t="shared" si="9"/>
        <v>2566.08</v>
      </c>
      <c r="M172" s="57"/>
      <c r="N172" s="53"/>
      <c r="O172" s="59"/>
      <c r="P172" s="53"/>
      <c r="Q172" s="69"/>
      <c r="R172" s="53"/>
      <c r="S172" s="57"/>
      <c r="T172" s="66"/>
      <c r="U172" s="57"/>
      <c r="V172" s="66"/>
      <c r="W172" s="69"/>
      <c r="X172" s="66"/>
    </row>
    <row r="173" spans="1:26" ht="97" x14ac:dyDescent="0.2">
      <c r="A173" s="3" t="s">
        <v>180</v>
      </c>
      <c r="B173" s="3">
        <v>6</v>
      </c>
      <c r="C173" s="3" t="s">
        <v>191</v>
      </c>
      <c r="D173" s="8" t="s">
        <v>23</v>
      </c>
      <c r="E173" s="13" t="s">
        <v>192</v>
      </c>
      <c r="F173" s="9">
        <v>4656.96</v>
      </c>
      <c r="G173" s="10">
        <v>1</v>
      </c>
      <c r="H173" s="11">
        <f t="shared" si="7"/>
        <v>4656.96</v>
      </c>
      <c r="J173" s="53"/>
      <c r="K173" s="57">
        <f t="shared" si="8"/>
        <v>1</v>
      </c>
      <c r="L173" s="53">
        <f t="shared" si="9"/>
        <v>4656.96</v>
      </c>
      <c r="M173" s="57"/>
      <c r="N173" s="53"/>
      <c r="O173" s="59"/>
      <c r="P173" s="53"/>
      <c r="Q173" s="69"/>
      <c r="R173" s="53"/>
      <c r="S173" s="57"/>
      <c r="T173" s="66"/>
      <c r="U173" s="57"/>
      <c r="V173" s="66"/>
      <c r="W173" s="69"/>
      <c r="X173" s="66"/>
    </row>
    <row r="174" spans="1:26" ht="73" x14ac:dyDescent="0.2">
      <c r="A174" s="3" t="s">
        <v>180</v>
      </c>
      <c r="B174" s="3">
        <v>7</v>
      </c>
      <c r="C174" s="3" t="s">
        <v>193</v>
      </c>
      <c r="D174" s="8" t="s">
        <v>23</v>
      </c>
      <c r="E174" s="13" t="s">
        <v>194</v>
      </c>
      <c r="F174" s="9">
        <v>570.24</v>
      </c>
      <c r="G174" s="10">
        <v>1</v>
      </c>
      <c r="H174" s="11">
        <f t="shared" si="7"/>
        <v>570.24</v>
      </c>
      <c r="J174" s="53"/>
      <c r="K174" s="57">
        <f t="shared" si="8"/>
        <v>1</v>
      </c>
      <c r="L174" s="53">
        <f t="shared" si="9"/>
        <v>570.24</v>
      </c>
      <c r="M174" s="57"/>
      <c r="N174" s="53"/>
      <c r="O174" s="59"/>
      <c r="P174" s="53"/>
      <c r="Q174" s="69"/>
      <c r="R174" s="53"/>
      <c r="S174" s="57"/>
      <c r="T174" s="66"/>
      <c r="U174" s="57"/>
      <c r="V174" s="66"/>
      <c r="W174" s="69"/>
      <c r="X174" s="66"/>
    </row>
    <row r="175" spans="1:26" ht="85" x14ac:dyDescent="0.2">
      <c r="A175" s="3" t="s">
        <v>180</v>
      </c>
      <c r="B175" s="3">
        <v>8</v>
      </c>
      <c r="C175" s="3" t="s">
        <v>195</v>
      </c>
      <c r="D175" s="8" t="s">
        <v>23</v>
      </c>
      <c r="E175" s="13" t="s">
        <v>196</v>
      </c>
      <c r="F175" s="9">
        <v>570.24</v>
      </c>
      <c r="G175" s="10">
        <v>1</v>
      </c>
      <c r="H175" s="11">
        <f t="shared" si="7"/>
        <v>570.24</v>
      </c>
      <c r="J175" s="53"/>
      <c r="K175" s="57">
        <f t="shared" si="8"/>
        <v>1</v>
      </c>
      <c r="L175" s="53">
        <f t="shared" si="9"/>
        <v>570.24</v>
      </c>
      <c r="M175" s="57"/>
      <c r="N175" s="53"/>
      <c r="O175" s="59"/>
      <c r="P175" s="53"/>
      <c r="Q175" s="69"/>
      <c r="R175" s="53"/>
      <c r="S175" s="57"/>
      <c r="T175" s="66"/>
      <c r="U175" s="57"/>
      <c r="V175" s="66"/>
      <c r="W175" s="69"/>
      <c r="X175" s="66"/>
    </row>
    <row r="176" spans="1:26" ht="61" x14ac:dyDescent="0.2">
      <c r="A176" s="3" t="s">
        <v>180</v>
      </c>
      <c r="B176" s="3">
        <v>9</v>
      </c>
      <c r="C176" s="3" t="s">
        <v>197</v>
      </c>
      <c r="D176" s="8" t="s">
        <v>23</v>
      </c>
      <c r="E176" s="13" t="s">
        <v>198</v>
      </c>
      <c r="F176" s="9">
        <v>1283.04</v>
      </c>
      <c r="G176" s="10">
        <v>1</v>
      </c>
      <c r="H176" s="11">
        <f t="shared" si="7"/>
        <v>1283.04</v>
      </c>
      <c r="J176" s="53"/>
      <c r="K176" s="57">
        <f t="shared" si="8"/>
        <v>1</v>
      </c>
      <c r="L176" s="53">
        <f t="shared" si="9"/>
        <v>1283.04</v>
      </c>
      <c r="M176" s="57"/>
      <c r="N176" s="53"/>
      <c r="O176" s="59"/>
      <c r="P176" s="53"/>
      <c r="Q176" s="69"/>
      <c r="R176" s="53"/>
      <c r="S176" s="57"/>
      <c r="T176" s="66"/>
      <c r="U176" s="57"/>
      <c r="V176" s="66"/>
      <c r="W176" s="69"/>
      <c r="X176" s="66"/>
    </row>
    <row r="177" spans="1:24" ht="73" x14ac:dyDescent="0.2">
      <c r="A177" s="3" t="s">
        <v>180</v>
      </c>
      <c r="B177" s="3">
        <v>10</v>
      </c>
      <c r="C177" s="3" t="s">
        <v>199</v>
      </c>
      <c r="D177" s="8" t="s">
        <v>23</v>
      </c>
      <c r="E177" s="13" t="s">
        <v>200</v>
      </c>
      <c r="F177" s="9">
        <v>570.24</v>
      </c>
      <c r="G177" s="10">
        <v>1</v>
      </c>
      <c r="H177" s="11">
        <f t="shared" si="7"/>
        <v>570.24</v>
      </c>
      <c r="J177" s="53"/>
      <c r="K177" s="57">
        <f t="shared" si="8"/>
        <v>1</v>
      </c>
      <c r="L177" s="53">
        <f t="shared" si="9"/>
        <v>570.24</v>
      </c>
      <c r="M177" s="57"/>
      <c r="N177" s="53"/>
      <c r="O177" s="59"/>
      <c r="P177" s="53"/>
      <c r="Q177" s="69"/>
      <c r="R177" s="53"/>
      <c r="S177" s="57"/>
      <c r="T177" s="66"/>
      <c r="U177" s="57"/>
      <c r="V177" s="66"/>
      <c r="W177" s="69"/>
      <c r="X177" s="66"/>
    </row>
    <row r="178" spans="1:24" ht="73" x14ac:dyDescent="0.2">
      <c r="A178" s="3" t="s">
        <v>180</v>
      </c>
      <c r="B178" s="3">
        <v>11</v>
      </c>
      <c r="C178" s="3" t="s">
        <v>201</v>
      </c>
      <c r="D178" s="8" t="s">
        <v>23</v>
      </c>
      <c r="E178" s="13" t="s">
        <v>202</v>
      </c>
      <c r="F178" s="9">
        <v>336.96</v>
      </c>
      <c r="G178" s="10">
        <v>1</v>
      </c>
      <c r="H178" s="11">
        <f t="shared" si="7"/>
        <v>336.96</v>
      </c>
      <c r="J178" s="53"/>
      <c r="K178" s="57">
        <f t="shared" si="8"/>
        <v>1</v>
      </c>
      <c r="L178" s="53">
        <f t="shared" si="9"/>
        <v>336.96</v>
      </c>
      <c r="M178" s="57"/>
      <c r="N178" s="53"/>
      <c r="O178" s="59"/>
      <c r="P178" s="53"/>
      <c r="Q178" s="69"/>
      <c r="R178" s="53"/>
      <c r="S178" s="57"/>
      <c r="T178" s="66"/>
      <c r="U178" s="57"/>
      <c r="V178" s="66"/>
      <c r="W178" s="69"/>
      <c r="X178" s="66"/>
    </row>
    <row r="179" spans="1:24" ht="109" x14ac:dyDescent="0.2">
      <c r="A179" s="3" t="s">
        <v>180</v>
      </c>
      <c r="B179" s="3">
        <v>12</v>
      </c>
      <c r="C179" s="3" t="s">
        <v>203</v>
      </c>
      <c r="D179" s="8" t="s">
        <v>23</v>
      </c>
      <c r="E179" s="13" t="s">
        <v>204</v>
      </c>
      <c r="F179" s="9">
        <v>1283.04</v>
      </c>
      <c r="G179" s="10">
        <v>1</v>
      </c>
      <c r="H179" s="11">
        <f t="shared" si="7"/>
        <v>1283.04</v>
      </c>
      <c r="J179" s="53"/>
      <c r="K179" s="57">
        <f t="shared" si="8"/>
        <v>1</v>
      </c>
      <c r="L179" s="53">
        <f t="shared" si="9"/>
        <v>1283.04</v>
      </c>
      <c r="M179" s="57"/>
      <c r="N179" s="53"/>
      <c r="O179" s="59"/>
      <c r="P179" s="53"/>
      <c r="Q179" s="69"/>
      <c r="R179" s="53"/>
      <c r="S179" s="57"/>
      <c r="T179" s="66"/>
      <c r="U179" s="57"/>
      <c r="V179" s="66"/>
      <c r="W179" s="69"/>
      <c r="X179" s="66"/>
    </row>
    <row r="180" spans="1:24" ht="73" x14ac:dyDescent="0.2">
      <c r="A180" s="3" t="s">
        <v>180</v>
      </c>
      <c r="B180" s="3">
        <v>13</v>
      </c>
      <c r="C180" s="3" t="s">
        <v>205</v>
      </c>
      <c r="D180" s="8" t="s">
        <v>23</v>
      </c>
      <c r="E180" s="13" t="s">
        <v>206</v>
      </c>
      <c r="F180" s="9">
        <v>570.24</v>
      </c>
      <c r="G180" s="10">
        <v>1</v>
      </c>
      <c r="H180" s="11">
        <f t="shared" si="7"/>
        <v>570.24</v>
      </c>
      <c r="J180" s="53"/>
      <c r="K180" s="57">
        <f t="shared" si="8"/>
        <v>1</v>
      </c>
      <c r="L180" s="53">
        <f t="shared" si="9"/>
        <v>570.24</v>
      </c>
      <c r="M180" s="57"/>
      <c r="N180" s="53"/>
      <c r="O180" s="59"/>
      <c r="P180" s="53"/>
      <c r="Q180" s="69"/>
      <c r="R180" s="53"/>
      <c r="S180" s="57"/>
      <c r="T180" s="66"/>
      <c r="U180" s="57"/>
      <c r="V180" s="66"/>
      <c r="W180" s="69"/>
      <c r="X180" s="66"/>
    </row>
    <row r="181" spans="1:24" ht="121" x14ac:dyDescent="0.2">
      <c r="A181" s="3" t="s">
        <v>180</v>
      </c>
      <c r="B181" s="3">
        <v>14</v>
      </c>
      <c r="C181" s="3" t="s">
        <v>207</v>
      </c>
      <c r="D181" s="8" t="s">
        <v>23</v>
      </c>
      <c r="E181" s="13" t="s">
        <v>208</v>
      </c>
      <c r="F181" s="9">
        <v>617.76</v>
      </c>
      <c r="G181" s="10">
        <v>1</v>
      </c>
      <c r="H181" s="11">
        <f t="shared" si="7"/>
        <v>617.76</v>
      </c>
      <c r="J181" s="53"/>
      <c r="K181" s="57">
        <f t="shared" si="8"/>
        <v>1</v>
      </c>
      <c r="L181" s="53">
        <f t="shared" si="9"/>
        <v>617.76</v>
      </c>
      <c r="M181" s="57"/>
      <c r="N181" s="53"/>
      <c r="O181" s="59"/>
      <c r="P181" s="53"/>
      <c r="Q181" s="69"/>
      <c r="R181" s="53"/>
      <c r="S181" s="57"/>
      <c r="T181" s="66"/>
      <c r="U181" s="57"/>
      <c r="V181" s="66"/>
      <c r="W181" s="69"/>
      <c r="X181" s="66"/>
    </row>
    <row r="182" spans="1:24" ht="85" x14ac:dyDescent="0.2">
      <c r="A182" s="3" t="s">
        <v>180</v>
      </c>
      <c r="B182" s="3">
        <v>15</v>
      </c>
      <c r="C182" s="3" t="s">
        <v>209</v>
      </c>
      <c r="D182" s="8" t="s">
        <v>23</v>
      </c>
      <c r="E182" s="13" t="s">
        <v>210</v>
      </c>
      <c r="F182" s="9">
        <v>1544.4</v>
      </c>
      <c r="G182" s="10">
        <v>1</v>
      </c>
      <c r="H182" s="11">
        <f t="shared" si="7"/>
        <v>1544.4</v>
      </c>
      <c r="J182" s="53"/>
      <c r="K182" s="57">
        <f t="shared" si="8"/>
        <v>1</v>
      </c>
      <c r="L182" s="53">
        <f t="shared" si="9"/>
        <v>1544.4</v>
      </c>
      <c r="M182" s="57"/>
      <c r="N182" s="53"/>
      <c r="O182" s="59"/>
      <c r="P182" s="53"/>
      <c r="Q182" s="69"/>
      <c r="R182" s="53"/>
      <c r="S182" s="57"/>
      <c r="T182" s="66"/>
      <c r="U182" s="57"/>
      <c r="V182" s="66"/>
      <c r="W182" s="69"/>
      <c r="X182" s="66"/>
    </row>
    <row r="183" spans="1:24" ht="97" x14ac:dyDescent="0.2">
      <c r="A183" s="3" t="s">
        <v>180</v>
      </c>
      <c r="B183" s="3">
        <v>16</v>
      </c>
      <c r="C183" s="3" t="s">
        <v>211</v>
      </c>
      <c r="D183" s="8" t="s">
        <v>23</v>
      </c>
      <c r="E183" s="13" t="s">
        <v>212</v>
      </c>
      <c r="F183" s="9">
        <v>1140.48</v>
      </c>
      <c r="G183" s="10">
        <v>1</v>
      </c>
      <c r="H183" s="11">
        <f t="shared" si="7"/>
        <v>1140.48</v>
      </c>
      <c r="J183" s="53"/>
      <c r="K183" s="57">
        <f t="shared" si="8"/>
        <v>1</v>
      </c>
      <c r="L183" s="53">
        <f t="shared" si="9"/>
        <v>1140.48</v>
      </c>
      <c r="M183" s="57"/>
      <c r="N183" s="53"/>
      <c r="O183" s="59"/>
      <c r="P183" s="53"/>
      <c r="Q183" s="69"/>
      <c r="R183" s="53"/>
      <c r="S183" s="57"/>
      <c r="T183" s="66"/>
      <c r="U183" s="57"/>
      <c r="V183" s="66"/>
      <c r="W183" s="69"/>
      <c r="X183" s="66"/>
    </row>
    <row r="184" spans="1:24" ht="109" x14ac:dyDescent="0.2">
      <c r="A184" s="3" t="s">
        <v>180</v>
      </c>
      <c r="B184" s="3">
        <v>17</v>
      </c>
      <c r="C184" s="3" t="s">
        <v>213</v>
      </c>
      <c r="D184" s="8" t="s">
        <v>23</v>
      </c>
      <c r="E184" s="13" t="s">
        <v>214</v>
      </c>
      <c r="F184" s="9">
        <v>1283.04</v>
      </c>
      <c r="G184" s="10">
        <v>1</v>
      </c>
      <c r="H184" s="11">
        <f t="shared" si="7"/>
        <v>1283.04</v>
      </c>
      <c r="J184" s="53"/>
      <c r="K184" s="57">
        <f t="shared" si="8"/>
        <v>1</v>
      </c>
      <c r="L184" s="53">
        <f t="shared" si="9"/>
        <v>1283.04</v>
      </c>
      <c r="M184" s="57"/>
      <c r="N184" s="53"/>
      <c r="O184" s="59"/>
      <c r="P184" s="53"/>
      <c r="Q184" s="69"/>
      <c r="R184" s="53"/>
      <c r="S184" s="57"/>
      <c r="T184" s="66"/>
      <c r="U184" s="57"/>
      <c r="V184" s="66"/>
      <c r="W184" s="69"/>
      <c r="X184" s="66"/>
    </row>
    <row r="185" spans="1:24" ht="85" x14ac:dyDescent="0.2">
      <c r="A185" s="3" t="s">
        <v>180</v>
      </c>
      <c r="B185" s="3">
        <v>18</v>
      </c>
      <c r="C185" s="3" t="s">
        <v>215</v>
      </c>
      <c r="D185" s="8" t="s">
        <v>23</v>
      </c>
      <c r="E185" s="13" t="s">
        <v>216</v>
      </c>
      <c r="F185" s="9">
        <v>570.24</v>
      </c>
      <c r="G185" s="10">
        <v>1</v>
      </c>
      <c r="H185" s="11">
        <f t="shared" si="7"/>
        <v>570.24</v>
      </c>
      <c r="J185" s="53"/>
      <c r="K185" s="57">
        <f t="shared" si="8"/>
        <v>1</v>
      </c>
      <c r="L185" s="53">
        <f t="shared" si="9"/>
        <v>570.24</v>
      </c>
      <c r="M185" s="57"/>
      <c r="N185" s="53"/>
      <c r="O185" s="59"/>
      <c r="P185" s="53"/>
      <c r="Q185" s="69"/>
      <c r="R185" s="53"/>
      <c r="S185" s="57"/>
      <c r="T185" s="66"/>
      <c r="U185" s="57"/>
      <c r="V185" s="66"/>
      <c r="W185" s="69"/>
      <c r="X185" s="66"/>
    </row>
    <row r="186" spans="1:24" ht="97" x14ac:dyDescent="0.2">
      <c r="A186" s="3" t="s">
        <v>180</v>
      </c>
      <c r="B186" s="3">
        <v>19</v>
      </c>
      <c r="C186" s="3" t="s">
        <v>217</v>
      </c>
      <c r="D186" s="8" t="s">
        <v>23</v>
      </c>
      <c r="E186" s="13" t="s">
        <v>218</v>
      </c>
      <c r="F186" s="9">
        <v>1140.48</v>
      </c>
      <c r="G186" s="10">
        <v>1</v>
      </c>
      <c r="H186" s="11">
        <f t="shared" si="7"/>
        <v>1140.48</v>
      </c>
      <c r="J186" s="53"/>
      <c r="K186" s="57">
        <f t="shared" si="8"/>
        <v>1</v>
      </c>
      <c r="L186" s="53">
        <f t="shared" si="9"/>
        <v>1140.48</v>
      </c>
      <c r="M186" s="57"/>
      <c r="N186" s="53"/>
      <c r="O186" s="59"/>
      <c r="P186" s="53"/>
      <c r="Q186" s="69"/>
      <c r="R186" s="53"/>
      <c r="S186" s="57"/>
      <c r="T186" s="66"/>
      <c r="U186" s="57"/>
      <c r="V186" s="66"/>
      <c r="W186" s="69"/>
      <c r="X186" s="66"/>
    </row>
    <row r="187" spans="1:24" ht="73" x14ac:dyDescent="0.2">
      <c r="A187" s="3" t="s">
        <v>180</v>
      </c>
      <c r="B187" s="3">
        <v>20</v>
      </c>
      <c r="C187" s="3" t="s">
        <v>219</v>
      </c>
      <c r="D187" s="8" t="s">
        <v>23</v>
      </c>
      <c r="E187" s="13" t="s">
        <v>220</v>
      </c>
      <c r="F187" s="9">
        <v>388.8</v>
      </c>
      <c r="G187" s="10">
        <v>1</v>
      </c>
      <c r="H187" s="11">
        <f t="shared" si="7"/>
        <v>388.8</v>
      </c>
      <c r="J187" s="53"/>
      <c r="K187" s="57">
        <f t="shared" si="8"/>
        <v>1</v>
      </c>
      <c r="L187" s="53">
        <f t="shared" si="9"/>
        <v>388.8</v>
      </c>
      <c r="M187" s="57"/>
      <c r="N187" s="53"/>
      <c r="O187" s="59"/>
      <c r="P187" s="53"/>
      <c r="Q187" s="69"/>
      <c r="R187" s="53"/>
      <c r="S187" s="57"/>
      <c r="T187" s="66"/>
      <c r="U187" s="57"/>
      <c r="V187" s="66"/>
      <c r="W187" s="69"/>
      <c r="X187" s="66"/>
    </row>
    <row r="188" spans="1:24" x14ac:dyDescent="0.2">
      <c r="E188" s="81" t="s">
        <v>25</v>
      </c>
      <c r="F188" s="6"/>
      <c r="G188" s="6"/>
      <c r="H188" s="12">
        <f>SUM(H168:H187)</f>
        <v>22321.440000000002</v>
      </c>
      <c r="J188" s="53"/>
      <c r="K188" s="57"/>
      <c r="L188" s="54">
        <f>L168+L169+L171+L170+L172+L173+L174+L175+L176+L177+L178+L179+L180+L181+L182+L183+L184+L185+L186+L187</f>
        <v>22321.440000000002</v>
      </c>
      <c r="M188" s="58"/>
      <c r="N188" s="54"/>
      <c r="O188" s="60"/>
      <c r="P188" s="54"/>
      <c r="Q188" s="69"/>
      <c r="R188" s="53"/>
      <c r="S188" s="57"/>
      <c r="T188" s="66"/>
      <c r="U188" s="57"/>
      <c r="V188" s="66"/>
      <c r="W188" s="69"/>
      <c r="X188" s="66"/>
    </row>
    <row r="189" spans="1:24" x14ac:dyDescent="0.2">
      <c r="J189" s="53"/>
      <c r="K189" s="57"/>
      <c r="L189" s="53"/>
      <c r="M189" s="57"/>
      <c r="N189" s="53"/>
      <c r="O189" s="59"/>
      <c r="P189" s="53"/>
      <c r="Q189" s="69"/>
      <c r="R189" s="53"/>
      <c r="S189" s="57"/>
      <c r="T189" s="66"/>
      <c r="U189" s="57"/>
      <c r="V189" s="66"/>
      <c r="W189" s="69"/>
      <c r="X189" s="66"/>
    </row>
    <row r="190" spans="1:24" x14ac:dyDescent="0.2">
      <c r="C190" s="6" t="s">
        <v>6</v>
      </c>
      <c r="D190" s="7" t="s">
        <v>7</v>
      </c>
      <c r="E190" s="81" t="s">
        <v>8</v>
      </c>
      <c r="J190" s="53"/>
      <c r="K190" s="57"/>
      <c r="L190" s="53"/>
      <c r="M190" s="57"/>
      <c r="N190" s="53"/>
      <c r="O190" s="59"/>
      <c r="P190" s="53"/>
      <c r="Q190" s="69"/>
      <c r="R190" s="53"/>
      <c r="S190" s="57"/>
      <c r="T190" s="66"/>
      <c r="U190" s="57"/>
      <c r="V190" s="66"/>
      <c r="W190" s="69"/>
      <c r="X190" s="66"/>
    </row>
    <row r="191" spans="1:24" x14ac:dyDescent="0.2">
      <c r="C191" s="6" t="s">
        <v>9</v>
      </c>
      <c r="D191" s="7" t="s">
        <v>72</v>
      </c>
      <c r="E191" s="81" t="s">
        <v>165</v>
      </c>
      <c r="J191" s="53"/>
      <c r="K191" s="57"/>
      <c r="L191" s="53"/>
      <c r="M191" s="57"/>
      <c r="N191" s="53"/>
      <c r="O191" s="59"/>
      <c r="P191" s="53"/>
      <c r="Q191" s="69"/>
      <c r="R191" s="53"/>
      <c r="S191" s="57"/>
      <c r="T191" s="66"/>
      <c r="U191" s="57"/>
      <c r="V191" s="66"/>
      <c r="W191" s="69"/>
      <c r="X191" s="66"/>
    </row>
    <row r="192" spans="1:24" x14ac:dyDescent="0.2">
      <c r="C192" s="6" t="s">
        <v>11</v>
      </c>
      <c r="D192" s="7" t="s">
        <v>26</v>
      </c>
      <c r="E192" s="81" t="s">
        <v>178</v>
      </c>
      <c r="J192" s="53"/>
      <c r="K192" s="57"/>
      <c r="L192" s="53"/>
      <c r="M192" s="57"/>
      <c r="N192" s="53"/>
      <c r="O192" s="59"/>
      <c r="P192" s="53"/>
      <c r="Q192" s="69"/>
      <c r="R192" s="53"/>
      <c r="S192" s="57"/>
      <c r="T192" s="66"/>
      <c r="U192" s="57"/>
      <c r="V192" s="66"/>
      <c r="W192" s="69"/>
      <c r="X192" s="66"/>
    </row>
    <row r="193" spans="1:24" x14ac:dyDescent="0.2">
      <c r="C193" s="6" t="s">
        <v>91</v>
      </c>
      <c r="D193" s="7" t="s">
        <v>26</v>
      </c>
      <c r="E193" s="81" t="s">
        <v>221</v>
      </c>
      <c r="J193" s="53"/>
      <c r="K193" s="57"/>
      <c r="L193" s="53"/>
      <c r="M193" s="57"/>
      <c r="N193" s="53"/>
      <c r="O193" s="59"/>
      <c r="P193" s="53"/>
      <c r="Q193" s="69"/>
      <c r="R193" s="53"/>
      <c r="S193" s="57"/>
      <c r="T193" s="66"/>
      <c r="U193" s="57"/>
      <c r="V193" s="66"/>
      <c r="W193" s="69"/>
      <c r="X193" s="66"/>
    </row>
    <row r="194" spans="1:24" x14ac:dyDescent="0.2">
      <c r="J194" s="53"/>
      <c r="K194" s="57"/>
      <c r="L194" s="53"/>
      <c r="M194" s="57"/>
      <c r="N194" s="53"/>
      <c r="O194" s="59"/>
      <c r="P194" s="53"/>
      <c r="Q194" s="69"/>
      <c r="R194" s="53"/>
      <c r="S194" s="57"/>
      <c r="T194" s="66"/>
      <c r="U194" s="57"/>
      <c r="V194" s="66"/>
      <c r="W194" s="69"/>
      <c r="X194" s="66"/>
    </row>
    <row r="195" spans="1:24" ht="97" x14ac:dyDescent="0.2">
      <c r="A195" s="3" t="s">
        <v>222</v>
      </c>
      <c r="B195" s="3">
        <v>1</v>
      </c>
      <c r="C195" s="3" t="s">
        <v>223</v>
      </c>
      <c r="D195" s="8" t="s">
        <v>23</v>
      </c>
      <c r="E195" s="13" t="s">
        <v>224</v>
      </c>
      <c r="F195" s="9">
        <v>378</v>
      </c>
      <c r="G195" s="10">
        <v>1</v>
      </c>
      <c r="H195" s="11">
        <f t="shared" ref="H195:H241" si="10">ROUND(ROUND(F195,2)*ROUND(G195,3),2)</f>
        <v>378</v>
      </c>
      <c r="J195" s="53"/>
      <c r="K195" s="57">
        <f t="shared" ref="K195:K223" si="11">G195</f>
        <v>1</v>
      </c>
      <c r="L195" s="53">
        <f t="shared" ref="L195:L223" si="12">F195*K195</f>
        <v>378</v>
      </c>
      <c r="M195" s="57"/>
      <c r="N195" s="53"/>
      <c r="O195" s="59"/>
      <c r="P195" s="53"/>
      <c r="Q195" s="69"/>
      <c r="R195" s="53"/>
      <c r="S195" s="57"/>
      <c r="T195" s="66"/>
      <c r="U195" s="57"/>
      <c r="V195" s="66"/>
      <c r="W195" s="69"/>
      <c r="X195" s="66"/>
    </row>
    <row r="196" spans="1:24" ht="61" x14ac:dyDescent="0.2">
      <c r="A196" s="3" t="s">
        <v>222</v>
      </c>
      <c r="B196" s="3">
        <v>2</v>
      </c>
      <c r="C196" s="3" t="s">
        <v>225</v>
      </c>
      <c r="D196" s="8" t="s">
        <v>23</v>
      </c>
      <c r="E196" s="13" t="s">
        <v>226</v>
      </c>
      <c r="F196" s="9">
        <v>1235.52</v>
      </c>
      <c r="G196" s="10">
        <v>1</v>
      </c>
      <c r="H196" s="11">
        <f t="shared" si="10"/>
        <v>1235.52</v>
      </c>
      <c r="J196" s="53"/>
      <c r="K196" s="57">
        <f t="shared" si="11"/>
        <v>1</v>
      </c>
      <c r="L196" s="53">
        <f t="shared" si="12"/>
        <v>1235.52</v>
      </c>
      <c r="M196" s="57"/>
      <c r="N196" s="53"/>
      <c r="O196" s="59"/>
      <c r="P196" s="53"/>
      <c r="Q196" s="69"/>
      <c r="R196" s="53"/>
      <c r="S196" s="57"/>
      <c r="T196" s="66"/>
      <c r="U196" s="57"/>
      <c r="V196" s="66"/>
      <c r="W196" s="69"/>
      <c r="X196" s="66"/>
    </row>
    <row r="197" spans="1:24" ht="109" x14ac:dyDescent="0.2">
      <c r="A197" s="3" t="s">
        <v>222</v>
      </c>
      <c r="B197" s="3">
        <v>3</v>
      </c>
      <c r="C197" s="3" t="s">
        <v>227</v>
      </c>
      <c r="D197" s="8" t="s">
        <v>23</v>
      </c>
      <c r="E197" s="13" t="s">
        <v>228</v>
      </c>
      <c r="F197" s="9">
        <v>1425.6</v>
      </c>
      <c r="G197" s="10">
        <v>1</v>
      </c>
      <c r="H197" s="11">
        <f t="shared" si="10"/>
        <v>1425.6</v>
      </c>
      <c r="J197" s="53"/>
      <c r="K197" s="57">
        <f t="shared" si="11"/>
        <v>1</v>
      </c>
      <c r="L197" s="53">
        <f t="shared" si="12"/>
        <v>1425.6</v>
      </c>
      <c r="M197" s="57"/>
      <c r="N197" s="53"/>
      <c r="O197" s="59"/>
      <c r="P197" s="53"/>
      <c r="Q197" s="69"/>
      <c r="R197" s="53"/>
      <c r="S197" s="57"/>
      <c r="T197" s="66"/>
      <c r="U197" s="57"/>
      <c r="V197" s="66"/>
      <c r="W197" s="69"/>
      <c r="X197" s="66"/>
    </row>
    <row r="198" spans="1:24" ht="61" x14ac:dyDescent="0.2">
      <c r="A198" s="3" t="s">
        <v>222</v>
      </c>
      <c r="B198" s="3">
        <v>4</v>
      </c>
      <c r="C198" s="3" t="s">
        <v>229</v>
      </c>
      <c r="D198" s="8" t="s">
        <v>23</v>
      </c>
      <c r="E198" s="13" t="s">
        <v>230</v>
      </c>
      <c r="F198" s="9">
        <v>216</v>
      </c>
      <c r="G198" s="10">
        <v>1</v>
      </c>
      <c r="H198" s="11">
        <f t="shared" si="10"/>
        <v>216</v>
      </c>
      <c r="J198" s="53"/>
      <c r="K198" s="57">
        <f t="shared" si="11"/>
        <v>1</v>
      </c>
      <c r="L198" s="53">
        <f t="shared" si="12"/>
        <v>216</v>
      </c>
      <c r="M198" s="57"/>
      <c r="N198" s="53"/>
      <c r="O198" s="59"/>
      <c r="P198" s="53"/>
      <c r="Q198" s="69"/>
      <c r="R198" s="53"/>
      <c r="S198" s="57"/>
      <c r="T198" s="66"/>
      <c r="U198" s="57"/>
      <c r="V198" s="66"/>
      <c r="W198" s="69"/>
      <c r="X198" s="66"/>
    </row>
    <row r="199" spans="1:24" ht="121" x14ac:dyDescent="0.2">
      <c r="A199" s="3" t="s">
        <v>222</v>
      </c>
      <c r="B199" s="3">
        <v>5</v>
      </c>
      <c r="C199" s="3" t="s">
        <v>231</v>
      </c>
      <c r="D199" s="8" t="s">
        <v>23</v>
      </c>
      <c r="E199" s="13" t="s">
        <v>232</v>
      </c>
      <c r="F199" s="9">
        <v>891</v>
      </c>
      <c r="G199" s="10">
        <v>1</v>
      </c>
      <c r="H199" s="11">
        <f t="shared" si="10"/>
        <v>891</v>
      </c>
      <c r="J199" s="53"/>
      <c r="K199" s="57">
        <f t="shared" si="11"/>
        <v>1</v>
      </c>
      <c r="L199" s="53">
        <f t="shared" si="12"/>
        <v>891</v>
      </c>
      <c r="M199" s="57"/>
      <c r="N199" s="53"/>
      <c r="O199" s="59"/>
      <c r="P199" s="53"/>
      <c r="Q199" s="69"/>
      <c r="R199" s="53"/>
      <c r="S199" s="57"/>
      <c r="T199" s="66"/>
      <c r="U199" s="57"/>
      <c r="V199" s="66"/>
      <c r="W199" s="69"/>
      <c r="X199" s="66"/>
    </row>
    <row r="200" spans="1:24" ht="97" x14ac:dyDescent="0.2">
      <c r="A200" s="3" t="s">
        <v>222</v>
      </c>
      <c r="B200" s="3">
        <v>6</v>
      </c>
      <c r="C200" s="3" t="s">
        <v>233</v>
      </c>
      <c r="D200" s="8" t="s">
        <v>23</v>
      </c>
      <c r="E200" s="13" t="s">
        <v>234</v>
      </c>
      <c r="F200" s="9">
        <v>570.24</v>
      </c>
      <c r="G200" s="10">
        <v>1</v>
      </c>
      <c r="H200" s="11">
        <f t="shared" si="10"/>
        <v>570.24</v>
      </c>
      <c r="J200" s="53"/>
      <c r="K200" s="57">
        <f t="shared" si="11"/>
        <v>1</v>
      </c>
      <c r="L200" s="53">
        <f t="shared" si="12"/>
        <v>570.24</v>
      </c>
      <c r="M200" s="57"/>
      <c r="N200" s="53"/>
      <c r="O200" s="59"/>
      <c r="P200" s="53"/>
      <c r="Q200" s="69"/>
      <c r="R200" s="53"/>
      <c r="S200" s="57"/>
      <c r="T200" s="66"/>
      <c r="U200" s="57"/>
      <c r="V200" s="66"/>
      <c r="W200" s="69"/>
      <c r="X200" s="66"/>
    </row>
    <row r="201" spans="1:24" ht="97" x14ac:dyDescent="0.2">
      <c r="A201" s="3" t="s">
        <v>222</v>
      </c>
      <c r="B201" s="3">
        <v>7</v>
      </c>
      <c r="C201" s="3" t="s">
        <v>235</v>
      </c>
      <c r="D201" s="8" t="s">
        <v>23</v>
      </c>
      <c r="E201" s="13" t="s">
        <v>236</v>
      </c>
      <c r="F201" s="9">
        <v>641.52</v>
      </c>
      <c r="G201" s="10">
        <v>1</v>
      </c>
      <c r="H201" s="11">
        <f t="shared" si="10"/>
        <v>641.52</v>
      </c>
      <c r="J201" s="53"/>
      <c r="K201" s="57">
        <f t="shared" si="11"/>
        <v>1</v>
      </c>
      <c r="L201" s="53">
        <f t="shared" si="12"/>
        <v>641.52</v>
      </c>
      <c r="M201" s="57"/>
      <c r="N201" s="53"/>
      <c r="O201" s="59"/>
      <c r="P201" s="53"/>
      <c r="Q201" s="69"/>
      <c r="R201" s="53"/>
      <c r="S201" s="57"/>
      <c r="T201" s="66"/>
      <c r="U201" s="57"/>
      <c r="V201" s="66"/>
      <c r="W201" s="69"/>
      <c r="X201" s="66"/>
    </row>
    <row r="202" spans="1:24" ht="97" x14ac:dyDescent="0.2">
      <c r="A202" s="3" t="s">
        <v>222</v>
      </c>
      <c r="B202" s="3">
        <v>8</v>
      </c>
      <c r="C202" s="3" t="s">
        <v>237</v>
      </c>
      <c r="D202" s="8" t="s">
        <v>23</v>
      </c>
      <c r="E202" s="13" t="s">
        <v>238</v>
      </c>
      <c r="F202" s="9">
        <v>1995.84</v>
      </c>
      <c r="G202" s="10">
        <v>1</v>
      </c>
      <c r="H202" s="11">
        <f t="shared" si="10"/>
        <v>1995.84</v>
      </c>
      <c r="J202" s="53"/>
      <c r="K202" s="57">
        <f t="shared" si="11"/>
        <v>1</v>
      </c>
      <c r="L202" s="53">
        <f t="shared" si="12"/>
        <v>1995.84</v>
      </c>
      <c r="M202" s="57"/>
      <c r="N202" s="53"/>
      <c r="O202" s="59"/>
      <c r="P202" s="53"/>
      <c r="Q202" s="69"/>
      <c r="R202" s="53"/>
      <c r="S202" s="57"/>
      <c r="T202" s="66"/>
      <c r="U202" s="57"/>
      <c r="V202" s="66"/>
      <c r="W202" s="69"/>
      <c r="X202" s="66"/>
    </row>
    <row r="203" spans="1:24" ht="73" x14ac:dyDescent="0.2">
      <c r="A203" s="3" t="s">
        <v>222</v>
      </c>
      <c r="B203" s="3">
        <v>9</v>
      </c>
      <c r="C203" s="3" t="s">
        <v>239</v>
      </c>
      <c r="D203" s="8" t="s">
        <v>23</v>
      </c>
      <c r="E203" s="13" t="s">
        <v>240</v>
      </c>
      <c r="F203" s="9">
        <v>673.92</v>
      </c>
      <c r="G203" s="10">
        <v>1</v>
      </c>
      <c r="H203" s="11">
        <f t="shared" si="10"/>
        <v>673.92</v>
      </c>
      <c r="J203" s="53"/>
      <c r="K203" s="57">
        <f t="shared" si="11"/>
        <v>1</v>
      </c>
      <c r="L203" s="53">
        <f t="shared" si="12"/>
        <v>673.92</v>
      </c>
      <c r="M203" s="57"/>
      <c r="N203" s="53"/>
      <c r="O203" s="59"/>
      <c r="P203" s="53"/>
      <c r="Q203" s="69"/>
      <c r="R203" s="53"/>
      <c r="S203" s="57"/>
      <c r="T203" s="66"/>
      <c r="U203" s="57"/>
      <c r="V203" s="66"/>
      <c r="W203" s="69"/>
      <c r="X203" s="66"/>
    </row>
    <row r="204" spans="1:24" ht="73" x14ac:dyDescent="0.2">
      <c r="A204" s="3" t="s">
        <v>222</v>
      </c>
      <c r="B204" s="3">
        <v>10</v>
      </c>
      <c r="C204" s="3" t="s">
        <v>241</v>
      </c>
      <c r="D204" s="8" t="s">
        <v>23</v>
      </c>
      <c r="E204" s="13" t="s">
        <v>242</v>
      </c>
      <c r="F204" s="9">
        <v>1995.84</v>
      </c>
      <c r="G204" s="10">
        <v>1</v>
      </c>
      <c r="H204" s="11">
        <f t="shared" si="10"/>
        <v>1995.84</v>
      </c>
      <c r="J204" s="53"/>
      <c r="K204" s="57">
        <f t="shared" si="11"/>
        <v>1</v>
      </c>
      <c r="L204" s="53">
        <f t="shared" si="12"/>
        <v>1995.84</v>
      </c>
      <c r="M204" s="57"/>
      <c r="N204" s="53"/>
      <c r="O204" s="59"/>
      <c r="P204" s="53"/>
      <c r="Q204" s="69"/>
      <c r="R204" s="53"/>
      <c r="S204" s="57"/>
      <c r="T204" s="66"/>
      <c r="U204" s="57"/>
      <c r="V204" s="66"/>
      <c r="W204" s="69"/>
      <c r="X204" s="66"/>
    </row>
    <row r="205" spans="1:24" ht="85" x14ac:dyDescent="0.2">
      <c r="A205" s="3" t="s">
        <v>222</v>
      </c>
      <c r="B205" s="3">
        <v>11</v>
      </c>
      <c r="C205" s="3" t="s">
        <v>243</v>
      </c>
      <c r="D205" s="8" t="s">
        <v>23</v>
      </c>
      <c r="E205" s="13" t="s">
        <v>244</v>
      </c>
      <c r="F205" s="9">
        <v>570.24</v>
      </c>
      <c r="G205" s="10">
        <v>1</v>
      </c>
      <c r="H205" s="11">
        <f t="shared" si="10"/>
        <v>570.24</v>
      </c>
      <c r="J205" s="53"/>
      <c r="K205" s="57">
        <f t="shared" si="11"/>
        <v>1</v>
      </c>
      <c r="L205" s="53">
        <f t="shared" si="12"/>
        <v>570.24</v>
      </c>
      <c r="M205" s="57"/>
      <c r="N205" s="53"/>
      <c r="O205" s="59"/>
      <c r="P205" s="53"/>
      <c r="Q205" s="69"/>
      <c r="R205" s="53"/>
      <c r="S205" s="57"/>
      <c r="T205" s="66"/>
      <c r="U205" s="57"/>
      <c r="V205" s="66"/>
      <c r="W205" s="69"/>
      <c r="X205" s="66"/>
    </row>
    <row r="206" spans="1:24" ht="97" x14ac:dyDescent="0.2">
      <c r="A206" s="3" t="s">
        <v>222</v>
      </c>
      <c r="B206" s="3">
        <v>12</v>
      </c>
      <c r="C206" s="3" t="s">
        <v>245</v>
      </c>
      <c r="D206" s="8" t="s">
        <v>23</v>
      </c>
      <c r="E206" s="13" t="s">
        <v>246</v>
      </c>
      <c r="F206" s="9">
        <v>570.24</v>
      </c>
      <c r="G206" s="10">
        <v>1</v>
      </c>
      <c r="H206" s="11">
        <f t="shared" si="10"/>
        <v>570.24</v>
      </c>
      <c r="J206" s="53"/>
      <c r="K206" s="57">
        <f t="shared" si="11"/>
        <v>1</v>
      </c>
      <c r="L206" s="53">
        <f t="shared" si="12"/>
        <v>570.24</v>
      </c>
      <c r="M206" s="57"/>
      <c r="N206" s="53"/>
      <c r="O206" s="59"/>
      <c r="P206" s="53"/>
      <c r="Q206" s="69"/>
      <c r="R206" s="53"/>
      <c r="S206" s="57"/>
      <c r="T206" s="66"/>
      <c r="U206" s="57"/>
      <c r="V206" s="66"/>
      <c r="W206" s="69"/>
      <c r="X206" s="66"/>
    </row>
    <row r="207" spans="1:24" ht="85" x14ac:dyDescent="0.2">
      <c r="A207" s="3" t="s">
        <v>222</v>
      </c>
      <c r="B207" s="3">
        <v>13</v>
      </c>
      <c r="C207" s="3" t="s">
        <v>247</v>
      </c>
      <c r="D207" s="8" t="s">
        <v>23</v>
      </c>
      <c r="E207" s="13" t="s">
        <v>248</v>
      </c>
      <c r="F207" s="9">
        <v>570.24</v>
      </c>
      <c r="G207" s="10">
        <v>1</v>
      </c>
      <c r="H207" s="11">
        <f t="shared" si="10"/>
        <v>570.24</v>
      </c>
      <c r="J207" s="53"/>
      <c r="K207" s="57">
        <f t="shared" si="11"/>
        <v>1</v>
      </c>
      <c r="L207" s="53">
        <f t="shared" si="12"/>
        <v>570.24</v>
      </c>
      <c r="M207" s="57"/>
      <c r="N207" s="53"/>
      <c r="O207" s="59"/>
      <c r="P207" s="53"/>
      <c r="Q207" s="69"/>
      <c r="R207" s="53"/>
      <c r="S207" s="57"/>
      <c r="T207" s="66"/>
      <c r="U207" s="57"/>
      <c r="V207" s="66"/>
      <c r="W207" s="69"/>
      <c r="X207" s="66"/>
    </row>
    <row r="208" spans="1:24" ht="97" x14ac:dyDescent="0.2">
      <c r="A208" s="3" t="s">
        <v>222</v>
      </c>
      <c r="B208" s="3">
        <v>14</v>
      </c>
      <c r="C208" s="3" t="s">
        <v>249</v>
      </c>
      <c r="D208" s="8" t="s">
        <v>23</v>
      </c>
      <c r="E208" s="13" t="s">
        <v>250</v>
      </c>
      <c r="F208" s="9">
        <v>570.24</v>
      </c>
      <c r="G208" s="10">
        <v>1</v>
      </c>
      <c r="H208" s="11">
        <f t="shared" si="10"/>
        <v>570.24</v>
      </c>
      <c r="J208" s="53"/>
      <c r="K208" s="57">
        <f t="shared" si="11"/>
        <v>1</v>
      </c>
      <c r="L208" s="53">
        <f t="shared" si="12"/>
        <v>570.24</v>
      </c>
      <c r="M208" s="57"/>
      <c r="N208" s="53"/>
      <c r="O208" s="59"/>
      <c r="P208" s="53"/>
      <c r="Q208" s="69"/>
      <c r="R208" s="53"/>
      <c r="S208" s="57"/>
      <c r="T208" s="66"/>
      <c r="U208" s="57"/>
      <c r="V208" s="66"/>
      <c r="W208" s="69"/>
      <c r="X208" s="66"/>
    </row>
    <row r="209" spans="1:24" ht="85" x14ac:dyDescent="0.2">
      <c r="A209" s="3" t="s">
        <v>222</v>
      </c>
      <c r="B209" s="3">
        <v>15</v>
      </c>
      <c r="C209" s="3" t="s">
        <v>251</v>
      </c>
      <c r="D209" s="8" t="s">
        <v>23</v>
      </c>
      <c r="E209" s="13" t="s">
        <v>252</v>
      </c>
      <c r="F209" s="9">
        <v>1140.48</v>
      </c>
      <c r="G209" s="10">
        <v>1</v>
      </c>
      <c r="H209" s="11">
        <f t="shared" si="10"/>
        <v>1140.48</v>
      </c>
      <c r="J209" s="53"/>
      <c r="K209" s="57">
        <f t="shared" si="11"/>
        <v>1</v>
      </c>
      <c r="L209" s="53">
        <f t="shared" si="12"/>
        <v>1140.48</v>
      </c>
      <c r="M209" s="57"/>
      <c r="N209" s="53"/>
      <c r="O209" s="59"/>
      <c r="P209" s="53"/>
      <c r="Q209" s="69"/>
      <c r="R209" s="53"/>
      <c r="S209" s="57"/>
      <c r="T209" s="66"/>
      <c r="U209" s="57"/>
      <c r="V209" s="66"/>
      <c r="W209" s="69"/>
      <c r="X209" s="66"/>
    </row>
    <row r="210" spans="1:24" ht="85" x14ac:dyDescent="0.2">
      <c r="A210" s="3" t="s">
        <v>222</v>
      </c>
      <c r="B210" s="3">
        <v>16</v>
      </c>
      <c r="C210" s="3" t="s">
        <v>253</v>
      </c>
      <c r="D210" s="8" t="s">
        <v>23</v>
      </c>
      <c r="E210" s="13" t="s">
        <v>254</v>
      </c>
      <c r="F210" s="9">
        <v>311.04000000000002</v>
      </c>
      <c r="G210" s="10">
        <v>1</v>
      </c>
      <c r="H210" s="11">
        <f t="shared" si="10"/>
        <v>311.04000000000002</v>
      </c>
      <c r="J210" s="53"/>
      <c r="K210" s="57">
        <f t="shared" si="11"/>
        <v>1</v>
      </c>
      <c r="L210" s="53">
        <f t="shared" si="12"/>
        <v>311.04000000000002</v>
      </c>
      <c r="M210" s="57"/>
      <c r="N210" s="53"/>
      <c r="O210" s="59"/>
      <c r="P210" s="53"/>
      <c r="Q210" s="69"/>
      <c r="R210" s="53"/>
      <c r="S210" s="57"/>
      <c r="T210" s="66"/>
      <c r="U210" s="57"/>
      <c r="V210" s="66"/>
      <c r="W210" s="69"/>
      <c r="X210" s="66"/>
    </row>
    <row r="211" spans="1:24" ht="97" x14ac:dyDescent="0.2">
      <c r="A211" s="3" t="s">
        <v>222</v>
      </c>
      <c r="B211" s="3">
        <v>17</v>
      </c>
      <c r="C211" s="3" t="s">
        <v>255</v>
      </c>
      <c r="D211" s="8" t="s">
        <v>23</v>
      </c>
      <c r="E211" s="13" t="s">
        <v>256</v>
      </c>
      <c r="F211" s="9">
        <v>570.24</v>
      </c>
      <c r="G211" s="10">
        <v>1</v>
      </c>
      <c r="H211" s="11">
        <f t="shared" si="10"/>
        <v>570.24</v>
      </c>
      <c r="J211" s="53"/>
      <c r="K211" s="57">
        <f t="shared" si="11"/>
        <v>1</v>
      </c>
      <c r="L211" s="53">
        <f t="shared" si="12"/>
        <v>570.24</v>
      </c>
      <c r="M211" s="57"/>
      <c r="N211" s="53"/>
      <c r="O211" s="59"/>
      <c r="P211" s="53"/>
      <c r="Q211" s="69"/>
      <c r="R211" s="53"/>
      <c r="S211" s="57"/>
      <c r="T211" s="66"/>
      <c r="U211" s="57"/>
      <c r="V211" s="66"/>
      <c r="W211" s="69"/>
      <c r="X211" s="66"/>
    </row>
    <row r="212" spans="1:24" ht="73" x14ac:dyDescent="0.2">
      <c r="A212" s="3" t="s">
        <v>222</v>
      </c>
      <c r="B212" s="3">
        <v>18</v>
      </c>
      <c r="C212" s="3" t="s">
        <v>257</v>
      </c>
      <c r="D212" s="8" t="s">
        <v>23</v>
      </c>
      <c r="E212" s="13" t="s">
        <v>258</v>
      </c>
      <c r="F212" s="9">
        <v>522.72</v>
      </c>
      <c r="G212" s="10">
        <v>1</v>
      </c>
      <c r="H212" s="11">
        <f t="shared" si="10"/>
        <v>522.72</v>
      </c>
      <c r="J212" s="53"/>
      <c r="K212" s="57">
        <f t="shared" si="11"/>
        <v>1</v>
      </c>
      <c r="L212" s="53">
        <f t="shared" si="12"/>
        <v>522.72</v>
      </c>
      <c r="M212" s="57"/>
      <c r="N212" s="53"/>
      <c r="O212" s="59"/>
      <c r="P212" s="53"/>
      <c r="Q212" s="69"/>
      <c r="R212" s="53"/>
      <c r="S212" s="57"/>
      <c r="T212" s="66"/>
      <c r="U212" s="57"/>
      <c r="V212" s="66"/>
      <c r="W212" s="69"/>
      <c r="X212" s="66"/>
    </row>
    <row r="213" spans="1:24" ht="121" x14ac:dyDescent="0.2">
      <c r="A213" s="3" t="s">
        <v>222</v>
      </c>
      <c r="B213" s="3">
        <v>19</v>
      </c>
      <c r="C213" s="3" t="s">
        <v>259</v>
      </c>
      <c r="D213" s="8" t="s">
        <v>23</v>
      </c>
      <c r="E213" s="13" t="s">
        <v>260</v>
      </c>
      <c r="F213" s="9">
        <v>570.24</v>
      </c>
      <c r="G213" s="10">
        <v>1</v>
      </c>
      <c r="H213" s="11">
        <f t="shared" si="10"/>
        <v>570.24</v>
      </c>
      <c r="J213" s="53"/>
      <c r="K213" s="57">
        <f t="shared" si="11"/>
        <v>1</v>
      </c>
      <c r="L213" s="53">
        <f t="shared" si="12"/>
        <v>570.24</v>
      </c>
      <c r="M213" s="57"/>
      <c r="N213" s="53"/>
      <c r="O213" s="59"/>
      <c r="P213" s="53"/>
      <c r="Q213" s="69"/>
      <c r="R213" s="53"/>
      <c r="S213" s="57"/>
      <c r="T213" s="66"/>
      <c r="U213" s="57"/>
      <c r="V213" s="66"/>
      <c r="W213" s="69"/>
      <c r="X213" s="66"/>
    </row>
    <row r="214" spans="1:24" ht="85" x14ac:dyDescent="0.2">
      <c r="A214" s="3" t="s">
        <v>222</v>
      </c>
      <c r="B214" s="3">
        <v>20</v>
      </c>
      <c r="C214" s="3" t="s">
        <v>261</v>
      </c>
      <c r="D214" s="8" t="s">
        <v>23</v>
      </c>
      <c r="E214" s="13" t="s">
        <v>262</v>
      </c>
      <c r="F214" s="9">
        <v>570.24</v>
      </c>
      <c r="G214" s="10">
        <v>1</v>
      </c>
      <c r="H214" s="11">
        <f t="shared" si="10"/>
        <v>570.24</v>
      </c>
      <c r="J214" s="53"/>
      <c r="K214" s="57">
        <f t="shared" si="11"/>
        <v>1</v>
      </c>
      <c r="L214" s="53">
        <f t="shared" si="12"/>
        <v>570.24</v>
      </c>
      <c r="M214" s="57"/>
      <c r="N214" s="53"/>
      <c r="O214" s="59"/>
      <c r="P214" s="53"/>
      <c r="Q214" s="69"/>
      <c r="R214" s="53"/>
      <c r="S214" s="57"/>
      <c r="T214" s="66"/>
      <c r="U214" s="57"/>
      <c r="V214" s="66"/>
      <c r="W214" s="69"/>
      <c r="X214" s="66"/>
    </row>
    <row r="215" spans="1:24" ht="97" x14ac:dyDescent="0.2">
      <c r="A215" s="3" t="s">
        <v>222</v>
      </c>
      <c r="B215" s="3">
        <v>21</v>
      </c>
      <c r="C215" s="3" t="s">
        <v>263</v>
      </c>
      <c r="D215" s="8" t="s">
        <v>23</v>
      </c>
      <c r="E215" s="13" t="s">
        <v>264</v>
      </c>
      <c r="F215" s="9">
        <v>570.24</v>
      </c>
      <c r="G215" s="10">
        <v>1</v>
      </c>
      <c r="H215" s="11">
        <f t="shared" si="10"/>
        <v>570.24</v>
      </c>
      <c r="J215" s="53"/>
      <c r="K215" s="57">
        <f t="shared" si="11"/>
        <v>1</v>
      </c>
      <c r="L215" s="53">
        <f t="shared" si="12"/>
        <v>570.24</v>
      </c>
      <c r="M215" s="57"/>
      <c r="N215" s="53"/>
      <c r="O215" s="59"/>
      <c r="P215" s="53"/>
      <c r="Q215" s="69"/>
      <c r="R215" s="53"/>
      <c r="S215" s="57"/>
      <c r="T215" s="66"/>
      <c r="U215" s="57"/>
      <c r="V215" s="66"/>
      <c r="W215" s="69"/>
      <c r="X215" s="66"/>
    </row>
    <row r="216" spans="1:24" ht="109" x14ac:dyDescent="0.2">
      <c r="A216" s="3" t="s">
        <v>222</v>
      </c>
      <c r="B216" s="3">
        <v>22</v>
      </c>
      <c r="C216" s="3" t="s">
        <v>265</v>
      </c>
      <c r="D216" s="8" t="s">
        <v>23</v>
      </c>
      <c r="E216" s="13" t="s">
        <v>266</v>
      </c>
      <c r="F216" s="9">
        <v>855.36</v>
      </c>
      <c r="G216" s="10">
        <v>1</v>
      </c>
      <c r="H216" s="11">
        <f t="shared" si="10"/>
        <v>855.36</v>
      </c>
      <c r="J216" s="53"/>
      <c r="K216" s="57">
        <f t="shared" si="11"/>
        <v>1</v>
      </c>
      <c r="L216" s="53">
        <f t="shared" si="12"/>
        <v>855.36</v>
      </c>
      <c r="M216" s="57"/>
      <c r="N216" s="53"/>
      <c r="O216" s="59"/>
      <c r="P216" s="53"/>
      <c r="Q216" s="69"/>
      <c r="R216" s="53"/>
      <c r="S216" s="57"/>
      <c r="T216" s="66"/>
      <c r="U216" s="57"/>
      <c r="V216" s="66"/>
      <c r="W216" s="69"/>
      <c r="X216" s="66"/>
    </row>
    <row r="217" spans="1:24" ht="85" x14ac:dyDescent="0.2">
      <c r="A217" s="3" t="s">
        <v>222</v>
      </c>
      <c r="B217" s="3">
        <v>23</v>
      </c>
      <c r="C217" s="3" t="s">
        <v>267</v>
      </c>
      <c r="D217" s="8" t="s">
        <v>23</v>
      </c>
      <c r="E217" s="13" t="s">
        <v>268</v>
      </c>
      <c r="F217" s="9">
        <v>570.24</v>
      </c>
      <c r="G217" s="10">
        <v>1</v>
      </c>
      <c r="H217" s="11">
        <f t="shared" si="10"/>
        <v>570.24</v>
      </c>
      <c r="J217" s="53"/>
      <c r="K217" s="57">
        <f t="shared" si="11"/>
        <v>1</v>
      </c>
      <c r="L217" s="53">
        <f t="shared" si="12"/>
        <v>570.24</v>
      </c>
      <c r="M217" s="57"/>
      <c r="N217" s="53"/>
      <c r="O217" s="59"/>
      <c r="P217" s="53"/>
      <c r="Q217" s="69"/>
      <c r="R217" s="53"/>
      <c r="S217" s="57"/>
      <c r="T217" s="66"/>
      <c r="U217" s="57"/>
      <c r="V217" s="66"/>
      <c r="W217" s="69"/>
      <c r="X217" s="66"/>
    </row>
    <row r="218" spans="1:24" ht="97" x14ac:dyDescent="0.2">
      <c r="A218" s="3" t="s">
        <v>222</v>
      </c>
      <c r="B218" s="3">
        <v>24</v>
      </c>
      <c r="C218" s="3" t="s">
        <v>269</v>
      </c>
      <c r="D218" s="8" t="s">
        <v>23</v>
      </c>
      <c r="E218" s="13" t="s">
        <v>270</v>
      </c>
      <c r="F218" s="9">
        <v>142.56</v>
      </c>
      <c r="G218" s="10">
        <v>1</v>
      </c>
      <c r="H218" s="11">
        <f t="shared" si="10"/>
        <v>142.56</v>
      </c>
      <c r="J218" s="53"/>
      <c r="K218" s="57">
        <f t="shared" si="11"/>
        <v>1</v>
      </c>
      <c r="L218" s="53">
        <f t="shared" si="12"/>
        <v>142.56</v>
      </c>
      <c r="M218" s="57"/>
      <c r="N218" s="53"/>
      <c r="O218" s="59"/>
      <c r="P218" s="53"/>
      <c r="Q218" s="69"/>
      <c r="R218" s="53"/>
      <c r="S218" s="57"/>
      <c r="T218" s="66"/>
      <c r="U218" s="57"/>
      <c r="V218" s="66"/>
      <c r="W218" s="69"/>
      <c r="X218" s="66"/>
    </row>
    <row r="219" spans="1:24" ht="73" x14ac:dyDescent="0.2">
      <c r="A219" s="3" t="s">
        <v>222</v>
      </c>
      <c r="B219" s="3">
        <v>25</v>
      </c>
      <c r="C219" s="3" t="s">
        <v>271</v>
      </c>
      <c r="D219" s="8" t="s">
        <v>23</v>
      </c>
      <c r="E219" s="13" t="s">
        <v>272</v>
      </c>
      <c r="F219" s="9">
        <v>142.56</v>
      </c>
      <c r="G219" s="10">
        <v>1</v>
      </c>
      <c r="H219" s="11">
        <f t="shared" si="10"/>
        <v>142.56</v>
      </c>
      <c r="J219" s="53"/>
      <c r="K219" s="57">
        <f t="shared" si="11"/>
        <v>1</v>
      </c>
      <c r="L219" s="53">
        <f t="shared" si="12"/>
        <v>142.56</v>
      </c>
      <c r="M219" s="57"/>
      <c r="N219" s="53"/>
      <c r="O219" s="59"/>
      <c r="P219" s="53"/>
      <c r="Q219" s="69"/>
      <c r="R219" s="53"/>
      <c r="S219" s="57"/>
      <c r="T219" s="66"/>
      <c r="U219" s="57"/>
      <c r="V219" s="66"/>
      <c r="W219" s="69"/>
      <c r="X219" s="66"/>
    </row>
    <row r="220" spans="1:24" ht="109" x14ac:dyDescent="0.2">
      <c r="A220" s="3" t="s">
        <v>222</v>
      </c>
      <c r="B220" s="3">
        <v>26</v>
      </c>
      <c r="C220" s="3" t="s">
        <v>273</v>
      </c>
      <c r="D220" s="8" t="s">
        <v>23</v>
      </c>
      <c r="E220" s="13" t="s">
        <v>274</v>
      </c>
      <c r="F220" s="9">
        <v>1853.28</v>
      </c>
      <c r="G220" s="10">
        <v>1</v>
      </c>
      <c r="H220" s="11">
        <f t="shared" si="10"/>
        <v>1853.28</v>
      </c>
      <c r="J220" s="53"/>
      <c r="K220" s="57">
        <f t="shared" si="11"/>
        <v>1</v>
      </c>
      <c r="L220" s="53">
        <f t="shared" si="12"/>
        <v>1853.28</v>
      </c>
      <c r="M220" s="57"/>
      <c r="N220" s="53"/>
      <c r="O220" s="59"/>
      <c r="P220" s="53"/>
      <c r="Q220" s="69"/>
      <c r="R220" s="53"/>
      <c r="S220" s="57"/>
      <c r="T220" s="66"/>
      <c r="U220" s="57"/>
      <c r="V220" s="66"/>
      <c r="W220" s="69"/>
      <c r="X220" s="66"/>
    </row>
    <row r="221" spans="1:24" ht="133" x14ac:dyDescent="0.2">
      <c r="A221" s="3" t="s">
        <v>222</v>
      </c>
      <c r="B221" s="3">
        <v>27</v>
      </c>
      <c r="C221" s="3" t="s">
        <v>275</v>
      </c>
      <c r="D221" s="8" t="s">
        <v>23</v>
      </c>
      <c r="E221" s="13" t="s">
        <v>276</v>
      </c>
      <c r="F221" s="9">
        <v>622.08000000000004</v>
      </c>
      <c r="G221" s="10">
        <v>1</v>
      </c>
      <c r="H221" s="11">
        <f t="shared" si="10"/>
        <v>622.08000000000004</v>
      </c>
      <c r="J221" s="53"/>
      <c r="K221" s="57">
        <f t="shared" si="11"/>
        <v>1</v>
      </c>
      <c r="L221" s="53">
        <f t="shared" si="12"/>
        <v>622.08000000000004</v>
      </c>
      <c r="M221" s="57"/>
      <c r="N221" s="53"/>
      <c r="O221" s="59"/>
      <c r="P221" s="53"/>
      <c r="Q221" s="69"/>
      <c r="R221" s="53"/>
      <c r="S221" s="57"/>
      <c r="T221" s="66"/>
      <c r="U221" s="57"/>
      <c r="V221" s="66"/>
      <c r="W221" s="69"/>
      <c r="X221" s="66"/>
    </row>
    <row r="222" spans="1:24" ht="121" x14ac:dyDescent="0.2">
      <c r="A222" s="3" t="s">
        <v>222</v>
      </c>
      <c r="B222" s="3">
        <v>28</v>
      </c>
      <c r="C222" s="3" t="s">
        <v>277</v>
      </c>
      <c r="D222" s="8" t="s">
        <v>23</v>
      </c>
      <c r="E222" s="13" t="s">
        <v>278</v>
      </c>
      <c r="F222" s="9">
        <v>349.92</v>
      </c>
      <c r="G222" s="10">
        <v>1</v>
      </c>
      <c r="H222" s="11">
        <f t="shared" si="10"/>
        <v>349.92</v>
      </c>
      <c r="J222" s="53"/>
      <c r="K222" s="57">
        <f t="shared" si="11"/>
        <v>1</v>
      </c>
      <c r="L222" s="53">
        <f t="shared" si="12"/>
        <v>349.92</v>
      </c>
      <c r="M222" s="57"/>
      <c r="N222" s="53"/>
      <c r="O222" s="59"/>
      <c r="P222" s="53"/>
      <c r="Q222" s="69"/>
      <c r="R222" s="53"/>
      <c r="S222" s="57"/>
      <c r="T222" s="66"/>
      <c r="U222" s="57"/>
      <c r="V222" s="66"/>
      <c r="W222" s="69"/>
      <c r="X222" s="66"/>
    </row>
    <row r="223" spans="1:24" ht="85" x14ac:dyDescent="0.2">
      <c r="A223" s="3" t="s">
        <v>222</v>
      </c>
      <c r="B223" s="3">
        <v>29</v>
      </c>
      <c r="C223" s="3" t="s">
        <v>279</v>
      </c>
      <c r="D223" s="8" t="s">
        <v>23</v>
      </c>
      <c r="E223" s="13" t="s">
        <v>280</v>
      </c>
      <c r="F223" s="9">
        <v>2071.44</v>
      </c>
      <c r="G223" s="10">
        <v>1</v>
      </c>
      <c r="H223" s="11">
        <f t="shared" si="10"/>
        <v>2071.44</v>
      </c>
      <c r="J223" s="53"/>
      <c r="K223" s="57">
        <f t="shared" si="11"/>
        <v>1</v>
      </c>
      <c r="L223" s="53">
        <f t="shared" si="12"/>
        <v>2071.44</v>
      </c>
      <c r="M223" s="57"/>
      <c r="N223" s="53"/>
      <c r="O223" s="59"/>
      <c r="P223" s="53"/>
      <c r="Q223" s="69"/>
      <c r="R223" s="53"/>
      <c r="S223" s="57"/>
      <c r="T223" s="66"/>
      <c r="U223" s="57"/>
      <c r="V223" s="66"/>
      <c r="W223" s="69"/>
      <c r="X223" s="66"/>
    </row>
    <row r="224" spans="1:24" ht="97" x14ac:dyDescent="0.2">
      <c r="A224" s="3" t="s">
        <v>222</v>
      </c>
      <c r="B224" s="3">
        <v>30</v>
      </c>
      <c r="C224" s="3" t="s">
        <v>281</v>
      </c>
      <c r="D224" s="8" t="s">
        <v>23</v>
      </c>
      <c r="E224" s="13" t="s">
        <v>282</v>
      </c>
      <c r="F224" s="9">
        <v>378</v>
      </c>
      <c r="G224" s="10">
        <v>1</v>
      </c>
      <c r="H224" s="11">
        <f t="shared" si="10"/>
        <v>378</v>
      </c>
      <c r="J224" s="53"/>
      <c r="K224" s="57"/>
      <c r="L224" s="53"/>
      <c r="M224" s="57"/>
      <c r="N224" s="53"/>
      <c r="O224" s="59"/>
      <c r="P224" s="53"/>
      <c r="Q224" s="69"/>
      <c r="R224" s="53"/>
      <c r="S224" s="57">
        <f t="shared" ref="S224:S232" si="13">G224</f>
        <v>1</v>
      </c>
      <c r="T224" s="66">
        <f t="shared" ref="T224:T232" si="14">F224*S224</f>
        <v>378</v>
      </c>
      <c r="U224" s="57"/>
      <c r="V224" s="66"/>
      <c r="W224" s="69"/>
      <c r="X224" s="66"/>
    </row>
    <row r="225" spans="1:24" ht="109" x14ac:dyDescent="0.2">
      <c r="A225" s="3" t="s">
        <v>222</v>
      </c>
      <c r="B225" s="3">
        <v>31</v>
      </c>
      <c r="C225" s="3" t="s">
        <v>283</v>
      </c>
      <c r="D225" s="8" t="s">
        <v>23</v>
      </c>
      <c r="E225" s="13" t="s">
        <v>284</v>
      </c>
      <c r="F225" s="9">
        <v>570.24</v>
      </c>
      <c r="G225" s="10">
        <v>1</v>
      </c>
      <c r="H225" s="11">
        <f t="shared" si="10"/>
        <v>570.24</v>
      </c>
      <c r="J225" s="53"/>
      <c r="K225" s="57"/>
      <c r="L225" s="53"/>
      <c r="M225" s="57"/>
      <c r="N225" s="53"/>
      <c r="O225" s="59"/>
      <c r="P225" s="53"/>
      <c r="Q225" s="69"/>
      <c r="R225" s="53"/>
      <c r="S225" s="57">
        <f t="shared" si="13"/>
        <v>1</v>
      </c>
      <c r="T225" s="66">
        <f t="shared" si="14"/>
        <v>570.24</v>
      </c>
      <c r="U225" s="57"/>
      <c r="V225" s="66"/>
      <c r="W225" s="69"/>
      <c r="X225" s="66"/>
    </row>
    <row r="226" spans="1:24" ht="121" x14ac:dyDescent="0.2">
      <c r="A226" s="3" t="s">
        <v>222</v>
      </c>
      <c r="B226" s="3">
        <v>32</v>
      </c>
      <c r="C226" s="3" t="s">
        <v>285</v>
      </c>
      <c r="D226" s="8" t="s">
        <v>23</v>
      </c>
      <c r="E226" s="13" t="s">
        <v>286</v>
      </c>
      <c r="F226" s="9">
        <v>891</v>
      </c>
      <c r="G226" s="10">
        <v>1</v>
      </c>
      <c r="H226" s="11">
        <f t="shared" si="10"/>
        <v>891</v>
      </c>
      <c r="J226" s="53"/>
      <c r="K226" s="57"/>
      <c r="L226" s="53"/>
      <c r="M226" s="57"/>
      <c r="N226" s="53"/>
      <c r="O226" s="59"/>
      <c r="P226" s="53"/>
      <c r="Q226" s="69"/>
      <c r="R226" s="53"/>
      <c r="S226" s="57">
        <f t="shared" si="13"/>
        <v>1</v>
      </c>
      <c r="T226" s="66">
        <f t="shared" si="14"/>
        <v>891</v>
      </c>
      <c r="U226" s="57"/>
      <c r="V226" s="66"/>
      <c r="W226" s="69"/>
      <c r="X226" s="66"/>
    </row>
    <row r="227" spans="1:24" ht="73" x14ac:dyDescent="0.2">
      <c r="A227" s="3" t="s">
        <v>222</v>
      </c>
      <c r="B227" s="3">
        <v>33</v>
      </c>
      <c r="C227" s="3" t="s">
        <v>287</v>
      </c>
      <c r="D227" s="8" t="s">
        <v>23</v>
      </c>
      <c r="E227" s="13" t="s">
        <v>288</v>
      </c>
      <c r="F227" s="9">
        <v>311.04000000000002</v>
      </c>
      <c r="G227" s="10">
        <v>1</v>
      </c>
      <c r="H227" s="11">
        <f t="shared" si="10"/>
        <v>311.04000000000002</v>
      </c>
      <c r="J227" s="53"/>
      <c r="K227" s="57"/>
      <c r="L227" s="53"/>
      <c r="M227" s="57"/>
      <c r="N227" s="53"/>
      <c r="O227" s="59"/>
      <c r="P227" s="53"/>
      <c r="Q227" s="69"/>
      <c r="R227" s="53"/>
      <c r="S227" s="57">
        <f t="shared" si="13"/>
        <v>1</v>
      </c>
      <c r="T227" s="66">
        <f t="shared" si="14"/>
        <v>311.04000000000002</v>
      </c>
      <c r="U227" s="57"/>
      <c r="V227" s="66"/>
      <c r="W227" s="69"/>
      <c r="X227" s="66"/>
    </row>
    <row r="228" spans="1:24" ht="85" x14ac:dyDescent="0.2">
      <c r="A228" s="3" t="s">
        <v>222</v>
      </c>
      <c r="B228" s="3">
        <v>34</v>
      </c>
      <c r="C228" s="3" t="s">
        <v>289</v>
      </c>
      <c r="D228" s="8" t="s">
        <v>23</v>
      </c>
      <c r="E228" s="13" t="s">
        <v>290</v>
      </c>
      <c r="F228" s="9">
        <v>570.24</v>
      </c>
      <c r="G228" s="10">
        <v>1</v>
      </c>
      <c r="H228" s="11">
        <f t="shared" si="10"/>
        <v>570.24</v>
      </c>
      <c r="J228" s="53"/>
      <c r="K228" s="57"/>
      <c r="L228" s="53"/>
      <c r="M228" s="57"/>
      <c r="N228" s="53"/>
      <c r="O228" s="59"/>
      <c r="P228" s="53"/>
      <c r="Q228" s="69"/>
      <c r="R228" s="53"/>
      <c r="S228" s="57">
        <f t="shared" si="13"/>
        <v>1</v>
      </c>
      <c r="T228" s="66">
        <f t="shared" si="14"/>
        <v>570.24</v>
      </c>
      <c r="U228" s="57"/>
      <c r="V228" s="66"/>
      <c r="W228" s="69"/>
      <c r="X228" s="66"/>
    </row>
    <row r="229" spans="1:24" ht="97" x14ac:dyDescent="0.2">
      <c r="A229" s="3" t="s">
        <v>222</v>
      </c>
      <c r="B229" s="3">
        <v>35</v>
      </c>
      <c r="C229" s="3" t="s">
        <v>291</v>
      </c>
      <c r="D229" s="8" t="s">
        <v>23</v>
      </c>
      <c r="E229" s="13" t="s">
        <v>292</v>
      </c>
      <c r="F229" s="9">
        <v>570.24</v>
      </c>
      <c r="G229" s="10">
        <v>1</v>
      </c>
      <c r="H229" s="11">
        <f t="shared" si="10"/>
        <v>570.24</v>
      </c>
      <c r="J229" s="53"/>
      <c r="K229" s="57"/>
      <c r="L229" s="53"/>
      <c r="M229" s="57"/>
      <c r="N229" s="53"/>
      <c r="O229" s="59"/>
      <c r="P229" s="53"/>
      <c r="Q229" s="69"/>
      <c r="R229" s="53"/>
      <c r="S229" s="57">
        <f t="shared" si="13"/>
        <v>1</v>
      </c>
      <c r="T229" s="66">
        <f t="shared" si="14"/>
        <v>570.24</v>
      </c>
      <c r="U229" s="57"/>
      <c r="V229" s="66"/>
      <c r="W229" s="69"/>
      <c r="X229" s="66"/>
    </row>
    <row r="230" spans="1:24" ht="73" x14ac:dyDescent="0.2">
      <c r="A230" s="3" t="s">
        <v>222</v>
      </c>
      <c r="B230" s="3">
        <v>36</v>
      </c>
      <c r="C230" s="3" t="s">
        <v>293</v>
      </c>
      <c r="D230" s="8" t="s">
        <v>23</v>
      </c>
      <c r="E230" s="13" t="s">
        <v>294</v>
      </c>
      <c r="F230" s="9">
        <v>1283.04</v>
      </c>
      <c r="G230" s="10">
        <v>1</v>
      </c>
      <c r="H230" s="11">
        <f t="shared" si="10"/>
        <v>1283.04</v>
      </c>
      <c r="J230" s="53"/>
      <c r="K230" s="57"/>
      <c r="L230" s="53"/>
      <c r="M230" s="57"/>
      <c r="N230" s="53"/>
      <c r="O230" s="59"/>
      <c r="P230" s="53"/>
      <c r="Q230" s="69"/>
      <c r="R230" s="53"/>
      <c r="S230" s="57">
        <f t="shared" si="13"/>
        <v>1</v>
      </c>
      <c r="T230" s="66">
        <f t="shared" si="14"/>
        <v>1283.04</v>
      </c>
      <c r="U230" s="57"/>
      <c r="V230" s="66"/>
      <c r="W230" s="69"/>
      <c r="X230" s="66"/>
    </row>
    <row r="231" spans="1:24" ht="85" x14ac:dyDescent="0.2">
      <c r="A231" s="3" t="s">
        <v>222</v>
      </c>
      <c r="B231" s="3">
        <v>37</v>
      </c>
      <c r="C231" s="3" t="s">
        <v>295</v>
      </c>
      <c r="D231" s="8" t="s">
        <v>23</v>
      </c>
      <c r="E231" s="13" t="s">
        <v>296</v>
      </c>
      <c r="F231" s="9">
        <v>1140.48</v>
      </c>
      <c r="G231" s="10">
        <v>1</v>
      </c>
      <c r="H231" s="11">
        <f t="shared" si="10"/>
        <v>1140.48</v>
      </c>
      <c r="J231" s="53"/>
      <c r="K231" s="57"/>
      <c r="L231" s="53"/>
      <c r="M231" s="57"/>
      <c r="N231" s="53"/>
      <c r="O231" s="59"/>
      <c r="P231" s="53"/>
      <c r="Q231" s="69"/>
      <c r="R231" s="53"/>
      <c r="S231" s="57">
        <f t="shared" si="13"/>
        <v>1</v>
      </c>
      <c r="T231" s="66">
        <f t="shared" si="14"/>
        <v>1140.48</v>
      </c>
      <c r="U231" s="57"/>
      <c r="V231" s="66"/>
      <c r="W231" s="69"/>
      <c r="X231" s="66"/>
    </row>
    <row r="232" spans="1:24" ht="85" x14ac:dyDescent="0.2">
      <c r="A232" s="3" t="s">
        <v>222</v>
      </c>
      <c r="B232" s="3">
        <v>38</v>
      </c>
      <c r="C232" s="3" t="s">
        <v>297</v>
      </c>
      <c r="D232" s="8" t="s">
        <v>23</v>
      </c>
      <c r="E232" s="13" t="s">
        <v>298</v>
      </c>
      <c r="F232" s="9">
        <v>336.96</v>
      </c>
      <c r="G232" s="10">
        <v>1</v>
      </c>
      <c r="H232" s="11">
        <f t="shared" si="10"/>
        <v>336.96</v>
      </c>
      <c r="J232" s="53"/>
      <c r="K232" s="57"/>
      <c r="L232" s="53"/>
      <c r="M232" s="57"/>
      <c r="N232" s="53"/>
      <c r="O232" s="59"/>
      <c r="P232" s="53"/>
      <c r="Q232" s="69"/>
      <c r="R232" s="53"/>
      <c r="S232" s="57">
        <f t="shared" si="13"/>
        <v>1</v>
      </c>
      <c r="T232" s="66">
        <f t="shared" si="14"/>
        <v>336.96</v>
      </c>
      <c r="U232" s="57"/>
      <c r="V232" s="66"/>
      <c r="W232" s="69"/>
      <c r="X232" s="66"/>
    </row>
    <row r="233" spans="1:24" ht="97" x14ac:dyDescent="0.2">
      <c r="A233" s="3" t="s">
        <v>222</v>
      </c>
      <c r="B233" s="3">
        <v>39</v>
      </c>
      <c r="C233" s="3" t="s">
        <v>299</v>
      </c>
      <c r="D233" s="8" t="s">
        <v>23</v>
      </c>
      <c r="E233" s="13" t="s">
        <v>300</v>
      </c>
      <c r="F233" s="9">
        <v>378</v>
      </c>
      <c r="G233" s="10">
        <v>1</v>
      </c>
      <c r="H233" s="11">
        <f t="shared" si="10"/>
        <v>378</v>
      </c>
      <c r="J233" s="53"/>
      <c r="K233" s="57"/>
      <c r="L233" s="53"/>
      <c r="M233" s="57"/>
      <c r="N233" s="53"/>
      <c r="O233" s="59"/>
      <c r="P233" s="53"/>
      <c r="Q233" s="69"/>
      <c r="R233" s="53"/>
      <c r="S233" s="57"/>
      <c r="T233" s="66"/>
      <c r="U233" s="57">
        <f t="shared" ref="U233:U241" si="15">G233</f>
        <v>1</v>
      </c>
      <c r="V233" s="66">
        <f>F233*U233</f>
        <v>378</v>
      </c>
      <c r="W233" s="69"/>
      <c r="X233" s="66"/>
    </row>
    <row r="234" spans="1:24" ht="109" x14ac:dyDescent="0.2">
      <c r="A234" s="3" t="s">
        <v>222</v>
      </c>
      <c r="B234" s="3">
        <v>40</v>
      </c>
      <c r="C234" s="3" t="s">
        <v>301</v>
      </c>
      <c r="D234" s="8" t="s">
        <v>23</v>
      </c>
      <c r="E234" s="13" t="s">
        <v>302</v>
      </c>
      <c r="F234" s="9">
        <v>570.24</v>
      </c>
      <c r="G234" s="10">
        <v>1</v>
      </c>
      <c r="H234" s="11">
        <f t="shared" si="10"/>
        <v>570.24</v>
      </c>
      <c r="J234" s="53"/>
      <c r="K234" s="57"/>
      <c r="L234" s="53"/>
      <c r="M234" s="57"/>
      <c r="N234" s="53"/>
      <c r="O234" s="59"/>
      <c r="P234" s="53"/>
      <c r="Q234" s="69"/>
      <c r="R234" s="53"/>
      <c r="S234" s="57"/>
      <c r="T234" s="66"/>
      <c r="U234" s="57">
        <f t="shared" si="15"/>
        <v>1</v>
      </c>
      <c r="V234" s="66">
        <f>F234*U234</f>
        <v>570.24</v>
      </c>
      <c r="W234" s="69"/>
      <c r="X234" s="66"/>
    </row>
    <row r="235" spans="1:24" ht="121" x14ac:dyDescent="0.2">
      <c r="A235" s="3" t="s">
        <v>222</v>
      </c>
      <c r="B235" s="3">
        <v>41</v>
      </c>
      <c r="C235" s="3" t="s">
        <v>303</v>
      </c>
      <c r="D235" s="8" t="s">
        <v>23</v>
      </c>
      <c r="E235" s="13" t="s">
        <v>304</v>
      </c>
      <c r="F235" s="9">
        <v>594</v>
      </c>
      <c r="G235" s="10">
        <v>1</v>
      </c>
      <c r="H235" s="11">
        <f t="shared" si="10"/>
        <v>594</v>
      </c>
      <c r="J235" s="53"/>
      <c r="K235" s="57"/>
      <c r="L235" s="53"/>
      <c r="M235" s="57"/>
      <c r="N235" s="53"/>
      <c r="O235" s="59"/>
      <c r="P235" s="53"/>
      <c r="Q235" s="69"/>
      <c r="R235" s="53"/>
      <c r="S235" s="57"/>
      <c r="T235" s="66"/>
      <c r="U235" s="57">
        <f t="shared" si="15"/>
        <v>1</v>
      </c>
      <c r="V235" s="66">
        <f>F235*U235</f>
        <v>594</v>
      </c>
      <c r="W235" s="69"/>
      <c r="X235" s="66"/>
    </row>
    <row r="236" spans="1:24" ht="73" x14ac:dyDescent="0.2">
      <c r="A236" s="3" t="s">
        <v>222</v>
      </c>
      <c r="B236" s="3">
        <v>42</v>
      </c>
      <c r="C236" s="3" t="s">
        <v>305</v>
      </c>
      <c r="D236" s="8" t="s">
        <v>23</v>
      </c>
      <c r="E236" s="13" t="s">
        <v>306</v>
      </c>
      <c r="F236" s="9">
        <v>311.04000000000002</v>
      </c>
      <c r="G236" s="10">
        <v>1</v>
      </c>
      <c r="H236" s="11">
        <f t="shared" si="10"/>
        <v>311.04000000000002</v>
      </c>
      <c r="J236" s="53"/>
      <c r="K236" s="57"/>
      <c r="L236" s="53"/>
      <c r="M236" s="57"/>
      <c r="N236" s="53"/>
      <c r="O236" s="59"/>
      <c r="P236" s="53"/>
      <c r="Q236" s="69"/>
      <c r="R236" s="53"/>
      <c r="S236" s="57"/>
      <c r="T236" s="66"/>
      <c r="U236" s="57">
        <f t="shared" si="15"/>
        <v>1</v>
      </c>
      <c r="V236" s="66">
        <f>F236*U236</f>
        <v>311.04000000000002</v>
      </c>
      <c r="W236" s="69"/>
      <c r="X236" s="66"/>
    </row>
    <row r="237" spans="1:24" ht="85" x14ac:dyDescent="0.2">
      <c r="A237" s="3" t="s">
        <v>222</v>
      </c>
      <c r="B237" s="3">
        <v>43</v>
      </c>
      <c r="C237" s="3" t="s">
        <v>307</v>
      </c>
      <c r="D237" s="8" t="s">
        <v>23</v>
      </c>
      <c r="E237" s="13" t="s">
        <v>308</v>
      </c>
      <c r="F237" s="9">
        <v>570.24</v>
      </c>
      <c r="G237" s="10">
        <v>1</v>
      </c>
      <c r="H237" s="11">
        <f t="shared" si="10"/>
        <v>570.24</v>
      </c>
      <c r="J237" s="53"/>
      <c r="K237" s="57"/>
      <c r="L237" s="53"/>
      <c r="M237" s="57"/>
      <c r="N237" s="53"/>
      <c r="O237" s="59"/>
      <c r="P237" s="53"/>
      <c r="Q237" s="69"/>
      <c r="R237" s="53"/>
      <c r="S237" s="57"/>
      <c r="T237" s="66"/>
      <c r="U237" s="57">
        <f t="shared" si="15"/>
        <v>1</v>
      </c>
      <c r="V237" s="66">
        <f>F238*U238</f>
        <v>570.24</v>
      </c>
      <c r="W237" s="69"/>
      <c r="X237" s="66"/>
    </row>
    <row r="238" spans="1:24" ht="97" x14ac:dyDescent="0.2">
      <c r="A238" s="3" t="s">
        <v>222</v>
      </c>
      <c r="B238" s="3">
        <v>44</v>
      </c>
      <c r="C238" s="3" t="s">
        <v>309</v>
      </c>
      <c r="D238" s="8" t="s">
        <v>23</v>
      </c>
      <c r="E238" s="13" t="s">
        <v>310</v>
      </c>
      <c r="F238" s="9">
        <v>570.24</v>
      </c>
      <c r="G238" s="10">
        <v>1</v>
      </c>
      <c r="H238" s="11">
        <f t="shared" si="10"/>
        <v>570.24</v>
      </c>
      <c r="J238" s="53"/>
      <c r="K238" s="57"/>
      <c r="L238" s="53"/>
      <c r="M238" s="57"/>
      <c r="N238" s="53"/>
      <c r="O238" s="59"/>
      <c r="P238" s="53"/>
      <c r="Q238" s="69"/>
      <c r="R238" s="53"/>
      <c r="S238" s="57"/>
      <c r="T238" s="66"/>
      <c r="U238" s="57">
        <f t="shared" si="15"/>
        <v>1</v>
      </c>
      <c r="V238" s="66">
        <f>F238*U238</f>
        <v>570.24</v>
      </c>
      <c r="W238" s="69"/>
      <c r="X238" s="66"/>
    </row>
    <row r="239" spans="1:24" ht="73" x14ac:dyDescent="0.2">
      <c r="A239" s="3" t="s">
        <v>222</v>
      </c>
      <c r="B239" s="3">
        <v>45</v>
      </c>
      <c r="C239" s="3" t="s">
        <v>311</v>
      </c>
      <c r="D239" s="8" t="s">
        <v>23</v>
      </c>
      <c r="E239" s="13" t="s">
        <v>312</v>
      </c>
      <c r="F239" s="9">
        <v>1283.04</v>
      </c>
      <c r="G239" s="10">
        <v>1</v>
      </c>
      <c r="H239" s="11">
        <f t="shared" si="10"/>
        <v>1283.04</v>
      </c>
      <c r="J239" s="53"/>
      <c r="K239" s="57"/>
      <c r="L239" s="53"/>
      <c r="M239" s="57"/>
      <c r="N239" s="53"/>
      <c r="O239" s="59"/>
      <c r="P239" s="53"/>
      <c r="Q239" s="69"/>
      <c r="R239" s="53"/>
      <c r="S239" s="57"/>
      <c r="T239" s="66"/>
      <c r="U239" s="57">
        <f t="shared" si="15"/>
        <v>1</v>
      </c>
      <c r="V239" s="66">
        <f>F239*U239</f>
        <v>1283.04</v>
      </c>
      <c r="W239" s="69"/>
      <c r="X239" s="66"/>
    </row>
    <row r="240" spans="1:24" ht="85" x14ac:dyDescent="0.2">
      <c r="A240" s="3" t="s">
        <v>222</v>
      </c>
      <c r="B240" s="3">
        <v>46</v>
      </c>
      <c r="C240" s="3" t="s">
        <v>313</v>
      </c>
      <c r="D240" s="8" t="s">
        <v>23</v>
      </c>
      <c r="E240" s="13" t="s">
        <v>314</v>
      </c>
      <c r="F240" s="9">
        <v>570.24</v>
      </c>
      <c r="G240" s="10">
        <v>1</v>
      </c>
      <c r="H240" s="11">
        <f t="shared" si="10"/>
        <v>570.24</v>
      </c>
      <c r="J240" s="53"/>
      <c r="K240" s="57"/>
      <c r="L240" s="53"/>
      <c r="M240" s="57"/>
      <c r="N240" s="53"/>
      <c r="O240" s="59"/>
      <c r="P240" s="53"/>
      <c r="Q240" s="69"/>
      <c r="R240" s="53"/>
      <c r="S240" s="57"/>
      <c r="T240" s="66"/>
      <c r="U240" s="57">
        <f t="shared" si="15"/>
        <v>1</v>
      </c>
      <c r="V240" s="66">
        <f>F240*U240</f>
        <v>570.24</v>
      </c>
      <c r="W240" s="69"/>
      <c r="X240" s="66"/>
    </row>
    <row r="241" spans="1:26" ht="85" x14ac:dyDescent="0.2">
      <c r="A241" s="3" t="s">
        <v>222</v>
      </c>
      <c r="B241" s="3">
        <v>47</v>
      </c>
      <c r="C241" s="3" t="s">
        <v>315</v>
      </c>
      <c r="D241" s="8" t="s">
        <v>23</v>
      </c>
      <c r="E241" s="13" t="s">
        <v>316</v>
      </c>
      <c r="F241" s="9">
        <v>336.96</v>
      </c>
      <c r="G241" s="10">
        <v>1</v>
      </c>
      <c r="H241" s="11">
        <f t="shared" si="10"/>
        <v>336.96</v>
      </c>
      <c r="J241" s="53"/>
      <c r="K241" s="57"/>
      <c r="L241" s="53"/>
      <c r="M241" s="57"/>
      <c r="N241" s="53"/>
      <c r="O241" s="59"/>
      <c r="P241" s="53"/>
      <c r="Q241" s="69"/>
      <c r="R241" s="53"/>
      <c r="S241" s="57"/>
      <c r="T241" s="66"/>
      <c r="U241" s="57">
        <f t="shared" si="15"/>
        <v>1</v>
      </c>
      <c r="V241" s="66">
        <f>F241*U241</f>
        <v>336.96</v>
      </c>
      <c r="W241" s="69"/>
      <c r="X241" s="66"/>
    </row>
    <row r="242" spans="1:26" x14ac:dyDescent="0.2">
      <c r="E242" s="81" t="s">
        <v>25</v>
      </c>
      <c r="F242" s="6"/>
      <c r="G242" s="6"/>
      <c r="H242" s="12">
        <f>SUM(H195:H241)</f>
        <v>34402.320000000007</v>
      </c>
      <c r="J242" s="53"/>
      <c r="K242" s="57"/>
      <c r="L242" s="54">
        <f>L195+L196+L197+L198+L199+L200+L201+L202+L203+L204+L205+L206+L207+L208+L209+L210+L211+L212+L213+L214+L215+L216+L217+L218+L219+L220+L221+L222+L223</f>
        <v>23167.08</v>
      </c>
      <c r="M242" s="58"/>
      <c r="N242" s="54">
        <f>N224+N225+N226+N227+N228+N229+N230+N231+N232</f>
        <v>0</v>
      </c>
      <c r="O242" s="60"/>
      <c r="P242" s="71">
        <f>SUM(P229:P241)</f>
        <v>0</v>
      </c>
      <c r="Q242" s="69"/>
      <c r="R242" s="53"/>
      <c r="S242" s="57"/>
      <c r="T242" s="67">
        <f>T224+T225+T226+T227+T228+T229+T230+T231+T232</f>
        <v>6051.2400000000007</v>
      </c>
      <c r="U242" s="57"/>
      <c r="V242" s="67">
        <f>V233+V234+V235+V236+V237+V238+V239+V240+V241</f>
        <v>5184</v>
      </c>
      <c r="W242" s="69"/>
      <c r="X242" s="66"/>
      <c r="Z242" s="37">
        <f>J242+L242+T242+V242+R242</f>
        <v>34402.320000000007</v>
      </c>
    </row>
    <row r="243" spans="1:26" x14ac:dyDescent="0.2">
      <c r="J243" s="53"/>
      <c r="K243" s="57"/>
      <c r="L243" s="53"/>
      <c r="M243" s="57"/>
      <c r="N243" s="53"/>
      <c r="O243" s="59"/>
      <c r="P243" s="53"/>
      <c r="Q243" s="69"/>
      <c r="R243" s="53"/>
      <c r="S243" s="57"/>
      <c r="T243" s="66"/>
      <c r="U243" s="57"/>
      <c r="V243" s="66"/>
      <c r="W243" s="69"/>
      <c r="X243" s="66"/>
    </row>
    <row r="244" spans="1:26" x14ac:dyDescent="0.2">
      <c r="C244" s="6" t="s">
        <v>6</v>
      </c>
      <c r="D244" s="7" t="s">
        <v>7</v>
      </c>
      <c r="E244" s="81" t="s">
        <v>8</v>
      </c>
      <c r="J244" s="53"/>
      <c r="K244" s="57"/>
      <c r="L244" s="53"/>
      <c r="M244" s="57"/>
      <c r="N244" s="53"/>
      <c r="O244" s="59"/>
      <c r="P244" s="53"/>
      <c r="Q244" s="69"/>
      <c r="R244" s="53"/>
      <c r="S244" s="57"/>
      <c r="T244" s="66"/>
      <c r="U244" s="57"/>
      <c r="V244" s="66"/>
      <c r="W244" s="69"/>
      <c r="X244" s="66"/>
    </row>
    <row r="245" spans="1:26" x14ac:dyDescent="0.2">
      <c r="C245" s="6" t="s">
        <v>9</v>
      </c>
      <c r="D245" s="7" t="s">
        <v>72</v>
      </c>
      <c r="E245" s="81" t="s">
        <v>165</v>
      </c>
      <c r="J245" s="53"/>
      <c r="K245" s="57"/>
      <c r="L245" s="53"/>
      <c r="M245" s="57"/>
      <c r="N245" s="53"/>
      <c r="O245" s="59"/>
      <c r="P245" s="53"/>
      <c r="Q245" s="69"/>
      <c r="R245" s="53"/>
      <c r="S245" s="57"/>
      <c r="T245" s="66"/>
      <c r="U245" s="57"/>
      <c r="V245" s="66"/>
      <c r="W245" s="69"/>
      <c r="X245" s="66"/>
    </row>
    <row r="246" spans="1:26" x14ac:dyDescent="0.2">
      <c r="C246" s="6" t="s">
        <v>11</v>
      </c>
      <c r="D246" s="7" t="s">
        <v>26</v>
      </c>
      <c r="E246" s="81" t="s">
        <v>178</v>
      </c>
      <c r="J246" s="53"/>
      <c r="K246" s="57"/>
      <c r="L246" s="53"/>
      <c r="M246" s="57"/>
      <c r="N246" s="53"/>
      <c r="O246" s="59"/>
      <c r="P246" s="53"/>
      <c r="Q246" s="69"/>
      <c r="R246" s="53"/>
      <c r="S246" s="57"/>
      <c r="T246" s="66"/>
      <c r="U246" s="57"/>
      <c r="V246" s="66"/>
      <c r="W246" s="69"/>
      <c r="X246" s="66"/>
    </row>
    <row r="247" spans="1:26" x14ac:dyDescent="0.2">
      <c r="C247" s="6" t="s">
        <v>91</v>
      </c>
      <c r="D247" s="7" t="s">
        <v>72</v>
      </c>
      <c r="E247" s="81" t="s">
        <v>317</v>
      </c>
      <c r="J247" s="53"/>
      <c r="K247" s="57"/>
      <c r="L247" s="53"/>
      <c r="M247" s="57"/>
      <c r="N247" s="53"/>
      <c r="O247" s="59"/>
      <c r="P247" s="53"/>
      <c r="Q247" s="69"/>
      <c r="R247" s="53"/>
      <c r="S247" s="57"/>
      <c r="T247" s="66"/>
      <c r="U247" s="57"/>
      <c r="V247" s="66"/>
      <c r="W247" s="69"/>
      <c r="X247" s="66"/>
    </row>
    <row r="248" spans="1:26" x14ac:dyDescent="0.2">
      <c r="J248" s="53"/>
      <c r="K248" s="57"/>
      <c r="L248" s="53"/>
      <c r="M248" s="57"/>
      <c r="N248" s="53"/>
      <c r="O248" s="59"/>
      <c r="P248" s="53"/>
      <c r="Q248" s="69"/>
      <c r="R248" s="53"/>
      <c r="S248" s="57"/>
      <c r="T248" s="66"/>
      <c r="U248" s="57"/>
      <c r="V248" s="66"/>
      <c r="W248" s="69"/>
      <c r="X248" s="66"/>
    </row>
    <row r="249" spans="1:26" ht="97" x14ac:dyDescent="0.2">
      <c r="A249" s="3" t="s">
        <v>318</v>
      </c>
      <c r="B249" s="3">
        <v>1</v>
      </c>
      <c r="C249" s="3" t="s">
        <v>319</v>
      </c>
      <c r="D249" s="8" t="s">
        <v>23</v>
      </c>
      <c r="E249" s="13" t="s">
        <v>320</v>
      </c>
      <c r="F249" s="9">
        <v>570.24</v>
      </c>
      <c r="G249" s="10">
        <v>1</v>
      </c>
      <c r="H249" s="11">
        <f t="shared" ref="H249:H258" si="16">ROUND(ROUND(F249,2)*ROUND(G249,3),2)</f>
        <v>570.24</v>
      </c>
      <c r="J249" s="53"/>
      <c r="K249" s="57"/>
      <c r="L249" s="53"/>
      <c r="M249" s="57"/>
      <c r="N249" s="53"/>
      <c r="O249" s="59"/>
      <c r="P249" s="53"/>
      <c r="Q249" s="69"/>
      <c r="R249" s="53"/>
      <c r="S249" s="57"/>
      <c r="T249" s="66"/>
      <c r="U249" s="57">
        <f t="shared" ref="U249:U258" si="17">G249</f>
        <v>1</v>
      </c>
      <c r="V249" s="66">
        <f>H249*U249</f>
        <v>570.24</v>
      </c>
      <c r="W249" s="69"/>
      <c r="X249" s="66"/>
    </row>
    <row r="250" spans="1:26" ht="85" x14ac:dyDescent="0.2">
      <c r="A250" s="3" t="s">
        <v>318</v>
      </c>
      <c r="B250" s="3">
        <v>2</v>
      </c>
      <c r="C250" s="3" t="s">
        <v>321</v>
      </c>
      <c r="D250" s="8" t="s">
        <v>23</v>
      </c>
      <c r="E250" s="13" t="s">
        <v>322</v>
      </c>
      <c r="F250" s="9">
        <v>5702.4</v>
      </c>
      <c r="G250" s="10">
        <v>1</v>
      </c>
      <c r="H250" s="11">
        <f t="shared" si="16"/>
        <v>5702.4</v>
      </c>
      <c r="J250" s="53"/>
      <c r="K250" s="57"/>
      <c r="L250" s="53"/>
      <c r="M250" s="57"/>
      <c r="N250" s="53"/>
      <c r="O250" s="59"/>
      <c r="P250" s="53"/>
      <c r="Q250" s="69"/>
      <c r="R250" s="53"/>
      <c r="S250" s="57"/>
      <c r="T250" s="66"/>
      <c r="U250" s="57">
        <f t="shared" si="17"/>
        <v>1</v>
      </c>
      <c r="V250" s="66">
        <f t="shared" ref="V250:V258" si="18">F250*U250</f>
        <v>5702.4</v>
      </c>
      <c r="W250" s="69"/>
      <c r="X250" s="66"/>
    </row>
    <row r="251" spans="1:26" ht="121" x14ac:dyDescent="0.2">
      <c r="A251" s="3" t="s">
        <v>318</v>
      </c>
      <c r="B251" s="3">
        <v>3</v>
      </c>
      <c r="C251" s="3" t="s">
        <v>323</v>
      </c>
      <c r="D251" s="8" t="s">
        <v>23</v>
      </c>
      <c r="E251" s="13" t="s">
        <v>324</v>
      </c>
      <c r="F251" s="9">
        <v>1140.48</v>
      </c>
      <c r="G251" s="10">
        <v>1</v>
      </c>
      <c r="H251" s="11">
        <f t="shared" si="16"/>
        <v>1140.48</v>
      </c>
      <c r="J251" s="53"/>
      <c r="K251" s="57"/>
      <c r="L251" s="53"/>
      <c r="M251" s="57"/>
      <c r="N251" s="53"/>
      <c r="O251" s="59"/>
      <c r="P251" s="53"/>
      <c r="Q251" s="69"/>
      <c r="R251" s="53"/>
      <c r="S251" s="57"/>
      <c r="T251" s="66"/>
      <c r="U251" s="57">
        <f t="shared" si="17"/>
        <v>1</v>
      </c>
      <c r="V251" s="66">
        <f t="shared" si="18"/>
        <v>1140.48</v>
      </c>
      <c r="W251" s="69"/>
      <c r="X251" s="66"/>
    </row>
    <row r="252" spans="1:26" ht="97" x14ac:dyDescent="0.2">
      <c r="A252" s="3" t="s">
        <v>318</v>
      </c>
      <c r="B252" s="3">
        <v>4</v>
      </c>
      <c r="C252" s="3" t="s">
        <v>325</v>
      </c>
      <c r="D252" s="8" t="s">
        <v>23</v>
      </c>
      <c r="E252" s="13" t="s">
        <v>326</v>
      </c>
      <c r="F252" s="9">
        <v>2851.2</v>
      </c>
      <c r="G252" s="10">
        <v>1</v>
      </c>
      <c r="H252" s="11">
        <f t="shared" si="16"/>
        <v>2851.2</v>
      </c>
      <c r="J252" s="53"/>
      <c r="K252" s="57"/>
      <c r="L252" s="53"/>
      <c r="M252" s="57"/>
      <c r="N252" s="53"/>
      <c r="O252" s="59"/>
      <c r="P252" s="53"/>
      <c r="Q252" s="69"/>
      <c r="R252" s="53"/>
      <c r="S252" s="57"/>
      <c r="T252" s="66"/>
      <c r="U252" s="57">
        <f t="shared" si="17"/>
        <v>1</v>
      </c>
      <c r="V252" s="66">
        <f t="shared" si="18"/>
        <v>2851.2</v>
      </c>
      <c r="W252" s="69"/>
      <c r="X252" s="66"/>
    </row>
    <row r="253" spans="1:26" ht="73" x14ac:dyDescent="0.2">
      <c r="A253" s="3" t="s">
        <v>318</v>
      </c>
      <c r="B253" s="3">
        <v>5</v>
      </c>
      <c r="C253" s="3" t="s">
        <v>327</v>
      </c>
      <c r="D253" s="8" t="s">
        <v>23</v>
      </c>
      <c r="E253" s="13" t="s">
        <v>328</v>
      </c>
      <c r="F253" s="9">
        <v>2851.2</v>
      </c>
      <c r="G253" s="10">
        <v>1</v>
      </c>
      <c r="H253" s="11">
        <f t="shared" si="16"/>
        <v>2851.2</v>
      </c>
      <c r="J253" s="53"/>
      <c r="K253" s="57"/>
      <c r="L253" s="53"/>
      <c r="M253" s="57"/>
      <c r="N253" s="53"/>
      <c r="O253" s="59"/>
      <c r="P253" s="53"/>
      <c r="Q253" s="69"/>
      <c r="R253" s="53"/>
      <c r="S253" s="57"/>
      <c r="T253" s="66"/>
      <c r="U253" s="57">
        <f t="shared" si="17"/>
        <v>1</v>
      </c>
      <c r="V253" s="66">
        <f t="shared" si="18"/>
        <v>2851.2</v>
      </c>
      <c r="W253" s="69"/>
      <c r="X253" s="66"/>
    </row>
    <row r="254" spans="1:26" ht="85" x14ac:dyDescent="0.2">
      <c r="A254" s="3" t="s">
        <v>318</v>
      </c>
      <c r="B254" s="3">
        <v>6</v>
      </c>
      <c r="C254" s="3" t="s">
        <v>329</v>
      </c>
      <c r="D254" s="8" t="s">
        <v>23</v>
      </c>
      <c r="E254" s="13" t="s">
        <v>330</v>
      </c>
      <c r="F254" s="9">
        <v>6652.8</v>
      </c>
      <c r="G254" s="10">
        <v>1</v>
      </c>
      <c r="H254" s="11">
        <f t="shared" si="16"/>
        <v>6652.8</v>
      </c>
      <c r="J254" s="53"/>
      <c r="K254" s="57"/>
      <c r="L254" s="53"/>
      <c r="M254" s="57"/>
      <c r="N254" s="53"/>
      <c r="O254" s="59"/>
      <c r="P254" s="53"/>
      <c r="Q254" s="69"/>
      <c r="R254" s="53"/>
      <c r="S254" s="57"/>
      <c r="T254" s="66"/>
      <c r="U254" s="57">
        <f t="shared" si="17"/>
        <v>1</v>
      </c>
      <c r="V254" s="66">
        <f t="shared" si="18"/>
        <v>6652.8</v>
      </c>
      <c r="W254" s="69"/>
      <c r="X254" s="66"/>
    </row>
    <row r="255" spans="1:26" ht="73" x14ac:dyDescent="0.2">
      <c r="A255" s="3" t="s">
        <v>318</v>
      </c>
      <c r="B255" s="3">
        <v>7</v>
      </c>
      <c r="C255" s="3" t="s">
        <v>331</v>
      </c>
      <c r="D255" s="8" t="s">
        <v>23</v>
      </c>
      <c r="E255" s="13" t="s">
        <v>332</v>
      </c>
      <c r="F255" s="9">
        <v>1853.28</v>
      </c>
      <c r="G255" s="10">
        <v>1</v>
      </c>
      <c r="H255" s="11">
        <f t="shared" si="16"/>
        <v>1853.28</v>
      </c>
      <c r="J255" s="53"/>
      <c r="K255" s="57"/>
      <c r="L255" s="53"/>
      <c r="M255" s="57"/>
      <c r="N255" s="53"/>
      <c r="O255" s="59"/>
      <c r="P255" s="53"/>
      <c r="Q255" s="69"/>
      <c r="R255" s="53"/>
      <c r="S255" s="57"/>
      <c r="T255" s="66"/>
      <c r="U255" s="57">
        <f t="shared" si="17"/>
        <v>1</v>
      </c>
      <c r="V255" s="66">
        <f t="shared" si="18"/>
        <v>1853.28</v>
      </c>
      <c r="W255" s="69"/>
      <c r="X255" s="66"/>
    </row>
    <row r="256" spans="1:26" ht="73" x14ac:dyDescent="0.2">
      <c r="A256" s="3" t="s">
        <v>318</v>
      </c>
      <c r="B256" s="3">
        <v>8</v>
      </c>
      <c r="C256" s="3" t="s">
        <v>333</v>
      </c>
      <c r="D256" s="8" t="s">
        <v>23</v>
      </c>
      <c r="E256" s="13" t="s">
        <v>334</v>
      </c>
      <c r="F256" s="9">
        <v>311.04000000000002</v>
      </c>
      <c r="G256" s="10">
        <v>1</v>
      </c>
      <c r="H256" s="11">
        <f t="shared" si="16"/>
        <v>311.04000000000002</v>
      </c>
      <c r="J256" s="53"/>
      <c r="K256" s="57"/>
      <c r="L256" s="53"/>
      <c r="M256" s="57"/>
      <c r="N256" s="53"/>
      <c r="O256" s="59"/>
      <c r="P256" s="53"/>
      <c r="Q256" s="69"/>
      <c r="R256" s="53"/>
      <c r="S256" s="57"/>
      <c r="T256" s="66"/>
      <c r="U256" s="57">
        <f t="shared" si="17"/>
        <v>1</v>
      </c>
      <c r="V256" s="66">
        <f t="shared" si="18"/>
        <v>311.04000000000002</v>
      </c>
      <c r="W256" s="69"/>
      <c r="X256" s="66"/>
    </row>
    <row r="257" spans="1:24" ht="61" x14ac:dyDescent="0.2">
      <c r="A257" s="3" t="s">
        <v>318</v>
      </c>
      <c r="B257" s="3">
        <v>9</v>
      </c>
      <c r="C257" s="3" t="s">
        <v>335</v>
      </c>
      <c r="D257" s="8" t="s">
        <v>23</v>
      </c>
      <c r="E257" s="13" t="s">
        <v>336</v>
      </c>
      <c r="F257" s="9">
        <v>311.04000000000002</v>
      </c>
      <c r="G257" s="10">
        <v>1</v>
      </c>
      <c r="H257" s="11">
        <f t="shared" si="16"/>
        <v>311.04000000000002</v>
      </c>
      <c r="J257" s="53"/>
      <c r="K257" s="57"/>
      <c r="L257" s="53"/>
      <c r="M257" s="57"/>
      <c r="N257" s="53"/>
      <c r="O257" s="59"/>
      <c r="P257" s="53"/>
      <c r="Q257" s="69"/>
      <c r="R257" s="53"/>
      <c r="S257" s="57"/>
      <c r="T257" s="66"/>
      <c r="U257" s="57">
        <f t="shared" si="17"/>
        <v>1</v>
      </c>
      <c r="V257" s="66">
        <f t="shared" si="18"/>
        <v>311.04000000000002</v>
      </c>
      <c r="W257" s="69"/>
      <c r="X257" s="66"/>
    </row>
    <row r="258" spans="1:24" ht="73" x14ac:dyDescent="0.2">
      <c r="A258" s="3" t="s">
        <v>318</v>
      </c>
      <c r="B258" s="3">
        <v>10</v>
      </c>
      <c r="C258" s="3" t="s">
        <v>337</v>
      </c>
      <c r="D258" s="8" t="s">
        <v>23</v>
      </c>
      <c r="E258" s="13" t="s">
        <v>338</v>
      </c>
      <c r="F258" s="9">
        <v>311.04000000000002</v>
      </c>
      <c r="G258" s="10">
        <v>1</v>
      </c>
      <c r="H258" s="11">
        <f t="shared" si="16"/>
        <v>311.04000000000002</v>
      </c>
      <c r="J258" s="53"/>
      <c r="K258" s="57"/>
      <c r="L258" s="53"/>
      <c r="M258" s="57"/>
      <c r="N258" s="53"/>
      <c r="O258" s="59"/>
      <c r="P258" s="53"/>
      <c r="Q258" s="69"/>
      <c r="R258" s="53"/>
      <c r="S258" s="57"/>
      <c r="T258" s="66"/>
      <c r="U258" s="57">
        <f t="shared" si="17"/>
        <v>1</v>
      </c>
      <c r="V258" s="66">
        <f t="shared" si="18"/>
        <v>311.04000000000002</v>
      </c>
      <c r="W258" s="69"/>
      <c r="X258" s="66"/>
    </row>
    <row r="259" spans="1:24" x14ac:dyDescent="0.2">
      <c r="E259" s="81" t="s">
        <v>25</v>
      </c>
      <c r="F259" s="6"/>
      <c r="G259" s="6"/>
      <c r="H259" s="12">
        <f>SUM(H249:H258)</f>
        <v>22554.720000000001</v>
      </c>
      <c r="J259" s="53"/>
      <c r="K259" s="57"/>
      <c r="L259" s="53"/>
      <c r="M259" s="57"/>
      <c r="N259" s="53"/>
      <c r="O259" s="59"/>
      <c r="P259" s="53"/>
      <c r="Q259" s="69"/>
      <c r="R259" s="53"/>
      <c r="S259" s="57"/>
      <c r="T259" s="66"/>
      <c r="U259" s="57"/>
      <c r="V259" s="67">
        <f>V249+V250+V251+V252+V253+V254+V255+V256+V257+V258</f>
        <v>22554.720000000001</v>
      </c>
      <c r="W259" s="69"/>
      <c r="X259" s="66"/>
    </row>
    <row r="260" spans="1:24" x14ac:dyDescent="0.2">
      <c r="J260" s="53"/>
      <c r="K260" s="57"/>
      <c r="L260" s="53"/>
      <c r="M260" s="57"/>
      <c r="N260" s="53"/>
      <c r="O260" s="59"/>
      <c r="P260" s="53"/>
      <c r="Q260" s="69"/>
      <c r="R260" s="53"/>
      <c r="S260" s="57"/>
      <c r="T260" s="66"/>
      <c r="U260" s="57"/>
      <c r="V260" s="66"/>
      <c r="W260" s="69"/>
      <c r="X260" s="66"/>
    </row>
    <row r="261" spans="1:24" x14ac:dyDescent="0.2">
      <c r="C261" s="6" t="s">
        <v>6</v>
      </c>
      <c r="D261" s="7" t="s">
        <v>7</v>
      </c>
      <c r="E261" s="81" t="s">
        <v>8</v>
      </c>
      <c r="J261" s="53"/>
      <c r="K261" s="57"/>
      <c r="L261" s="53"/>
      <c r="M261" s="57"/>
      <c r="N261" s="53"/>
      <c r="O261" s="59"/>
      <c r="P261" s="53"/>
      <c r="Q261" s="69"/>
      <c r="R261" s="53"/>
      <c r="S261" s="57"/>
      <c r="T261" s="66"/>
      <c r="U261" s="57"/>
      <c r="V261" s="66"/>
      <c r="W261" s="69"/>
      <c r="X261" s="66"/>
    </row>
    <row r="262" spans="1:24" x14ac:dyDescent="0.2">
      <c r="C262" s="6" t="s">
        <v>9</v>
      </c>
      <c r="D262" s="7" t="s">
        <v>72</v>
      </c>
      <c r="E262" s="81" t="s">
        <v>165</v>
      </c>
      <c r="J262" s="53"/>
      <c r="K262" s="57"/>
      <c r="L262" s="53"/>
      <c r="M262" s="57"/>
      <c r="N262" s="53"/>
      <c r="O262" s="59"/>
      <c r="P262" s="53"/>
      <c r="Q262" s="69"/>
      <c r="R262" s="53"/>
      <c r="S262" s="57"/>
      <c r="T262" s="66"/>
      <c r="U262" s="57"/>
      <c r="V262" s="66"/>
      <c r="W262" s="69"/>
      <c r="X262" s="66"/>
    </row>
    <row r="263" spans="1:24" x14ac:dyDescent="0.2">
      <c r="C263" s="6" t="s">
        <v>11</v>
      </c>
      <c r="D263" s="7" t="s">
        <v>26</v>
      </c>
      <c r="E263" s="81" t="s">
        <v>178</v>
      </c>
      <c r="J263" s="53"/>
      <c r="K263" s="57"/>
      <c r="L263" s="53"/>
      <c r="M263" s="57"/>
      <c r="N263" s="53"/>
      <c r="O263" s="59"/>
      <c r="P263" s="53"/>
      <c r="Q263" s="69"/>
      <c r="R263" s="53"/>
      <c r="S263" s="57"/>
      <c r="T263" s="66"/>
      <c r="U263" s="57"/>
      <c r="V263" s="66"/>
      <c r="W263" s="69"/>
      <c r="X263" s="66"/>
    </row>
    <row r="264" spans="1:24" x14ac:dyDescent="0.2">
      <c r="C264" s="6" t="s">
        <v>91</v>
      </c>
      <c r="D264" s="7" t="s">
        <v>153</v>
      </c>
      <c r="E264" s="81" t="s">
        <v>339</v>
      </c>
      <c r="J264" s="53"/>
      <c r="K264" s="57"/>
      <c r="L264" s="53"/>
      <c r="M264" s="57"/>
      <c r="N264" s="53"/>
      <c r="O264" s="59"/>
      <c r="P264" s="53"/>
      <c r="Q264" s="69"/>
      <c r="R264" s="53"/>
      <c r="S264" s="57"/>
      <c r="T264" s="66"/>
      <c r="U264" s="57"/>
      <c r="V264" s="66"/>
      <c r="W264" s="69"/>
      <c r="X264" s="66"/>
    </row>
    <row r="265" spans="1:24" x14ac:dyDescent="0.2">
      <c r="J265" s="53"/>
      <c r="K265" s="57"/>
      <c r="L265" s="53"/>
      <c r="M265" s="57"/>
      <c r="N265" s="53"/>
      <c r="O265" s="59"/>
      <c r="P265" s="53"/>
      <c r="Q265" s="69"/>
      <c r="R265" s="53"/>
      <c r="S265" s="57"/>
      <c r="T265" s="66"/>
      <c r="U265" s="57"/>
      <c r="V265" s="66"/>
      <c r="W265" s="69"/>
      <c r="X265" s="66"/>
    </row>
    <row r="266" spans="1:24" ht="85" x14ac:dyDescent="0.2">
      <c r="A266" s="3" t="s">
        <v>340</v>
      </c>
      <c r="B266" s="3">
        <v>1</v>
      </c>
      <c r="C266" s="3" t="s">
        <v>341</v>
      </c>
      <c r="D266" s="8" t="s">
        <v>23</v>
      </c>
      <c r="E266" s="13" t="s">
        <v>342</v>
      </c>
      <c r="F266" s="9">
        <v>378</v>
      </c>
      <c r="G266" s="10">
        <v>1</v>
      </c>
      <c r="H266" s="11">
        <f>ROUND(ROUND(F266,2)*ROUND(G266,3),2)</f>
        <v>378</v>
      </c>
      <c r="J266" s="53"/>
      <c r="K266" s="57"/>
      <c r="L266" s="53"/>
      <c r="M266" s="57"/>
      <c r="N266" s="53"/>
      <c r="O266" s="59"/>
      <c r="P266" s="53"/>
      <c r="Q266" s="69">
        <f>G266</f>
        <v>1</v>
      </c>
      <c r="R266" s="53">
        <f>F266*Q266</f>
        <v>378</v>
      </c>
      <c r="S266" s="57"/>
      <c r="T266" s="66"/>
      <c r="U266" s="57"/>
      <c r="V266" s="66"/>
      <c r="W266" s="69"/>
      <c r="X266" s="66"/>
    </row>
    <row r="267" spans="1:24" ht="97" x14ac:dyDescent="0.2">
      <c r="A267" s="3" t="s">
        <v>340</v>
      </c>
      <c r="B267" s="3">
        <v>2</v>
      </c>
      <c r="C267" s="3" t="s">
        <v>343</v>
      </c>
      <c r="D267" s="8" t="s">
        <v>23</v>
      </c>
      <c r="E267" s="13" t="s">
        <v>344</v>
      </c>
      <c r="F267" s="9">
        <v>1710.72</v>
      </c>
      <c r="G267" s="10">
        <v>1</v>
      </c>
      <c r="H267" s="11">
        <f>ROUND(ROUND(F267,2)*ROUND(G267,3),2)</f>
        <v>1710.72</v>
      </c>
      <c r="J267" s="53"/>
      <c r="K267" s="57"/>
      <c r="L267" s="53"/>
      <c r="M267" s="57"/>
      <c r="N267" s="53"/>
      <c r="O267" s="59"/>
      <c r="P267" s="53"/>
      <c r="Q267" s="69">
        <f>G267</f>
        <v>1</v>
      </c>
      <c r="R267" s="53">
        <f>F267*Q267</f>
        <v>1710.72</v>
      </c>
      <c r="S267" s="57"/>
      <c r="T267" s="66"/>
      <c r="U267" s="57"/>
      <c r="V267" s="66"/>
      <c r="W267" s="69"/>
      <c r="X267" s="66"/>
    </row>
    <row r="268" spans="1:24" ht="109" x14ac:dyDescent="0.2">
      <c r="A268" s="3" t="s">
        <v>340</v>
      </c>
      <c r="B268" s="3">
        <v>3</v>
      </c>
      <c r="C268" s="3" t="s">
        <v>345</v>
      </c>
      <c r="D268" s="8" t="s">
        <v>23</v>
      </c>
      <c r="E268" s="13" t="s">
        <v>346</v>
      </c>
      <c r="F268" s="9">
        <v>1140.48</v>
      </c>
      <c r="G268" s="10">
        <v>1</v>
      </c>
      <c r="H268" s="11">
        <f>ROUND(ROUND(F268,2)*ROUND(G268,3),2)</f>
        <v>1140.48</v>
      </c>
      <c r="J268" s="53"/>
      <c r="K268" s="57"/>
      <c r="L268" s="53"/>
      <c r="M268" s="57"/>
      <c r="N268" s="53"/>
      <c r="O268" s="59"/>
      <c r="P268" s="53"/>
      <c r="Q268" s="69">
        <f>G268</f>
        <v>1</v>
      </c>
      <c r="R268" s="53">
        <f>F268*Q268</f>
        <v>1140.48</v>
      </c>
      <c r="S268" s="57"/>
      <c r="T268" s="66"/>
      <c r="U268" s="57"/>
      <c r="V268" s="66"/>
      <c r="W268" s="69"/>
      <c r="X268" s="66"/>
    </row>
    <row r="269" spans="1:24" ht="85" x14ac:dyDescent="0.2">
      <c r="A269" s="3" t="s">
        <v>340</v>
      </c>
      <c r="B269" s="3">
        <v>4</v>
      </c>
      <c r="C269" s="3" t="s">
        <v>347</v>
      </c>
      <c r="D269" s="8" t="s">
        <v>23</v>
      </c>
      <c r="E269" s="13" t="s">
        <v>348</v>
      </c>
      <c r="F269" s="9">
        <v>1140.48</v>
      </c>
      <c r="G269" s="10">
        <v>1</v>
      </c>
      <c r="H269" s="11">
        <f>ROUND(ROUND(F269,2)*ROUND(G269,3),2)</f>
        <v>1140.48</v>
      </c>
      <c r="J269" s="53"/>
      <c r="K269" s="57"/>
      <c r="L269" s="53"/>
      <c r="M269" s="57"/>
      <c r="N269" s="53"/>
      <c r="O269" s="59"/>
      <c r="P269" s="53"/>
      <c r="Q269" s="69">
        <f>G269</f>
        <v>1</v>
      </c>
      <c r="R269" s="53">
        <f>F269*Q269</f>
        <v>1140.48</v>
      </c>
      <c r="S269" s="57"/>
      <c r="T269" s="66"/>
      <c r="U269" s="57"/>
      <c r="V269" s="66"/>
      <c r="W269" s="69"/>
      <c r="X269" s="66"/>
    </row>
    <row r="270" spans="1:24" ht="97" x14ac:dyDescent="0.2">
      <c r="A270" s="3" t="s">
        <v>340</v>
      </c>
      <c r="B270" s="3">
        <v>5</v>
      </c>
      <c r="C270" s="3" t="s">
        <v>349</v>
      </c>
      <c r="D270" s="8" t="s">
        <v>23</v>
      </c>
      <c r="E270" s="13" t="s">
        <v>350</v>
      </c>
      <c r="F270" s="9">
        <v>1995.84</v>
      </c>
      <c r="G270" s="10">
        <v>1</v>
      </c>
      <c r="H270" s="11">
        <f>ROUND(ROUND(F270,2)*ROUND(G270,3),2)</f>
        <v>1995.84</v>
      </c>
      <c r="J270" s="53"/>
      <c r="K270" s="57"/>
      <c r="L270" s="53"/>
      <c r="M270" s="57"/>
      <c r="N270" s="53"/>
      <c r="O270" s="59"/>
      <c r="P270" s="53"/>
      <c r="Q270" s="69">
        <f>G270</f>
        <v>1</v>
      </c>
      <c r="R270" s="53">
        <f>F270*Q270</f>
        <v>1995.84</v>
      </c>
      <c r="S270" s="57"/>
      <c r="T270" s="66"/>
      <c r="U270" s="57"/>
      <c r="V270" s="66"/>
      <c r="W270" s="69"/>
      <c r="X270" s="66"/>
    </row>
    <row r="271" spans="1:24" x14ac:dyDescent="0.2">
      <c r="E271" s="81" t="s">
        <v>25</v>
      </c>
      <c r="F271" s="6"/>
      <c r="G271" s="6"/>
      <c r="H271" s="12">
        <f>SUM(H266:H270)</f>
        <v>6365.52</v>
      </c>
      <c r="J271" s="53"/>
      <c r="K271" s="57"/>
      <c r="L271" s="53"/>
      <c r="M271" s="57"/>
      <c r="N271" s="53"/>
      <c r="O271" s="59"/>
      <c r="P271" s="53"/>
      <c r="Q271" s="69"/>
      <c r="R271" s="54">
        <f>R266+R267+R268+R269+R270</f>
        <v>6365.52</v>
      </c>
      <c r="S271" s="57"/>
      <c r="T271" s="66"/>
      <c r="U271" s="57"/>
      <c r="V271" s="66"/>
      <c r="W271" s="69"/>
      <c r="X271" s="66"/>
    </row>
    <row r="272" spans="1:24" x14ac:dyDescent="0.2">
      <c r="J272" s="53"/>
      <c r="K272" s="57"/>
      <c r="L272" s="53"/>
      <c r="M272" s="57"/>
      <c r="N272" s="53"/>
      <c r="O272" s="59"/>
      <c r="P272" s="53"/>
      <c r="Q272" s="69"/>
      <c r="R272" s="53"/>
      <c r="S272" s="57"/>
      <c r="T272" s="66"/>
      <c r="U272" s="57"/>
      <c r="V272" s="66"/>
      <c r="W272" s="69"/>
      <c r="X272" s="66"/>
    </row>
    <row r="273" spans="1:24" x14ac:dyDescent="0.2">
      <c r="C273" s="6" t="s">
        <v>6</v>
      </c>
      <c r="D273" s="7" t="s">
        <v>7</v>
      </c>
      <c r="E273" s="81" t="s">
        <v>8</v>
      </c>
      <c r="J273" s="53"/>
      <c r="K273" s="57"/>
      <c r="L273" s="53"/>
      <c r="M273" s="57"/>
      <c r="N273" s="53"/>
      <c r="O273" s="59"/>
      <c r="P273" s="53"/>
      <c r="Q273" s="69"/>
      <c r="R273" s="53"/>
      <c r="S273" s="57"/>
      <c r="T273" s="66"/>
      <c r="U273" s="57"/>
      <c r="V273" s="66"/>
      <c r="W273" s="69"/>
      <c r="X273" s="66"/>
    </row>
    <row r="274" spans="1:24" x14ac:dyDescent="0.2">
      <c r="C274" s="6" t="s">
        <v>9</v>
      </c>
      <c r="D274" s="7" t="s">
        <v>72</v>
      </c>
      <c r="E274" s="81" t="s">
        <v>165</v>
      </c>
      <c r="J274" s="53"/>
      <c r="K274" s="57"/>
      <c r="L274" s="53"/>
      <c r="M274" s="57"/>
      <c r="N274" s="53"/>
      <c r="O274" s="59"/>
      <c r="P274" s="53"/>
      <c r="Q274" s="69"/>
      <c r="R274" s="53"/>
      <c r="S274" s="57"/>
      <c r="T274" s="66"/>
      <c r="U274" s="57"/>
      <c r="V274" s="66"/>
      <c r="W274" s="69"/>
      <c r="X274" s="66"/>
    </row>
    <row r="275" spans="1:24" x14ac:dyDescent="0.2">
      <c r="C275" s="6" t="s">
        <v>11</v>
      </c>
      <c r="D275" s="7" t="s">
        <v>26</v>
      </c>
      <c r="E275" s="81" t="s">
        <v>178</v>
      </c>
      <c r="J275" s="53"/>
      <c r="K275" s="57"/>
      <c r="L275" s="53"/>
      <c r="M275" s="57"/>
      <c r="N275" s="53"/>
      <c r="O275" s="59"/>
      <c r="P275" s="53"/>
      <c r="Q275" s="69"/>
      <c r="R275" s="53"/>
      <c r="S275" s="57"/>
      <c r="T275" s="66"/>
      <c r="U275" s="57"/>
      <c r="V275" s="66"/>
      <c r="W275" s="69"/>
      <c r="X275" s="66"/>
    </row>
    <row r="276" spans="1:24" x14ac:dyDescent="0.2">
      <c r="C276" s="6" t="s">
        <v>91</v>
      </c>
      <c r="D276" s="7" t="s">
        <v>158</v>
      </c>
      <c r="E276" s="81" t="s">
        <v>351</v>
      </c>
      <c r="J276" s="53"/>
      <c r="K276" s="57"/>
      <c r="L276" s="53"/>
      <c r="M276" s="57"/>
      <c r="N276" s="53"/>
      <c r="O276" s="59"/>
      <c r="P276" s="53"/>
      <c r="Q276" s="69"/>
      <c r="R276" s="53"/>
      <c r="S276" s="57"/>
      <c r="T276" s="66"/>
      <c r="U276" s="57"/>
      <c r="V276" s="66"/>
      <c r="W276" s="69"/>
      <c r="X276" s="66"/>
    </row>
    <row r="277" spans="1:24" x14ac:dyDescent="0.2">
      <c r="J277" s="53"/>
      <c r="K277" s="57"/>
      <c r="L277" s="53"/>
      <c r="M277" s="57"/>
      <c r="N277" s="53"/>
      <c r="O277" s="59"/>
      <c r="P277" s="53"/>
      <c r="Q277" s="69"/>
      <c r="R277" s="53"/>
      <c r="S277" s="57"/>
      <c r="T277" s="66"/>
      <c r="U277" s="57"/>
      <c r="V277" s="66"/>
      <c r="W277" s="69"/>
      <c r="X277" s="66"/>
    </row>
    <row r="278" spans="1:24" ht="109" x14ac:dyDescent="0.2">
      <c r="A278" s="3" t="s">
        <v>352</v>
      </c>
      <c r="B278" s="3">
        <v>1</v>
      </c>
      <c r="C278" s="3" t="s">
        <v>353</v>
      </c>
      <c r="D278" s="8" t="s">
        <v>23</v>
      </c>
      <c r="E278" s="13" t="s">
        <v>354</v>
      </c>
      <c r="F278" s="9">
        <v>570.24</v>
      </c>
      <c r="G278" s="10">
        <v>1</v>
      </c>
      <c r="H278" s="11">
        <f t="shared" ref="H278:H293" si="19">ROUND(ROUND(F278,2)*ROUND(G278,3),2)</f>
        <v>570.24</v>
      </c>
      <c r="J278" s="53"/>
      <c r="K278" s="57"/>
      <c r="L278" s="53"/>
      <c r="M278" s="57"/>
      <c r="N278" s="53"/>
      <c r="O278" s="59"/>
      <c r="P278" s="53"/>
      <c r="Q278" s="69"/>
      <c r="R278" s="53"/>
      <c r="S278" s="57"/>
      <c r="T278" s="66"/>
      <c r="U278" s="57">
        <f t="shared" ref="U278:U293" si="20">G278</f>
        <v>1</v>
      </c>
      <c r="V278" s="66">
        <f t="shared" ref="V278:V293" si="21">F278*U278</f>
        <v>570.24</v>
      </c>
      <c r="W278" s="69"/>
      <c r="X278" s="66"/>
    </row>
    <row r="279" spans="1:24" ht="73" x14ac:dyDescent="0.2">
      <c r="A279" s="3" t="s">
        <v>352</v>
      </c>
      <c r="B279" s="3">
        <v>2</v>
      </c>
      <c r="C279" s="3" t="s">
        <v>355</v>
      </c>
      <c r="D279" s="8" t="s">
        <v>23</v>
      </c>
      <c r="E279" s="13" t="s">
        <v>356</v>
      </c>
      <c r="F279" s="9">
        <v>756</v>
      </c>
      <c r="G279" s="10">
        <v>1</v>
      </c>
      <c r="H279" s="11">
        <f t="shared" si="19"/>
        <v>756</v>
      </c>
      <c r="J279" s="53"/>
      <c r="K279" s="57"/>
      <c r="L279" s="53"/>
      <c r="M279" s="57"/>
      <c r="N279" s="53"/>
      <c r="O279" s="59"/>
      <c r="P279" s="53"/>
      <c r="Q279" s="69"/>
      <c r="R279" s="53"/>
      <c r="S279" s="57"/>
      <c r="T279" s="66"/>
      <c r="U279" s="57">
        <f t="shared" si="20"/>
        <v>1</v>
      </c>
      <c r="V279" s="66">
        <f t="shared" si="21"/>
        <v>756</v>
      </c>
      <c r="W279" s="69"/>
      <c r="X279" s="66"/>
    </row>
    <row r="280" spans="1:24" ht="121" x14ac:dyDescent="0.2">
      <c r="A280" s="3" t="s">
        <v>352</v>
      </c>
      <c r="B280" s="3">
        <v>3</v>
      </c>
      <c r="C280" s="3" t="s">
        <v>357</v>
      </c>
      <c r="D280" s="8" t="s">
        <v>23</v>
      </c>
      <c r="E280" s="13" t="s">
        <v>358</v>
      </c>
      <c r="F280" s="9">
        <v>1710.72</v>
      </c>
      <c r="G280" s="10">
        <v>1</v>
      </c>
      <c r="H280" s="11">
        <f t="shared" si="19"/>
        <v>1710.72</v>
      </c>
      <c r="J280" s="53"/>
      <c r="K280" s="57"/>
      <c r="L280" s="53"/>
      <c r="M280" s="57"/>
      <c r="N280" s="53"/>
      <c r="O280" s="59"/>
      <c r="P280" s="53"/>
      <c r="Q280" s="69"/>
      <c r="R280" s="53"/>
      <c r="S280" s="57"/>
      <c r="T280" s="66"/>
      <c r="U280" s="57">
        <f t="shared" si="20"/>
        <v>1</v>
      </c>
      <c r="V280" s="66">
        <f t="shared" si="21"/>
        <v>1710.72</v>
      </c>
      <c r="W280" s="69"/>
      <c r="X280" s="66"/>
    </row>
    <row r="281" spans="1:24" ht="133" x14ac:dyDescent="0.2">
      <c r="A281" s="3" t="s">
        <v>352</v>
      </c>
      <c r="B281" s="3">
        <v>4</v>
      </c>
      <c r="C281" s="3" t="s">
        <v>359</v>
      </c>
      <c r="D281" s="8" t="s">
        <v>23</v>
      </c>
      <c r="E281" s="13" t="s">
        <v>360</v>
      </c>
      <c r="F281" s="9">
        <v>1140.48</v>
      </c>
      <c r="G281" s="10">
        <v>1</v>
      </c>
      <c r="H281" s="11">
        <f t="shared" si="19"/>
        <v>1140.48</v>
      </c>
      <c r="J281" s="53"/>
      <c r="K281" s="57"/>
      <c r="L281" s="53"/>
      <c r="M281" s="57"/>
      <c r="N281" s="53"/>
      <c r="O281" s="59"/>
      <c r="P281" s="53"/>
      <c r="Q281" s="69"/>
      <c r="R281" s="53"/>
      <c r="S281" s="57"/>
      <c r="T281" s="66"/>
      <c r="U281" s="57">
        <f t="shared" si="20"/>
        <v>1</v>
      </c>
      <c r="V281" s="66">
        <f t="shared" si="21"/>
        <v>1140.48</v>
      </c>
      <c r="W281" s="69"/>
      <c r="X281" s="66"/>
    </row>
    <row r="282" spans="1:24" ht="97" x14ac:dyDescent="0.2">
      <c r="A282" s="3" t="s">
        <v>352</v>
      </c>
      <c r="B282" s="3">
        <v>5</v>
      </c>
      <c r="C282" s="3" t="s">
        <v>361</v>
      </c>
      <c r="D282" s="8" t="s">
        <v>23</v>
      </c>
      <c r="E282" s="13" t="s">
        <v>362</v>
      </c>
      <c r="F282" s="9">
        <v>570.24</v>
      </c>
      <c r="G282" s="10">
        <v>1</v>
      </c>
      <c r="H282" s="11">
        <f t="shared" si="19"/>
        <v>570.24</v>
      </c>
      <c r="J282" s="53"/>
      <c r="K282" s="57"/>
      <c r="L282" s="53"/>
      <c r="M282" s="57"/>
      <c r="N282" s="53"/>
      <c r="O282" s="59"/>
      <c r="P282" s="53"/>
      <c r="Q282" s="69"/>
      <c r="R282" s="53"/>
      <c r="S282" s="57"/>
      <c r="T282" s="66"/>
      <c r="U282" s="57">
        <f t="shared" si="20"/>
        <v>1</v>
      </c>
      <c r="V282" s="66">
        <f t="shared" si="21"/>
        <v>570.24</v>
      </c>
      <c r="W282" s="69"/>
      <c r="X282" s="66"/>
    </row>
    <row r="283" spans="1:24" ht="109" x14ac:dyDescent="0.2">
      <c r="A283" s="3" t="s">
        <v>352</v>
      </c>
      <c r="B283" s="3">
        <v>6</v>
      </c>
      <c r="C283" s="3" t="s">
        <v>363</v>
      </c>
      <c r="D283" s="8" t="s">
        <v>23</v>
      </c>
      <c r="E283" s="13" t="s">
        <v>364</v>
      </c>
      <c r="F283" s="9">
        <v>570.24</v>
      </c>
      <c r="G283" s="10">
        <v>1</v>
      </c>
      <c r="H283" s="11">
        <f t="shared" si="19"/>
        <v>570.24</v>
      </c>
      <c r="J283" s="53"/>
      <c r="K283" s="57"/>
      <c r="L283" s="53"/>
      <c r="M283" s="57"/>
      <c r="N283" s="53"/>
      <c r="O283" s="59"/>
      <c r="P283" s="53"/>
      <c r="Q283" s="69"/>
      <c r="R283" s="53"/>
      <c r="S283" s="57"/>
      <c r="T283" s="66"/>
      <c r="U283" s="57">
        <f t="shared" si="20"/>
        <v>1</v>
      </c>
      <c r="V283" s="66">
        <f t="shared" si="21"/>
        <v>570.24</v>
      </c>
      <c r="W283" s="69"/>
      <c r="X283" s="66"/>
    </row>
    <row r="284" spans="1:24" ht="85" x14ac:dyDescent="0.2">
      <c r="A284" s="3" t="s">
        <v>352</v>
      </c>
      <c r="B284" s="3">
        <v>7</v>
      </c>
      <c r="C284" s="3" t="s">
        <v>365</v>
      </c>
      <c r="D284" s="8" t="s">
        <v>23</v>
      </c>
      <c r="E284" s="13" t="s">
        <v>366</v>
      </c>
      <c r="F284" s="9">
        <v>570.24</v>
      </c>
      <c r="G284" s="10">
        <v>1</v>
      </c>
      <c r="H284" s="11">
        <f t="shared" si="19"/>
        <v>570.24</v>
      </c>
      <c r="J284" s="53"/>
      <c r="K284" s="57"/>
      <c r="L284" s="53"/>
      <c r="M284" s="57"/>
      <c r="N284" s="53"/>
      <c r="O284" s="59"/>
      <c r="P284" s="53"/>
      <c r="Q284" s="69"/>
      <c r="R284" s="53"/>
      <c r="S284" s="57"/>
      <c r="T284" s="66"/>
      <c r="U284" s="57">
        <f t="shared" si="20"/>
        <v>1</v>
      </c>
      <c r="V284" s="66">
        <f t="shared" si="21"/>
        <v>570.24</v>
      </c>
      <c r="W284" s="69"/>
      <c r="X284" s="66"/>
    </row>
    <row r="285" spans="1:24" ht="97" x14ac:dyDescent="0.2">
      <c r="A285" s="3" t="s">
        <v>352</v>
      </c>
      <c r="B285" s="3">
        <v>8</v>
      </c>
      <c r="C285" s="3" t="s">
        <v>367</v>
      </c>
      <c r="D285" s="8" t="s">
        <v>23</v>
      </c>
      <c r="E285" s="13" t="s">
        <v>368</v>
      </c>
      <c r="F285" s="9">
        <v>1995.84</v>
      </c>
      <c r="G285" s="10">
        <v>1</v>
      </c>
      <c r="H285" s="11">
        <f t="shared" si="19"/>
        <v>1995.84</v>
      </c>
      <c r="J285" s="53"/>
      <c r="K285" s="57"/>
      <c r="L285" s="53"/>
      <c r="M285" s="57"/>
      <c r="N285" s="53"/>
      <c r="O285" s="59"/>
      <c r="P285" s="53"/>
      <c r="Q285" s="69"/>
      <c r="R285" s="53"/>
      <c r="S285" s="57"/>
      <c r="T285" s="66"/>
      <c r="U285" s="57">
        <f t="shared" si="20"/>
        <v>1</v>
      </c>
      <c r="V285" s="66">
        <f t="shared" si="21"/>
        <v>1995.84</v>
      </c>
      <c r="W285" s="69"/>
      <c r="X285" s="66"/>
    </row>
    <row r="286" spans="1:24" ht="85" x14ac:dyDescent="0.2">
      <c r="A286" s="3" t="s">
        <v>352</v>
      </c>
      <c r="B286" s="3">
        <v>9</v>
      </c>
      <c r="C286" s="3" t="s">
        <v>369</v>
      </c>
      <c r="D286" s="8" t="s">
        <v>23</v>
      </c>
      <c r="E286" s="13" t="s">
        <v>370</v>
      </c>
      <c r="F286" s="9">
        <v>1140.48</v>
      </c>
      <c r="G286" s="10">
        <v>1</v>
      </c>
      <c r="H286" s="11">
        <f t="shared" si="19"/>
        <v>1140.48</v>
      </c>
      <c r="J286" s="53"/>
      <c r="K286" s="57"/>
      <c r="L286" s="53"/>
      <c r="M286" s="57"/>
      <c r="N286" s="53"/>
      <c r="O286" s="59"/>
      <c r="P286" s="53"/>
      <c r="Q286" s="69"/>
      <c r="R286" s="53"/>
      <c r="S286" s="57"/>
      <c r="T286" s="66"/>
      <c r="U286" s="57">
        <f t="shared" si="20"/>
        <v>1</v>
      </c>
      <c r="V286" s="66">
        <f t="shared" si="21"/>
        <v>1140.48</v>
      </c>
      <c r="W286" s="69"/>
      <c r="X286" s="66"/>
    </row>
    <row r="287" spans="1:24" ht="73" x14ac:dyDescent="0.2">
      <c r="A287" s="3" t="s">
        <v>352</v>
      </c>
      <c r="B287" s="3">
        <v>10</v>
      </c>
      <c r="C287" s="3" t="s">
        <v>371</v>
      </c>
      <c r="D287" s="8" t="s">
        <v>23</v>
      </c>
      <c r="E287" s="13" t="s">
        <v>372</v>
      </c>
      <c r="F287" s="9">
        <v>570.24</v>
      </c>
      <c r="G287" s="10">
        <v>1</v>
      </c>
      <c r="H287" s="11">
        <f t="shared" si="19"/>
        <v>570.24</v>
      </c>
      <c r="J287" s="53"/>
      <c r="K287" s="57"/>
      <c r="L287" s="53"/>
      <c r="M287" s="57"/>
      <c r="N287" s="53"/>
      <c r="O287" s="59"/>
      <c r="P287" s="53"/>
      <c r="Q287" s="69"/>
      <c r="R287" s="53"/>
      <c r="S287" s="57"/>
      <c r="T287" s="66"/>
      <c r="U287" s="57">
        <f t="shared" si="20"/>
        <v>1</v>
      </c>
      <c r="V287" s="66">
        <f t="shared" si="21"/>
        <v>570.24</v>
      </c>
      <c r="W287" s="69"/>
      <c r="X287" s="66"/>
    </row>
    <row r="288" spans="1:24" ht="61" x14ac:dyDescent="0.2">
      <c r="A288" s="3" t="s">
        <v>352</v>
      </c>
      <c r="B288" s="3">
        <v>11</v>
      </c>
      <c r="C288" s="3" t="s">
        <v>373</v>
      </c>
      <c r="D288" s="8" t="s">
        <v>23</v>
      </c>
      <c r="E288" s="13" t="s">
        <v>374</v>
      </c>
      <c r="F288" s="9">
        <v>1140.48</v>
      </c>
      <c r="G288" s="10">
        <v>1</v>
      </c>
      <c r="H288" s="11">
        <f t="shared" si="19"/>
        <v>1140.48</v>
      </c>
      <c r="J288" s="53"/>
      <c r="K288" s="57"/>
      <c r="L288" s="53"/>
      <c r="M288" s="57"/>
      <c r="N288" s="53"/>
      <c r="O288" s="59"/>
      <c r="P288" s="53"/>
      <c r="Q288" s="69"/>
      <c r="R288" s="53"/>
      <c r="S288" s="57"/>
      <c r="T288" s="66"/>
      <c r="U288" s="57">
        <f t="shared" si="20"/>
        <v>1</v>
      </c>
      <c r="V288" s="66">
        <f t="shared" si="21"/>
        <v>1140.48</v>
      </c>
      <c r="W288" s="69"/>
      <c r="X288" s="66"/>
    </row>
    <row r="289" spans="1:24" ht="85" x14ac:dyDescent="0.2">
      <c r="A289" s="3" t="s">
        <v>352</v>
      </c>
      <c r="B289" s="3">
        <v>12</v>
      </c>
      <c r="C289" s="3" t="s">
        <v>375</v>
      </c>
      <c r="D289" s="8" t="s">
        <v>23</v>
      </c>
      <c r="E289" s="13" t="s">
        <v>376</v>
      </c>
      <c r="F289" s="9">
        <v>570.24</v>
      </c>
      <c r="G289" s="10">
        <v>1</v>
      </c>
      <c r="H289" s="11">
        <f t="shared" si="19"/>
        <v>570.24</v>
      </c>
      <c r="J289" s="53"/>
      <c r="K289" s="57"/>
      <c r="L289" s="53"/>
      <c r="M289" s="57"/>
      <c r="N289" s="53"/>
      <c r="O289" s="59"/>
      <c r="P289" s="53"/>
      <c r="Q289" s="69"/>
      <c r="R289" s="53"/>
      <c r="S289" s="57"/>
      <c r="T289" s="66"/>
      <c r="U289" s="57">
        <f t="shared" si="20"/>
        <v>1</v>
      </c>
      <c r="V289" s="66">
        <f t="shared" si="21"/>
        <v>570.24</v>
      </c>
      <c r="W289" s="69"/>
      <c r="X289" s="66"/>
    </row>
    <row r="290" spans="1:24" ht="73" x14ac:dyDescent="0.2">
      <c r="A290" s="3" t="s">
        <v>352</v>
      </c>
      <c r="B290" s="3">
        <v>13</v>
      </c>
      <c r="C290" s="3" t="s">
        <v>377</v>
      </c>
      <c r="D290" s="8" t="s">
        <v>23</v>
      </c>
      <c r="E290" s="13" t="s">
        <v>378</v>
      </c>
      <c r="F290" s="9">
        <v>311.04000000000002</v>
      </c>
      <c r="G290" s="10">
        <v>1</v>
      </c>
      <c r="H290" s="11">
        <f t="shared" si="19"/>
        <v>311.04000000000002</v>
      </c>
      <c r="J290" s="53"/>
      <c r="K290" s="57"/>
      <c r="L290" s="53"/>
      <c r="M290" s="57"/>
      <c r="N290" s="53"/>
      <c r="O290" s="59"/>
      <c r="P290" s="53"/>
      <c r="Q290" s="69"/>
      <c r="R290" s="53"/>
      <c r="S290" s="57"/>
      <c r="T290" s="66"/>
      <c r="U290" s="57">
        <f t="shared" si="20"/>
        <v>1</v>
      </c>
      <c r="V290" s="66">
        <f t="shared" si="21"/>
        <v>311.04000000000002</v>
      </c>
      <c r="W290" s="69"/>
      <c r="X290" s="66"/>
    </row>
    <row r="291" spans="1:24" ht="73" x14ac:dyDescent="0.2">
      <c r="A291" s="3" t="s">
        <v>352</v>
      </c>
      <c r="B291" s="3">
        <v>14</v>
      </c>
      <c r="C291" s="3" t="s">
        <v>379</v>
      </c>
      <c r="D291" s="8" t="s">
        <v>23</v>
      </c>
      <c r="E291" s="13" t="s">
        <v>380</v>
      </c>
      <c r="F291" s="9">
        <v>1140.48</v>
      </c>
      <c r="G291" s="10">
        <v>1</v>
      </c>
      <c r="H291" s="11">
        <f t="shared" si="19"/>
        <v>1140.48</v>
      </c>
      <c r="J291" s="53"/>
      <c r="K291" s="57"/>
      <c r="L291" s="53"/>
      <c r="M291" s="57"/>
      <c r="N291" s="53"/>
      <c r="O291" s="59"/>
      <c r="P291" s="53"/>
      <c r="Q291" s="69"/>
      <c r="R291" s="53"/>
      <c r="S291" s="57"/>
      <c r="T291" s="66"/>
      <c r="U291" s="57">
        <f t="shared" si="20"/>
        <v>1</v>
      </c>
      <c r="V291" s="66">
        <f t="shared" si="21"/>
        <v>1140.48</v>
      </c>
      <c r="W291" s="69"/>
      <c r="X291" s="66"/>
    </row>
    <row r="292" spans="1:24" ht="61" x14ac:dyDescent="0.2">
      <c r="A292" s="3" t="s">
        <v>352</v>
      </c>
      <c r="B292" s="3">
        <v>15</v>
      </c>
      <c r="C292" s="3" t="s">
        <v>381</v>
      </c>
      <c r="D292" s="8" t="s">
        <v>23</v>
      </c>
      <c r="E292" s="13" t="s">
        <v>382</v>
      </c>
      <c r="F292" s="9">
        <v>570.24</v>
      </c>
      <c r="G292" s="10">
        <v>1</v>
      </c>
      <c r="H292" s="11">
        <f t="shared" si="19"/>
        <v>570.24</v>
      </c>
      <c r="J292" s="53"/>
      <c r="K292" s="57"/>
      <c r="L292" s="53"/>
      <c r="M292" s="57"/>
      <c r="N292" s="53"/>
      <c r="O292" s="59"/>
      <c r="P292" s="53"/>
      <c r="Q292" s="69"/>
      <c r="R292" s="53"/>
      <c r="S292" s="57"/>
      <c r="T292" s="66"/>
      <c r="U292" s="57">
        <f t="shared" si="20"/>
        <v>1</v>
      </c>
      <c r="V292" s="66">
        <f t="shared" si="21"/>
        <v>570.24</v>
      </c>
      <c r="W292" s="69"/>
      <c r="X292" s="66"/>
    </row>
    <row r="293" spans="1:24" ht="73" x14ac:dyDescent="0.2">
      <c r="A293" s="3" t="s">
        <v>352</v>
      </c>
      <c r="B293" s="3">
        <v>16</v>
      </c>
      <c r="C293" s="3" t="s">
        <v>383</v>
      </c>
      <c r="D293" s="8" t="s">
        <v>23</v>
      </c>
      <c r="E293" s="13" t="s">
        <v>384</v>
      </c>
      <c r="F293" s="9">
        <v>311.04000000000002</v>
      </c>
      <c r="G293" s="10">
        <v>1</v>
      </c>
      <c r="H293" s="11">
        <f t="shared" si="19"/>
        <v>311.04000000000002</v>
      </c>
      <c r="J293" s="53"/>
      <c r="K293" s="57"/>
      <c r="L293" s="53"/>
      <c r="M293" s="57"/>
      <c r="N293" s="53"/>
      <c r="O293" s="59"/>
      <c r="P293" s="53"/>
      <c r="Q293" s="69"/>
      <c r="R293" s="53"/>
      <c r="S293" s="57"/>
      <c r="T293" s="66"/>
      <c r="U293" s="57">
        <f t="shared" si="20"/>
        <v>1</v>
      </c>
      <c r="V293" s="66">
        <f t="shared" si="21"/>
        <v>311.04000000000002</v>
      </c>
      <c r="W293" s="69"/>
      <c r="X293" s="66"/>
    </row>
    <row r="294" spans="1:24" x14ac:dyDescent="0.2">
      <c r="E294" s="81" t="s">
        <v>25</v>
      </c>
      <c r="F294" s="6"/>
      <c r="G294" s="6"/>
      <c r="H294" s="12">
        <f>SUM(H278:H293)</f>
        <v>13638.24</v>
      </c>
      <c r="J294" s="53"/>
      <c r="K294" s="57"/>
      <c r="L294" s="53"/>
      <c r="M294" s="57"/>
      <c r="N294" s="53"/>
      <c r="O294" s="59"/>
      <c r="P294" s="53"/>
      <c r="Q294" s="69"/>
      <c r="R294" s="53"/>
      <c r="S294" s="57"/>
      <c r="T294" s="66"/>
      <c r="U294" s="57"/>
      <c r="V294" s="67">
        <f>V278+V279+V280+V281+V282+V283+V284+V285+V286+V287+V288+V289+V290+V291+V292+V293</f>
        <v>13638.24</v>
      </c>
      <c r="W294" s="69"/>
      <c r="X294" s="66"/>
    </row>
    <row r="295" spans="1:24" x14ac:dyDescent="0.2">
      <c r="J295" s="53"/>
      <c r="K295" s="57"/>
      <c r="L295" s="53"/>
      <c r="M295" s="57"/>
      <c r="N295" s="53"/>
      <c r="O295" s="59"/>
      <c r="P295" s="53"/>
      <c r="Q295" s="69"/>
      <c r="R295" s="53"/>
      <c r="S295" s="57"/>
      <c r="T295" s="66"/>
      <c r="U295" s="57"/>
      <c r="V295" s="66"/>
      <c r="W295" s="69"/>
      <c r="X295" s="66"/>
    </row>
    <row r="296" spans="1:24" x14ac:dyDescent="0.2">
      <c r="C296" s="6" t="s">
        <v>6</v>
      </c>
      <c r="D296" s="7" t="s">
        <v>7</v>
      </c>
      <c r="E296" s="81" t="s">
        <v>8</v>
      </c>
      <c r="J296" s="53"/>
      <c r="K296" s="57"/>
      <c r="L296" s="53"/>
      <c r="M296" s="57"/>
      <c r="N296" s="53"/>
      <c r="O296" s="59"/>
      <c r="P296" s="53"/>
      <c r="Q296" s="69"/>
      <c r="R296" s="53"/>
      <c r="S296" s="57"/>
      <c r="T296" s="66"/>
      <c r="U296" s="57"/>
      <c r="V296" s="66"/>
      <c r="W296" s="69"/>
      <c r="X296" s="66"/>
    </row>
    <row r="297" spans="1:24" x14ac:dyDescent="0.2">
      <c r="C297" s="6" t="s">
        <v>9</v>
      </c>
      <c r="D297" s="7" t="s">
        <v>72</v>
      </c>
      <c r="E297" s="81" t="s">
        <v>165</v>
      </c>
      <c r="J297" s="53"/>
      <c r="K297" s="57"/>
      <c r="L297" s="53"/>
      <c r="M297" s="57"/>
      <c r="N297" s="53"/>
      <c r="O297" s="59"/>
      <c r="P297" s="53"/>
      <c r="Q297" s="69"/>
      <c r="R297" s="53"/>
      <c r="S297" s="57"/>
      <c r="T297" s="66"/>
      <c r="U297" s="57"/>
      <c r="V297" s="66"/>
      <c r="W297" s="69"/>
      <c r="X297" s="66"/>
    </row>
    <row r="298" spans="1:24" x14ac:dyDescent="0.2">
      <c r="C298" s="6" t="s">
        <v>11</v>
      </c>
      <c r="D298" s="7" t="s">
        <v>26</v>
      </c>
      <c r="E298" s="81" t="s">
        <v>178</v>
      </c>
      <c r="J298" s="53"/>
      <c r="K298" s="57"/>
      <c r="L298" s="53"/>
      <c r="M298" s="57"/>
      <c r="N298" s="53"/>
      <c r="O298" s="59"/>
      <c r="P298" s="53"/>
      <c r="Q298" s="69"/>
      <c r="R298" s="53"/>
      <c r="S298" s="57"/>
      <c r="T298" s="66"/>
      <c r="U298" s="57"/>
      <c r="V298" s="66"/>
      <c r="W298" s="69"/>
      <c r="X298" s="66"/>
    </row>
    <row r="299" spans="1:24" x14ac:dyDescent="0.2">
      <c r="C299" s="6" t="s">
        <v>91</v>
      </c>
      <c r="D299" s="7" t="s">
        <v>385</v>
      </c>
      <c r="E299" s="81" t="s">
        <v>386</v>
      </c>
      <c r="J299" s="53"/>
      <c r="K299" s="57"/>
      <c r="L299" s="53"/>
      <c r="M299" s="57"/>
      <c r="N299" s="53"/>
      <c r="O299" s="59"/>
      <c r="P299" s="53"/>
      <c r="Q299" s="69"/>
      <c r="R299" s="53"/>
      <c r="S299" s="57"/>
      <c r="T299" s="66"/>
      <c r="U299" s="57"/>
      <c r="V299" s="66"/>
      <c r="W299" s="69"/>
      <c r="X299" s="66"/>
    </row>
    <row r="300" spans="1:24" x14ac:dyDescent="0.2">
      <c r="J300" s="53"/>
      <c r="K300" s="57"/>
      <c r="L300" s="53"/>
      <c r="M300" s="57"/>
      <c r="N300" s="53"/>
      <c r="O300" s="59"/>
      <c r="P300" s="53"/>
      <c r="Q300" s="69"/>
      <c r="R300" s="53"/>
      <c r="S300" s="57"/>
      <c r="T300" s="66"/>
      <c r="U300" s="57"/>
      <c r="V300" s="66"/>
      <c r="W300" s="69"/>
      <c r="X300" s="66"/>
    </row>
    <row r="301" spans="1:24" ht="97" x14ac:dyDescent="0.2">
      <c r="A301" s="3" t="s">
        <v>387</v>
      </c>
      <c r="B301" s="3">
        <v>1</v>
      </c>
      <c r="C301" s="3" t="s">
        <v>388</v>
      </c>
      <c r="D301" s="8" t="s">
        <v>23</v>
      </c>
      <c r="E301" s="13" t="s">
        <v>389</v>
      </c>
      <c r="F301" s="9">
        <v>2566.08</v>
      </c>
      <c r="G301" s="10">
        <v>1</v>
      </c>
      <c r="H301" s="11">
        <f t="shared" ref="H301:H306" si="22">ROUND(ROUND(F301,2)*ROUND(G301,3),2)</f>
        <v>2566.08</v>
      </c>
      <c r="J301" s="55"/>
      <c r="K301" s="57">
        <v>1</v>
      </c>
      <c r="L301" s="55">
        <v>2566.08</v>
      </c>
      <c r="M301" s="57"/>
      <c r="N301" s="55"/>
      <c r="O301" s="59"/>
      <c r="P301" s="55"/>
      <c r="Q301" s="69"/>
      <c r="R301" s="73"/>
      <c r="S301" s="57"/>
      <c r="T301" s="74"/>
      <c r="U301" s="57"/>
      <c r="V301" s="74"/>
      <c r="W301" s="69"/>
      <c r="X301" s="66"/>
    </row>
    <row r="302" spans="1:24" ht="121" x14ac:dyDescent="0.2">
      <c r="A302" s="3" t="s">
        <v>387</v>
      </c>
      <c r="B302" s="3">
        <v>2</v>
      </c>
      <c r="C302" s="3" t="s">
        <v>390</v>
      </c>
      <c r="D302" s="8" t="s">
        <v>23</v>
      </c>
      <c r="E302" s="13" t="s">
        <v>391</v>
      </c>
      <c r="F302" s="9">
        <v>1140.48</v>
      </c>
      <c r="G302" s="10">
        <v>1</v>
      </c>
      <c r="H302" s="11">
        <f t="shared" si="22"/>
        <v>1140.48</v>
      </c>
      <c r="J302" s="55"/>
      <c r="K302" s="57">
        <v>1</v>
      </c>
      <c r="L302" s="55">
        <v>1140.48</v>
      </c>
      <c r="M302" s="57"/>
      <c r="N302" s="55"/>
      <c r="O302" s="59"/>
      <c r="P302" s="55"/>
      <c r="Q302" s="69"/>
      <c r="R302" s="73"/>
      <c r="S302" s="57"/>
      <c r="T302" s="74"/>
      <c r="U302" s="57"/>
      <c r="V302" s="74"/>
      <c r="W302" s="69"/>
      <c r="X302" s="66"/>
    </row>
    <row r="303" spans="1:24" ht="121" x14ac:dyDescent="0.2">
      <c r="A303" s="3" t="s">
        <v>387</v>
      </c>
      <c r="B303" s="3">
        <v>3</v>
      </c>
      <c r="C303" s="3" t="s">
        <v>392</v>
      </c>
      <c r="D303" s="8" t="s">
        <v>23</v>
      </c>
      <c r="E303" s="13" t="s">
        <v>393</v>
      </c>
      <c r="F303" s="9">
        <v>570.24</v>
      </c>
      <c r="G303" s="10">
        <v>1</v>
      </c>
      <c r="H303" s="11">
        <f t="shared" si="22"/>
        <v>570.24</v>
      </c>
      <c r="J303" s="55"/>
      <c r="K303" s="57">
        <v>1</v>
      </c>
      <c r="L303" s="55">
        <v>570.24</v>
      </c>
      <c r="M303" s="57"/>
      <c r="N303" s="55"/>
      <c r="O303" s="59"/>
      <c r="P303" s="55"/>
      <c r="Q303" s="69"/>
      <c r="R303" s="73"/>
      <c r="S303" s="57"/>
      <c r="T303" s="74"/>
      <c r="U303" s="57"/>
      <c r="V303" s="74"/>
      <c r="W303" s="69"/>
      <c r="X303" s="66"/>
    </row>
    <row r="304" spans="1:24" ht="85" x14ac:dyDescent="0.2">
      <c r="A304" s="3" t="s">
        <v>387</v>
      </c>
      <c r="B304" s="3">
        <v>4</v>
      </c>
      <c r="C304" s="3" t="s">
        <v>394</v>
      </c>
      <c r="D304" s="8" t="s">
        <v>23</v>
      </c>
      <c r="E304" s="13" t="s">
        <v>395</v>
      </c>
      <c r="F304" s="9">
        <v>1140.48</v>
      </c>
      <c r="G304" s="10">
        <v>1</v>
      </c>
      <c r="H304" s="11">
        <f t="shared" si="22"/>
        <v>1140.48</v>
      </c>
      <c r="J304" s="55"/>
      <c r="K304" s="57">
        <v>1</v>
      </c>
      <c r="L304" s="55">
        <v>1140.48</v>
      </c>
      <c r="M304" s="57"/>
      <c r="N304" s="55"/>
      <c r="O304" s="59"/>
      <c r="P304" s="55"/>
      <c r="Q304" s="69"/>
      <c r="R304" s="73"/>
      <c r="S304" s="57"/>
      <c r="T304" s="74"/>
      <c r="U304" s="57"/>
      <c r="V304" s="74"/>
      <c r="W304" s="69"/>
      <c r="X304" s="66"/>
    </row>
    <row r="305" spans="1:26" ht="109" x14ac:dyDescent="0.2">
      <c r="A305" s="3" t="s">
        <v>387</v>
      </c>
      <c r="B305" s="3">
        <v>5</v>
      </c>
      <c r="C305" s="3" t="s">
        <v>396</v>
      </c>
      <c r="D305" s="8" t="s">
        <v>23</v>
      </c>
      <c r="E305" s="13" t="s">
        <v>397</v>
      </c>
      <c r="F305" s="9">
        <v>1853.28</v>
      </c>
      <c r="G305" s="10">
        <v>1</v>
      </c>
      <c r="H305" s="11">
        <f t="shared" si="22"/>
        <v>1853.28</v>
      </c>
      <c r="J305" s="55"/>
      <c r="K305" s="57">
        <v>1</v>
      </c>
      <c r="L305" s="55">
        <v>1853.28</v>
      </c>
      <c r="M305" s="57"/>
      <c r="N305" s="55"/>
      <c r="O305" s="59"/>
      <c r="P305" s="55"/>
      <c r="Q305" s="69"/>
      <c r="R305" s="73"/>
      <c r="S305" s="57"/>
      <c r="T305" s="74"/>
      <c r="U305" s="57"/>
      <c r="V305" s="74"/>
      <c r="W305" s="69"/>
      <c r="X305" s="66"/>
    </row>
    <row r="306" spans="1:26" ht="121" x14ac:dyDescent="0.2">
      <c r="A306" s="3" t="s">
        <v>387</v>
      </c>
      <c r="B306" s="3">
        <v>6</v>
      </c>
      <c r="C306" s="3" t="s">
        <v>398</v>
      </c>
      <c r="D306" s="8" t="s">
        <v>23</v>
      </c>
      <c r="E306" s="13" t="s">
        <v>399</v>
      </c>
      <c r="F306" s="9">
        <v>2280.96</v>
      </c>
      <c r="G306" s="10">
        <v>1</v>
      </c>
      <c r="H306" s="11">
        <f t="shared" si="22"/>
        <v>2280.96</v>
      </c>
      <c r="J306" s="55"/>
      <c r="K306" s="57">
        <v>1</v>
      </c>
      <c r="L306" s="55">
        <v>2280.96</v>
      </c>
      <c r="M306" s="57"/>
      <c r="N306" s="55"/>
      <c r="O306" s="59"/>
      <c r="P306" s="55"/>
      <c r="Q306" s="69"/>
      <c r="R306" s="73"/>
      <c r="S306" s="57"/>
      <c r="T306" s="74"/>
      <c r="U306" s="57"/>
      <c r="V306" s="74"/>
      <c r="W306" s="69"/>
      <c r="X306" s="66"/>
    </row>
    <row r="307" spans="1:26" x14ac:dyDescent="0.2">
      <c r="E307" s="81" t="s">
        <v>25</v>
      </c>
      <c r="F307" s="6"/>
      <c r="G307" s="6"/>
      <c r="H307" s="12">
        <f>SUM(H301:H306)</f>
        <v>9551.52</v>
      </c>
      <c r="J307" s="55"/>
      <c r="K307" s="57"/>
      <c r="L307" s="56">
        <v>9551.52</v>
      </c>
      <c r="M307" s="58"/>
      <c r="N307" s="56"/>
      <c r="O307" s="60"/>
      <c r="P307" s="56"/>
      <c r="Q307" s="69"/>
      <c r="R307" s="73"/>
      <c r="S307" s="57"/>
      <c r="T307" s="74"/>
      <c r="U307" s="57"/>
      <c r="V307" s="74"/>
      <c r="W307" s="69"/>
      <c r="X307" s="66"/>
    </row>
    <row r="308" spans="1:26" x14ac:dyDescent="0.2">
      <c r="J308" s="53"/>
      <c r="K308" s="57"/>
      <c r="L308" s="53"/>
      <c r="M308" s="57"/>
      <c r="N308" s="53"/>
      <c r="O308" s="59"/>
      <c r="P308" s="53"/>
      <c r="Q308" s="69"/>
      <c r="R308" s="53"/>
      <c r="S308" s="57"/>
      <c r="T308" s="66"/>
      <c r="U308" s="57"/>
      <c r="V308" s="66"/>
      <c r="W308" s="69"/>
      <c r="X308" s="66"/>
    </row>
    <row r="309" spans="1:26" x14ac:dyDescent="0.2">
      <c r="C309" s="6" t="s">
        <v>6</v>
      </c>
      <c r="D309" s="7" t="s">
        <v>7</v>
      </c>
      <c r="E309" s="81" t="s">
        <v>8</v>
      </c>
      <c r="J309" s="53"/>
      <c r="K309" s="57"/>
      <c r="L309" s="53"/>
      <c r="M309" s="57"/>
      <c r="N309" s="53"/>
      <c r="O309" s="59"/>
      <c r="P309" s="53"/>
      <c r="Q309" s="69"/>
      <c r="R309" s="53"/>
      <c r="S309" s="57"/>
      <c r="T309" s="66"/>
      <c r="U309" s="57"/>
      <c r="V309" s="66"/>
      <c r="W309" s="69"/>
      <c r="X309" s="66"/>
    </row>
    <row r="310" spans="1:26" x14ac:dyDescent="0.2">
      <c r="C310" s="6" t="s">
        <v>9</v>
      </c>
      <c r="D310" s="7" t="s">
        <v>72</v>
      </c>
      <c r="E310" s="81" t="s">
        <v>165</v>
      </c>
      <c r="J310" s="53"/>
      <c r="K310" s="57"/>
      <c r="L310" s="53"/>
      <c r="M310" s="57"/>
      <c r="N310" s="53"/>
      <c r="O310" s="59"/>
      <c r="P310" s="53"/>
      <c r="Q310" s="69"/>
      <c r="R310" s="53"/>
      <c r="S310" s="57"/>
      <c r="T310" s="66"/>
      <c r="U310" s="57"/>
      <c r="V310" s="66"/>
      <c r="W310" s="69"/>
      <c r="X310" s="66"/>
    </row>
    <row r="311" spans="1:26" x14ac:dyDescent="0.2">
      <c r="C311" s="6" t="s">
        <v>11</v>
      </c>
      <c r="D311" s="7" t="s">
        <v>26</v>
      </c>
      <c r="E311" s="81" t="s">
        <v>178</v>
      </c>
      <c r="J311" s="53"/>
      <c r="K311" s="57"/>
      <c r="L311" s="53"/>
      <c r="M311" s="57"/>
      <c r="N311" s="53"/>
      <c r="O311" s="59"/>
      <c r="P311" s="53"/>
      <c r="Q311" s="69"/>
      <c r="R311" s="53"/>
      <c r="S311" s="57"/>
      <c r="T311" s="66"/>
      <c r="U311" s="57"/>
      <c r="V311" s="66"/>
      <c r="W311" s="69"/>
      <c r="X311" s="66"/>
    </row>
    <row r="312" spans="1:26" x14ac:dyDescent="0.2">
      <c r="C312" s="6" t="s">
        <v>91</v>
      </c>
      <c r="D312" s="7" t="s">
        <v>400</v>
      </c>
      <c r="E312" s="81" t="s">
        <v>401</v>
      </c>
      <c r="J312" s="53"/>
      <c r="K312" s="57"/>
      <c r="L312" s="53"/>
      <c r="M312" s="57"/>
      <c r="N312" s="53"/>
      <c r="O312" s="59"/>
      <c r="P312" s="53"/>
      <c r="Q312" s="69"/>
      <c r="R312" s="53"/>
      <c r="S312" s="57"/>
      <c r="T312" s="66"/>
      <c r="U312" s="57"/>
      <c r="V312" s="66"/>
      <c r="W312" s="69"/>
      <c r="X312" s="66"/>
    </row>
    <row r="313" spans="1:26" x14ac:dyDescent="0.2">
      <c r="J313" s="53"/>
      <c r="K313" s="57"/>
      <c r="L313" s="53"/>
      <c r="M313" s="57"/>
      <c r="N313" s="53"/>
      <c r="O313" s="59"/>
      <c r="P313" s="53"/>
      <c r="Q313" s="69"/>
      <c r="R313" s="53"/>
      <c r="S313" s="57"/>
      <c r="T313" s="66"/>
      <c r="U313" s="57"/>
      <c r="V313" s="66"/>
      <c r="W313" s="69"/>
      <c r="X313" s="66"/>
    </row>
    <row r="314" spans="1:26" ht="25" x14ac:dyDescent="0.2">
      <c r="A314" s="3" t="s">
        <v>402</v>
      </c>
      <c r="B314" s="3">
        <v>1</v>
      </c>
      <c r="C314" s="3" t="s">
        <v>403</v>
      </c>
      <c r="D314" s="8" t="s">
        <v>23</v>
      </c>
      <c r="E314" s="13" t="s">
        <v>404</v>
      </c>
      <c r="F314" s="9">
        <v>3369.59</v>
      </c>
      <c r="G314" s="10">
        <v>1</v>
      </c>
      <c r="H314" s="11">
        <f>ROUND(ROUND(F314,2)*ROUND(G314,3),2)</f>
        <v>3369.59</v>
      </c>
      <c r="I314" s="36">
        <f>G314</f>
        <v>1</v>
      </c>
      <c r="J314" s="53">
        <f>F314*I314</f>
        <v>3369.59</v>
      </c>
      <c r="K314" s="57"/>
      <c r="L314" s="53"/>
      <c r="M314" s="57"/>
      <c r="N314" s="53"/>
      <c r="O314" s="59"/>
      <c r="P314" s="53"/>
      <c r="Q314" s="69"/>
      <c r="R314" s="53"/>
      <c r="S314" s="57"/>
      <c r="T314" s="66"/>
      <c r="U314" s="57"/>
      <c r="V314" s="66"/>
      <c r="W314" s="69"/>
      <c r="X314" s="66"/>
    </row>
    <row r="315" spans="1:26" ht="25" x14ac:dyDescent="0.2">
      <c r="A315" s="3" t="s">
        <v>402</v>
      </c>
      <c r="B315" s="3">
        <v>2</v>
      </c>
      <c r="C315" s="3" t="s">
        <v>405</v>
      </c>
      <c r="D315" s="8" t="s">
        <v>23</v>
      </c>
      <c r="E315" s="13" t="s">
        <v>406</v>
      </c>
      <c r="F315" s="9">
        <v>3240</v>
      </c>
      <c r="G315" s="10">
        <v>1</v>
      </c>
      <c r="H315" s="11">
        <f>ROUND(ROUND(F315,2)*ROUND(G315,3),2)</f>
        <v>3240</v>
      </c>
      <c r="J315" s="53"/>
      <c r="K315" s="57">
        <f>0.63</f>
        <v>0.63</v>
      </c>
      <c r="L315" s="53">
        <f>F315*K315</f>
        <v>2041.2</v>
      </c>
      <c r="M315" s="57"/>
      <c r="N315" s="53"/>
      <c r="O315" s="59"/>
      <c r="P315" s="53"/>
      <c r="Q315" s="69">
        <f>0.1</f>
        <v>0.1</v>
      </c>
      <c r="R315" s="53">
        <f>F315*Q315</f>
        <v>324</v>
      </c>
      <c r="S315" s="57">
        <f>0.09</f>
        <v>0.09</v>
      </c>
      <c r="T315" s="66">
        <f>F315*S315</f>
        <v>291.59999999999997</v>
      </c>
      <c r="U315" s="57">
        <f>0.18</f>
        <v>0.18</v>
      </c>
      <c r="V315" s="66">
        <f>F315*U315</f>
        <v>583.19999999999993</v>
      </c>
      <c r="W315" s="69"/>
      <c r="X315" s="66"/>
      <c r="Y315" s="36">
        <f>I315+K315+S315+U315+Q315</f>
        <v>0.99999999999999989</v>
      </c>
      <c r="Z315" s="37">
        <f>L315+T315+V315+R315</f>
        <v>3240</v>
      </c>
    </row>
    <row r="316" spans="1:26" ht="85" x14ac:dyDescent="0.2">
      <c r="A316" s="3" t="s">
        <v>402</v>
      </c>
      <c r="B316" s="3">
        <v>3</v>
      </c>
      <c r="C316" s="3" t="s">
        <v>407</v>
      </c>
      <c r="D316" s="8" t="s">
        <v>18</v>
      </c>
      <c r="E316" s="13" t="s">
        <v>408</v>
      </c>
      <c r="F316" s="9">
        <v>9.2100000000000009</v>
      </c>
      <c r="G316" s="10">
        <v>718.5</v>
      </c>
      <c r="H316" s="11">
        <f>ROUND(ROUND(F316,2)*ROUND(G316,3),2)</f>
        <v>6617.39</v>
      </c>
      <c r="J316" s="53"/>
      <c r="K316" s="57">
        <f>256+67.5+128</f>
        <v>451.5</v>
      </c>
      <c r="L316" s="53">
        <f>F316*K316</f>
        <v>4158.3150000000005</v>
      </c>
      <c r="M316" s="57"/>
      <c r="N316" s="53"/>
      <c r="O316" s="59"/>
      <c r="P316" s="53"/>
      <c r="Q316" s="69">
        <f>70</f>
        <v>70</v>
      </c>
      <c r="R316" s="53">
        <f>F316*Q316</f>
        <v>644.70000000000005</v>
      </c>
      <c r="S316" s="57">
        <f>67.5</f>
        <v>67.5</v>
      </c>
      <c r="T316" s="66">
        <f>F316*S316</f>
        <v>621.67500000000007</v>
      </c>
      <c r="U316" s="57">
        <f>52.5+77</f>
        <v>129.5</v>
      </c>
      <c r="V316" s="66">
        <f>F316*U316</f>
        <v>1192.6950000000002</v>
      </c>
      <c r="W316" s="69"/>
      <c r="X316" s="66"/>
      <c r="Y316" s="36">
        <f>I316+K316+S316+U316+Q316</f>
        <v>718.5</v>
      </c>
      <c r="Z316" s="37">
        <f>L316+T316+V316+R316</f>
        <v>6617.3850000000011</v>
      </c>
    </row>
    <row r="317" spans="1:26" ht="73" x14ac:dyDescent="0.2">
      <c r="A317" s="3" t="s">
        <v>402</v>
      </c>
      <c r="B317" s="3">
        <v>4</v>
      </c>
      <c r="C317" s="3" t="s">
        <v>409</v>
      </c>
      <c r="D317" s="8" t="s">
        <v>18</v>
      </c>
      <c r="E317" s="13" t="s">
        <v>410</v>
      </c>
      <c r="F317" s="9">
        <v>0.09</v>
      </c>
      <c r="G317" s="10">
        <v>107775</v>
      </c>
      <c r="H317" s="11">
        <f>ROUND(ROUND(F317,2)*ROUND(G317,3),2)</f>
        <v>9699.75</v>
      </c>
      <c r="J317" s="53"/>
      <c r="K317" s="57">
        <f>38400+10125+19200</f>
        <v>67725</v>
      </c>
      <c r="L317" s="53">
        <f>F317*K317</f>
        <v>6095.25</v>
      </c>
      <c r="M317" s="57"/>
      <c r="N317" s="53"/>
      <c r="O317" s="59"/>
      <c r="P317" s="53"/>
      <c r="Q317" s="69">
        <f>10500</f>
        <v>10500</v>
      </c>
      <c r="R317" s="53">
        <f>F317*Q317</f>
        <v>945</v>
      </c>
      <c r="S317" s="57">
        <f>10125</f>
        <v>10125</v>
      </c>
      <c r="T317" s="66">
        <f>F317*S317</f>
        <v>911.25</v>
      </c>
      <c r="U317" s="57">
        <f>7875+11550</f>
        <v>19425</v>
      </c>
      <c r="V317" s="66">
        <f>F317*U317</f>
        <v>1748.25</v>
      </c>
      <c r="W317" s="69"/>
      <c r="X317" s="66"/>
      <c r="Y317" s="36">
        <f>I317+K317+S317+U317+Q317</f>
        <v>107775</v>
      </c>
      <c r="Z317" s="37">
        <f>L317+T317+V317+R317</f>
        <v>9699.75</v>
      </c>
    </row>
    <row r="318" spans="1:26" x14ac:dyDescent="0.2">
      <c r="E318" s="81" t="s">
        <v>25</v>
      </c>
      <c r="F318" s="6"/>
      <c r="G318" s="6"/>
      <c r="H318" s="12">
        <f>SUM(H314:H317)</f>
        <v>22926.73</v>
      </c>
      <c r="J318" s="54">
        <f>J314</f>
        <v>3369.59</v>
      </c>
      <c r="K318" s="57"/>
      <c r="L318" s="54">
        <f>L315+L316+L317</f>
        <v>12294.764999999999</v>
      </c>
      <c r="M318" s="58"/>
      <c r="N318" s="54">
        <f>N315+N316+N317</f>
        <v>0</v>
      </c>
      <c r="O318" s="60"/>
      <c r="P318" s="71">
        <f>SUM(P305:P317)</f>
        <v>0</v>
      </c>
      <c r="Q318" s="69"/>
      <c r="R318" s="54">
        <f>R315+R316+R317</f>
        <v>1913.7</v>
      </c>
      <c r="S318" s="57"/>
      <c r="T318" s="67">
        <f>T315+T316+T317</f>
        <v>1824.5250000000001</v>
      </c>
      <c r="U318" s="57"/>
      <c r="V318" s="67">
        <f>V315+V316+V317</f>
        <v>3524.145</v>
      </c>
      <c r="W318" s="69"/>
      <c r="X318" s="66"/>
      <c r="Z318" s="37">
        <f>J318+L318+T318+V318+R318</f>
        <v>22926.725000000002</v>
      </c>
    </row>
    <row r="319" spans="1:26" x14ac:dyDescent="0.2">
      <c r="J319" s="53"/>
      <c r="K319" s="57"/>
      <c r="L319" s="53"/>
      <c r="M319" s="57"/>
      <c r="N319" s="53"/>
      <c r="O319" s="59"/>
      <c r="P319" s="53"/>
      <c r="Q319" s="69"/>
      <c r="R319" s="53"/>
      <c r="S319" s="57"/>
      <c r="T319" s="66"/>
      <c r="U319" s="57"/>
      <c r="V319" s="66"/>
      <c r="W319" s="69"/>
      <c r="X319" s="66"/>
    </row>
    <row r="320" spans="1:26" x14ac:dyDescent="0.2">
      <c r="C320" s="6" t="s">
        <v>6</v>
      </c>
      <c r="D320" s="7" t="s">
        <v>7</v>
      </c>
      <c r="E320" s="81" t="s">
        <v>8</v>
      </c>
      <c r="J320" s="53"/>
      <c r="K320" s="57"/>
      <c r="L320" s="53"/>
      <c r="M320" s="57"/>
      <c r="N320" s="53"/>
      <c r="O320" s="59"/>
      <c r="P320" s="53"/>
      <c r="Q320" s="69"/>
      <c r="R320" s="53"/>
      <c r="S320" s="57"/>
      <c r="T320" s="66"/>
      <c r="U320" s="57"/>
      <c r="V320" s="66"/>
      <c r="W320" s="69"/>
      <c r="X320" s="66"/>
    </row>
    <row r="321" spans="1:26" x14ac:dyDescent="0.2">
      <c r="C321" s="6" t="s">
        <v>9</v>
      </c>
      <c r="D321" s="7" t="s">
        <v>72</v>
      </c>
      <c r="E321" s="81" t="s">
        <v>165</v>
      </c>
      <c r="J321" s="53"/>
      <c r="K321" s="57"/>
      <c r="L321" s="53"/>
      <c r="M321" s="57"/>
      <c r="N321" s="53"/>
      <c r="O321" s="59"/>
      <c r="P321" s="53"/>
      <c r="Q321" s="69"/>
      <c r="R321" s="53"/>
      <c r="S321" s="57"/>
      <c r="T321" s="66"/>
      <c r="U321" s="57"/>
      <c r="V321" s="66"/>
      <c r="W321" s="69"/>
      <c r="X321" s="66"/>
    </row>
    <row r="322" spans="1:26" x14ac:dyDescent="0.2">
      <c r="C322" s="6" t="s">
        <v>11</v>
      </c>
      <c r="D322" s="7" t="s">
        <v>72</v>
      </c>
      <c r="E322" s="81" t="s">
        <v>411</v>
      </c>
      <c r="J322" s="53"/>
      <c r="K322" s="57"/>
      <c r="L322" s="53"/>
      <c r="M322" s="57"/>
      <c r="N322" s="53"/>
      <c r="O322" s="59"/>
      <c r="P322" s="53"/>
      <c r="Q322" s="69"/>
      <c r="R322" s="53"/>
      <c r="S322" s="57"/>
      <c r="T322" s="66"/>
      <c r="U322" s="57"/>
      <c r="V322" s="66"/>
      <c r="W322" s="69"/>
      <c r="X322" s="66"/>
    </row>
    <row r="323" spans="1:26" x14ac:dyDescent="0.2">
      <c r="J323" s="53"/>
      <c r="K323" s="57"/>
      <c r="L323" s="53"/>
      <c r="M323" s="57"/>
      <c r="N323" s="53"/>
      <c r="O323" s="59"/>
      <c r="P323" s="53"/>
      <c r="Q323" s="69"/>
      <c r="R323" s="53"/>
      <c r="S323" s="57"/>
      <c r="T323" s="66"/>
      <c r="U323" s="57"/>
      <c r="V323" s="66"/>
      <c r="W323" s="69"/>
      <c r="X323" s="66"/>
    </row>
    <row r="324" spans="1:26" ht="340" x14ac:dyDescent="0.2">
      <c r="A324" s="3" t="s">
        <v>412</v>
      </c>
      <c r="B324" s="3">
        <v>1</v>
      </c>
      <c r="C324" s="3" t="s">
        <v>413</v>
      </c>
      <c r="D324" s="8" t="s">
        <v>23</v>
      </c>
      <c r="E324" s="13" t="s">
        <v>414</v>
      </c>
      <c r="F324" s="9">
        <v>3640.42</v>
      </c>
      <c r="G324" s="10">
        <v>10</v>
      </c>
      <c r="H324" s="11">
        <f t="shared" ref="H324:H338" si="23">ROUND(ROUND(F324,2)*ROUND(G324,3),2)</f>
        <v>36404.199999999997</v>
      </c>
      <c r="J324" s="53"/>
      <c r="K324" s="57"/>
      <c r="L324" s="53"/>
      <c r="M324" s="57"/>
      <c r="N324" s="53"/>
      <c r="O324" s="59"/>
      <c r="P324" s="53"/>
      <c r="Q324" s="69"/>
      <c r="R324" s="53"/>
      <c r="S324" s="57">
        <f>G324</f>
        <v>10</v>
      </c>
      <c r="T324" s="66">
        <f>F324*S324</f>
        <v>36404.199999999997</v>
      </c>
      <c r="U324" s="57"/>
      <c r="V324" s="66"/>
      <c r="W324" s="69"/>
      <c r="X324" s="66"/>
    </row>
    <row r="325" spans="1:26" ht="85" x14ac:dyDescent="0.2">
      <c r="A325" s="3" t="s">
        <v>412</v>
      </c>
      <c r="B325" s="3">
        <v>2</v>
      </c>
      <c r="C325" s="3" t="s">
        <v>415</v>
      </c>
      <c r="D325" s="8" t="s">
        <v>18</v>
      </c>
      <c r="E325" s="13" t="s">
        <v>416</v>
      </c>
      <c r="F325" s="9">
        <v>270.08999999999997</v>
      </c>
      <c r="G325" s="10">
        <v>57.887999999999998</v>
      </c>
      <c r="H325" s="11">
        <f t="shared" si="23"/>
        <v>15634.97</v>
      </c>
      <c r="J325" s="53"/>
      <c r="K325" s="57"/>
      <c r="L325" s="53"/>
      <c r="M325" s="57"/>
      <c r="N325" s="53"/>
      <c r="O325" s="59"/>
      <c r="P325" s="53"/>
      <c r="Q325" s="69"/>
      <c r="R325" s="53"/>
      <c r="S325" s="57">
        <f>G325</f>
        <v>57.887999999999998</v>
      </c>
      <c r="T325" s="66">
        <f>F325*S325</f>
        <v>15634.969919999998</v>
      </c>
      <c r="U325" s="57"/>
      <c r="V325" s="66"/>
      <c r="W325" s="69"/>
      <c r="X325" s="66"/>
    </row>
    <row r="326" spans="1:26" x14ac:dyDescent="0.2">
      <c r="A326" s="3" t="s">
        <v>412</v>
      </c>
      <c r="B326" s="3">
        <v>3</v>
      </c>
      <c r="C326" s="3" t="s">
        <v>417</v>
      </c>
      <c r="D326" s="8" t="s">
        <v>18</v>
      </c>
      <c r="E326" s="13" t="s">
        <v>418</v>
      </c>
      <c r="F326" s="9">
        <v>21.27</v>
      </c>
      <c r="G326" s="10">
        <v>67</v>
      </c>
      <c r="H326" s="11">
        <f t="shared" si="23"/>
        <v>1425.09</v>
      </c>
      <c r="J326" s="53"/>
      <c r="K326" s="57">
        <f>67</f>
        <v>67</v>
      </c>
      <c r="L326" s="53">
        <f t="shared" ref="L326:L338" si="24">F326*K326</f>
        <v>1425.09</v>
      </c>
      <c r="M326" s="57"/>
      <c r="N326" s="53"/>
      <c r="O326" s="59"/>
      <c r="P326" s="53"/>
      <c r="Q326" s="69"/>
      <c r="R326" s="53"/>
      <c r="S326" s="57"/>
      <c r="T326" s="66"/>
      <c r="U326" s="57"/>
      <c r="V326" s="66"/>
      <c r="W326" s="69"/>
      <c r="X326" s="66"/>
      <c r="Y326" s="36">
        <f>I326+K326+S326+U326+Q326</f>
        <v>67</v>
      </c>
    </row>
    <row r="327" spans="1:26" ht="25" x14ac:dyDescent="0.2">
      <c r="A327" s="3" t="s">
        <v>412</v>
      </c>
      <c r="B327" s="3">
        <v>4</v>
      </c>
      <c r="C327" s="3" t="s">
        <v>419</v>
      </c>
      <c r="D327" s="8" t="s">
        <v>18</v>
      </c>
      <c r="E327" s="13" t="s">
        <v>420</v>
      </c>
      <c r="F327" s="9">
        <v>48.33</v>
      </c>
      <c r="G327" s="10">
        <v>33.5</v>
      </c>
      <c r="H327" s="11">
        <f t="shared" si="23"/>
        <v>1619.06</v>
      </c>
      <c r="J327" s="53"/>
      <c r="K327" s="57">
        <f>33.5</f>
        <v>33.5</v>
      </c>
      <c r="L327" s="53">
        <f t="shared" si="24"/>
        <v>1619.0549999999998</v>
      </c>
      <c r="M327" s="57"/>
      <c r="N327" s="53"/>
      <c r="O327" s="59"/>
      <c r="P327" s="53"/>
      <c r="Q327" s="69"/>
      <c r="R327" s="53"/>
      <c r="S327" s="57"/>
      <c r="T327" s="66">
        <f>F327*S327</f>
        <v>0</v>
      </c>
      <c r="U327" s="57"/>
      <c r="V327" s="66"/>
      <c r="W327" s="69"/>
      <c r="X327" s="66"/>
      <c r="Y327" s="36">
        <f>I327+K327+S327+U327+Q327</f>
        <v>33.5</v>
      </c>
    </row>
    <row r="328" spans="1:26" ht="25" x14ac:dyDescent="0.2">
      <c r="A328" s="3" t="s">
        <v>412</v>
      </c>
      <c r="B328" s="3">
        <v>5</v>
      </c>
      <c r="C328" s="3" t="s">
        <v>421</v>
      </c>
      <c r="D328" s="8" t="s">
        <v>18</v>
      </c>
      <c r="E328" s="13" t="s">
        <v>422</v>
      </c>
      <c r="F328" s="9">
        <v>20.6</v>
      </c>
      <c r="G328" s="10">
        <v>67</v>
      </c>
      <c r="H328" s="11">
        <f t="shared" si="23"/>
        <v>1380.2</v>
      </c>
      <c r="J328" s="53"/>
      <c r="K328" s="57">
        <f>67</f>
        <v>67</v>
      </c>
      <c r="L328" s="53">
        <f t="shared" si="24"/>
        <v>1380.2</v>
      </c>
      <c r="M328" s="57"/>
      <c r="N328" s="53"/>
      <c r="O328" s="59"/>
      <c r="P328" s="53"/>
      <c r="Q328" s="69"/>
      <c r="R328" s="53"/>
      <c r="S328" s="57"/>
      <c r="T328" s="66"/>
      <c r="U328" s="57"/>
      <c r="V328" s="66"/>
      <c r="W328" s="69"/>
      <c r="X328" s="66"/>
    </row>
    <row r="329" spans="1:26" ht="49" x14ac:dyDescent="0.2">
      <c r="A329" s="3" t="s">
        <v>412</v>
      </c>
      <c r="B329" s="3">
        <v>6</v>
      </c>
      <c r="C329" s="3" t="s">
        <v>423</v>
      </c>
      <c r="D329" s="8" t="s">
        <v>18</v>
      </c>
      <c r="E329" s="13" t="s">
        <v>424</v>
      </c>
      <c r="F329" s="9">
        <v>46.93</v>
      </c>
      <c r="G329" s="10">
        <v>420</v>
      </c>
      <c r="H329" s="11">
        <f t="shared" si="23"/>
        <v>19710.599999999999</v>
      </c>
      <c r="J329" s="53"/>
      <c r="K329" s="57">
        <f>290</f>
        <v>290</v>
      </c>
      <c r="L329" s="53">
        <f t="shared" si="24"/>
        <v>13609.7</v>
      </c>
      <c r="M329" s="59"/>
      <c r="N329" s="53"/>
      <c r="O329" s="59"/>
      <c r="P329" s="53"/>
      <c r="Q329" s="69"/>
      <c r="R329" s="53"/>
      <c r="S329" s="57">
        <f>72</f>
        <v>72</v>
      </c>
      <c r="T329" s="66">
        <f t="shared" ref="T329:T338" si="25">F329*S329</f>
        <v>3378.96</v>
      </c>
      <c r="U329" s="57">
        <f>58</f>
        <v>58</v>
      </c>
      <c r="V329" s="66">
        <f>F329*U329</f>
        <v>2721.94</v>
      </c>
      <c r="W329" s="69"/>
      <c r="X329" s="66"/>
      <c r="Y329" s="36">
        <f t="shared" ref="Y329:Y338" si="26">I329+K329+S329+U329+Q329</f>
        <v>420</v>
      </c>
      <c r="Z329" s="37">
        <f t="shared" ref="Z329:Z338" si="27">J329+L329+T329+V329+R329</f>
        <v>19710.599999999999</v>
      </c>
    </row>
    <row r="330" spans="1:26" ht="37" x14ac:dyDescent="0.2">
      <c r="A330" s="3" t="s">
        <v>412</v>
      </c>
      <c r="B330" s="3">
        <v>7</v>
      </c>
      <c r="C330" s="3" t="s">
        <v>425</v>
      </c>
      <c r="D330" s="8" t="s">
        <v>18</v>
      </c>
      <c r="E330" s="13" t="s">
        <v>426</v>
      </c>
      <c r="F330" s="9">
        <v>15.92</v>
      </c>
      <c r="G330" s="10">
        <v>420</v>
      </c>
      <c r="H330" s="11">
        <f t="shared" si="23"/>
        <v>6686.4</v>
      </c>
      <c r="J330" s="53"/>
      <c r="K330" s="57">
        <f>290</f>
        <v>290</v>
      </c>
      <c r="L330" s="53">
        <f t="shared" si="24"/>
        <v>4616.8</v>
      </c>
      <c r="M330" s="59"/>
      <c r="N330" s="53"/>
      <c r="O330" s="59"/>
      <c r="P330" s="53"/>
      <c r="Q330" s="69"/>
      <c r="R330" s="53"/>
      <c r="S330" s="57">
        <f>72</f>
        <v>72</v>
      </c>
      <c r="T330" s="66">
        <f t="shared" si="25"/>
        <v>1146.24</v>
      </c>
      <c r="U330" s="57">
        <f>58</f>
        <v>58</v>
      </c>
      <c r="V330" s="66">
        <f t="shared" ref="V330:V338" si="28">F330*U330</f>
        <v>923.36</v>
      </c>
      <c r="W330" s="69"/>
      <c r="X330" s="66"/>
      <c r="Y330" s="36">
        <f t="shared" si="26"/>
        <v>420</v>
      </c>
      <c r="Z330" s="37">
        <f t="shared" si="27"/>
        <v>6686.4</v>
      </c>
    </row>
    <row r="331" spans="1:26" ht="25" x14ac:dyDescent="0.2">
      <c r="A331" s="3" t="s">
        <v>412</v>
      </c>
      <c r="B331" s="3">
        <v>8</v>
      </c>
      <c r="C331" s="3" t="s">
        <v>427</v>
      </c>
      <c r="D331" s="8" t="s">
        <v>18</v>
      </c>
      <c r="E331" s="13" t="s">
        <v>428</v>
      </c>
      <c r="F331" s="9">
        <v>9.6</v>
      </c>
      <c r="G331" s="10">
        <v>420</v>
      </c>
      <c r="H331" s="11">
        <f t="shared" si="23"/>
        <v>4032</v>
      </c>
      <c r="J331" s="53"/>
      <c r="K331" s="57">
        <f>290</f>
        <v>290</v>
      </c>
      <c r="L331" s="53">
        <f t="shared" si="24"/>
        <v>2784</v>
      </c>
      <c r="M331" s="59"/>
      <c r="N331" s="53"/>
      <c r="O331" s="59"/>
      <c r="P331" s="53"/>
      <c r="Q331" s="69"/>
      <c r="R331" s="53"/>
      <c r="S331" s="57">
        <f>72</f>
        <v>72</v>
      </c>
      <c r="T331" s="66">
        <f t="shared" si="25"/>
        <v>691.19999999999993</v>
      </c>
      <c r="U331" s="57">
        <f>58</f>
        <v>58</v>
      </c>
      <c r="V331" s="66">
        <f t="shared" si="28"/>
        <v>556.79999999999995</v>
      </c>
      <c r="W331" s="69"/>
      <c r="X331" s="66"/>
      <c r="Y331" s="36">
        <f t="shared" si="26"/>
        <v>420</v>
      </c>
      <c r="Z331" s="37">
        <f t="shared" si="27"/>
        <v>4032</v>
      </c>
    </row>
    <row r="332" spans="1:26" ht="25" x14ac:dyDescent="0.2">
      <c r="A332" s="3" t="s">
        <v>412</v>
      </c>
      <c r="B332" s="3">
        <v>9</v>
      </c>
      <c r="C332" s="3" t="s">
        <v>429</v>
      </c>
      <c r="D332" s="8" t="s">
        <v>18</v>
      </c>
      <c r="E332" s="13" t="s">
        <v>430</v>
      </c>
      <c r="F332" s="9">
        <v>50.61</v>
      </c>
      <c r="G332" s="10">
        <v>420</v>
      </c>
      <c r="H332" s="11">
        <f t="shared" si="23"/>
        <v>21256.2</v>
      </c>
      <c r="J332" s="53"/>
      <c r="K332" s="57">
        <f>290</f>
        <v>290</v>
      </c>
      <c r="L332" s="53">
        <f t="shared" si="24"/>
        <v>14676.9</v>
      </c>
      <c r="M332" s="59"/>
      <c r="N332" s="53"/>
      <c r="O332" s="59"/>
      <c r="P332" s="53"/>
      <c r="Q332" s="69"/>
      <c r="R332" s="53"/>
      <c r="S332" s="57">
        <f>72</f>
        <v>72</v>
      </c>
      <c r="T332" s="66">
        <f t="shared" si="25"/>
        <v>3643.92</v>
      </c>
      <c r="U332" s="57">
        <f>58</f>
        <v>58</v>
      </c>
      <c r="V332" s="66">
        <f t="shared" si="28"/>
        <v>2935.38</v>
      </c>
      <c r="W332" s="69"/>
      <c r="X332" s="66"/>
      <c r="Y332" s="36">
        <f t="shared" si="26"/>
        <v>420</v>
      </c>
      <c r="Z332" s="37">
        <f t="shared" si="27"/>
        <v>21256.2</v>
      </c>
    </row>
    <row r="333" spans="1:26" x14ac:dyDescent="0.2">
      <c r="A333" s="3" t="s">
        <v>412</v>
      </c>
      <c r="B333" s="3">
        <v>10</v>
      </c>
      <c r="C333" s="3" t="s">
        <v>431</v>
      </c>
      <c r="D333" s="8" t="s">
        <v>18</v>
      </c>
      <c r="E333" s="13" t="s">
        <v>432</v>
      </c>
      <c r="F333" s="9">
        <v>14.36</v>
      </c>
      <c r="G333" s="10">
        <v>420</v>
      </c>
      <c r="H333" s="11">
        <f t="shared" si="23"/>
        <v>6031.2</v>
      </c>
      <c r="J333" s="53"/>
      <c r="K333" s="57">
        <f>290</f>
        <v>290</v>
      </c>
      <c r="L333" s="53">
        <f t="shared" si="24"/>
        <v>4164.3999999999996</v>
      </c>
      <c r="M333" s="59"/>
      <c r="N333" s="53"/>
      <c r="O333" s="59"/>
      <c r="P333" s="53"/>
      <c r="Q333" s="69"/>
      <c r="R333" s="53"/>
      <c r="S333" s="57">
        <f>72</f>
        <v>72</v>
      </c>
      <c r="T333" s="66">
        <f t="shared" si="25"/>
        <v>1033.92</v>
      </c>
      <c r="U333" s="57">
        <f>58</f>
        <v>58</v>
      </c>
      <c r="V333" s="66">
        <f t="shared" si="28"/>
        <v>832.88</v>
      </c>
      <c r="W333" s="69"/>
      <c r="X333" s="66"/>
      <c r="Y333" s="36">
        <f t="shared" si="26"/>
        <v>420</v>
      </c>
      <c r="Z333" s="37">
        <f t="shared" si="27"/>
        <v>6031.2</v>
      </c>
    </row>
    <row r="334" spans="1:26" ht="61" x14ac:dyDescent="0.2">
      <c r="A334" s="3" t="s">
        <v>412</v>
      </c>
      <c r="B334" s="3">
        <v>11</v>
      </c>
      <c r="C334" s="3" t="s">
        <v>433</v>
      </c>
      <c r="D334" s="8" t="s">
        <v>18</v>
      </c>
      <c r="E334" s="13" t="s">
        <v>434</v>
      </c>
      <c r="F334" s="9">
        <v>43.19</v>
      </c>
      <c r="G334" s="10">
        <v>420</v>
      </c>
      <c r="H334" s="11">
        <f t="shared" si="23"/>
        <v>18139.8</v>
      </c>
      <c r="J334" s="53"/>
      <c r="K334" s="57">
        <f>290</f>
        <v>290</v>
      </c>
      <c r="L334" s="53">
        <f t="shared" si="24"/>
        <v>12525.099999999999</v>
      </c>
      <c r="M334" s="59"/>
      <c r="N334" s="53"/>
      <c r="O334" s="59"/>
      <c r="P334" s="53"/>
      <c r="Q334" s="69"/>
      <c r="R334" s="53"/>
      <c r="S334" s="57">
        <f>72</f>
        <v>72</v>
      </c>
      <c r="T334" s="66">
        <f t="shared" si="25"/>
        <v>3109.68</v>
      </c>
      <c r="U334" s="57">
        <f>58</f>
        <v>58</v>
      </c>
      <c r="V334" s="66">
        <f t="shared" si="28"/>
        <v>2505.02</v>
      </c>
      <c r="W334" s="69"/>
      <c r="X334" s="66"/>
      <c r="Y334" s="36">
        <f t="shared" si="26"/>
        <v>420</v>
      </c>
      <c r="Z334" s="37">
        <f t="shared" si="27"/>
        <v>18139.8</v>
      </c>
    </row>
    <row r="335" spans="1:26" ht="25" x14ac:dyDescent="0.2">
      <c r="A335" s="3" t="s">
        <v>412</v>
      </c>
      <c r="B335" s="3">
        <v>12</v>
      </c>
      <c r="C335" s="3" t="s">
        <v>435</v>
      </c>
      <c r="D335" s="8" t="s">
        <v>36</v>
      </c>
      <c r="E335" s="13" t="s">
        <v>436</v>
      </c>
      <c r="F335" s="9">
        <v>20.05</v>
      </c>
      <c r="G335" s="10">
        <v>127.29</v>
      </c>
      <c r="H335" s="11">
        <f t="shared" si="23"/>
        <v>2552.16</v>
      </c>
      <c r="J335" s="53"/>
      <c r="K335" s="57">
        <f>68.14</f>
        <v>68.14</v>
      </c>
      <c r="L335" s="53">
        <f t="shared" si="24"/>
        <v>1366.2070000000001</v>
      </c>
      <c r="M335" s="59"/>
      <c r="N335" s="53"/>
      <c r="O335" s="59"/>
      <c r="P335" s="53"/>
      <c r="Q335" s="69"/>
      <c r="R335" s="53"/>
      <c r="S335" s="57">
        <f>32.15</f>
        <v>32.15</v>
      </c>
      <c r="T335" s="66">
        <f t="shared" si="25"/>
        <v>644.60749999999996</v>
      </c>
      <c r="U335" s="57">
        <f>27</f>
        <v>27</v>
      </c>
      <c r="V335" s="66">
        <f t="shared" si="28"/>
        <v>541.35</v>
      </c>
      <c r="W335" s="69"/>
      <c r="X335" s="66"/>
      <c r="Y335" s="36">
        <f t="shared" si="26"/>
        <v>127.28999999999999</v>
      </c>
      <c r="Z335" s="37">
        <f t="shared" si="27"/>
        <v>2552.1644999999999</v>
      </c>
    </row>
    <row r="336" spans="1:26" ht="37" x14ac:dyDescent="0.2">
      <c r="A336" s="3" t="s">
        <v>412</v>
      </c>
      <c r="B336" s="3">
        <v>13</v>
      </c>
      <c r="C336" s="3" t="s">
        <v>437</v>
      </c>
      <c r="D336" s="8" t="s">
        <v>36</v>
      </c>
      <c r="E336" s="13" t="s">
        <v>438</v>
      </c>
      <c r="F336" s="9">
        <v>61.73</v>
      </c>
      <c r="G336" s="10">
        <v>94</v>
      </c>
      <c r="H336" s="11">
        <f t="shared" si="23"/>
        <v>5802.62</v>
      </c>
      <c r="J336" s="53"/>
      <c r="K336" s="57">
        <f>62</f>
        <v>62</v>
      </c>
      <c r="L336" s="53">
        <f t="shared" si="24"/>
        <v>3827.2599999999998</v>
      </c>
      <c r="M336" s="59"/>
      <c r="N336" s="53"/>
      <c r="O336" s="59"/>
      <c r="P336" s="53"/>
      <c r="Q336" s="69"/>
      <c r="R336" s="53"/>
      <c r="S336" s="57">
        <f>18</f>
        <v>18</v>
      </c>
      <c r="T336" s="66">
        <f t="shared" si="25"/>
        <v>1111.1399999999999</v>
      </c>
      <c r="U336" s="57">
        <f>14</f>
        <v>14</v>
      </c>
      <c r="V336" s="66">
        <f t="shared" si="28"/>
        <v>864.21999999999991</v>
      </c>
      <c r="W336" s="69"/>
      <c r="X336" s="66"/>
      <c r="Y336" s="36">
        <f t="shared" si="26"/>
        <v>94</v>
      </c>
      <c r="Z336" s="37">
        <f t="shared" si="27"/>
        <v>5802.62</v>
      </c>
    </row>
    <row r="337" spans="1:26" ht="37" x14ac:dyDescent="0.2">
      <c r="A337" s="3" t="s">
        <v>412</v>
      </c>
      <c r="B337" s="3">
        <v>14</v>
      </c>
      <c r="C337" s="3" t="s">
        <v>439</v>
      </c>
      <c r="D337" s="8" t="s">
        <v>36</v>
      </c>
      <c r="E337" s="13" t="s">
        <v>440</v>
      </c>
      <c r="F337" s="9">
        <v>103.3</v>
      </c>
      <c r="G337" s="10">
        <v>40</v>
      </c>
      <c r="H337" s="11">
        <f t="shared" si="23"/>
        <v>4132</v>
      </c>
      <c r="J337" s="53"/>
      <c r="K337" s="57">
        <f>24</f>
        <v>24</v>
      </c>
      <c r="L337" s="53">
        <f t="shared" si="24"/>
        <v>2479.1999999999998</v>
      </c>
      <c r="M337" s="59"/>
      <c r="N337" s="53"/>
      <c r="O337" s="59"/>
      <c r="P337" s="53"/>
      <c r="Q337" s="69"/>
      <c r="R337" s="53"/>
      <c r="S337" s="57">
        <f>8</f>
        <v>8</v>
      </c>
      <c r="T337" s="66">
        <f t="shared" si="25"/>
        <v>826.4</v>
      </c>
      <c r="U337" s="57">
        <f>8</f>
        <v>8</v>
      </c>
      <c r="V337" s="66">
        <f t="shared" si="28"/>
        <v>826.4</v>
      </c>
      <c r="W337" s="69"/>
      <c r="X337" s="66"/>
      <c r="Y337" s="36">
        <f t="shared" si="26"/>
        <v>40</v>
      </c>
      <c r="Z337" s="37">
        <f t="shared" si="27"/>
        <v>4132</v>
      </c>
    </row>
    <row r="338" spans="1:26" ht="25" x14ac:dyDescent="0.2">
      <c r="A338" s="3" t="s">
        <v>412</v>
      </c>
      <c r="B338" s="3">
        <v>15</v>
      </c>
      <c r="C338" s="3" t="s">
        <v>441</v>
      </c>
      <c r="D338" s="8" t="s">
        <v>36</v>
      </c>
      <c r="E338" s="13" t="s">
        <v>442</v>
      </c>
      <c r="F338" s="9">
        <v>22.26</v>
      </c>
      <c r="G338" s="10">
        <v>132</v>
      </c>
      <c r="H338" s="11">
        <f t="shared" si="23"/>
        <v>2938.32</v>
      </c>
      <c r="J338" s="53"/>
      <c r="K338" s="57">
        <f>G338*0.6</f>
        <v>79.2</v>
      </c>
      <c r="L338" s="53">
        <f t="shared" si="24"/>
        <v>1762.9920000000002</v>
      </c>
      <c r="M338" s="59"/>
      <c r="N338" s="53"/>
      <c r="O338" s="59"/>
      <c r="P338" s="53"/>
      <c r="Q338" s="69"/>
      <c r="R338" s="53"/>
      <c r="S338" s="57">
        <f>26.4</f>
        <v>26.4</v>
      </c>
      <c r="T338" s="66">
        <f t="shared" si="25"/>
        <v>587.66399999999999</v>
      </c>
      <c r="U338" s="57">
        <f>G338*0.2</f>
        <v>26.400000000000002</v>
      </c>
      <c r="V338" s="66">
        <f t="shared" si="28"/>
        <v>587.6640000000001</v>
      </c>
      <c r="W338" s="69"/>
      <c r="X338" s="66"/>
      <c r="Y338" s="36">
        <f t="shared" si="26"/>
        <v>132</v>
      </c>
      <c r="Z338" s="37">
        <f t="shared" si="27"/>
        <v>2938.32</v>
      </c>
    </row>
    <row r="339" spans="1:26" x14ac:dyDescent="0.2">
      <c r="E339" s="81" t="s">
        <v>25</v>
      </c>
      <c r="F339" s="6"/>
      <c r="G339" s="6"/>
      <c r="H339" s="12">
        <f>SUM(H324:H338)</f>
        <v>147744.81999999998</v>
      </c>
      <c r="J339" s="53"/>
      <c r="K339" s="57"/>
      <c r="L339" s="54">
        <f>L326+L327+L328+L329+L330+L331+L332+L333+L334+L335+L336+L337+L338</f>
        <v>66236.903999999995</v>
      </c>
      <c r="M339" s="58"/>
      <c r="N339" s="54"/>
      <c r="O339" s="58"/>
      <c r="P339" s="54"/>
      <c r="Q339" s="69"/>
      <c r="R339" s="53"/>
      <c r="S339" s="58"/>
      <c r="T339" s="72">
        <f>SUM(T324:T338)</f>
        <v>68212.90141999998</v>
      </c>
      <c r="U339" s="58"/>
      <c r="V339" s="67">
        <f>SUM(V324:V338)</f>
        <v>13295.014000000001</v>
      </c>
      <c r="W339" s="69"/>
      <c r="X339" s="66"/>
      <c r="Z339" s="37">
        <f>J339+L339+N339+P339+T339+V339+R339</f>
        <v>147744.81941999999</v>
      </c>
    </row>
    <row r="340" spans="1:26" x14ac:dyDescent="0.2">
      <c r="J340" s="53"/>
      <c r="K340" s="57"/>
      <c r="L340" s="53"/>
      <c r="M340" s="57"/>
      <c r="N340" s="53"/>
      <c r="O340" s="59"/>
      <c r="P340" s="53"/>
      <c r="Q340" s="69"/>
      <c r="R340" s="53"/>
      <c r="S340" s="57"/>
      <c r="T340" s="66"/>
      <c r="U340" s="57"/>
      <c r="V340" s="66"/>
      <c r="W340" s="69"/>
      <c r="X340" s="66"/>
    </row>
    <row r="341" spans="1:26" x14ac:dyDescent="0.2">
      <c r="C341" s="6" t="s">
        <v>6</v>
      </c>
      <c r="D341" s="7" t="s">
        <v>7</v>
      </c>
      <c r="E341" s="81" t="s">
        <v>8</v>
      </c>
      <c r="J341" s="53"/>
      <c r="K341" s="57"/>
      <c r="L341" s="53"/>
      <c r="M341" s="57"/>
      <c r="N341" s="53"/>
      <c r="O341" s="59"/>
      <c r="P341" s="53"/>
      <c r="Q341" s="69"/>
      <c r="R341" s="53"/>
      <c r="S341" s="57"/>
      <c r="T341" s="66"/>
      <c r="U341" s="57"/>
      <c r="V341" s="66"/>
      <c r="W341" s="69"/>
      <c r="X341" s="66"/>
    </row>
    <row r="342" spans="1:26" x14ac:dyDescent="0.2">
      <c r="C342" s="6" t="s">
        <v>9</v>
      </c>
      <c r="D342" s="7" t="s">
        <v>72</v>
      </c>
      <c r="E342" s="81" t="s">
        <v>165</v>
      </c>
      <c r="J342" s="53"/>
      <c r="K342" s="57"/>
      <c r="L342" s="53"/>
      <c r="M342" s="57"/>
      <c r="N342" s="53"/>
      <c r="O342" s="59"/>
      <c r="P342" s="53"/>
      <c r="Q342" s="69"/>
      <c r="R342" s="53"/>
      <c r="S342" s="57"/>
      <c r="T342" s="66"/>
      <c r="U342" s="57"/>
      <c r="V342" s="66"/>
      <c r="W342" s="69"/>
      <c r="X342" s="66"/>
    </row>
    <row r="343" spans="1:26" x14ac:dyDescent="0.2">
      <c r="C343" s="6" t="s">
        <v>11</v>
      </c>
      <c r="D343" s="7" t="s">
        <v>153</v>
      </c>
      <c r="E343" s="81" t="s">
        <v>443</v>
      </c>
      <c r="J343" s="53"/>
      <c r="K343" s="57"/>
      <c r="L343" s="53"/>
      <c r="M343" s="57"/>
      <c r="N343" s="53"/>
      <c r="O343" s="59"/>
      <c r="P343" s="53"/>
      <c r="Q343" s="69"/>
      <c r="R343" s="53"/>
      <c r="S343" s="57"/>
      <c r="T343" s="66"/>
      <c r="U343" s="57"/>
      <c r="V343" s="66"/>
      <c r="W343" s="69"/>
      <c r="X343" s="66"/>
    </row>
    <row r="344" spans="1:26" x14ac:dyDescent="0.2">
      <c r="C344" s="6" t="s">
        <v>91</v>
      </c>
      <c r="D344" s="7" t="s">
        <v>7</v>
      </c>
      <c r="E344" s="81" t="s">
        <v>444</v>
      </c>
      <c r="J344" s="53"/>
      <c r="K344" s="57"/>
      <c r="L344" s="53"/>
      <c r="M344" s="57"/>
      <c r="N344" s="53"/>
      <c r="O344" s="59"/>
      <c r="P344" s="53"/>
      <c r="Q344" s="69"/>
      <c r="R344" s="53"/>
      <c r="S344" s="57"/>
      <c r="T344" s="66"/>
      <c r="U344" s="57"/>
      <c r="V344" s="66"/>
      <c r="W344" s="69"/>
      <c r="X344" s="66"/>
    </row>
    <row r="345" spans="1:26" x14ac:dyDescent="0.2">
      <c r="J345" s="53"/>
      <c r="K345" s="57"/>
      <c r="L345" s="53"/>
      <c r="M345" s="57"/>
      <c r="N345" s="53"/>
      <c r="O345" s="59"/>
      <c r="P345" s="53"/>
      <c r="Q345" s="69"/>
      <c r="R345" s="53"/>
      <c r="S345" s="57"/>
      <c r="T345" s="66"/>
      <c r="U345" s="57"/>
      <c r="V345" s="66"/>
      <c r="W345" s="69"/>
      <c r="X345" s="66"/>
    </row>
    <row r="346" spans="1:26" ht="263" x14ac:dyDescent="0.2">
      <c r="A346" s="3" t="s">
        <v>445</v>
      </c>
      <c r="B346" s="3">
        <v>1</v>
      </c>
      <c r="C346" s="3" t="s">
        <v>446</v>
      </c>
      <c r="D346" s="8" t="s">
        <v>23</v>
      </c>
      <c r="E346" s="13" t="s">
        <v>447</v>
      </c>
      <c r="F346" s="9">
        <v>1448.53</v>
      </c>
      <c r="G346" s="10">
        <v>8</v>
      </c>
      <c r="H346" s="11">
        <f t="shared" ref="H346:H360" si="29">ROUND(ROUND(F346,2)*ROUND(G346,3),2)</f>
        <v>11588.24</v>
      </c>
      <c r="J346" s="53"/>
      <c r="K346" s="57">
        <f>G346</f>
        <v>8</v>
      </c>
      <c r="L346" s="53">
        <f>F346*K346</f>
        <v>11588.24</v>
      </c>
      <c r="M346" s="57"/>
      <c r="N346" s="53"/>
      <c r="O346" s="59"/>
      <c r="P346" s="53"/>
      <c r="Q346" s="69"/>
      <c r="R346" s="53"/>
      <c r="S346" s="57"/>
      <c r="T346" s="66"/>
      <c r="U346" s="57"/>
      <c r="V346" s="66"/>
      <c r="W346" s="69"/>
      <c r="X346" s="66"/>
    </row>
    <row r="347" spans="1:26" ht="263" x14ac:dyDescent="0.2">
      <c r="A347" s="3" t="s">
        <v>445</v>
      </c>
      <c r="B347" s="3">
        <v>2</v>
      </c>
      <c r="C347" s="3" t="s">
        <v>448</v>
      </c>
      <c r="D347" s="8" t="s">
        <v>23</v>
      </c>
      <c r="E347" s="13" t="s">
        <v>449</v>
      </c>
      <c r="F347" s="9">
        <v>982.54</v>
      </c>
      <c r="G347" s="10">
        <v>1</v>
      </c>
      <c r="H347" s="11">
        <f t="shared" si="29"/>
        <v>982.54</v>
      </c>
      <c r="J347" s="53"/>
      <c r="K347" s="57">
        <f>1</f>
        <v>1</v>
      </c>
      <c r="L347" s="53">
        <f>F347*K347</f>
        <v>982.54</v>
      </c>
      <c r="M347" s="57"/>
      <c r="N347" s="53"/>
      <c r="O347" s="59"/>
      <c r="P347" s="53"/>
      <c r="Q347" s="69"/>
      <c r="R347" s="53"/>
      <c r="S347" s="57"/>
      <c r="T347" s="66"/>
      <c r="U347" s="57"/>
      <c r="V347" s="66"/>
      <c r="W347" s="69"/>
      <c r="X347" s="66"/>
    </row>
    <row r="348" spans="1:26" ht="263" x14ac:dyDescent="0.2">
      <c r="A348" s="3" t="s">
        <v>445</v>
      </c>
      <c r="B348" s="3">
        <v>3</v>
      </c>
      <c r="C348" s="3" t="s">
        <v>450</v>
      </c>
      <c r="D348" s="8" t="s">
        <v>23</v>
      </c>
      <c r="E348" s="13" t="s">
        <v>451</v>
      </c>
      <c r="F348" s="9">
        <v>1530.58</v>
      </c>
      <c r="G348" s="10">
        <v>1</v>
      </c>
      <c r="H348" s="11">
        <f t="shared" si="29"/>
        <v>1530.58</v>
      </c>
      <c r="J348" s="53"/>
      <c r="K348" s="57">
        <f>G348</f>
        <v>1</v>
      </c>
      <c r="L348" s="53">
        <f>F348*K348</f>
        <v>1530.58</v>
      </c>
      <c r="M348" s="57"/>
      <c r="N348" s="53"/>
      <c r="O348" s="59"/>
      <c r="P348" s="53"/>
      <c r="Q348" s="69"/>
      <c r="R348" s="53"/>
      <c r="S348" s="57"/>
      <c r="T348" s="66"/>
      <c r="U348" s="57"/>
      <c r="V348" s="66"/>
      <c r="W348" s="69"/>
      <c r="X348" s="66"/>
    </row>
    <row r="349" spans="1:26" ht="252" x14ac:dyDescent="0.2">
      <c r="A349" s="3" t="s">
        <v>445</v>
      </c>
      <c r="B349" s="3">
        <v>4</v>
      </c>
      <c r="C349" s="3" t="s">
        <v>452</v>
      </c>
      <c r="D349" s="8" t="s">
        <v>23</v>
      </c>
      <c r="E349" s="13" t="s">
        <v>453</v>
      </c>
      <c r="F349" s="9">
        <v>496.38</v>
      </c>
      <c r="G349" s="10">
        <v>1</v>
      </c>
      <c r="H349" s="11">
        <f t="shared" si="29"/>
        <v>496.38</v>
      </c>
      <c r="J349" s="53"/>
      <c r="K349" s="57"/>
      <c r="L349" s="53"/>
      <c r="M349" s="57"/>
      <c r="N349" s="53"/>
      <c r="O349" s="59"/>
      <c r="P349" s="53"/>
      <c r="Q349" s="69"/>
      <c r="R349" s="53"/>
      <c r="S349" s="57">
        <f>G349</f>
        <v>1</v>
      </c>
      <c r="T349" s="66">
        <f>F349*S349</f>
        <v>496.38</v>
      </c>
      <c r="U349" s="57"/>
      <c r="V349" s="66"/>
      <c r="W349" s="69"/>
      <c r="X349" s="66"/>
    </row>
    <row r="350" spans="1:26" ht="274" x14ac:dyDescent="0.2">
      <c r="A350" s="3" t="s">
        <v>445</v>
      </c>
      <c r="B350" s="3">
        <v>5</v>
      </c>
      <c r="C350" s="3" t="s">
        <v>454</v>
      </c>
      <c r="D350" s="8" t="s">
        <v>23</v>
      </c>
      <c r="E350" s="13" t="s">
        <v>455</v>
      </c>
      <c r="F350" s="9">
        <v>515.75</v>
      </c>
      <c r="G350" s="10">
        <v>1</v>
      </c>
      <c r="H350" s="11">
        <f t="shared" si="29"/>
        <v>515.75</v>
      </c>
      <c r="J350" s="53"/>
      <c r="K350" s="57"/>
      <c r="L350" s="53"/>
      <c r="M350" s="57"/>
      <c r="N350" s="53"/>
      <c r="O350" s="59"/>
      <c r="P350" s="53"/>
      <c r="Q350" s="69"/>
      <c r="R350" s="53"/>
      <c r="S350" s="57"/>
      <c r="T350" s="66"/>
      <c r="U350" s="57">
        <f>G350</f>
        <v>1</v>
      </c>
      <c r="V350" s="66">
        <f>F350*U350</f>
        <v>515.75</v>
      </c>
      <c r="W350" s="69"/>
      <c r="X350" s="66"/>
    </row>
    <row r="351" spans="1:26" ht="263" x14ac:dyDescent="0.2">
      <c r="A351" s="3" t="s">
        <v>445</v>
      </c>
      <c r="B351" s="3">
        <v>6</v>
      </c>
      <c r="C351" s="3" t="s">
        <v>456</v>
      </c>
      <c r="D351" s="8" t="s">
        <v>23</v>
      </c>
      <c r="E351" s="13" t="s">
        <v>457</v>
      </c>
      <c r="F351" s="9">
        <v>620.70000000000005</v>
      </c>
      <c r="G351" s="10">
        <v>1</v>
      </c>
      <c r="H351" s="11">
        <f t="shared" si="29"/>
        <v>620.70000000000005</v>
      </c>
      <c r="J351" s="53"/>
      <c r="K351" s="57"/>
      <c r="L351" s="53"/>
      <c r="M351" s="57"/>
      <c r="N351" s="53"/>
      <c r="O351" s="59"/>
      <c r="P351" s="53"/>
      <c r="Q351" s="69"/>
      <c r="R351" s="53"/>
      <c r="S351" s="57"/>
      <c r="T351" s="66"/>
      <c r="U351" s="57">
        <f>G351</f>
        <v>1</v>
      </c>
      <c r="V351" s="66">
        <f>F351*U351</f>
        <v>620.70000000000005</v>
      </c>
      <c r="W351" s="69"/>
      <c r="X351" s="66"/>
    </row>
    <row r="352" spans="1:26" ht="263" x14ac:dyDescent="0.2">
      <c r="A352" s="3" t="s">
        <v>445</v>
      </c>
      <c r="B352" s="3">
        <v>7</v>
      </c>
      <c r="C352" s="3" t="s">
        <v>458</v>
      </c>
      <c r="D352" s="8" t="s">
        <v>23</v>
      </c>
      <c r="E352" s="13" t="s">
        <v>459</v>
      </c>
      <c r="F352" s="9">
        <v>762.59</v>
      </c>
      <c r="G352" s="10">
        <v>1</v>
      </c>
      <c r="H352" s="11">
        <f t="shared" si="29"/>
        <v>762.59</v>
      </c>
      <c r="J352" s="53"/>
      <c r="K352" s="57"/>
      <c r="L352" s="53"/>
      <c r="M352" s="57"/>
      <c r="N352" s="53"/>
      <c r="O352" s="59"/>
      <c r="P352" s="53"/>
      <c r="Q352" s="69"/>
      <c r="R352" s="53"/>
      <c r="S352" s="57">
        <f>G352</f>
        <v>1</v>
      </c>
      <c r="T352" s="66">
        <f>F352*S352</f>
        <v>762.59</v>
      </c>
      <c r="U352" s="57"/>
      <c r="V352" s="66"/>
      <c r="W352" s="69"/>
      <c r="X352" s="66"/>
    </row>
    <row r="353" spans="1:26" ht="263" x14ac:dyDescent="0.2">
      <c r="A353" s="3" t="s">
        <v>445</v>
      </c>
      <c r="B353" s="3">
        <v>8</v>
      </c>
      <c r="C353" s="3" t="s">
        <v>460</v>
      </c>
      <c r="D353" s="8" t="s">
        <v>23</v>
      </c>
      <c r="E353" s="13" t="s">
        <v>461</v>
      </c>
      <c r="F353" s="9">
        <v>430.9</v>
      </c>
      <c r="G353" s="10">
        <v>1</v>
      </c>
      <c r="H353" s="11">
        <f t="shared" si="29"/>
        <v>430.9</v>
      </c>
      <c r="J353" s="53"/>
      <c r="K353" s="57"/>
      <c r="L353" s="53"/>
      <c r="M353" s="57"/>
      <c r="N353" s="53"/>
      <c r="O353" s="59"/>
      <c r="P353" s="53"/>
      <c r="Q353" s="69"/>
      <c r="R353" s="53"/>
      <c r="S353" s="57">
        <f>G353</f>
        <v>1</v>
      </c>
      <c r="T353" s="66">
        <f>F353*S353</f>
        <v>430.9</v>
      </c>
      <c r="U353" s="57"/>
      <c r="V353" s="66"/>
      <c r="W353" s="69"/>
      <c r="X353" s="66"/>
    </row>
    <row r="354" spans="1:26" ht="263" x14ac:dyDescent="0.2">
      <c r="A354" s="3" t="s">
        <v>445</v>
      </c>
      <c r="B354" s="3">
        <v>9</v>
      </c>
      <c r="C354" s="3" t="s">
        <v>462</v>
      </c>
      <c r="D354" s="8" t="s">
        <v>23</v>
      </c>
      <c r="E354" s="13" t="s">
        <v>463</v>
      </c>
      <c r="F354" s="9">
        <v>747.47</v>
      </c>
      <c r="G354" s="10">
        <v>1</v>
      </c>
      <c r="H354" s="11">
        <f t="shared" si="29"/>
        <v>747.47</v>
      </c>
      <c r="J354" s="53"/>
      <c r="K354" s="57"/>
      <c r="L354" s="53"/>
      <c r="M354" s="57"/>
      <c r="N354" s="53"/>
      <c r="O354" s="59"/>
      <c r="P354" s="53"/>
      <c r="Q354" s="69"/>
      <c r="R354" s="53"/>
      <c r="S354" s="57"/>
      <c r="T354" s="66"/>
      <c r="U354" s="57">
        <f>G354</f>
        <v>1</v>
      </c>
      <c r="V354" s="66">
        <f>F354*U354</f>
        <v>747.47</v>
      </c>
      <c r="W354" s="69"/>
      <c r="X354" s="66"/>
    </row>
    <row r="355" spans="1:26" ht="263" x14ac:dyDescent="0.2">
      <c r="A355" s="3" t="s">
        <v>445</v>
      </c>
      <c r="B355" s="3">
        <v>10</v>
      </c>
      <c r="C355" s="3" t="s">
        <v>464</v>
      </c>
      <c r="D355" s="8" t="s">
        <v>23</v>
      </c>
      <c r="E355" s="13" t="s">
        <v>465</v>
      </c>
      <c r="F355" s="9">
        <v>1418.73</v>
      </c>
      <c r="G355" s="10">
        <v>1</v>
      </c>
      <c r="H355" s="11">
        <f t="shared" si="29"/>
        <v>1418.73</v>
      </c>
      <c r="J355" s="53"/>
      <c r="K355" s="57"/>
      <c r="L355" s="53"/>
      <c r="M355" s="57"/>
      <c r="N355" s="53"/>
      <c r="O355" s="59"/>
      <c r="P355" s="53"/>
      <c r="Q355" s="69"/>
      <c r="R355" s="53"/>
      <c r="S355" s="57"/>
      <c r="T355" s="66"/>
      <c r="U355" s="57">
        <f>G355</f>
        <v>1</v>
      </c>
      <c r="V355" s="66">
        <f>F355*U355</f>
        <v>1418.73</v>
      </c>
      <c r="W355" s="69"/>
      <c r="X355" s="66"/>
    </row>
    <row r="356" spans="1:26" ht="263" x14ac:dyDescent="0.2">
      <c r="A356" s="3" t="s">
        <v>445</v>
      </c>
      <c r="B356" s="3">
        <v>11</v>
      </c>
      <c r="C356" s="3" t="s">
        <v>466</v>
      </c>
      <c r="D356" s="8" t="s">
        <v>23</v>
      </c>
      <c r="E356" s="13" t="s">
        <v>467</v>
      </c>
      <c r="F356" s="9">
        <v>762.59</v>
      </c>
      <c r="G356" s="10">
        <v>4</v>
      </c>
      <c r="H356" s="11">
        <f t="shared" si="29"/>
        <v>3050.36</v>
      </c>
      <c r="J356" s="53"/>
      <c r="K356" s="57"/>
      <c r="L356" s="53"/>
      <c r="M356" s="57"/>
      <c r="N356" s="53"/>
      <c r="O356" s="59"/>
      <c r="P356" s="53"/>
      <c r="Q356" s="69"/>
      <c r="R356" s="53"/>
      <c r="S356" s="57">
        <f>G356</f>
        <v>4</v>
      </c>
      <c r="T356" s="66">
        <f>F356*S356</f>
        <v>3050.36</v>
      </c>
      <c r="U356" s="57"/>
      <c r="V356" s="66"/>
      <c r="W356" s="69"/>
      <c r="X356" s="66"/>
    </row>
    <row r="357" spans="1:26" ht="205" x14ac:dyDescent="0.2">
      <c r="A357" s="3" t="s">
        <v>445</v>
      </c>
      <c r="B357" s="3">
        <v>12</v>
      </c>
      <c r="C357" s="3" t="s">
        <v>468</v>
      </c>
      <c r="D357" s="8" t="s">
        <v>23</v>
      </c>
      <c r="E357" s="13" t="s">
        <v>469</v>
      </c>
      <c r="F357" s="9">
        <v>2980.09</v>
      </c>
      <c r="G357" s="10">
        <v>1</v>
      </c>
      <c r="H357" s="11">
        <f t="shared" si="29"/>
        <v>2980.09</v>
      </c>
      <c r="J357" s="53"/>
      <c r="K357" s="57">
        <f>G357</f>
        <v>1</v>
      </c>
      <c r="L357" s="53">
        <f>F357*K357</f>
        <v>2980.09</v>
      </c>
      <c r="M357" s="57"/>
      <c r="N357" s="53"/>
      <c r="O357" s="59"/>
      <c r="P357" s="53"/>
      <c r="Q357" s="69"/>
      <c r="R357" s="53"/>
      <c r="S357" s="57"/>
      <c r="T357" s="66"/>
      <c r="U357" s="57"/>
      <c r="V357" s="66"/>
      <c r="W357" s="69"/>
      <c r="X357" s="66"/>
    </row>
    <row r="358" spans="1:26" ht="193" x14ac:dyDescent="0.2">
      <c r="A358" s="3" t="s">
        <v>445</v>
      </c>
      <c r="B358" s="3">
        <v>13</v>
      </c>
      <c r="C358" s="3" t="s">
        <v>470</v>
      </c>
      <c r="D358" s="8" t="s">
        <v>23</v>
      </c>
      <c r="E358" s="13" t="s">
        <v>471</v>
      </c>
      <c r="F358" s="9">
        <v>1038.33</v>
      </c>
      <c r="G358" s="10">
        <v>1</v>
      </c>
      <c r="H358" s="11">
        <f t="shared" si="29"/>
        <v>1038.33</v>
      </c>
      <c r="J358" s="53"/>
      <c r="K358" s="57"/>
      <c r="L358" s="53"/>
      <c r="M358" s="57"/>
      <c r="N358" s="53"/>
      <c r="O358" s="59"/>
      <c r="P358" s="53"/>
      <c r="Q358" s="69"/>
      <c r="R358" s="53"/>
      <c r="S358" s="57">
        <f>G358</f>
        <v>1</v>
      </c>
      <c r="T358" s="66">
        <f>F358*S358</f>
        <v>1038.33</v>
      </c>
      <c r="U358" s="57"/>
      <c r="V358" s="66"/>
      <c r="W358" s="69"/>
      <c r="X358" s="66"/>
    </row>
    <row r="359" spans="1:26" ht="205" x14ac:dyDescent="0.2">
      <c r="A359" s="3" t="s">
        <v>445</v>
      </c>
      <c r="B359" s="3">
        <v>14</v>
      </c>
      <c r="C359" s="3" t="s">
        <v>472</v>
      </c>
      <c r="D359" s="8" t="s">
        <v>23</v>
      </c>
      <c r="E359" s="13" t="s">
        <v>473</v>
      </c>
      <c r="F359" s="9">
        <v>1679.88</v>
      </c>
      <c r="G359" s="10">
        <v>1</v>
      </c>
      <c r="H359" s="11">
        <f t="shared" si="29"/>
        <v>1679.88</v>
      </c>
      <c r="J359" s="53"/>
      <c r="K359" s="57"/>
      <c r="L359" s="53"/>
      <c r="M359" s="57"/>
      <c r="N359" s="53"/>
      <c r="O359" s="59"/>
      <c r="P359" s="53"/>
      <c r="Q359" s="69"/>
      <c r="R359" s="53"/>
      <c r="S359" s="57"/>
      <c r="T359" s="66"/>
      <c r="U359" s="57">
        <f>G359</f>
        <v>1</v>
      </c>
      <c r="V359" s="66">
        <f>F359*U359</f>
        <v>1679.88</v>
      </c>
      <c r="W359" s="69"/>
      <c r="X359" s="66"/>
    </row>
    <row r="360" spans="1:26" ht="97" x14ac:dyDescent="0.2">
      <c r="A360" s="3" t="s">
        <v>445</v>
      </c>
      <c r="B360" s="3">
        <v>15</v>
      </c>
      <c r="C360" s="3" t="s">
        <v>474</v>
      </c>
      <c r="D360" s="8" t="s">
        <v>18</v>
      </c>
      <c r="E360" s="13" t="s">
        <v>475</v>
      </c>
      <c r="F360" s="9">
        <v>147.51</v>
      </c>
      <c r="G360" s="10">
        <v>49.685000000000002</v>
      </c>
      <c r="H360" s="11">
        <f t="shared" si="29"/>
        <v>7329.03</v>
      </c>
      <c r="J360" s="53"/>
      <c r="K360" s="57">
        <f>31.622+2.499+2.499+0.303</f>
        <v>36.923000000000002</v>
      </c>
      <c r="L360" s="53">
        <f>F360*K360</f>
        <v>5446.5117300000002</v>
      </c>
      <c r="M360" s="57"/>
      <c r="N360" s="53"/>
      <c r="O360" s="59"/>
      <c r="P360" s="53"/>
      <c r="Q360" s="69"/>
      <c r="R360" s="53"/>
      <c r="S360" s="57">
        <f>0.83+1.17+0.57+4.682</f>
        <v>7.2520000000000007</v>
      </c>
      <c r="T360" s="66">
        <f>F360*S360</f>
        <v>1069.74252</v>
      </c>
      <c r="U360" s="57">
        <f>0.689+1.402+1.128+2.291</f>
        <v>5.51</v>
      </c>
      <c r="V360" s="66">
        <f>F360*U360</f>
        <v>812.78009999999995</v>
      </c>
      <c r="W360" s="69"/>
      <c r="X360" s="66"/>
      <c r="Y360" s="36">
        <f>K360+S360+U360+Q360</f>
        <v>49.685000000000002</v>
      </c>
      <c r="Z360" s="37">
        <f>J360+L360+T360+V360+R360</f>
        <v>7329.0343499999999</v>
      </c>
    </row>
    <row r="361" spans="1:26" x14ac:dyDescent="0.2">
      <c r="E361" s="81" t="s">
        <v>25</v>
      </c>
      <c r="F361" s="6"/>
      <c r="G361" s="6"/>
      <c r="H361" s="12">
        <f>SUM(H346:H360)</f>
        <v>35171.570000000007</v>
      </c>
      <c r="J361" s="53"/>
      <c r="K361" s="57"/>
      <c r="L361" s="54">
        <f>L346+L347+L348+L357+L360</f>
        <v>22527.961729999995</v>
      </c>
      <c r="M361" s="58"/>
      <c r="N361" s="54">
        <f>N349+N352+N353+N356+N358+N360</f>
        <v>0</v>
      </c>
      <c r="O361" s="60"/>
      <c r="P361" s="71">
        <f>SUM(P348:P360)</f>
        <v>0</v>
      </c>
      <c r="Q361" s="69"/>
      <c r="R361" s="53"/>
      <c r="S361" s="58"/>
      <c r="T361" s="67">
        <f>T349+T352+T353+T356+T358+T360</f>
        <v>6848.3025199999993</v>
      </c>
      <c r="U361" s="58"/>
      <c r="V361" s="67">
        <f>V350+V351+V354+V355+V359+V360</f>
        <v>5795.3101000000006</v>
      </c>
      <c r="W361" s="69"/>
      <c r="X361" s="66"/>
      <c r="Z361" s="37">
        <f>J361+L361+T361+V361+R361</f>
        <v>35171.574349999995</v>
      </c>
    </row>
    <row r="362" spans="1:26" x14ac:dyDescent="0.2">
      <c r="J362" s="53"/>
      <c r="K362" s="57"/>
      <c r="L362" s="53"/>
      <c r="M362" s="57"/>
      <c r="N362" s="53"/>
      <c r="O362" s="59"/>
      <c r="P362" s="53"/>
      <c r="Q362" s="69"/>
      <c r="R362" s="53"/>
      <c r="S362" s="57"/>
      <c r="T362" s="66"/>
      <c r="U362" s="57"/>
      <c r="V362" s="66"/>
      <c r="W362" s="69"/>
      <c r="X362" s="66"/>
    </row>
    <row r="363" spans="1:26" x14ac:dyDescent="0.2">
      <c r="C363" s="6" t="s">
        <v>6</v>
      </c>
      <c r="D363" s="7" t="s">
        <v>7</v>
      </c>
      <c r="E363" s="81" t="s">
        <v>8</v>
      </c>
      <c r="J363" s="53"/>
      <c r="K363" s="57"/>
      <c r="L363" s="53"/>
      <c r="M363" s="57"/>
      <c r="N363" s="53"/>
      <c r="O363" s="59"/>
      <c r="P363" s="53"/>
      <c r="Q363" s="69"/>
      <c r="R363" s="53"/>
      <c r="S363" s="57"/>
      <c r="T363" s="66"/>
      <c r="U363" s="57"/>
      <c r="V363" s="66"/>
      <c r="W363" s="69"/>
      <c r="X363" s="66"/>
    </row>
    <row r="364" spans="1:26" x14ac:dyDescent="0.2">
      <c r="C364" s="6" t="s">
        <v>9</v>
      </c>
      <c r="D364" s="7" t="s">
        <v>72</v>
      </c>
      <c r="E364" s="81" t="s">
        <v>165</v>
      </c>
      <c r="J364" s="53"/>
      <c r="K364" s="57"/>
      <c r="L364" s="53"/>
      <c r="M364" s="57"/>
      <c r="N364" s="53"/>
      <c r="O364" s="59"/>
      <c r="P364" s="53"/>
      <c r="Q364" s="69"/>
      <c r="R364" s="53"/>
      <c r="S364" s="57"/>
      <c r="T364" s="66"/>
      <c r="U364" s="57"/>
      <c r="V364" s="66"/>
      <c r="W364" s="69"/>
      <c r="X364" s="66"/>
    </row>
    <row r="365" spans="1:26" x14ac:dyDescent="0.2">
      <c r="C365" s="6" t="s">
        <v>11</v>
      </c>
      <c r="D365" s="7" t="s">
        <v>153</v>
      </c>
      <c r="E365" s="81" t="s">
        <v>443</v>
      </c>
      <c r="J365" s="53"/>
      <c r="K365" s="57"/>
      <c r="L365" s="53"/>
      <c r="M365" s="57"/>
      <c r="N365" s="53"/>
      <c r="O365" s="59"/>
      <c r="P365" s="53"/>
      <c r="Q365" s="69"/>
      <c r="R365" s="53"/>
      <c r="S365" s="57"/>
      <c r="T365" s="66"/>
      <c r="U365" s="57"/>
      <c r="V365" s="66"/>
      <c r="W365" s="69"/>
      <c r="X365" s="66"/>
    </row>
    <row r="366" spans="1:26" x14ac:dyDescent="0.2">
      <c r="C366" s="6" t="s">
        <v>91</v>
      </c>
      <c r="D366" s="7" t="s">
        <v>26</v>
      </c>
      <c r="E366" s="81" t="s">
        <v>476</v>
      </c>
      <c r="J366" s="53"/>
      <c r="K366" s="57"/>
      <c r="L366" s="53"/>
      <c r="M366" s="57"/>
      <c r="N366" s="53"/>
      <c r="O366" s="59"/>
      <c r="P366" s="53"/>
      <c r="Q366" s="69"/>
      <c r="R366" s="53"/>
      <c r="S366" s="57"/>
      <c r="T366" s="66"/>
      <c r="U366" s="57"/>
      <c r="V366" s="66"/>
      <c r="W366" s="69"/>
      <c r="X366" s="66"/>
    </row>
    <row r="367" spans="1:26" x14ac:dyDescent="0.2">
      <c r="J367" s="53"/>
      <c r="K367" s="57"/>
      <c r="L367" s="53"/>
      <c r="M367" s="57"/>
      <c r="N367" s="53"/>
      <c r="O367" s="59"/>
      <c r="P367" s="53"/>
      <c r="Q367" s="69"/>
      <c r="R367" s="53"/>
      <c r="S367" s="57"/>
      <c r="T367" s="66"/>
      <c r="U367" s="57"/>
      <c r="V367" s="66"/>
      <c r="W367" s="69"/>
      <c r="X367" s="66"/>
    </row>
    <row r="368" spans="1:26" ht="384" x14ac:dyDescent="0.2">
      <c r="A368" s="3" t="s">
        <v>477</v>
      </c>
      <c r="B368" s="3">
        <v>1</v>
      </c>
      <c r="C368" s="3" t="s">
        <v>478</v>
      </c>
      <c r="D368" s="8" t="s">
        <v>23</v>
      </c>
      <c r="E368" s="13" t="s">
        <v>479</v>
      </c>
      <c r="F368" s="9">
        <v>3134.71</v>
      </c>
      <c r="G368" s="10">
        <v>1</v>
      </c>
      <c r="H368" s="11">
        <f t="shared" ref="H368:H382" si="30">ROUND(ROUND(F368,2)*ROUND(G368,3),2)</f>
        <v>3134.71</v>
      </c>
      <c r="J368" s="53"/>
      <c r="K368" s="57">
        <f>G368</f>
        <v>1</v>
      </c>
      <c r="L368" s="53">
        <f>F368*K368</f>
        <v>3134.71</v>
      </c>
      <c r="M368" s="57"/>
      <c r="N368" s="53"/>
      <c r="O368" s="59"/>
      <c r="P368" s="53"/>
      <c r="Q368" s="69"/>
      <c r="R368" s="53"/>
      <c r="S368" s="57"/>
      <c r="T368" s="66"/>
      <c r="U368" s="57"/>
      <c r="V368" s="66"/>
      <c r="W368" s="69"/>
      <c r="X368" s="66"/>
    </row>
    <row r="369" spans="1:26" ht="384" x14ac:dyDescent="0.2">
      <c r="A369" s="3" t="s">
        <v>477</v>
      </c>
      <c r="B369" s="3">
        <v>2</v>
      </c>
      <c r="C369" s="3" t="s">
        <v>480</v>
      </c>
      <c r="D369" s="8" t="s">
        <v>23</v>
      </c>
      <c r="E369" s="13" t="s">
        <v>481</v>
      </c>
      <c r="F369" s="9">
        <v>2358.59</v>
      </c>
      <c r="G369" s="10">
        <v>1</v>
      </c>
      <c r="H369" s="11">
        <f t="shared" si="30"/>
        <v>2358.59</v>
      </c>
      <c r="J369" s="53"/>
      <c r="K369" s="57">
        <f>G369</f>
        <v>1</v>
      </c>
      <c r="L369" s="53">
        <f>F369*K369</f>
        <v>2358.59</v>
      </c>
      <c r="M369" s="57"/>
      <c r="N369" s="53"/>
      <c r="O369" s="59"/>
      <c r="P369" s="53"/>
      <c r="Q369" s="69"/>
      <c r="R369" s="53"/>
      <c r="S369" s="57"/>
      <c r="T369" s="66"/>
      <c r="U369" s="57"/>
      <c r="V369" s="66"/>
      <c r="W369" s="69"/>
      <c r="X369" s="66"/>
    </row>
    <row r="370" spans="1:26" ht="384" x14ac:dyDescent="0.2">
      <c r="A370" s="3" t="s">
        <v>477</v>
      </c>
      <c r="B370" s="3">
        <v>3</v>
      </c>
      <c r="C370" s="3" t="s">
        <v>482</v>
      </c>
      <c r="D370" s="8" t="s">
        <v>23</v>
      </c>
      <c r="E370" s="13" t="s">
        <v>483</v>
      </c>
      <c r="F370" s="9">
        <v>2358.59</v>
      </c>
      <c r="G370" s="10">
        <v>1</v>
      </c>
      <c r="H370" s="11">
        <f t="shared" si="30"/>
        <v>2358.59</v>
      </c>
      <c r="J370" s="53"/>
      <c r="K370" s="57">
        <f>G370</f>
        <v>1</v>
      </c>
      <c r="L370" s="53">
        <f>F370*K370</f>
        <v>2358.59</v>
      </c>
      <c r="M370" s="57"/>
      <c r="N370" s="53"/>
      <c r="O370" s="59"/>
      <c r="P370" s="53"/>
      <c r="Q370" s="69"/>
      <c r="R370" s="53"/>
      <c r="S370" s="57"/>
      <c r="T370" s="66"/>
      <c r="U370" s="57"/>
      <c r="V370" s="66"/>
      <c r="W370" s="69"/>
      <c r="X370" s="66"/>
    </row>
    <row r="371" spans="1:26" ht="384" x14ac:dyDescent="0.2">
      <c r="A371" s="3" t="s">
        <v>477</v>
      </c>
      <c r="B371" s="3">
        <v>4</v>
      </c>
      <c r="C371" s="3" t="s">
        <v>484</v>
      </c>
      <c r="D371" s="8" t="s">
        <v>23</v>
      </c>
      <c r="E371" s="13" t="s">
        <v>485</v>
      </c>
      <c r="F371" s="9">
        <v>2358.59</v>
      </c>
      <c r="G371" s="10">
        <v>1</v>
      </c>
      <c r="H371" s="11">
        <f t="shared" si="30"/>
        <v>2358.59</v>
      </c>
      <c r="J371" s="53"/>
      <c r="K371" s="57">
        <f>G371</f>
        <v>1</v>
      </c>
      <c r="L371" s="53">
        <f>H371*K371</f>
        <v>2358.59</v>
      </c>
      <c r="M371" s="57"/>
      <c r="N371" s="53"/>
      <c r="O371" s="59"/>
      <c r="P371" s="53"/>
      <c r="Q371" s="69"/>
      <c r="R371" s="53"/>
      <c r="S371" s="57"/>
      <c r="T371" s="66"/>
      <c r="U371" s="57"/>
      <c r="V371" s="66"/>
      <c r="W371" s="69"/>
      <c r="X371" s="66"/>
    </row>
    <row r="372" spans="1:26" ht="384" x14ac:dyDescent="0.2">
      <c r="A372" s="3" t="s">
        <v>477</v>
      </c>
      <c r="B372" s="3">
        <v>5</v>
      </c>
      <c r="C372" s="3" t="s">
        <v>486</v>
      </c>
      <c r="D372" s="8" t="s">
        <v>23</v>
      </c>
      <c r="E372" s="13" t="s">
        <v>487</v>
      </c>
      <c r="F372" s="9">
        <v>2358.59</v>
      </c>
      <c r="G372" s="10">
        <v>1</v>
      </c>
      <c r="H372" s="11">
        <f t="shared" si="30"/>
        <v>2358.59</v>
      </c>
      <c r="J372" s="53"/>
      <c r="K372" s="57">
        <f>G372</f>
        <v>1</v>
      </c>
      <c r="L372" s="53">
        <f>H372*K372</f>
        <v>2358.59</v>
      </c>
      <c r="M372" s="57"/>
      <c r="N372" s="53"/>
      <c r="O372" s="59"/>
      <c r="P372" s="53"/>
      <c r="Q372" s="69"/>
      <c r="R372" s="53"/>
      <c r="S372" s="57"/>
      <c r="T372" s="66"/>
      <c r="U372" s="57"/>
      <c r="V372" s="66"/>
      <c r="W372" s="69"/>
      <c r="X372" s="66"/>
    </row>
    <row r="373" spans="1:26" ht="406" x14ac:dyDescent="0.2">
      <c r="A373" s="3" t="s">
        <v>477</v>
      </c>
      <c r="B373" s="3">
        <v>6</v>
      </c>
      <c r="C373" s="3" t="s">
        <v>488</v>
      </c>
      <c r="D373" s="8" t="s">
        <v>23</v>
      </c>
      <c r="E373" s="13" t="s">
        <v>489</v>
      </c>
      <c r="F373" s="9">
        <v>4285.92</v>
      </c>
      <c r="G373" s="10">
        <v>1</v>
      </c>
      <c r="H373" s="11">
        <f t="shared" si="30"/>
        <v>4285.92</v>
      </c>
      <c r="J373" s="53"/>
      <c r="K373" s="57"/>
      <c r="L373" s="53"/>
      <c r="M373" s="57"/>
      <c r="N373" s="53"/>
      <c r="O373" s="59"/>
      <c r="P373" s="53"/>
      <c r="Q373" s="69"/>
      <c r="R373" s="53"/>
      <c r="S373" s="57"/>
      <c r="T373" s="66"/>
      <c r="U373" s="57">
        <f>G373</f>
        <v>1</v>
      </c>
      <c r="V373" s="66">
        <f>F373*U373</f>
        <v>4285.92</v>
      </c>
      <c r="W373" s="69"/>
      <c r="X373" s="66"/>
    </row>
    <row r="374" spans="1:26" ht="384" x14ac:dyDescent="0.2">
      <c r="A374" s="3" t="s">
        <v>477</v>
      </c>
      <c r="B374" s="3">
        <v>7</v>
      </c>
      <c r="C374" s="3" t="s">
        <v>490</v>
      </c>
      <c r="D374" s="8" t="s">
        <v>23</v>
      </c>
      <c r="E374" s="13" t="s">
        <v>491</v>
      </c>
      <c r="F374" s="9">
        <v>6091.22</v>
      </c>
      <c r="G374" s="10">
        <v>1</v>
      </c>
      <c r="H374" s="11">
        <f t="shared" si="30"/>
        <v>6091.22</v>
      </c>
      <c r="J374" s="53"/>
      <c r="K374" s="57"/>
      <c r="L374" s="53"/>
      <c r="M374" s="57"/>
      <c r="N374" s="53"/>
      <c r="O374" s="59"/>
      <c r="P374" s="53"/>
      <c r="Q374" s="69"/>
      <c r="R374" s="53"/>
      <c r="S374" s="57">
        <f t="shared" ref="S374:S380" si="31">G374</f>
        <v>1</v>
      </c>
      <c r="T374" s="66">
        <f t="shared" ref="T374:T380" si="32">F374*S374</f>
        <v>6091.22</v>
      </c>
      <c r="U374" s="57"/>
      <c r="V374" s="66"/>
      <c r="W374" s="69"/>
      <c r="X374" s="66"/>
    </row>
    <row r="375" spans="1:26" ht="384" x14ac:dyDescent="0.2">
      <c r="A375" s="3" t="s">
        <v>477</v>
      </c>
      <c r="B375" s="3">
        <v>8</v>
      </c>
      <c r="C375" s="3" t="s">
        <v>492</v>
      </c>
      <c r="D375" s="8" t="s">
        <v>23</v>
      </c>
      <c r="E375" s="13" t="s">
        <v>493</v>
      </c>
      <c r="F375" s="9">
        <v>5972.42</v>
      </c>
      <c r="G375" s="10">
        <v>1</v>
      </c>
      <c r="H375" s="11">
        <f t="shared" si="30"/>
        <v>5972.42</v>
      </c>
      <c r="J375" s="53"/>
      <c r="K375" s="57"/>
      <c r="L375" s="53"/>
      <c r="M375" s="57"/>
      <c r="N375" s="53"/>
      <c r="O375" s="59"/>
      <c r="P375" s="53"/>
      <c r="Q375" s="69"/>
      <c r="R375" s="53"/>
      <c r="S375" s="57">
        <f t="shared" si="31"/>
        <v>1</v>
      </c>
      <c r="T375" s="66">
        <f t="shared" si="32"/>
        <v>5972.42</v>
      </c>
      <c r="U375" s="57"/>
      <c r="V375" s="66"/>
      <c r="W375" s="69"/>
      <c r="X375" s="66"/>
    </row>
    <row r="376" spans="1:26" ht="395" x14ac:dyDescent="0.2">
      <c r="A376" s="3" t="s">
        <v>477</v>
      </c>
      <c r="B376" s="3">
        <v>9</v>
      </c>
      <c r="C376" s="3" t="s">
        <v>494</v>
      </c>
      <c r="D376" s="8" t="s">
        <v>23</v>
      </c>
      <c r="E376" s="13" t="s">
        <v>495</v>
      </c>
      <c r="F376" s="9">
        <v>20387.599999999999</v>
      </c>
      <c r="G376" s="10">
        <v>1</v>
      </c>
      <c r="H376" s="11">
        <f t="shared" si="30"/>
        <v>20387.599999999999</v>
      </c>
      <c r="J376" s="53"/>
      <c r="K376" s="57"/>
      <c r="L376" s="53"/>
      <c r="M376" s="57"/>
      <c r="N376" s="53"/>
      <c r="O376" s="59"/>
      <c r="P376" s="53"/>
      <c r="Q376" s="69"/>
      <c r="R376" s="53"/>
      <c r="S376" s="57">
        <f t="shared" si="31"/>
        <v>1</v>
      </c>
      <c r="T376" s="66">
        <f t="shared" si="32"/>
        <v>20387.599999999999</v>
      </c>
      <c r="U376" s="57"/>
      <c r="V376" s="66"/>
      <c r="W376" s="69"/>
      <c r="X376" s="66"/>
    </row>
    <row r="377" spans="1:26" ht="384" x14ac:dyDescent="0.2">
      <c r="A377" s="3" t="s">
        <v>477</v>
      </c>
      <c r="B377" s="3">
        <v>10</v>
      </c>
      <c r="C377" s="3" t="s">
        <v>496</v>
      </c>
      <c r="D377" s="8" t="s">
        <v>23</v>
      </c>
      <c r="E377" s="13" t="s">
        <v>497</v>
      </c>
      <c r="F377" s="9">
        <v>3137.27</v>
      </c>
      <c r="G377" s="10">
        <v>2</v>
      </c>
      <c r="H377" s="11">
        <f t="shared" si="30"/>
        <v>6274.54</v>
      </c>
      <c r="J377" s="53"/>
      <c r="K377" s="57"/>
      <c r="L377" s="53"/>
      <c r="M377" s="57"/>
      <c r="N377" s="53"/>
      <c r="O377" s="59"/>
      <c r="P377" s="53"/>
      <c r="Q377" s="69"/>
      <c r="R377" s="53"/>
      <c r="S377" s="57">
        <f t="shared" si="31"/>
        <v>2</v>
      </c>
      <c r="T377" s="66">
        <f t="shared" si="32"/>
        <v>6274.54</v>
      </c>
      <c r="U377" s="57"/>
      <c r="V377" s="66"/>
      <c r="W377" s="69"/>
      <c r="X377" s="66"/>
    </row>
    <row r="378" spans="1:26" ht="384" x14ac:dyDescent="0.2">
      <c r="A378" s="3" t="s">
        <v>477</v>
      </c>
      <c r="B378" s="3">
        <v>11</v>
      </c>
      <c r="C378" s="3" t="s">
        <v>498</v>
      </c>
      <c r="D378" s="8" t="s">
        <v>23</v>
      </c>
      <c r="E378" s="13" t="s">
        <v>499</v>
      </c>
      <c r="F378" s="9">
        <v>3137.27</v>
      </c>
      <c r="G378" s="10">
        <v>1</v>
      </c>
      <c r="H378" s="11">
        <f t="shared" si="30"/>
        <v>3137.27</v>
      </c>
      <c r="J378" s="53"/>
      <c r="K378" s="57"/>
      <c r="L378" s="53"/>
      <c r="M378" s="57"/>
      <c r="N378" s="53"/>
      <c r="O378" s="59"/>
      <c r="P378" s="53"/>
      <c r="Q378" s="69"/>
      <c r="R378" s="53"/>
      <c r="S378" s="57">
        <f t="shared" si="31"/>
        <v>1</v>
      </c>
      <c r="T378" s="66">
        <f t="shared" si="32"/>
        <v>3137.27</v>
      </c>
      <c r="U378" s="57"/>
      <c r="V378" s="66"/>
      <c r="W378" s="69"/>
      <c r="X378" s="66"/>
    </row>
    <row r="379" spans="1:26" ht="384" x14ac:dyDescent="0.2">
      <c r="A379" s="3" t="s">
        <v>477</v>
      </c>
      <c r="B379" s="3">
        <v>12</v>
      </c>
      <c r="C379" s="3" t="s">
        <v>500</v>
      </c>
      <c r="D379" s="8" t="s">
        <v>23</v>
      </c>
      <c r="E379" s="13" t="s">
        <v>501</v>
      </c>
      <c r="F379" s="9">
        <v>3137.27</v>
      </c>
      <c r="G379" s="10">
        <v>1</v>
      </c>
      <c r="H379" s="11">
        <f t="shared" si="30"/>
        <v>3137.27</v>
      </c>
      <c r="J379" s="53"/>
      <c r="K379" s="57"/>
      <c r="L379" s="53"/>
      <c r="M379" s="57"/>
      <c r="N379" s="53"/>
      <c r="O379" s="59"/>
      <c r="P379" s="53"/>
      <c r="Q379" s="69"/>
      <c r="R379" s="53"/>
      <c r="S379" s="57">
        <f t="shared" si="31"/>
        <v>1</v>
      </c>
      <c r="T379" s="66">
        <f t="shared" si="32"/>
        <v>3137.27</v>
      </c>
      <c r="U379" s="57"/>
      <c r="V379" s="66"/>
      <c r="W379" s="69"/>
      <c r="X379" s="66"/>
    </row>
    <row r="380" spans="1:26" ht="384" x14ac:dyDescent="0.2">
      <c r="A380" s="3" t="s">
        <v>477</v>
      </c>
      <c r="B380" s="3">
        <v>13</v>
      </c>
      <c r="C380" s="3" t="s">
        <v>502</v>
      </c>
      <c r="D380" s="8" t="s">
        <v>23</v>
      </c>
      <c r="E380" s="13" t="s">
        <v>503</v>
      </c>
      <c r="F380" s="9">
        <v>3137.27</v>
      </c>
      <c r="G380" s="10">
        <v>1</v>
      </c>
      <c r="H380" s="11">
        <f t="shared" si="30"/>
        <v>3137.27</v>
      </c>
      <c r="J380" s="53"/>
      <c r="K380" s="57"/>
      <c r="L380" s="53"/>
      <c r="M380" s="57"/>
      <c r="N380" s="53"/>
      <c r="O380" s="59"/>
      <c r="P380" s="53"/>
      <c r="Q380" s="69"/>
      <c r="R380" s="53"/>
      <c r="S380" s="57">
        <f t="shared" si="31"/>
        <v>1</v>
      </c>
      <c r="T380" s="66">
        <f t="shared" si="32"/>
        <v>3137.27</v>
      </c>
      <c r="U380" s="57"/>
      <c r="V380" s="66"/>
      <c r="W380" s="69"/>
      <c r="X380" s="66"/>
    </row>
    <row r="381" spans="1:26" ht="395" x14ac:dyDescent="0.2">
      <c r="A381" s="3" t="s">
        <v>477</v>
      </c>
      <c r="B381" s="3">
        <v>14</v>
      </c>
      <c r="C381" s="3" t="s">
        <v>504</v>
      </c>
      <c r="D381" s="8" t="s">
        <v>23</v>
      </c>
      <c r="E381" s="13" t="s">
        <v>505</v>
      </c>
      <c r="F381" s="9">
        <v>3802.83</v>
      </c>
      <c r="G381" s="10">
        <v>1</v>
      </c>
      <c r="H381" s="11">
        <f t="shared" si="30"/>
        <v>3802.83</v>
      </c>
      <c r="J381" s="53"/>
      <c r="K381" s="57">
        <f>G381</f>
        <v>1</v>
      </c>
      <c r="L381" s="53">
        <f>F381*K381</f>
        <v>3802.83</v>
      </c>
      <c r="M381" s="57"/>
      <c r="N381" s="53"/>
      <c r="O381" s="59"/>
      <c r="P381" s="53"/>
      <c r="Q381" s="69"/>
      <c r="R381" s="53"/>
      <c r="S381" s="57"/>
      <c r="T381" s="66"/>
      <c r="U381" s="57"/>
      <c r="V381" s="66"/>
      <c r="W381" s="69"/>
      <c r="X381" s="66"/>
    </row>
    <row r="382" spans="1:26" ht="406" x14ac:dyDescent="0.2">
      <c r="A382" s="3" t="s">
        <v>477</v>
      </c>
      <c r="B382" s="3">
        <v>15</v>
      </c>
      <c r="C382" s="3" t="s">
        <v>506</v>
      </c>
      <c r="D382" s="8" t="s">
        <v>23</v>
      </c>
      <c r="E382" s="13" t="s">
        <v>507</v>
      </c>
      <c r="F382" s="9">
        <v>11191.25</v>
      </c>
      <c r="G382" s="10">
        <v>1</v>
      </c>
      <c r="H382" s="11">
        <f t="shared" si="30"/>
        <v>11191.25</v>
      </c>
      <c r="J382" s="53"/>
      <c r="K382" s="57">
        <f>G382</f>
        <v>1</v>
      </c>
      <c r="L382" s="53">
        <f>F382*K382</f>
        <v>11191.25</v>
      </c>
      <c r="M382" s="57"/>
      <c r="N382" s="53"/>
      <c r="O382" s="59"/>
      <c r="P382" s="53"/>
      <c r="Q382" s="69"/>
      <c r="R382" s="53"/>
      <c r="S382" s="57"/>
      <c r="T382" s="66"/>
      <c r="U382" s="57"/>
      <c r="V382" s="66"/>
      <c r="W382" s="69"/>
      <c r="X382" s="66"/>
    </row>
    <row r="383" spans="1:26" ht="97" x14ac:dyDescent="0.2">
      <c r="A383" s="3" t="s">
        <v>477</v>
      </c>
      <c r="B383" s="3">
        <v>16</v>
      </c>
      <c r="C383" s="3" t="s">
        <v>508</v>
      </c>
      <c r="D383" s="8" t="s">
        <v>18</v>
      </c>
      <c r="E383" s="13" t="s">
        <v>509</v>
      </c>
      <c r="F383" s="9">
        <v>91.61</v>
      </c>
      <c r="G383" s="10">
        <v>61.097000000000001</v>
      </c>
      <c r="H383" s="11">
        <f>ROUND(ROUND(F383,2)*ROUND(G383,3),2)</f>
        <v>5597.1</v>
      </c>
      <c r="J383" s="53"/>
      <c r="K383" s="57">
        <f>(2.136+0.797+0.797+0.797+0.797+2.575+13.95)</f>
        <v>21.849</v>
      </c>
      <c r="L383" s="53">
        <f>F383*K383</f>
        <v>2001.58689</v>
      </c>
      <c r="M383" s="57"/>
      <c r="N383" s="53"/>
      <c r="O383" s="59"/>
      <c r="P383" s="53"/>
      <c r="Q383" s="69"/>
      <c r="R383" s="53"/>
      <c r="S383" s="57">
        <f>(5.129+4.921+15.428+3.968+1.984+1.984+1.984)</f>
        <v>35.398000000000003</v>
      </c>
      <c r="T383" s="66">
        <f>F383*S383</f>
        <v>3242.8107800000002</v>
      </c>
      <c r="U383" s="57">
        <f>3.85</f>
        <v>3.85</v>
      </c>
      <c r="V383" s="66">
        <f>F383*U383</f>
        <v>352.69850000000002</v>
      </c>
      <c r="W383" s="69"/>
      <c r="X383" s="66"/>
      <c r="Y383" s="36">
        <f>K383+S383+U383</f>
        <v>61.097000000000001</v>
      </c>
    </row>
    <row r="384" spans="1:26" x14ac:dyDescent="0.2">
      <c r="E384" s="81" t="s">
        <v>25</v>
      </c>
      <c r="F384" s="6"/>
      <c r="G384" s="6"/>
      <c r="H384" s="12">
        <f>SUM(H368:H383)</f>
        <v>85583.76</v>
      </c>
      <c r="J384" s="53"/>
      <c r="K384" s="57"/>
      <c r="L384" s="54">
        <f>L368+L369+L370+L371+L372+L381+L382+L383</f>
        <v>29564.73689</v>
      </c>
      <c r="M384" s="58"/>
      <c r="N384" s="54">
        <f>N374+N375+N376+N377+N378+N379+N380+N383</f>
        <v>0</v>
      </c>
      <c r="O384" s="60"/>
      <c r="P384" s="71">
        <f>SUM(P371:P383)</f>
        <v>0</v>
      </c>
      <c r="Q384" s="69"/>
      <c r="R384" s="53"/>
      <c r="S384" s="58"/>
      <c r="T384" s="67">
        <f>T374+T375+T376+T377+T378+T379+T380+T383</f>
        <v>51380.400779999989</v>
      </c>
      <c r="U384" s="58"/>
      <c r="V384" s="67">
        <f>V373+V383</f>
        <v>4638.6185000000005</v>
      </c>
      <c r="W384" s="69"/>
      <c r="X384" s="66"/>
      <c r="Z384" s="37">
        <f>J384+L384+T384+V384+R384</f>
        <v>85583.756169999993</v>
      </c>
    </row>
    <row r="385" spans="1:24" x14ac:dyDescent="0.2">
      <c r="J385" s="53"/>
      <c r="K385" s="57"/>
      <c r="L385" s="53"/>
      <c r="M385" s="57"/>
      <c r="N385" s="53"/>
      <c r="O385" s="59"/>
      <c r="P385" s="53"/>
      <c r="Q385" s="69"/>
      <c r="R385" s="53"/>
      <c r="S385" s="57"/>
      <c r="T385" s="66"/>
      <c r="U385" s="57"/>
      <c r="V385" s="66"/>
      <c r="W385" s="69"/>
      <c r="X385" s="66"/>
    </row>
    <row r="386" spans="1:24" x14ac:dyDescent="0.2">
      <c r="C386" s="6" t="s">
        <v>6</v>
      </c>
      <c r="D386" s="7" t="s">
        <v>7</v>
      </c>
      <c r="E386" s="81" t="s">
        <v>8</v>
      </c>
      <c r="J386" s="53"/>
      <c r="K386" s="57"/>
      <c r="L386" s="53"/>
      <c r="M386" s="57"/>
      <c r="N386" s="53"/>
      <c r="O386" s="59"/>
      <c r="P386" s="53"/>
      <c r="Q386" s="69"/>
      <c r="R386" s="53"/>
      <c r="S386" s="57"/>
      <c r="T386" s="66"/>
      <c r="U386" s="57"/>
      <c r="V386" s="66"/>
      <c r="W386" s="69"/>
      <c r="X386" s="66"/>
    </row>
    <row r="387" spans="1:24" x14ac:dyDescent="0.2">
      <c r="C387" s="6" t="s">
        <v>9</v>
      </c>
      <c r="D387" s="7" t="s">
        <v>72</v>
      </c>
      <c r="E387" s="81" t="s">
        <v>165</v>
      </c>
      <c r="J387" s="53"/>
      <c r="K387" s="57"/>
      <c r="L387" s="53"/>
      <c r="M387" s="57"/>
      <c r="N387" s="53"/>
      <c r="O387" s="59"/>
      <c r="P387" s="53"/>
      <c r="Q387" s="69"/>
      <c r="R387" s="53"/>
      <c r="S387" s="57"/>
      <c r="T387" s="66"/>
      <c r="U387" s="57"/>
      <c r="V387" s="66"/>
      <c r="W387" s="69"/>
      <c r="X387" s="66"/>
    </row>
    <row r="388" spans="1:24" x14ac:dyDescent="0.2">
      <c r="C388" s="6" t="s">
        <v>11</v>
      </c>
      <c r="D388" s="7" t="s">
        <v>153</v>
      </c>
      <c r="E388" s="81" t="s">
        <v>443</v>
      </c>
      <c r="J388" s="53"/>
      <c r="K388" s="57"/>
      <c r="L388" s="53"/>
      <c r="M388" s="57"/>
      <c r="N388" s="53"/>
      <c r="O388" s="59"/>
      <c r="P388" s="53"/>
      <c r="Q388" s="69"/>
      <c r="R388" s="53"/>
      <c r="S388" s="57"/>
      <c r="T388" s="66"/>
      <c r="U388" s="57"/>
      <c r="V388" s="66"/>
      <c r="W388" s="69"/>
      <c r="X388" s="66"/>
    </row>
    <row r="389" spans="1:24" x14ac:dyDescent="0.2">
      <c r="C389" s="6" t="s">
        <v>91</v>
      </c>
      <c r="D389" s="7" t="s">
        <v>72</v>
      </c>
      <c r="E389" s="81" t="s">
        <v>510</v>
      </c>
      <c r="J389" s="53"/>
      <c r="K389" s="57"/>
      <c r="L389" s="53"/>
      <c r="M389" s="57"/>
      <c r="N389" s="53"/>
      <c r="O389" s="59"/>
      <c r="P389" s="53"/>
      <c r="Q389" s="69"/>
      <c r="R389" s="53"/>
      <c r="S389" s="57"/>
      <c r="T389" s="66"/>
      <c r="U389" s="57"/>
      <c r="V389" s="66"/>
      <c r="W389" s="69"/>
      <c r="X389" s="66"/>
    </row>
    <row r="390" spans="1:24" x14ac:dyDescent="0.2">
      <c r="J390" s="53"/>
      <c r="K390" s="57"/>
      <c r="L390" s="53"/>
      <c r="M390" s="57"/>
      <c r="N390" s="53"/>
      <c r="O390" s="59"/>
      <c r="P390" s="53"/>
      <c r="Q390" s="69"/>
      <c r="R390" s="53"/>
      <c r="S390" s="57"/>
      <c r="T390" s="66"/>
      <c r="U390" s="57"/>
      <c r="V390" s="66"/>
      <c r="W390" s="69"/>
      <c r="X390" s="66"/>
    </row>
    <row r="391" spans="1:24" ht="49" x14ac:dyDescent="0.2">
      <c r="A391" s="3" t="s">
        <v>511</v>
      </c>
      <c r="B391" s="3">
        <v>1</v>
      </c>
      <c r="C391" s="3" t="s">
        <v>512</v>
      </c>
      <c r="D391" s="8" t="s">
        <v>23</v>
      </c>
      <c r="E391" s="13" t="s">
        <v>513</v>
      </c>
      <c r="F391" s="9">
        <v>475.2</v>
      </c>
      <c r="G391" s="10">
        <v>1</v>
      </c>
      <c r="H391" s="11">
        <f>ROUND(ROUND(F391,2)*ROUND(G391,3),2)</f>
        <v>475.2</v>
      </c>
      <c r="J391" s="53"/>
      <c r="K391" s="57"/>
      <c r="L391" s="53"/>
      <c r="M391" s="57"/>
      <c r="N391" s="53"/>
      <c r="O391" s="59"/>
      <c r="P391" s="53"/>
      <c r="Q391" s="69">
        <f>G391</f>
        <v>1</v>
      </c>
      <c r="R391" s="53">
        <f>F391*Q391</f>
        <v>475.2</v>
      </c>
      <c r="S391" s="57"/>
      <c r="T391" s="66"/>
      <c r="U391" s="57"/>
      <c r="V391" s="66"/>
      <c r="W391" s="69"/>
      <c r="X391" s="66"/>
    </row>
    <row r="392" spans="1:24" ht="49" x14ac:dyDescent="0.2">
      <c r="A392" s="3" t="s">
        <v>511</v>
      </c>
      <c r="B392" s="3">
        <v>2</v>
      </c>
      <c r="C392" s="3" t="s">
        <v>514</v>
      </c>
      <c r="D392" s="8" t="s">
        <v>23</v>
      </c>
      <c r="E392" s="13" t="s">
        <v>515</v>
      </c>
      <c r="F392" s="9">
        <v>224.64</v>
      </c>
      <c r="G392" s="10">
        <v>2</v>
      </c>
      <c r="H392" s="11">
        <f>ROUND(ROUND(F392,2)*ROUND(G392,3),2)</f>
        <v>449.28</v>
      </c>
      <c r="J392" s="53"/>
      <c r="K392" s="57"/>
      <c r="L392" s="53"/>
      <c r="M392" s="57"/>
      <c r="N392" s="53"/>
      <c r="O392" s="59"/>
      <c r="P392" s="53"/>
      <c r="Q392" s="69">
        <f>G392</f>
        <v>2</v>
      </c>
      <c r="R392" s="53">
        <f>F392*Q392</f>
        <v>449.28</v>
      </c>
      <c r="S392" s="57"/>
      <c r="T392" s="66"/>
      <c r="U392" s="57"/>
      <c r="V392" s="66"/>
      <c r="W392" s="69"/>
      <c r="X392" s="66"/>
    </row>
    <row r="393" spans="1:24" ht="49" x14ac:dyDescent="0.2">
      <c r="A393" s="3" t="s">
        <v>511</v>
      </c>
      <c r="B393" s="3">
        <v>3</v>
      </c>
      <c r="C393" s="3" t="s">
        <v>516</v>
      </c>
      <c r="D393" s="8" t="s">
        <v>23</v>
      </c>
      <c r="E393" s="13" t="s">
        <v>517</v>
      </c>
      <c r="F393" s="9">
        <v>206.28</v>
      </c>
      <c r="G393" s="10">
        <v>2</v>
      </c>
      <c r="H393" s="11">
        <f>ROUND(ROUND(F393,2)*ROUND(G393,3),2)</f>
        <v>412.56</v>
      </c>
      <c r="J393" s="53"/>
      <c r="K393" s="57"/>
      <c r="L393" s="53"/>
      <c r="M393" s="57"/>
      <c r="N393" s="53"/>
      <c r="O393" s="59"/>
      <c r="P393" s="53"/>
      <c r="Q393" s="69">
        <f>G393</f>
        <v>2</v>
      </c>
      <c r="R393" s="53">
        <f>F393*Q393</f>
        <v>412.56</v>
      </c>
      <c r="S393" s="57"/>
      <c r="T393" s="66"/>
      <c r="U393" s="57"/>
      <c r="V393" s="66"/>
      <c r="W393" s="69"/>
      <c r="X393" s="66"/>
    </row>
    <row r="394" spans="1:24" ht="49" x14ac:dyDescent="0.2">
      <c r="A394" s="3" t="s">
        <v>511</v>
      </c>
      <c r="B394" s="3">
        <v>4</v>
      </c>
      <c r="C394" s="3" t="s">
        <v>518</v>
      </c>
      <c r="D394" s="8" t="s">
        <v>23</v>
      </c>
      <c r="E394" s="13" t="s">
        <v>519</v>
      </c>
      <c r="F394" s="9">
        <v>212.76</v>
      </c>
      <c r="G394" s="10">
        <v>1</v>
      </c>
      <c r="H394" s="11">
        <f>ROUND(ROUND(F394,2)*ROUND(G394,3),2)</f>
        <v>212.76</v>
      </c>
      <c r="J394" s="53"/>
      <c r="K394" s="57"/>
      <c r="L394" s="53"/>
      <c r="M394" s="57"/>
      <c r="N394" s="53"/>
      <c r="O394" s="59"/>
      <c r="P394" s="53"/>
      <c r="Q394" s="69">
        <f>G394</f>
        <v>1</v>
      </c>
      <c r="R394" s="53">
        <f>F394*Q394</f>
        <v>212.76</v>
      </c>
      <c r="S394" s="57"/>
      <c r="T394" s="66"/>
      <c r="U394" s="57"/>
      <c r="V394" s="66"/>
      <c r="W394" s="69"/>
      <c r="X394" s="66"/>
    </row>
    <row r="395" spans="1:24" ht="49" x14ac:dyDescent="0.2">
      <c r="A395" s="3" t="s">
        <v>511</v>
      </c>
      <c r="B395" s="3">
        <v>5</v>
      </c>
      <c r="C395" s="3" t="s">
        <v>520</v>
      </c>
      <c r="D395" s="8" t="s">
        <v>23</v>
      </c>
      <c r="E395" s="13" t="s">
        <v>521</v>
      </c>
      <c r="F395" s="9">
        <v>6262</v>
      </c>
      <c r="G395" s="10">
        <v>1</v>
      </c>
      <c r="H395" s="11">
        <f>ROUND(ROUND(F395,2)*ROUND(G395,3),2)</f>
        <v>6262</v>
      </c>
      <c r="J395" s="53"/>
      <c r="K395" s="57"/>
      <c r="L395" s="53"/>
      <c r="M395" s="57"/>
      <c r="N395" s="53"/>
      <c r="O395" s="59"/>
      <c r="P395" s="53"/>
      <c r="Q395" s="69">
        <f>G395</f>
        <v>1</v>
      </c>
      <c r="R395" s="53">
        <f>F395*Q395</f>
        <v>6262</v>
      </c>
      <c r="S395" s="57"/>
      <c r="T395" s="66"/>
      <c r="U395" s="57"/>
      <c r="V395" s="66"/>
      <c r="W395" s="69"/>
      <c r="X395" s="66"/>
    </row>
    <row r="396" spans="1:24" x14ac:dyDescent="0.2">
      <c r="E396" s="81" t="s">
        <v>25</v>
      </c>
      <c r="F396" s="6"/>
      <c r="G396" s="6"/>
      <c r="H396" s="12">
        <f>SUM(H391:H395)</f>
        <v>7811.8</v>
      </c>
      <c r="J396" s="53"/>
      <c r="K396" s="57"/>
      <c r="L396" s="53"/>
      <c r="M396" s="57"/>
      <c r="N396" s="53"/>
      <c r="O396" s="59"/>
      <c r="P396" s="53"/>
      <c r="Q396" s="69"/>
      <c r="R396" s="76">
        <f>R391+R392+R393+R394+R395</f>
        <v>7811.8</v>
      </c>
      <c r="S396" s="57"/>
      <c r="T396" s="66"/>
      <c r="U396" s="57"/>
      <c r="V396" s="66"/>
      <c r="W396" s="69"/>
      <c r="X396" s="66"/>
    </row>
    <row r="397" spans="1:24" x14ac:dyDescent="0.2">
      <c r="J397" s="53"/>
      <c r="K397" s="57"/>
      <c r="L397" s="53"/>
      <c r="M397" s="57"/>
      <c r="N397" s="53"/>
      <c r="O397" s="59"/>
      <c r="P397" s="53"/>
      <c r="Q397" s="69"/>
      <c r="R397" s="53"/>
      <c r="S397" s="57"/>
      <c r="T397" s="66"/>
      <c r="U397" s="57"/>
      <c r="V397" s="66"/>
      <c r="W397" s="69"/>
      <c r="X397" s="66"/>
    </row>
    <row r="398" spans="1:24" x14ac:dyDescent="0.2">
      <c r="C398" s="6" t="s">
        <v>6</v>
      </c>
      <c r="D398" s="7" t="s">
        <v>7</v>
      </c>
      <c r="E398" s="81" t="s">
        <v>8</v>
      </c>
      <c r="J398" s="53"/>
      <c r="K398" s="57"/>
      <c r="L398" s="53"/>
      <c r="M398" s="57"/>
      <c r="N398" s="53"/>
      <c r="O398" s="59"/>
      <c r="P398" s="53"/>
      <c r="Q398" s="69"/>
      <c r="R398" s="53"/>
      <c r="S398" s="57"/>
      <c r="T398" s="66"/>
      <c r="U398" s="57"/>
      <c r="V398" s="66"/>
      <c r="W398" s="69"/>
      <c r="X398" s="66"/>
    </row>
    <row r="399" spans="1:24" x14ac:dyDescent="0.2">
      <c r="C399" s="6" t="s">
        <v>9</v>
      </c>
      <c r="D399" s="7" t="s">
        <v>153</v>
      </c>
      <c r="E399" s="81" t="s">
        <v>522</v>
      </c>
      <c r="J399" s="53"/>
      <c r="K399" s="57"/>
      <c r="L399" s="53"/>
      <c r="M399" s="57"/>
      <c r="N399" s="53"/>
      <c r="O399" s="59"/>
      <c r="P399" s="53"/>
      <c r="Q399" s="69"/>
      <c r="R399" s="53"/>
      <c r="S399" s="57"/>
      <c r="T399" s="66"/>
      <c r="U399" s="57"/>
      <c r="V399" s="66"/>
      <c r="W399" s="69"/>
      <c r="X399" s="66"/>
    </row>
    <row r="400" spans="1:24" x14ac:dyDescent="0.2">
      <c r="C400" s="6" t="s">
        <v>11</v>
      </c>
      <c r="D400" s="7" t="s">
        <v>7</v>
      </c>
      <c r="E400" s="81" t="s">
        <v>523</v>
      </c>
      <c r="J400" s="53"/>
      <c r="K400" s="57"/>
      <c r="L400" s="53"/>
      <c r="M400" s="57"/>
      <c r="N400" s="53"/>
      <c r="O400" s="59"/>
      <c r="P400" s="53"/>
      <c r="Q400" s="69"/>
      <c r="R400" s="53"/>
      <c r="S400" s="57"/>
      <c r="T400" s="66"/>
      <c r="U400" s="57"/>
      <c r="V400" s="66"/>
      <c r="W400" s="69"/>
      <c r="X400" s="66"/>
    </row>
    <row r="401" spans="1:26" x14ac:dyDescent="0.2">
      <c r="J401" s="53"/>
      <c r="K401" s="57"/>
      <c r="L401" s="53"/>
      <c r="M401" s="57"/>
      <c r="N401" s="53"/>
      <c r="O401" s="59"/>
      <c r="P401" s="53"/>
      <c r="Q401" s="69"/>
      <c r="R401" s="53"/>
      <c r="S401" s="57"/>
      <c r="T401" s="66"/>
      <c r="U401" s="57"/>
      <c r="V401" s="66"/>
      <c r="W401" s="69"/>
      <c r="X401" s="66"/>
    </row>
    <row r="402" spans="1:26" ht="37" x14ac:dyDescent="0.2">
      <c r="A402" s="3" t="s">
        <v>524</v>
      </c>
      <c r="B402" s="3">
        <v>1</v>
      </c>
      <c r="C402" s="3" t="s">
        <v>525</v>
      </c>
      <c r="D402" s="8" t="s">
        <v>18</v>
      </c>
      <c r="E402" s="13" t="s">
        <v>526</v>
      </c>
      <c r="F402" s="9">
        <v>37.22</v>
      </c>
      <c r="G402" s="10">
        <v>78</v>
      </c>
      <c r="H402" s="11">
        <f t="shared" ref="H402:H408" si="33">ROUND(ROUND(F402,2)*ROUND(G402,3),2)</f>
        <v>2903.16</v>
      </c>
      <c r="J402" s="53"/>
      <c r="K402" s="57"/>
      <c r="L402" s="53"/>
      <c r="M402" s="57"/>
      <c r="N402" s="53"/>
      <c r="O402" s="59"/>
      <c r="P402" s="53"/>
      <c r="Q402" s="69"/>
      <c r="R402" s="53"/>
      <c r="S402" s="57">
        <f>48</f>
        <v>48</v>
      </c>
      <c r="T402" s="66">
        <f t="shared" ref="T402:T408" si="34">F402*S402</f>
        <v>1786.56</v>
      </c>
      <c r="U402" s="57">
        <f>30</f>
        <v>30</v>
      </c>
      <c r="V402" s="66">
        <f t="shared" ref="V402:V408" si="35">F402*U402</f>
        <v>1116.5999999999999</v>
      </c>
      <c r="W402" s="69"/>
      <c r="X402" s="66"/>
      <c r="Y402" s="36">
        <f t="shared" ref="Y402:Y408" si="36">K402+S402+U402</f>
        <v>78</v>
      </c>
      <c r="Z402" s="37">
        <f t="shared" ref="Z402:Z409" si="37">J402+L402+T402+V402+R402</f>
        <v>2903.16</v>
      </c>
    </row>
    <row r="403" spans="1:26" ht="49" x14ac:dyDescent="0.2">
      <c r="A403" s="3" t="s">
        <v>524</v>
      </c>
      <c r="B403" s="3">
        <v>2</v>
      </c>
      <c r="C403" s="3" t="s">
        <v>527</v>
      </c>
      <c r="D403" s="8" t="s">
        <v>18</v>
      </c>
      <c r="E403" s="13" t="s">
        <v>528</v>
      </c>
      <c r="F403" s="9">
        <v>47.12</v>
      </c>
      <c r="G403" s="10">
        <v>78</v>
      </c>
      <c r="H403" s="11">
        <f t="shared" si="33"/>
        <v>3675.36</v>
      </c>
      <c r="J403" s="53"/>
      <c r="K403" s="57"/>
      <c r="L403" s="53"/>
      <c r="M403" s="57"/>
      <c r="N403" s="53"/>
      <c r="O403" s="59"/>
      <c r="P403" s="53"/>
      <c r="Q403" s="69"/>
      <c r="R403" s="53"/>
      <c r="S403" s="57">
        <f>48</f>
        <v>48</v>
      </c>
      <c r="T403" s="66">
        <f t="shared" si="34"/>
        <v>2261.7599999999998</v>
      </c>
      <c r="U403" s="57">
        <f>30</f>
        <v>30</v>
      </c>
      <c r="V403" s="66">
        <f t="shared" si="35"/>
        <v>1413.6</v>
      </c>
      <c r="W403" s="69"/>
      <c r="X403" s="66"/>
      <c r="Y403" s="36">
        <f t="shared" si="36"/>
        <v>78</v>
      </c>
      <c r="Z403" s="37">
        <f t="shared" si="37"/>
        <v>3675.3599999999997</v>
      </c>
    </row>
    <row r="404" spans="1:26" ht="25" x14ac:dyDescent="0.2">
      <c r="A404" s="3" t="s">
        <v>524</v>
      </c>
      <c r="B404" s="3">
        <v>3</v>
      </c>
      <c r="C404" s="3" t="s">
        <v>529</v>
      </c>
      <c r="D404" s="8" t="s">
        <v>18</v>
      </c>
      <c r="E404" s="13" t="s">
        <v>530</v>
      </c>
      <c r="F404" s="9">
        <v>34.74</v>
      </c>
      <c r="G404" s="10">
        <v>196.81</v>
      </c>
      <c r="H404" s="11">
        <f t="shared" si="33"/>
        <v>6837.18</v>
      </c>
      <c r="J404" s="53"/>
      <c r="K404" s="57">
        <f>13.6+18.4+12.8+45</f>
        <v>89.8</v>
      </c>
      <c r="L404" s="53">
        <f>F404*K404</f>
        <v>3119.652</v>
      </c>
      <c r="M404" s="57"/>
      <c r="N404" s="53"/>
      <c r="O404" s="59"/>
      <c r="P404" s="53"/>
      <c r="Q404" s="69"/>
      <c r="R404" s="53"/>
      <c r="S404" s="57">
        <f>18.36+14.04+7.56+10.8+4.32+8.91+2.7+7.56+10</f>
        <v>84.250000000000014</v>
      </c>
      <c r="T404" s="66">
        <f t="shared" si="34"/>
        <v>2926.8450000000007</v>
      </c>
      <c r="U404" s="57">
        <f>10.88+11.88</f>
        <v>22.76</v>
      </c>
      <c r="V404" s="66">
        <f t="shared" si="35"/>
        <v>790.68240000000014</v>
      </c>
      <c r="W404" s="69"/>
      <c r="X404" s="66"/>
      <c r="Y404" s="36">
        <f t="shared" si="36"/>
        <v>196.81</v>
      </c>
      <c r="Z404" s="37">
        <f t="shared" si="37"/>
        <v>6837.1794000000009</v>
      </c>
    </row>
    <row r="405" spans="1:26" ht="37" x14ac:dyDescent="0.2">
      <c r="A405" s="3" t="s">
        <v>524</v>
      </c>
      <c r="B405" s="3">
        <v>4</v>
      </c>
      <c r="C405" s="3" t="s">
        <v>531</v>
      </c>
      <c r="D405" s="8" t="s">
        <v>18</v>
      </c>
      <c r="E405" s="13" t="s">
        <v>532</v>
      </c>
      <c r="F405" s="9">
        <v>65.569999999999993</v>
      </c>
      <c r="G405" s="10">
        <v>209.61</v>
      </c>
      <c r="H405" s="11">
        <f t="shared" si="33"/>
        <v>13744.13</v>
      </c>
      <c r="J405" s="53"/>
      <c r="K405" s="57">
        <f>13.6+18.4+25.6+45</f>
        <v>102.6</v>
      </c>
      <c r="L405" s="53">
        <f>F405*K405</f>
        <v>6727.4819999999991</v>
      </c>
      <c r="M405" s="57"/>
      <c r="N405" s="53"/>
      <c r="O405" s="59"/>
      <c r="P405" s="53"/>
      <c r="Q405" s="69"/>
      <c r="R405" s="53"/>
      <c r="S405" s="57">
        <f>18.36+14.04+7.56+10.8+4.32+8.91+2.7+7.56+10</f>
        <v>84.250000000000014</v>
      </c>
      <c r="T405" s="66">
        <f t="shared" si="34"/>
        <v>5524.2725</v>
      </c>
      <c r="U405" s="57">
        <f>10.88+11.88</f>
        <v>22.76</v>
      </c>
      <c r="V405" s="66">
        <f t="shared" si="35"/>
        <v>1492.3732</v>
      </c>
      <c r="W405" s="69"/>
      <c r="X405" s="66"/>
      <c r="Y405" s="36">
        <f t="shared" si="36"/>
        <v>209.61</v>
      </c>
      <c r="Z405" s="37">
        <f t="shared" si="37"/>
        <v>13744.127699999999</v>
      </c>
    </row>
    <row r="406" spans="1:26" ht="25" x14ac:dyDescent="0.2">
      <c r="A406" s="3" t="s">
        <v>524</v>
      </c>
      <c r="B406" s="3">
        <v>5</v>
      </c>
      <c r="C406" s="3" t="s">
        <v>533</v>
      </c>
      <c r="D406" s="8" t="s">
        <v>18</v>
      </c>
      <c r="E406" s="13" t="s">
        <v>534</v>
      </c>
      <c r="F406" s="9">
        <v>31.51</v>
      </c>
      <c r="G406" s="10">
        <v>129.01</v>
      </c>
      <c r="H406" s="11">
        <f t="shared" si="33"/>
        <v>4065.11</v>
      </c>
      <c r="J406" s="53"/>
      <c r="K406" s="57">
        <f>13.6+18.4</f>
        <v>32</v>
      </c>
      <c r="L406" s="53">
        <f>F406*K406</f>
        <v>1008.32</v>
      </c>
      <c r="M406" s="57"/>
      <c r="N406" s="53"/>
      <c r="O406" s="59"/>
      <c r="P406" s="53"/>
      <c r="Q406" s="69"/>
      <c r="R406" s="53"/>
      <c r="S406" s="57">
        <f>18.36+14.04+7.56+10.8+4.32+8.91+2.7+7.56</f>
        <v>74.250000000000014</v>
      </c>
      <c r="T406" s="66">
        <f t="shared" si="34"/>
        <v>2339.6175000000007</v>
      </c>
      <c r="U406" s="57">
        <f>10.88+11.88</f>
        <v>22.76</v>
      </c>
      <c r="V406" s="66">
        <f t="shared" si="35"/>
        <v>717.16760000000011</v>
      </c>
      <c r="W406" s="69"/>
      <c r="X406" s="66"/>
      <c r="Y406" s="36">
        <f t="shared" si="36"/>
        <v>129.01000000000002</v>
      </c>
      <c r="Z406" s="37">
        <f t="shared" si="37"/>
        <v>4065.1051000000011</v>
      </c>
    </row>
    <row r="407" spans="1:26" ht="25" x14ac:dyDescent="0.2">
      <c r="A407" s="3" t="s">
        <v>524</v>
      </c>
      <c r="B407" s="3">
        <v>6</v>
      </c>
      <c r="C407" s="3" t="s">
        <v>535</v>
      </c>
      <c r="D407" s="8" t="s">
        <v>18</v>
      </c>
      <c r="E407" s="13" t="s">
        <v>536</v>
      </c>
      <c r="F407" s="9">
        <v>3.07</v>
      </c>
      <c r="G407" s="10">
        <v>196.81</v>
      </c>
      <c r="H407" s="11">
        <f t="shared" si="33"/>
        <v>604.21</v>
      </c>
      <c r="J407" s="53"/>
      <c r="K407" s="57">
        <f>13.6+18.4+12.8+45</f>
        <v>89.8</v>
      </c>
      <c r="L407" s="53">
        <f>F407*K407</f>
        <v>275.68599999999998</v>
      </c>
      <c r="M407" s="57"/>
      <c r="N407" s="53"/>
      <c r="O407" s="59"/>
      <c r="P407" s="53"/>
      <c r="Q407" s="69"/>
      <c r="R407" s="53"/>
      <c r="S407" s="57">
        <f>18.36+14.04+7.56+10.8+4.32+8.91+2.7+7.56+10</f>
        <v>84.250000000000014</v>
      </c>
      <c r="T407" s="66">
        <f t="shared" si="34"/>
        <v>258.64750000000004</v>
      </c>
      <c r="U407" s="57">
        <f>10.88+11.88</f>
        <v>22.76</v>
      </c>
      <c r="V407" s="66">
        <f t="shared" si="35"/>
        <v>69.873199999999997</v>
      </c>
      <c r="W407" s="69"/>
      <c r="X407" s="66"/>
      <c r="Y407" s="36">
        <f t="shared" si="36"/>
        <v>196.81</v>
      </c>
      <c r="Z407" s="37">
        <f t="shared" si="37"/>
        <v>604.20669999999996</v>
      </c>
    </row>
    <row r="408" spans="1:26" ht="37" x14ac:dyDescent="0.2">
      <c r="A408" s="3" t="s">
        <v>524</v>
      </c>
      <c r="B408" s="3">
        <v>7</v>
      </c>
      <c r="C408" s="3" t="s">
        <v>537</v>
      </c>
      <c r="D408" s="8" t="s">
        <v>18</v>
      </c>
      <c r="E408" s="13" t="s">
        <v>538</v>
      </c>
      <c r="F408" s="9">
        <v>22.02</v>
      </c>
      <c r="G408" s="10">
        <v>196.81</v>
      </c>
      <c r="H408" s="11">
        <f t="shared" si="33"/>
        <v>4333.76</v>
      </c>
      <c r="J408" s="53"/>
      <c r="K408" s="57">
        <f>13.6+18.4+12.8+45</f>
        <v>89.8</v>
      </c>
      <c r="L408" s="53">
        <f>F408*K408</f>
        <v>1977.396</v>
      </c>
      <c r="M408" s="57"/>
      <c r="N408" s="53"/>
      <c r="O408" s="59"/>
      <c r="P408" s="53"/>
      <c r="Q408" s="69"/>
      <c r="R408" s="53"/>
      <c r="S408" s="57">
        <f>18.36+14.04+7.56+10.8+4.32+8.91+2.7+7.56+10</f>
        <v>84.250000000000014</v>
      </c>
      <c r="T408" s="66">
        <f t="shared" si="34"/>
        <v>1855.1850000000002</v>
      </c>
      <c r="U408" s="57">
        <f>10.88+11.88</f>
        <v>22.76</v>
      </c>
      <c r="V408" s="66">
        <f t="shared" si="35"/>
        <v>501.17520000000002</v>
      </c>
      <c r="W408" s="69"/>
      <c r="X408" s="66"/>
      <c r="Y408" s="36">
        <f t="shared" si="36"/>
        <v>196.81</v>
      </c>
      <c r="Z408" s="37">
        <f t="shared" si="37"/>
        <v>4333.7561999999998</v>
      </c>
    </row>
    <row r="409" spans="1:26" x14ac:dyDescent="0.2">
      <c r="E409" s="81" t="s">
        <v>25</v>
      </c>
      <c r="F409" s="6"/>
      <c r="G409" s="6"/>
      <c r="H409" s="12">
        <f>SUM(H402:H408)</f>
        <v>36162.910000000003</v>
      </c>
      <c r="J409" s="53"/>
      <c r="K409" s="57"/>
      <c r="L409" s="71">
        <f>SUM(L402:L408)</f>
        <v>13108.535999999998</v>
      </c>
      <c r="M409" s="58"/>
      <c r="N409" s="71">
        <v>0</v>
      </c>
      <c r="O409" s="75"/>
      <c r="P409" s="71">
        <f>SUM(P396:P408)</f>
        <v>0</v>
      </c>
      <c r="Q409" s="69"/>
      <c r="R409" s="53"/>
      <c r="S409" s="57"/>
      <c r="T409" s="72">
        <f>SUM(T402:T408)</f>
        <v>16952.887500000001</v>
      </c>
      <c r="U409" s="57"/>
      <c r="V409" s="67">
        <f>SUM(V402:V408)</f>
        <v>6101.4715999999999</v>
      </c>
      <c r="W409" s="69"/>
      <c r="X409" s="66"/>
      <c r="Z409" s="37">
        <f t="shared" si="37"/>
        <v>36162.895099999994</v>
      </c>
    </row>
    <row r="410" spans="1:26" x14ac:dyDescent="0.2">
      <c r="J410" s="53"/>
      <c r="K410" s="57"/>
      <c r="L410" s="53"/>
      <c r="M410" s="57"/>
      <c r="N410" s="53"/>
      <c r="O410" s="59"/>
      <c r="P410" s="53"/>
      <c r="Q410" s="69"/>
      <c r="R410" s="53"/>
      <c r="S410" s="57"/>
      <c r="T410" s="66"/>
      <c r="U410" s="57"/>
      <c r="V410" s="66"/>
      <c r="W410" s="69"/>
      <c r="X410" s="66"/>
    </row>
    <row r="411" spans="1:26" x14ac:dyDescent="0.2">
      <c r="C411" s="6" t="s">
        <v>6</v>
      </c>
      <c r="D411" s="7" t="s">
        <v>7</v>
      </c>
      <c r="E411" s="81" t="s">
        <v>8</v>
      </c>
      <c r="J411" s="53"/>
      <c r="K411" s="57"/>
      <c r="L411" s="53"/>
      <c r="M411" s="57"/>
      <c r="N411" s="53"/>
      <c r="O411" s="59"/>
      <c r="P411" s="53"/>
      <c r="Q411" s="69"/>
      <c r="R411" s="53"/>
      <c r="S411" s="57"/>
      <c r="T411" s="66"/>
      <c r="U411" s="57"/>
      <c r="V411" s="66"/>
      <c r="W411" s="69"/>
      <c r="X411" s="66"/>
    </row>
    <row r="412" spans="1:26" x14ac:dyDescent="0.2">
      <c r="C412" s="6" t="s">
        <v>9</v>
      </c>
      <c r="D412" s="7" t="s">
        <v>153</v>
      </c>
      <c r="E412" s="81" t="s">
        <v>522</v>
      </c>
      <c r="J412" s="53"/>
      <c r="K412" s="57"/>
      <c r="L412" s="53"/>
      <c r="M412" s="57"/>
      <c r="N412" s="53"/>
      <c r="O412" s="59"/>
      <c r="P412" s="53"/>
      <c r="Q412" s="69"/>
      <c r="R412" s="53"/>
      <c r="S412" s="57"/>
      <c r="T412" s="66"/>
      <c r="U412" s="57"/>
      <c r="V412" s="66"/>
      <c r="W412" s="69"/>
      <c r="X412" s="66"/>
    </row>
    <row r="413" spans="1:26" x14ac:dyDescent="0.2">
      <c r="C413" s="6" t="s">
        <v>11</v>
      </c>
      <c r="D413" s="7" t="s">
        <v>26</v>
      </c>
      <c r="E413" s="81" t="s">
        <v>539</v>
      </c>
      <c r="J413" s="53"/>
      <c r="K413" s="57"/>
      <c r="L413" s="53"/>
      <c r="M413" s="57"/>
      <c r="N413" s="53"/>
      <c r="O413" s="59"/>
      <c r="P413" s="53"/>
      <c r="Q413" s="69"/>
      <c r="R413" s="53"/>
      <c r="S413" s="57"/>
      <c r="T413" s="66"/>
      <c r="U413" s="57"/>
      <c r="V413" s="66"/>
      <c r="W413" s="69"/>
      <c r="X413" s="66"/>
    </row>
    <row r="414" spans="1:26" x14ac:dyDescent="0.2">
      <c r="J414" s="53"/>
      <c r="K414" s="57"/>
      <c r="L414" s="53"/>
      <c r="M414" s="57"/>
      <c r="N414" s="53"/>
      <c r="O414" s="59"/>
      <c r="P414" s="53"/>
      <c r="Q414" s="69"/>
      <c r="R414" s="53"/>
      <c r="S414" s="57"/>
      <c r="T414" s="66"/>
      <c r="U414" s="57"/>
      <c r="V414" s="66"/>
      <c r="W414" s="69"/>
      <c r="X414" s="66"/>
    </row>
    <row r="415" spans="1:26" ht="49" x14ac:dyDescent="0.2">
      <c r="A415" s="3" t="s">
        <v>540</v>
      </c>
      <c r="B415" s="3">
        <v>1</v>
      </c>
      <c r="C415" s="3" t="s">
        <v>541</v>
      </c>
      <c r="D415" s="8" t="s">
        <v>23</v>
      </c>
      <c r="E415" s="13" t="s">
        <v>542</v>
      </c>
      <c r="F415" s="9">
        <v>583.20000000000005</v>
      </c>
      <c r="G415" s="10">
        <v>1</v>
      </c>
      <c r="H415" s="11">
        <f t="shared" ref="H415:H424" si="38">ROUND(ROUND(F415,2)*ROUND(G415,3),2)</f>
        <v>583.20000000000005</v>
      </c>
      <c r="J415" s="53"/>
      <c r="K415" s="57"/>
      <c r="L415" s="53"/>
      <c r="M415" s="57"/>
      <c r="N415" s="53"/>
      <c r="O415" s="59"/>
      <c r="P415" s="53"/>
      <c r="Q415" s="69"/>
      <c r="R415" s="53"/>
      <c r="S415" s="57">
        <f>G415</f>
        <v>1</v>
      </c>
      <c r="T415" s="66">
        <f>F415*S415</f>
        <v>583.20000000000005</v>
      </c>
      <c r="U415" s="57"/>
      <c r="V415" s="66"/>
      <c r="W415" s="69"/>
      <c r="X415" s="66"/>
    </row>
    <row r="416" spans="1:26" ht="25" x14ac:dyDescent="0.2">
      <c r="A416" s="3" t="s">
        <v>540</v>
      </c>
      <c r="B416" s="3">
        <v>2</v>
      </c>
      <c r="C416" s="3" t="s">
        <v>543</v>
      </c>
      <c r="D416" s="8" t="s">
        <v>23</v>
      </c>
      <c r="E416" s="13" t="s">
        <v>544</v>
      </c>
      <c r="F416" s="9">
        <v>615.6</v>
      </c>
      <c r="G416" s="10">
        <v>1</v>
      </c>
      <c r="H416" s="11">
        <f t="shared" si="38"/>
        <v>615.6</v>
      </c>
      <c r="J416" s="53"/>
      <c r="K416" s="57"/>
      <c r="L416" s="53"/>
      <c r="M416" s="57"/>
      <c r="N416" s="53"/>
      <c r="O416" s="59"/>
      <c r="P416" s="53"/>
      <c r="Q416" s="69"/>
      <c r="R416" s="53"/>
      <c r="S416" s="57"/>
      <c r="T416" s="66"/>
      <c r="U416" s="57">
        <f>G416</f>
        <v>1</v>
      </c>
      <c r="V416" s="66">
        <f>F416*U416</f>
        <v>615.6</v>
      </c>
      <c r="W416" s="69"/>
      <c r="X416" s="66"/>
    </row>
    <row r="417" spans="1:26" ht="37" x14ac:dyDescent="0.2">
      <c r="A417" s="3" t="s">
        <v>540</v>
      </c>
      <c r="B417" s="3">
        <v>3</v>
      </c>
      <c r="C417" s="3" t="s">
        <v>545</v>
      </c>
      <c r="D417" s="8" t="s">
        <v>23</v>
      </c>
      <c r="E417" s="13" t="s">
        <v>546</v>
      </c>
      <c r="F417" s="9">
        <v>583.20000000000005</v>
      </c>
      <c r="G417" s="10">
        <v>5</v>
      </c>
      <c r="H417" s="11">
        <f t="shared" si="38"/>
        <v>2916</v>
      </c>
      <c r="J417" s="53"/>
      <c r="K417" s="57"/>
      <c r="L417" s="53"/>
      <c r="M417" s="57"/>
      <c r="N417" s="53"/>
      <c r="O417" s="59"/>
      <c r="P417" s="53"/>
      <c r="Q417" s="69"/>
      <c r="R417" s="53"/>
      <c r="S417" s="57"/>
      <c r="T417" s="66"/>
      <c r="U417" s="57">
        <f>G417</f>
        <v>5</v>
      </c>
      <c r="V417" s="66">
        <f>F417*U417</f>
        <v>2916</v>
      </c>
      <c r="W417" s="69"/>
      <c r="X417" s="66"/>
    </row>
    <row r="418" spans="1:26" ht="61" x14ac:dyDescent="0.2">
      <c r="A418" s="3" t="s">
        <v>540</v>
      </c>
      <c r="B418" s="3">
        <v>4</v>
      </c>
      <c r="C418" s="3" t="s">
        <v>547</v>
      </c>
      <c r="D418" s="8" t="s">
        <v>23</v>
      </c>
      <c r="E418" s="13" t="s">
        <v>548</v>
      </c>
      <c r="F418" s="9">
        <v>550.79999999999995</v>
      </c>
      <c r="G418" s="10">
        <v>2</v>
      </c>
      <c r="H418" s="11">
        <f t="shared" si="38"/>
        <v>1101.5999999999999</v>
      </c>
      <c r="J418" s="53"/>
      <c r="K418" s="57"/>
      <c r="L418" s="53"/>
      <c r="M418" s="57"/>
      <c r="N418" s="53"/>
      <c r="O418" s="59"/>
      <c r="P418" s="53"/>
      <c r="Q418" s="69"/>
      <c r="R418" s="53"/>
      <c r="S418" s="57">
        <f>G418</f>
        <v>2</v>
      </c>
      <c r="T418" s="66">
        <f>F418*S418</f>
        <v>1101.5999999999999</v>
      </c>
      <c r="U418" s="57"/>
      <c r="V418" s="66"/>
      <c r="W418" s="69"/>
      <c r="X418" s="66"/>
    </row>
    <row r="419" spans="1:26" x14ac:dyDescent="0.2">
      <c r="A419" s="3" t="s">
        <v>540</v>
      </c>
      <c r="B419" s="3">
        <v>5</v>
      </c>
      <c r="C419" s="3" t="s">
        <v>549</v>
      </c>
      <c r="D419" s="8" t="s">
        <v>23</v>
      </c>
      <c r="E419" s="13" t="s">
        <v>550</v>
      </c>
      <c r="F419" s="9">
        <v>604.79999999999995</v>
      </c>
      <c r="G419" s="10">
        <v>1</v>
      </c>
      <c r="H419" s="11">
        <f t="shared" si="38"/>
        <v>604.79999999999995</v>
      </c>
      <c r="J419" s="53"/>
      <c r="K419" s="57">
        <f>G419</f>
        <v>1</v>
      </c>
      <c r="L419" s="53">
        <f>F419*K419</f>
        <v>604.79999999999995</v>
      </c>
      <c r="M419" s="57"/>
      <c r="N419" s="53"/>
      <c r="O419" s="59"/>
      <c r="P419" s="53"/>
      <c r="Q419" s="69"/>
      <c r="R419" s="53"/>
      <c r="S419" s="57"/>
      <c r="T419" s="66"/>
      <c r="U419" s="57"/>
      <c r="V419" s="66"/>
      <c r="W419" s="69"/>
      <c r="X419" s="66"/>
    </row>
    <row r="420" spans="1:26" x14ac:dyDescent="0.2">
      <c r="A420" s="3" t="s">
        <v>540</v>
      </c>
      <c r="B420" s="3">
        <v>6</v>
      </c>
      <c r="C420" s="3" t="s">
        <v>551</v>
      </c>
      <c r="D420" s="8" t="s">
        <v>23</v>
      </c>
      <c r="E420" s="13" t="s">
        <v>552</v>
      </c>
      <c r="F420" s="9">
        <v>604.79999999999995</v>
      </c>
      <c r="G420" s="10">
        <v>1</v>
      </c>
      <c r="H420" s="11">
        <f t="shared" si="38"/>
        <v>604.79999999999995</v>
      </c>
      <c r="J420" s="53"/>
      <c r="K420" s="57">
        <f>G420</f>
        <v>1</v>
      </c>
      <c r="L420" s="53">
        <f>F420*K420</f>
        <v>604.79999999999995</v>
      </c>
      <c r="M420" s="57"/>
      <c r="N420" s="53"/>
      <c r="O420" s="59"/>
      <c r="P420" s="53"/>
      <c r="Q420" s="69"/>
      <c r="R420" s="53"/>
      <c r="S420" s="57"/>
      <c r="T420" s="66"/>
      <c r="U420" s="57"/>
      <c r="V420" s="66"/>
      <c r="W420" s="69"/>
      <c r="X420" s="66"/>
    </row>
    <row r="421" spans="1:26" ht="25" x14ac:dyDescent="0.2">
      <c r="A421" s="3" t="s">
        <v>540</v>
      </c>
      <c r="B421" s="3">
        <v>7</v>
      </c>
      <c r="C421" s="3" t="s">
        <v>553</v>
      </c>
      <c r="D421" s="8" t="s">
        <v>23</v>
      </c>
      <c r="E421" s="13" t="s">
        <v>554</v>
      </c>
      <c r="F421" s="9">
        <v>2592</v>
      </c>
      <c r="G421" s="10">
        <v>2</v>
      </c>
      <c r="H421" s="11">
        <f t="shared" si="38"/>
        <v>5184</v>
      </c>
      <c r="J421" s="53"/>
      <c r="K421" s="57">
        <f>G421</f>
        <v>2</v>
      </c>
      <c r="L421" s="53">
        <f>F421*K421</f>
        <v>5184</v>
      </c>
      <c r="M421" s="57"/>
      <c r="N421" s="53"/>
      <c r="O421" s="59"/>
      <c r="P421" s="53"/>
      <c r="Q421" s="69"/>
      <c r="R421" s="53"/>
      <c r="S421" s="57"/>
      <c r="T421" s="66"/>
      <c r="U421" s="57"/>
      <c r="V421" s="66"/>
      <c r="W421" s="69"/>
      <c r="X421" s="66"/>
    </row>
    <row r="422" spans="1:26" ht="97" x14ac:dyDescent="0.2">
      <c r="A422" s="3" t="s">
        <v>540</v>
      </c>
      <c r="B422" s="3">
        <v>8</v>
      </c>
      <c r="C422" s="3" t="s">
        <v>555</v>
      </c>
      <c r="D422" s="8" t="s">
        <v>23</v>
      </c>
      <c r="E422" s="13" t="s">
        <v>3900</v>
      </c>
      <c r="F422" s="9">
        <v>4211</v>
      </c>
      <c r="G422" s="10">
        <v>1</v>
      </c>
      <c r="H422" s="11">
        <f t="shared" si="38"/>
        <v>4211</v>
      </c>
      <c r="J422" s="53"/>
      <c r="K422" s="57"/>
      <c r="L422" s="53"/>
      <c r="M422" s="57"/>
      <c r="N422" s="53"/>
      <c r="O422" s="59"/>
      <c r="P422" s="53"/>
      <c r="Q422" s="69"/>
      <c r="R422" s="53"/>
      <c r="S422" s="57"/>
      <c r="T422" s="66"/>
      <c r="U422" s="57">
        <f>G422</f>
        <v>1</v>
      </c>
      <c r="V422" s="66">
        <f>F422*U422</f>
        <v>4211</v>
      </c>
      <c r="W422" s="69"/>
      <c r="X422" s="66"/>
    </row>
    <row r="423" spans="1:26" ht="97" x14ac:dyDescent="0.2">
      <c r="A423" s="3" t="s">
        <v>540</v>
      </c>
      <c r="B423" s="3">
        <v>9</v>
      </c>
      <c r="C423" s="3" t="s">
        <v>556</v>
      </c>
      <c r="D423" s="8" t="s">
        <v>23</v>
      </c>
      <c r="E423" s="13" t="s">
        <v>3901</v>
      </c>
      <c r="F423" s="9">
        <v>5235</v>
      </c>
      <c r="G423" s="10">
        <v>1</v>
      </c>
      <c r="H423" s="11">
        <f t="shared" si="38"/>
        <v>5235</v>
      </c>
      <c r="J423" s="53"/>
      <c r="K423" s="57"/>
      <c r="L423" s="53"/>
      <c r="M423" s="57"/>
      <c r="N423" s="53"/>
      <c r="O423" s="59"/>
      <c r="P423" s="53"/>
      <c r="Q423" s="69"/>
      <c r="R423" s="53"/>
      <c r="S423" s="57"/>
      <c r="T423" s="66"/>
      <c r="U423" s="57">
        <f>G423</f>
        <v>1</v>
      </c>
      <c r="V423" s="66">
        <f>F423*U423</f>
        <v>5235</v>
      </c>
      <c r="W423" s="69"/>
      <c r="X423" s="66"/>
    </row>
    <row r="424" spans="1:26" ht="49" x14ac:dyDescent="0.2">
      <c r="A424" s="3"/>
      <c r="B424" s="3">
        <v>10</v>
      </c>
      <c r="C424" s="3" t="s">
        <v>3898</v>
      </c>
      <c r="D424" s="8" t="s">
        <v>18</v>
      </c>
      <c r="E424" s="13" t="s">
        <v>3899</v>
      </c>
      <c r="F424" s="9">
        <v>96.45</v>
      </c>
      <c r="G424" s="10">
        <v>14.497</v>
      </c>
      <c r="H424" s="11">
        <f t="shared" si="38"/>
        <v>1398.24</v>
      </c>
      <c r="J424" s="53"/>
      <c r="K424" s="57"/>
      <c r="L424" s="53"/>
      <c r="M424" s="57"/>
      <c r="N424" s="53"/>
      <c r="O424" s="59"/>
      <c r="P424" s="53"/>
      <c r="Q424" s="69"/>
      <c r="R424" s="53"/>
      <c r="S424" s="57"/>
      <c r="T424" s="66"/>
      <c r="U424" s="57">
        <f>G424</f>
        <v>14.497</v>
      </c>
      <c r="V424" s="66">
        <f>F424*U424</f>
        <v>1398.2356500000001</v>
      </c>
      <c r="W424" s="69"/>
      <c r="X424" s="66"/>
    </row>
    <row r="425" spans="1:26" x14ac:dyDescent="0.2">
      <c r="E425" s="81" t="s">
        <v>25</v>
      </c>
      <c r="F425" s="6"/>
      <c r="G425" s="6"/>
      <c r="H425" s="12">
        <f>SUM(H415:H424)</f>
        <v>22454.240000000002</v>
      </c>
      <c r="J425" s="53"/>
      <c r="K425" s="57"/>
      <c r="L425" s="71">
        <f>SUM(L415:L424)</f>
        <v>6393.6</v>
      </c>
      <c r="M425" s="58"/>
      <c r="N425" s="71"/>
      <c r="O425" s="75"/>
      <c r="P425" s="71"/>
      <c r="Q425" s="69"/>
      <c r="R425" s="53"/>
      <c r="S425" s="57"/>
      <c r="T425" s="72">
        <f>SUM(T415:T424)</f>
        <v>1684.8</v>
      </c>
      <c r="U425" s="57"/>
      <c r="V425" s="67">
        <f>SUM(V415:V424)</f>
        <v>14375.835650000001</v>
      </c>
      <c r="W425" s="69"/>
      <c r="X425" s="66"/>
      <c r="Z425" s="37">
        <f>J425+L425+T425+V425+R425</f>
        <v>22454.235650000002</v>
      </c>
    </row>
    <row r="426" spans="1:26" x14ac:dyDescent="0.2">
      <c r="J426" s="53"/>
      <c r="K426" s="57"/>
      <c r="L426" s="53"/>
      <c r="M426" s="57"/>
      <c r="N426" s="53"/>
      <c r="O426" s="59"/>
      <c r="P426" s="53"/>
      <c r="Q426" s="69"/>
      <c r="R426" s="53"/>
      <c r="S426" s="57"/>
      <c r="T426" s="66"/>
      <c r="U426" s="57"/>
      <c r="V426" s="66"/>
      <c r="W426" s="69"/>
      <c r="X426" s="66"/>
    </row>
    <row r="427" spans="1:26" x14ac:dyDescent="0.2">
      <c r="C427" s="6" t="s">
        <v>6</v>
      </c>
      <c r="D427" s="7" t="s">
        <v>7</v>
      </c>
      <c r="E427" s="81" t="s">
        <v>8</v>
      </c>
      <c r="J427" s="53"/>
      <c r="K427" s="57"/>
      <c r="L427" s="53"/>
      <c r="M427" s="57"/>
      <c r="N427" s="53"/>
      <c r="O427" s="59"/>
      <c r="P427" s="53"/>
      <c r="Q427" s="69"/>
      <c r="R427" s="53"/>
      <c r="S427" s="57"/>
      <c r="T427" s="66"/>
      <c r="U427" s="57"/>
      <c r="V427" s="66"/>
      <c r="W427" s="69"/>
      <c r="X427" s="66"/>
    </row>
    <row r="428" spans="1:26" x14ac:dyDescent="0.2">
      <c r="C428" s="6" t="s">
        <v>9</v>
      </c>
      <c r="D428" s="7" t="s">
        <v>158</v>
      </c>
      <c r="E428" s="81" t="s">
        <v>557</v>
      </c>
      <c r="J428" s="53"/>
      <c r="K428" s="57"/>
      <c r="L428" s="53"/>
      <c r="M428" s="57"/>
      <c r="N428" s="53"/>
      <c r="O428" s="59"/>
      <c r="P428" s="53"/>
      <c r="Q428" s="69"/>
      <c r="R428" s="53"/>
      <c r="S428" s="57"/>
      <c r="T428" s="66"/>
      <c r="U428" s="57"/>
      <c r="V428" s="66"/>
      <c r="W428" s="69"/>
      <c r="X428" s="66"/>
    </row>
    <row r="429" spans="1:26" x14ac:dyDescent="0.2">
      <c r="C429" s="6" t="s">
        <v>11</v>
      </c>
      <c r="D429" s="7" t="s">
        <v>7</v>
      </c>
      <c r="E429" s="81" t="s">
        <v>558</v>
      </c>
      <c r="J429" s="53"/>
      <c r="K429" s="57"/>
      <c r="L429" s="53"/>
      <c r="M429" s="57"/>
      <c r="N429" s="53"/>
      <c r="O429" s="59"/>
      <c r="P429" s="53"/>
      <c r="Q429" s="69"/>
      <c r="R429" s="53"/>
      <c r="S429" s="57"/>
      <c r="T429" s="66"/>
      <c r="U429" s="57"/>
      <c r="V429" s="66"/>
      <c r="W429" s="69"/>
      <c r="X429" s="66"/>
    </row>
    <row r="430" spans="1:26" ht="25" x14ac:dyDescent="0.2">
      <c r="A430" s="3" t="s">
        <v>559</v>
      </c>
      <c r="B430" s="3">
        <v>1</v>
      </c>
      <c r="C430" s="3" t="s">
        <v>3937</v>
      </c>
      <c r="D430" s="8" t="s">
        <v>18</v>
      </c>
      <c r="E430" s="13" t="s">
        <v>3938</v>
      </c>
      <c r="F430" s="9">
        <v>11.67</v>
      </c>
      <c r="G430" s="10">
        <v>325</v>
      </c>
      <c r="H430" s="11">
        <f t="shared" ref="H430:H447" si="39">ROUND(ROUND(F430,2)*ROUND(G430,3),2)</f>
        <v>3792.75</v>
      </c>
      <c r="J430" s="53"/>
      <c r="K430" s="57">
        <f>231</f>
        <v>231</v>
      </c>
      <c r="L430" s="53">
        <f t="shared" ref="L430:L435" si="40">F430*K430</f>
        <v>2695.77</v>
      </c>
      <c r="M430" s="57"/>
      <c r="N430" s="53"/>
      <c r="O430" s="59"/>
      <c r="P430" s="53"/>
      <c r="Q430" s="69"/>
      <c r="R430" s="53"/>
      <c r="S430" s="57">
        <f>54</f>
        <v>54</v>
      </c>
      <c r="T430" s="66">
        <f t="shared" ref="T430:T435" si="41">F430*S430</f>
        <v>630.17999999999995</v>
      </c>
      <c r="U430" s="57">
        <f>40</f>
        <v>40</v>
      </c>
      <c r="V430" s="66">
        <f>F430*U430</f>
        <v>466.8</v>
      </c>
      <c r="W430" s="69"/>
      <c r="X430" s="66"/>
      <c r="Y430" s="36">
        <f t="shared" ref="Y430:Y435" si="42">K430+S430+U430</f>
        <v>325</v>
      </c>
      <c r="Z430" s="37">
        <f t="shared" ref="Z430:Z435" si="43">J430+L430+T430+V430+R430</f>
        <v>3792.75</v>
      </c>
    </row>
    <row r="431" spans="1:26" ht="25" x14ac:dyDescent="0.2">
      <c r="A431" s="3" t="s">
        <v>559</v>
      </c>
      <c r="B431" s="3">
        <v>2</v>
      </c>
      <c r="C431" s="3" t="s">
        <v>168</v>
      </c>
      <c r="D431" s="8" t="s">
        <v>18</v>
      </c>
      <c r="E431" s="13" t="s">
        <v>169</v>
      </c>
      <c r="F431" s="9">
        <v>4</v>
      </c>
      <c r="G431" s="10">
        <v>285</v>
      </c>
      <c r="H431" s="11">
        <f t="shared" si="39"/>
        <v>1140</v>
      </c>
      <c r="J431" s="53"/>
      <c r="K431" s="57">
        <f>231</f>
        <v>231</v>
      </c>
      <c r="L431" s="53">
        <f t="shared" si="40"/>
        <v>924</v>
      </c>
      <c r="M431" s="57"/>
      <c r="N431" s="53"/>
      <c r="O431" s="59"/>
      <c r="P431" s="53"/>
      <c r="Q431" s="69"/>
      <c r="R431" s="53"/>
      <c r="S431" s="57">
        <f>54</f>
        <v>54</v>
      </c>
      <c r="T431" s="66">
        <f t="shared" si="41"/>
        <v>216</v>
      </c>
      <c r="U431" s="57"/>
      <c r="V431" s="66"/>
      <c r="W431" s="69"/>
      <c r="X431" s="66"/>
      <c r="Y431" s="36">
        <f t="shared" si="42"/>
        <v>285</v>
      </c>
      <c r="Z431" s="37">
        <f t="shared" si="43"/>
        <v>1140</v>
      </c>
    </row>
    <row r="432" spans="1:26" ht="49" x14ac:dyDescent="0.2">
      <c r="A432" s="3" t="s">
        <v>559</v>
      </c>
      <c r="B432" s="3">
        <v>3</v>
      </c>
      <c r="C432" s="3" t="s">
        <v>560</v>
      </c>
      <c r="D432" s="8" t="s">
        <v>15</v>
      </c>
      <c r="E432" s="13" t="s">
        <v>3939</v>
      </c>
      <c r="F432" s="9">
        <v>412.22</v>
      </c>
      <c r="G432" s="10">
        <v>28.5</v>
      </c>
      <c r="H432" s="11">
        <f t="shared" si="39"/>
        <v>11748.27</v>
      </c>
      <c r="J432" s="53"/>
      <c r="K432" s="57">
        <f>23.1</f>
        <v>23.1</v>
      </c>
      <c r="L432" s="53">
        <f t="shared" si="40"/>
        <v>9522.2820000000011</v>
      </c>
      <c r="M432" s="57"/>
      <c r="N432" s="53"/>
      <c r="O432" s="59"/>
      <c r="P432" s="53"/>
      <c r="Q432" s="69"/>
      <c r="R432" s="53"/>
      <c r="S432" s="57">
        <f>5.4</f>
        <v>5.4</v>
      </c>
      <c r="T432" s="66">
        <f t="shared" si="41"/>
        <v>2225.9880000000003</v>
      </c>
      <c r="U432" s="57"/>
      <c r="V432" s="66"/>
      <c r="W432" s="69"/>
      <c r="X432" s="66"/>
      <c r="Y432" s="36">
        <f t="shared" si="42"/>
        <v>28.5</v>
      </c>
      <c r="Z432" s="37">
        <f t="shared" si="43"/>
        <v>11748.27</v>
      </c>
    </row>
    <row r="433" spans="1:26" ht="25" x14ac:dyDescent="0.2">
      <c r="A433" s="3" t="s">
        <v>559</v>
      </c>
      <c r="B433" s="3">
        <v>4</v>
      </c>
      <c r="C433" s="3" t="s">
        <v>3940</v>
      </c>
      <c r="D433" s="8" t="s">
        <v>15</v>
      </c>
      <c r="E433" s="13" t="s">
        <v>3941</v>
      </c>
      <c r="F433" s="9">
        <v>13.04</v>
      </c>
      <c r="G433" s="10">
        <v>28.5</v>
      </c>
      <c r="H433" s="11">
        <f t="shared" si="39"/>
        <v>371.64</v>
      </c>
      <c r="J433" s="53"/>
      <c r="K433" s="57">
        <f>23.1</f>
        <v>23.1</v>
      </c>
      <c r="L433" s="53">
        <f t="shared" si="40"/>
        <v>301.22399999999999</v>
      </c>
      <c r="M433" s="57"/>
      <c r="N433" s="53"/>
      <c r="O433" s="59"/>
      <c r="P433" s="53"/>
      <c r="Q433" s="69"/>
      <c r="R433" s="53"/>
      <c r="S433" s="57">
        <f>5.4</f>
        <v>5.4</v>
      </c>
      <c r="T433" s="66">
        <f t="shared" si="41"/>
        <v>70.415999999999997</v>
      </c>
      <c r="U433" s="57"/>
      <c r="V433" s="66"/>
      <c r="W433" s="69"/>
      <c r="X433" s="66"/>
      <c r="Y433" s="36">
        <f t="shared" si="42"/>
        <v>28.5</v>
      </c>
      <c r="Z433" s="37">
        <f t="shared" si="43"/>
        <v>371.64</v>
      </c>
    </row>
    <row r="434" spans="1:26" ht="25" x14ac:dyDescent="0.2">
      <c r="A434" s="3" t="s">
        <v>559</v>
      </c>
      <c r="B434" s="3">
        <v>5</v>
      </c>
      <c r="C434" s="3" t="s">
        <v>3942</v>
      </c>
      <c r="D434" s="8" t="s">
        <v>18</v>
      </c>
      <c r="E434" s="13" t="s">
        <v>3943</v>
      </c>
      <c r="F434" s="9">
        <v>8.02</v>
      </c>
      <c r="G434" s="10">
        <v>285</v>
      </c>
      <c r="H434" s="11">
        <f t="shared" si="39"/>
        <v>2285.6999999999998</v>
      </c>
      <c r="J434" s="53"/>
      <c r="K434" s="57">
        <f>231</f>
        <v>231</v>
      </c>
      <c r="L434" s="53">
        <f t="shared" si="40"/>
        <v>1852.62</v>
      </c>
      <c r="M434" s="57"/>
      <c r="N434" s="53"/>
      <c r="O434" s="59"/>
      <c r="P434" s="53"/>
      <c r="Q434" s="69"/>
      <c r="R434" s="53"/>
      <c r="S434" s="57">
        <f>54</f>
        <v>54</v>
      </c>
      <c r="T434" s="66">
        <f t="shared" si="41"/>
        <v>433.08</v>
      </c>
      <c r="U434" s="57"/>
      <c r="V434" s="66"/>
      <c r="W434" s="69"/>
      <c r="X434" s="66"/>
      <c r="Y434" s="36">
        <f t="shared" si="42"/>
        <v>285</v>
      </c>
      <c r="Z434" s="37">
        <f t="shared" si="43"/>
        <v>2285.6999999999998</v>
      </c>
    </row>
    <row r="435" spans="1:26" ht="49" x14ac:dyDescent="0.2">
      <c r="A435" s="3" t="s">
        <v>559</v>
      </c>
      <c r="B435" s="3">
        <v>6</v>
      </c>
      <c r="C435" s="3" t="s">
        <v>561</v>
      </c>
      <c r="D435" s="8" t="s">
        <v>18</v>
      </c>
      <c r="E435" s="13" t="s">
        <v>562</v>
      </c>
      <c r="F435" s="9">
        <v>63.74</v>
      </c>
      <c r="G435" s="10">
        <v>18</v>
      </c>
      <c r="H435" s="11">
        <f t="shared" si="39"/>
        <v>1147.32</v>
      </c>
      <c r="J435" s="53"/>
      <c r="K435" s="57">
        <f>7</f>
        <v>7</v>
      </c>
      <c r="L435" s="53">
        <f t="shared" si="40"/>
        <v>446.18</v>
      </c>
      <c r="M435" s="57"/>
      <c r="N435" s="53"/>
      <c r="O435" s="59"/>
      <c r="P435" s="53"/>
      <c r="Q435" s="69"/>
      <c r="R435" s="53"/>
      <c r="S435" s="57">
        <f>5</f>
        <v>5</v>
      </c>
      <c r="T435" s="66">
        <f t="shared" si="41"/>
        <v>318.7</v>
      </c>
      <c r="U435" s="57">
        <f>6</f>
        <v>6</v>
      </c>
      <c r="V435" s="66">
        <f t="shared" ref="V435:V440" si="44">F435*U435</f>
        <v>382.44</v>
      </c>
      <c r="W435" s="69"/>
      <c r="X435" s="66"/>
      <c r="Y435" s="36">
        <f t="shared" si="42"/>
        <v>18</v>
      </c>
      <c r="Z435" s="37">
        <f t="shared" si="43"/>
        <v>1147.32</v>
      </c>
    </row>
    <row r="436" spans="1:26" ht="25" x14ac:dyDescent="0.2">
      <c r="A436" s="3" t="s">
        <v>559</v>
      </c>
      <c r="B436" s="3">
        <v>7</v>
      </c>
      <c r="C436" s="3" t="s">
        <v>3944</v>
      </c>
      <c r="D436" s="8" t="s">
        <v>18</v>
      </c>
      <c r="E436" s="13" t="s">
        <v>3945</v>
      </c>
      <c r="F436" s="9">
        <v>10.79</v>
      </c>
      <c r="G436" s="10">
        <v>40</v>
      </c>
      <c r="H436" s="11">
        <f t="shared" si="39"/>
        <v>431.6</v>
      </c>
      <c r="J436" s="53"/>
      <c r="K436" s="57"/>
      <c r="L436" s="53"/>
      <c r="M436" s="57"/>
      <c r="N436" s="53"/>
      <c r="O436" s="59"/>
      <c r="P436" s="53"/>
      <c r="Q436" s="69"/>
      <c r="R436" s="53"/>
      <c r="S436" s="57"/>
      <c r="T436" s="66"/>
      <c r="U436" s="57">
        <f>40</f>
        <v>40</v>
      </c>
      <c r="V436" s="66">
        <f t="shared" si="44"/>
        <v>431.59999999999997</v>
      </c>
      <c r="W436" s="69"/>
      <c r="X436" s="66"/>
    </row>
    <row r="437" spans="1:26" x14ac:dyDescent="0.2">
      <c r="A437" s="3" t="s">
        <v>559</v>
      </c>
      <c r="B437" s="3">
        <v>8</v>
      </c>
      <c r="C437" s="3" t="s">
        <v>563</v>
      </c>
      <c r="D437" s="8" t="s">
        <v>18</v>
      </c>
      <c r="E437" s="13" t="s">
        <v>564</v>
      </c>
      <c r="F437" s="9">
        <v>14.36</v>
      </c>
      <c r="G437" s="10">
        <v>40</v>
      </c>
      <c r="H437" s="11">
        <f t="shared" si="39"/>
        <v>574.4</v>
      </c>
      <c r="J437" s="53"/>
      <c r="K437" s="57"/>
      <c r="L437" s="53"/>
      <c r="M437" s="57"/>
      <c r="N437" s="53"/>
      <c r="O437" s="59"/>
      <c r="P437" s="53"/>
      <c r="Q437" s="69"/>
      <c r="R437" s="53"/>
      <c r="S437" s="57"/>
      <c r="T437" s="66"/>
      <c r="U437" s="57">
        <f>40</f>
        <v>40</v>
      </c>
      <c r="V437" s="66">
        <f t="shared" si="44"/>
        <v>574.4</v>
      </c>
      <c r="W437" s="69"/>
      <c r="X437" s="66"/>
    </row>
    <row r="438" spans="1:26" ht="25" x14ac:dyDescent="0.2">
      <c r="A438" s="3" t="s">
        <v>559</v>
      </c>
      <c r="B438" s="3">
        <v>9</v>
      </c>
      <c r="C438" s="3" t="s">
        <v>565</v>
      </c>
      <c r="D438" s="8" t="s">
        <v>18</v>
      </c>
      <c r="E438" s="13" t="s">
        <v>566</v>
      </c>
      <c r="F438" s="9">
        <v>21.16</v>
      </c>
      <c r="G438" s="10">
        <v>40</v>
      </c>
      <c r="H438" s="11">
        <f t="shared" si="39"/>
        <v>846.4</v>
      </c>
      <c r="J438" s="53"/>
      <c r="K438" s="57"/>
      <c r="L438" s="53"/>
      <c r="M438" s="57"/>
      <c r="N438" s="53"/>
      <c r="O438" s="59"/>
      <c r="P438" s="53"/>
      <c r="Q438" s="69"/>
      <c r="R438" s="53"/>
      <c r="S438" s="57"/>
      <c r="T438" s="66"/>
      <c r="U438" s="57">
        <f>40</f>
        <v>40</v>
      </c>
      <c r="V438" s="66">
        <f t="shared" si="44"/>
        <v>846.4</v>
      </c>
      <c r="W438" s="69"/>
      <c r="X438" s="66"/>
    </row>
    <row r="439" spans="1:26" ht="49" x14ac:dyDescent="0.2">
      <c r="A439" s="3" t="s">
        <v>559</v>
      </c>
      <c r="B439" s="3">
        <v>10</v>
      </c>
      <c r="C439" s="3" t="s">
        <v>567</v>
      </c>
      <c r="D439" s="8" t="s">
        <v>18</v>
      </c>
      <c r="E439" s="13" t="s">
        <v>568</v>
      </c>
      <c r="F439" s="9">
        <v>6.18</v>
      </c>
      <c r="G439" s="10">
        <v>72</v>
      </c>
      <c r="H439" s="11">
        <f t="shared" si="39"/>
        <v>444.96</v>
      </c>
      <c r="J439" s="53"/>
      <c r="K439" s="57"/>
      <c r="L439" s="53"/>
      <c r="M439" s="57"/>
      <c r="N439" s="53"/>
      <c r="O439" s="59"/>
      <c r="P439" s="53"/>
      <c r="Q439" s="69"/>
      <c r="R439" s="53"/>
      <c r="S439" s="57">
        <f>32</f>
        <v>32</v>
      </c>
      <c r="T439" s="66">
        <f>F439*S439</f>
        <v>197.76</v>
      </c>
      <c r="U439" s="57">
        <f>40</f>
        <v>40</v>
      </c>
      <c r="V439" s="66">
        <f t="shared" si="44"/>
        <v>247.2</v>
      </c>
      <c r="W439" s="69"/>
      <c r="X439" s="66"/>
      <c r="Y439" s="36">
        <f>K439+S439+U439</f>
        <v>72</v>
      </c>
      <c r="Z439" s="37">
        <f>J439+L439+T439+V439+R439</f>
        <v>444.96</v>
      </c>
    </row>
    <row r="440" spans="1:26" ht="25" x14ac:dyDescent="0.2">
      <c r="A440" s="3" t="s">
        <v>559</v>
      </c>
      <c r="B440" s="3">
        <v>11</v>
      </c>
      <c r="C440" s="3" t="s">
        <v>569</v>
      </c>
      <c r="D440" s="8" t="s">
        <v>18</v>
      </c>
      <c r="E440" s="13" t="s">
        <v>3946</v>
      </c>
      <c r="F440" s="9">
        <v>41.49</v>
      </c>
      <c r="G440" s="10">
        <v>72</v>
      </c>
      <c r="H440" s="11">
        <f t="shared" si="39"/>
        <v>2987.28</v>
      </c>
      <c r="J440" s="53"/>
      <c r="K440" s="57"/>
      <c r="L440" s="53"/>
      <c r="M440" s="57"/>
      <c r="N440" s="53"/>
      <c r="O440" s="59"/>
      <c r="P440" s="53"/>
      <c r="Q440" s="69"/>
      <c r="R440" s="53"/>
      <c r="S440" s="57">
        <f>32</f>
        <v>32</v>
      </c>
      <c r="T440" s="66">
        <f>F440*S440</f>
        <v>1327.68</v>
      </c>
      <c r="U440" s="57">
        <f>40</f>
        <v>40</v>
      </c>
      <c r="V440" s="66">
        <f t="shared" si="44"/>
        <v>1659.6000000000001</v>
      </c>
      <c r="W440" s="69"/>
      <c r="X440" s="66"/>
      <c r="Y440" s="36">
        <f>K440+S440+U440</f>
        <v>72</v>
      </c>
      <c r="Z440" s="37">
        <f>J440+L440+T440+V440+R440</f>
        <v>2987.28</v>
      </c>
    </row>
    <row r="441" spans="1:26" ht="25" x14ac:dyDescent="0.2">
      <c r="A441" s="3" t="s">
        <v>559</v>
      </c>
      <c r="B441" s="3">
        <v>12</v>
      </c>
      <c r="C441" s="3" t="s">
        <v>3988</v>
      </c>
      <c r="D441" s="8" t="s">
        <v>36</v>
      </c>
      <c r="E441" s="13" t="s">
        <v>3989</v>
      </c>
      <c r="F441" s="9">
        <v>25.77</v>
      </c>
      <c r="G441" s="10">
        <v>74</v>
      </c>
      <c r="H441" s="11">
        <f t="shared" si="39"/>
        <v>1906.98</v>
      </c>
      <c r="J441" s="53"/>
      <c r="K441" s="57"/>
      <c r="L441" s="53"/>
      <c r="M441" s="57"/>
      <c r="N441" s="53"/>
      <c r="O441" s="59"/>
      <c r="P441" s="53"/>
      <c r="Q441" s="69"/>
      <c r="R441" s="53"/>
      <c r="S441" s="57">
        <f>38</f>
        <v>38</v>
      </c>
      <c r="T441" s="66">
        <f>F441*S441</f>
        <v>979.26</v>
      </c>
      <c r="U441" s="57">
        <f>36</f>
        <v>36</v>
      </c>
      <c r="V441" s="66">
        <f>F441*U441</f>
        <v>927.72</v>
      </c>
      <c r="W441" s="69"/>
      <c r="X441" s="66"/>
      <c r="Y441" s="36">
        <f>K441+S441+U441</f>
        <v>74</v>
      </c>
      <c r="Z441" s="37">
        <f>J441+L441+T441+V441+R441</f>
        <v>1906.98</v>
      </c>
    </row>
    <row r="442" spans="1:26" ht="25" x14ac:dyDescent="0.2">
      <c r="A442" s="3" t="s">
        <v>559</v>
      </c>
      <c r="B442" s="3">
        <v>13</v>
      </c>
      <c r="C442" s="3" t="s">
        <v>3990</v>
      </c>
      <c r="D442" s="8" t="s">
        <v>36</v>
      </c>
      <c r="E442" s="13" t="s">
        <v>3991</v>
      </c>
      <c r="F442" s="9">
        <v>29.2</v>
      </c>
      <c r="G442" s="10">
        <v>123</v>
      </c>
      <c r="H442" s="11">
        <f t="shared" si="39"/>
        <v>3591.6</v>
      </c>
      <c r="J442" s="53"/>
      <c r="K442" s="57">
        <f>85</f>
        <v>85</v>
      </c>
      <c r="L442" s="53">
        <f>F442*K442</f>
        <v>2482</v>
      </c>
      <c r="M442" s="57"/>
      <c r="N442" s="53"/>
      <c r="O442" s="59"/>
      <c r="P442" s="53"/>
      <c r="Q442" s="69"/>
      <c r="R442" s="53"/>
      <c r="S442" s="59">
        <f>38</f>
        <v>38</v>
      </c>
      <c r="T442" s="66">
        <f>F442*S442</f>
        <v>1109.5999999999999</v>
      </c>
      <c r="U442" s="57"/>
      <c r="V442" s="66"/>
      <c r="W442" s="69"/>
      <c r="X442" s="66"/>
      <c r="Y442" s="36">
        <f>K442+S442</f>
        <v>123</v>
      </c>
      <c r="Z442" s="37">
        <f>J442+L442+T442+R442</f>
        <v>3591.6</v>
      </c>
    </row>
    <row r="443" spans="1:26" ht="37" x14ac:dyDescent="0.2">
      <c r="A443" s="3" t="s">
        <v>559</v>
      </c>
      <c r="B443" s="3">
        <v>14</v>
      </c>
      <c r="C443" s="3" t="s">
        <v>3992</v>
      </c>
      <c r="D443" s="8" t="s">
        <v>36</v>
      </c>
      <c r="E443" s="13" t="s">
        <v>3993</v>
      </c>
      <c r="F443" s="9">
        <v>25.14</v>
      </c>
      <c r="G443" s="10">
        <v>36</v>
      </c>
      <c r="H443" s="11">
        <f t="shared" si="39"/>
        <v>905.04</v>
      </c>
      <c r="J443" s="53"/>
      <c r="K443" s="57"/>
      <c r="L443" s="53"/>
      <c r="M443" s="57"/>
      <c r="N443" s="53"/>
      <c r="O443" s="59"/>
      <c r="P443" s="53"/>
      <c r="Q443" s="69"/>
      <c r="R443" s="53"/>
      <c r="S443" s="57"/>
      <c r="T443" s="66"/>
      <c r="U443" s="57">
        <f>36</f>
        <v>36</v>
      </c>
      <c r="V443" s="66">
        <f>F443*U443</f>
        <v>905.04</v>
      </c>
      <c r="W443" s="69"/>
      <c r="X443" s="66"/>
    </row>
    <row r="444" spans="1:26" ht="37" x14ac:dyDescent="0.2">
      <c r="A444" s="3" t="s">
        <v>559</v>
      </c>
      <c r="B444" s="3">
        <v>15</v>
      </c>
      <c r="C444" s="3" t="s">
        <v>3994</v>
      </c>
      <c r="D444" s="8" t="s">
        <v>36</v>
      </c>
      <c r="E444" s="13" t="s">
        <v>3995</v>
      </c>
      <c r="F444" s="9">
        <v>62.26</v>
      </c>
      <c r="G444" s="10">
        <v>30</v>
      </c>
      <c r="H444" s="11">
        <f t="shared" si="39"/>
        <v>1867.8</v>
      </c>
      <c r="J444" s="53"/>
      <c r="K444" s="57">
        <f>12</f>
        <v>12</v>
      </c>
      <c r="L444" s="53">
        <f>F444*K444</f>
        <v>747.12</v>
      </c>
      <c r="M444" s="57"/>
      <c r="N444" s="53"/>
      <c r="O444" s="59"/>
      <c r="P444" s="53"/>
      <c r="Q444" s="69"/>
      <c r="R444" s="53"/>
      <c r="S444" s="57">
        <f>18</f>
        <v>18</v>
      </c>
      <c r="T444" s="66">
        <f>F444*S444</f>
        <v>1120.68</v>
      </c>
      <c r="U444" s="57"/>
      <c r="V444" s="66"/>
      <c r="W444" s="69"/>
      <c r="X444" s="66"/>
      <c r="Y444" s="36">
        <f>K444+S444</f>
        <v>30</v>
      </c>
      <c r="Z444" s="37">
        <f>J444+L444+T444+R444</f>
        <v>1867.8000000000002</v>
      </c>
    </row>
    <row r="445" spans="1:26" ht="37" x14ac:dyDescent="0.2">
      <c r="A445" s="3" t="s">
        <v>559</v>
      </c>
      <c r="B445" s="3">
        <v>16</v>
      </c>
      <c r="C445" s="3" t="s">
        <v>979</v>
      </c>
      <c r="D445" s="8" t="s">
        <v>18</v>
      </c>
      <c r="E445" s="13" t="s">
        <v>3996</v>
      </c>
      <c r="F445" s="9">
        <v>128.38999999999999</v>
      </c>
      <c r="G445" s="10">
        <v>59</v>
      </c>
      <c r="H445" s="11">
        <f t="shared" si="39"/>
        <v>7575.01</v>
      </c>
      <c r="J445" s="53"/>
      <c r="K445" s="57"/>
      <c r="L445" s="53"/>
      <c r="M445" s="57"/>
      <c r="N445" s="53"/>
      <c r="O445" s="59"/>
      <c r="P445" s="53"/>
      <c r="Q445" s="69"/>
      <c r="R445" s="53"/>
      <c r="S445" s="57">
        <f>59</f>
        <v>59</v>
      </c>
      <c r="T445" s="66">
        <f>F445*S445</f>
        <v>7575.0099999999993</v>
      </c>
      <c r="U445" s="57"/>
      <c r="V445" s="66"/>
      <c r="W445" s="69"/>
      <c r="X445" s="66"/>
    </row>
    <row r="446" spans="1:26" ht="37" x14ac:dyDescent="0.2">
      <c r="A446" s="3" t="s">
        <v>559</v>
      </c>
      <c r="B446" s="3">
        <v>17</v>
      </c>
      <c r="C446" s="3" t="s">
        <v>3997</v>
      </c>
      <c r="D446" s="8" t="s">
        <v>18</v>
      </c>
      <c r="E446" s="13" t="s">
        <v>3998</v>
      </c>
      <c r="F446" s="9">
        <v>11.91</v>
      </c>
      <c r="G446" s="10">
        <v>384</v>
      </c>
      <c r="H446" s="11">
        <f t="shared" si="39"/>
        <v>4573.4399999999996</v>
      </c>
      <c r="J446" s="53"/>
      <c r="K446" s="57">
        <f>231</f>
        <v>231</v>
      </c>
      <c r="L446" s="53">
        <f>F446*K446</f>
        <v>2751.21</v>
      </c>
      <c r="M446" s="57"/>
      <c r="N446" s="53"/>
      <c r="O446" s="59"/>
      <c r="P446" s="53"/>
      <c r="Q446" s="69"/>
      <c r="R446" s="53"/>
      <c r="S446" s="57">
        <f>54+59</f>
        <v>113</v>
      </c>
      <c r="T446" s="66">
        <f>F446*S446</f>
        <v>1345.83</v>
      </c>
      <c r="U446" s="57">
        <f>40</f>
        <v>40</v>
      </c>
      <c r="V446" s="66">
        <f>F446*U446</f>
        <v>476.4</v>
      </c>
      <c r="W446" s="69"/>
      <c r="X446" s="66"/>
      <c r="Y446" s="36">
        <f>K446+S446</f>
        <v>344</v>
      </c>
      <c r="Z446" s="37">
        <f>J446+L446+T446+R446</f>
        <v>4097.04</v>
      </c>
    </row>
    <row r="447" spans="1:26" ht="37" x14ac:dyDescent="0.2">
      <c r="A447" s="3" t="s">
        <v>559</v>
      </c>
      <c r="B447" s="3">
        <v>18</v>
      </c>
      <c r="C447" s="3" t="s">
        <v>164</v>
      </c>
      <c r="D447" s="8" t="s">
        <v>23</v>
      </c>
      <c r="E447" s="13" t="s">
        <v>3999</v>
      </c>
      <c r="F447" s="9">
        <v>432</v>
      </c>
      <c r="G447" s="10">
        <v>1</v>
      </c>
      <c r="H447" s="11">
        <f t="shared" si="39"/>
        <v>432</v>
      </c>
      <c r="J447" s="53"/>
      <c r="K447" s="57"/>
      <c r="L447" s="53"/>
      <c r="M447" s="57"/>
      <c r="N447" s="53"/>
      <c r="O447" s="59"/>
      <c r="P447" s="53"/>
      <c r="Q447" s="69"/>
      <c r="R447" s="53"/>
      <c r="S447" s="57"/>
      <c r="T447" s="66"/>
      <c r="U447" s="57">
        <f>1</f>
        <v>1</v>
      </c>
      <c r="V447" s="66">
        <f>F447*U447</f>
        <v>432</v>
      </c>
      <c r="W447" s="69"/>
      <c r="X447" s="66"/>
    </row>
    <row r="448" spans="1:26" x14ac:dyDescent="0.2">
      <c r="E448" s="81" t="s">
        <v>25</v>
      </c>
      <c r="F448" s="6"/>
      <c r="G448" s="6"/>
      <c r="H448" s="12">
        <f>SUM(H430:H447)</f>
        <v>46622.19</v>
      </c>
      <c r="J448" s="53"/>
      <c r="K448" s="57"/>
      <c r="L448" s="71">
        <f>SUM(L430:L447)</f>
        <v>21722.405999999999</v>
      </c>
      <c r="M448" s="58"/>
      <c r="N448" s="71">
        <f>SUM(N430:N440)</f>
        <v>0</v>
      </c>
      <c r="O448" s="75"/>
      <c r="P448" s="71">
        <f>SUM(P428:P440)</f>
        <v>0</v>
      </c>
      <c r="Q448" s="69"/>
      <c r="R448" s="53"/>
      <c r="S448" s="57"/>
      <c r="T448" s="72">
        <f>SUM(T430:T447)</f>
        <v>17550.184000000001</v>
      </c>
      <c r="U448" s="57"/>
      <c r="V448" s="67">
        <f>SUM(V430:V447)</f>
        <v>7349.5999999999995</v>
      </c>
      <c r="W448" s="69"/>
      <c r="X448" s="66"/>
      <c r="Z448" s="37">
        <f>J448+L448+T448+R448+V448</f>
        <v>46622.189999999995</v>
      </c>
    </row>
    <row r="449" spans="1:26" x14ac:dyDescent="0.2">
      <c r="E449" s="81"/>
      <c r="F449" s="6"/>
      <c r="G449" s="6"/>
      <c r="H449" s="12"/>
      <c r="J449" s="53"/>
      <c r="K449" s="57"/>
      <c r="L449" s="53"/>
      <c r="M449" s="57"/>
      <c r="N449" s="53"/>
      <c r="O449" s="59"/>
      <c r="P449" s="53"/>
      <c r="Q449" s="69"/>
      <c r="R449" s="53"/>
      <c r="S449" s="57"/>
      <c r="T449" s="66"/>
      <c r="U449" s="57"/>
      <c r="V449" s="66"/>
      <c r="W449" s="69"/>
      <c r="X449" s="66"/>
    </row>
    <row r="450" spans="1:26" x14ac:dyDescent="0.2">
      <c r="J450" s="53"/>
      <c r="K450" s="57"/>
      <c r="L450" s="53"/>
      <c r="M450" s="57"/>
      <c r="N450" s="53"/>
      <c r="O450" s="59"/>
      <c r="P450" s="53"/>
      <c r="Q450" s="69"/>
      <c r="R450" s="53"/>
      <c r="S450" s="57"/>
      <c r="T450" s="66"/>
      <c r="U450" s="57"/>
      <c r="V450" s="66"/>
      <c r="W450" s="69"/>
      <c r="X450" s="66"/>
    </row>
    <row r="451" spans="1:26" x14ac:dyDescent="0.2">
      <c r="C451" s="6" t="s">
        <v>6</v>
      </c>
      <c r="D451" s="7" t="s">
        <v>7</v>
      </c>
      <c r="E451" s="81" t="s">
        <v>8</v>
      </c>
      <c r="J451" s="53"/>
      <c r="K451" s="57"/>
      <c r="L451" s="53"/>
      <c r="M451" s="57"/>
      <c r="N451" s="53"/>
      <c r="O451" s="59"/>
      <c r="P451" s="53"/>
      <c r="Q451" s="69"/>
      <c r="R451" s="53"/>
      <c r="S451" s="57"/>
      <c r="T451" s="66"/>
      <c r="U451" s="57"/>
      <c r="V451" s="66"/>
      <c r="W451" s="69"/>
      <c r="X451" s="66"/>
    </row>
    <row r="452" spans="1:26" x14ac:dyDescent="0.2">
      <c r="C452" s="6" t="s">
        <v>9</v>
      </c>
      <c r="D452" s="7" t="s">
        <v>158</v>
      </c>
      <c r="E452" s="81" t="s">
        <v>557</v>
      </c>
      <c r="J452" s="53"/>
      <c r="K452" s="57"/>
      <c r="L452" s="53"/>
      <c r="M452" s="57"/>
      <c r="N452" s="53"/>
      <c r="O452" s="59"/>
      <c r="P452" s="53"/>
      <c r="Q452" s="69"/>
      <c r="R452" s="53"/>
      <c r="S452" s="57"/>
      <c r="T452" s="66"/>
      <c r="U452" s="57"/>
      <c r="V452" s="66"/>
      <c r="W452" s="69"/>
      <c r="X452" s="66"/>
    </row>
    <row r="453" spans="1:26" x14ac:dyDescent="0.2">
      <c r="C453" s="6" t="s">
        <v>11</v>
      </c>
      <c r="D453" s="7" t="s">
        <v>26</v>
      </c>
      <c r="E453" s="81" t="s">
        <v>570</v>
      </c>
      <c r="J453" s="53"/>
      <c r="K453" s="57"/>
      <c r="L453" s="53"/>
      <c r="M453" s="57"/>
      <c r="N453" s="53"/>
      <c r="O453" s="59"/>
      <c r="P453" s="53"/>
      <c r="Q453" s="69"/>
      <c r="R453" s="53"/>
      <c r="S453" s="57"/>
      <c r="T453" s="66"/>
      <c r="U453" s="57"/>
      <c r="V453" s="66"/>
      <c r="W453" s="69"/>
      <c r="X453" s="66"/>
    </row>
    <row r="454" spans="1:26" x14ac:dyDescent="0.2">
      <c r="J454" s="53"/>
      <c r="K454" s="57"/>
      <c r="L454" s="53"/>
      <c r="M454" s="57"/>
      <c r="N454" s="53"/>
      <c r="O454" s="59"/>
      <c r="P454" s="53"/>
      <c r="Q454" s="69"/>
      <c r="R454" s="53"/>
      <c r="S454" s="57"/>
      <c r="T454" s="66"/>
      <c r="U454" s="57"/>
      <c r="V454" s="66"/>
      <c r="W454" s="69"/>
      <c r="X454" s="66"/>
    </row>
    <row r="455" spans="1:26" ht="25" x14ac:dyDescent="0.2">
      <c r="A455" s="3" t="s">
        <v>571</v>
      </c>
      <c r="B455" s="3">
        <v>1</v>
      </c>
      <c r="C455" s="3" t="s">
        <v>572</v>
      </c>
      <c r="D455" s="8" t="s">
        <v>18</v>
      </c>
      <c r="E455" s="13" t="s">
        <v>573</v>
      </c>
      <c r="F455" s="9">
        <v>8.15</v>
      </c>
      <c r="G455" s="10">
        <v>295</v>
      </c>
      <c r="H455" s="11">
        <f t="shared" ref="H455:H463" si="45">ROUND(ROUND(F455,2)*ROUND(G455,3),2)</f>
        <v>2404.25</v>
      </c>
      <c r="J455" s="53"/>
      <c r="K455" s="57">
        <f>86</f>
        <v>86</v>
      </c>
      <c r="L455" s="53">
        <f t="shared" ref="L455:L460" si="46">F455*K455</f>
        <v>700.9</v>
      </c>
      <c r="M455" s="57"/>
      <c r="N455" s="53"/>
      <c r="O455" s="59"/>
      <c r="P455" s="53"/>
      <c r="Q455" s="69"/>
      <c r="R455" s="53"/>
      <c r="S455" s="57">
        <f>119</f>
        <v>119</v>
      </c>
      <c r="T455" s="66">
        <f t="shared" ref="T455:T463" si="47">F455*S455</f>
        <v>969.85</v>
      </c>
      <c r="U455" s="57">
        <f>90</f>
        <v>90</v>
      </c>
      <c r="V455" s="66">
        <f t="shared" ref="V455:V462" si="48">F455*U455</f>
        <v>733.5</v>
      </c>
      <c r="W455" s="69"/>
      <c r="X455" s="66"/>
      <c r="Y455" s="36">
        <f t="shared" ref="Y455:Y463" si="49">K455+S455+U455</f>
        <v>295</v>
      </c>
      <c r="Z455" s="37">
        <f t="shared" ref="Z455:Z464" si="50">J455+L455+T455+R455+V455</f>
        <v>2404.25</v>
      </c>
    </row>
    <row r="456" spans="1:26" ht="49" x14ac:dyDescent="0.2">
      <c r="A456" s="3" t="s">
        <v>571</v>
      </c>
      <c r="B456" s="3">
        <v>2</v>
      </c>
      <c r="C456" s="3" t="s">
        <v>574</v>
      </c>
      <c r="D456" s="8" t="s">
        <v>18</v>
      </c>
      <c r="E456" s="13" t="s">
        <v>575</v>
      </c>
      <c r="F456" s="9">
        <v>10.89</v>
      </c>
      <c r="G456" s="10">
        <v>324</v>
      </c>
      <c r="H456" s="11">
        <f t="shared" si="45"/>
        <v>3528.36</v>
      </c>
      <c r="J456" s="53"/>
      <c r="K456" s="57">
        <f>135+93+43</f>
        <v>271</v>
      </c>
      <c r="L456" s="53">
        <f t="shared" si="46"/>
        <v>2951.19</v>
      </c>
      <c r="M456" s="57"/>
      <c r="N456" s="53"/>
      <c r="O456" s="59"/>
      <c r="P456" s="53"/>
      <c r="Q456" s="69"/>
      <c r="R456" s="53"/>
      <c r="S456" s="57">
        <f>23</f>
        <v>23</v>
      </c>
      <c r="T456" s="66">
        <f t="shared" si="47"/>
        <v>250.47000000000003</v>
      </c>
      <c r="U456" s="57">
        <f>30</f>
        <v>30</v>
      </c>
      <c r="V456" s="66">
        <f t="shared" si="48"/>
        <v>326.70000000000005</v>
      </c>
      <c r="W456" s="69"/>
      <c r="X456" s="66"/>
      <c r="Y456" s="36">
        <f t="shared" si="49"/>
        <v>324</v>
      </c>
      <c r="Z456" s="37">
        <f t="shared" si="50"/>
        <v>3528.3599999999997</v>
      </c>
    </row>
    <row r="457" spans="1:26" ht="61" x14ac:dyDescent="0.2">
      <c r="A457" s="3" t="s">
        <v>571</v>
      </c>
      <c r="B457" s="3">
        <v>3</v>
      </c>
      <c r="C457" s="3" t="s">
        <v>576</v>
      </c>
      <c r="D457" s="8" t="s">
        <v>18</v>
      </c>
      <c r="E457" s="13" t="s">
        <v>577</v>
      </c>
      <c r="F457" s="9">
        <v>107.3</v>
      </c>
      <c r="G457" s="10">
        <v>162</v>
      </c>
      <c r="H457" s="11">
        <f t="shared" si="45"/>
        <v>17382.599999999999</v>
      </c>
      <c r="J457" s="53"/>
      <c r="K457" s="57">
        <f>67.5+46.5+21.5</f>
        <v>135.5</v>
      </c>
      <c r="L457" s="53">
        <f t="shared" si="46"/>
        <v>14539.15</v>
      </c>
      <c r="M457" s="57"/>
      <c r="N457" s="53"/>
      <c r="O457" s="59"/>
      <c r="P457" s="53"/>
      <c r="Q457" s="69"/>
      <c r="R457" s="53"/>
      <c r="S457" s="57">
        <f>11.5</f>
        <v>11.5</v>
      </c>
      <c r="T457" s="66">
        <f t="shared" si="47"/>
        <v>1233.95</v>
      </c>
      <c r="U457" s="57">
        <f>15</f>
        <v>15</v>
      </c>
      <c r="V457" s="66">
        <f t="shared" si="48"/>
        <v>1609.5</v>
      </c>
      <c r="W457" s="69"/>
      <c r="X457" s="66"/>
      <c r="Y457" s="36">
        <f t="shared" si="49"/>
        <v>162</v>
      </c>
      <c r="Z457" s="37">
        <f t="shared" si="50"/>
        <v>17382.599999999999</v>
      </c>
    </row>
    <row r="458" spans="1:26" ht="25" x14ac:dyDescent="0.2">
      <c r="A458" s="3" t="s">
        <v>571</v>
      </c>
      <c r="B458" s="3">
        <v>4</v>
      </c>
      <c r="C458" s="3" t="s">
        <v>578</v>
      </c>
      <c r="D458" s="8" t="s">
        <v>18</v>
      </c>
      <c r="E458" s="13" t="s">
        <v>579</v>
      </c>
      <c r="F458" s="9">
        <v>35.520000000000003</v>
      </c>
      <c r="G458" s="10">
        <v>162</v>
      </c>
      <c r="H458" s="11">
        <f t="shared" si="45"/>
        <v>5754.24</v>
      </c>
      <c r="J458" s="53"/>
      <c r="K458" s="57">
        <f>67.5+46.5+21.5</f>
        <v>135.5</v>
      </c>
      <c r="L458" s="53">
        <f t="shared" si="46"/>
        <v>4812.96</v>
      </c>
      <c r="M458" s="57"/>
      <c r="N458" s="53"/>
      <c r="O458" s="59"/>
      <c r="P458" s="53"/>
      <c r="Q458" s="69"/>
      <c r="R458" s="53"/>
      <c r="S458" s="57">
        <f>11.5</f>
        <v>11.5</v>
      </c>
      <c r="T458" s="66">
        <f t="shared" si="47"/>
        <v>408.48</v>
      </c>
      <c r="U458" s="57">
        <f>15</f>
        <v>15</v>
      </c>
      <c r="V458" s="66">
        <f t="shared" si="48"/>
        <v>532.80000000000007</v>
      </c>
      <c r="W458" s="69"/>
      <c r="X458" s="66"/>
      <c r="Y458" s="36">
        <f t="shared" si="49"/>
        <v>162</v>
      </c>
      <c r="Z458" s="37">
        <f t="shared" si="50"/>
        <v>5754.2400000000007</v>
      </c>
    </row>
    <row r="459" spans="1:26" ht="25" x14ac:dyDescent="0.2">
      <c r="A459" s="3" t="s">
        <v>571</v>
      </c>
      <c r="B459" s="3">
        <v>5</v>
      </c>
      <c r="C459" s="3" t="s">
        <v>580</v>
      </c>
      <c r="D459" s="8" t="s">
        <v>18</v>
      </c>
      <c r="E459" s="13" t="s">
        <v>581</v>
      </c>
      <c r="F459" s="9">
        <v>21.68</v>
      </c>
      <c r="G459" s="10">
        <v>619</v>
      </c>
      <c r="H459" s="11">
        <f t="shared" si="45"/>
        <v>13419.92</v>
      </c>
      <c r="J459" s="53"/>
      <c r="K459" s="57">
        <f>135+93+43+43+43</f>
        <v>357</v>
      </c>
      <c r="L459" s="53">
        <f t="shared" si="46"/>
        <v>7739.76</v>
      </c>
      <c r="M459" s="57"/>
      <c r="N459" s="53"/>
      <c r="O459" s="59"/>
      <c r="P459" s="53"/>
      <c r="Q459" s="69"/>
      <c r="R459" s="53"/>
      <c r="S459" s="57">
        <f>46+96</f>
        <v>142</v>
      </c>
      <c r="T459" s="66">
        <f t="shared" si="47"/>
        <v>3078.56</v>
      </c>
      <c r="U459" s="57">
        <f>60+60</f>
        <v>120</v>
      </c>
      <c r="V459" s="66">
        <f t="shared" si="48"/>
        <v>2601.6</v>
      </c>
      <c r="W459" s="69"/>
      <c r="X459" s="66"/>
      <c r="Y459" s="36">
        <f t="shared" si="49"/>
        <v>619</v>
      </c>
      <c r="Z459" s="37">
        <f t="shared" si="50"/>
        <v>13419.92</v>
      </c>
    </row>
    <row r="460" spans="1:26" ht="49" x14ac:dyDescent="0.2">
      <c r="A460" s="3" t="s">
        <v>571</v>
      </c>
      <c r="B460" s="3">
        <v>6</v>
      </c>
      <c r="C460" s="3" t="s">
        <v>582</v>
      </c>
      <c r="D460" s="8" t="s">
        <v>18</v>
      </c>
      <c r="E460" s="13" t="s">
        <v>583</v>
      </c>
      <c r="F460" s="9">
        <v>60.43</v>
      </c>
      <c r="G460" s="10">
        <v>135.13999999999999</v>
      </c>
      <c r="H460" s="11">
        <f t="shared" si="45"/>
        <v>8166.51</v>
      </c>
      <c r="J460" s="53"/>
      <c r="K460" s="57">
        <f>13.6+18.4</f>
        <v>32</v>
      </c>
      <c r="L460" s="53">
        <f t="shared" si="46"/>
        <v>1933.76</v>
      </c>
      <c r="M460" s="57"/>
      <c r="N460" s="53"/>
      <c r="O460" s="59"/>
      <c r="P460" s="53"/>
      <c r="Q460" s="69"/>
      <c r="R460" s="53"/>
      <c r="S460" s="57">
        <f>18.36+14.04+7.56+10.8</f>
        <v>50.760000000000005</v>
      </c>
      <c r="T460" s="66">
        <f t="shared" si="47"/>
        <v>3067.4268000000002</v>
      </c>
      <c r="U460" s="57">
        <f>9.18+15.12+7.56+20.52</f>
        <v>52.379999999999995</v>
      </c>
      <c r="V460" s="66">
        <f t="shared" si="48"/>
        <v>3165.3233999999998</v>
      </c>
      <c r="W460" s="69"/>
      <c r="X460" s="66"/>
      <c r="Y460" s="36">
        <f t="shared" si="49"/>
        <v>135.13999999999999</v>
      </c>
      <c r="Z460" s="37">
        <f t="shared" si="50"/>
        <v>8166.5102000000006</v>
      </c>
    </row>
    <row r="461" spans="1:26" ht="37" x14ac:dyDescent="0.2">
      <c r="A461" s="3" t="s">
        <v>571</v>
      </c>
      <c r="B461" s="3">
        <v>7</v>
      </c>
      <c r="C461" s="3" t="s">
        <v>584</v>
      </c>
      <c r="D461" s="8" t="s">
        <v>18</v>
      </c>
      <c r="E461" s="13" t="s">
        <v>585</v>
      </c>
      <c r="F461" s="9">
        <v>8.73</v>
      </c>
      <c r="G461" s="10">
        <v>207.01</v>
      </c>
      <c r="H461" s="11">
        <f t="shared" si="45"/>
        <v>1807.2</v>
      </c>
      <c r="J461" s="53"/>
      <c r="K461" s="57"/>
      <c r="L461" s="53"/>
      <c r="M461" s="57"/>
      <c r="N461" s="53"/>
      <c r="O461" s="59"/>
      <c r="P461" s="53"/>
      <c r="Q461" s="69"/>
      <c r="R461" s="53"/>
      <c r="S461" s="57">
        <f>78</f>
        <v>78</v>
      </c>
      <c r="T461" s="66">
        <f t="shared" si="47"/>
        <v>680.94</v>
      </c>
      <c r="U461" s="57">
        <f>129.01</f>
        <v>129.01</v>
      </c>
      <c r="V461" s="66">
        <f t="shared" si="48"/>
        <v>1126.2573</v>
      </c>
      <c r="W461" s="69"/>
      <c r="X461" s="66"/>
      <c r="Y461" s="36">
        <f t="shared" si="49"/>
        <v>207.01</v>
      </c>
      <c r="Z461" s="37">
        <f t="shared" si="50"/>
        <v>1807.1973</v>
      </c>
    </row>
    <row r="462" spans="1:26" ht="25" x14ac:dyDescent="0.2">
      <c r="A462" s="3" t="s">
        <v>571</v>
      </c>
      <c r="B462" s="3">
        <v>8</v>
      </c>
      <c r="C462" s="3" t="s">
        <v>586</v>
      </c>
      <c r="D462" s="8" t="s">
        <v>18</v>
      </c>
      <c r="E462" s="13" t="s">
        <v>587</v>
      </c>
      <c r="F462" s="9">
        <v>7.06</v>
      </c>
      <c r="G462" s="10">
        <v>403.86</v>
      </c>
      <c r="H462" s="11">
        <f t="shared" si="45"/>
        <v>2851.25</v>
      </c>
      <c r="J462" s="53"/>
      <c r="K462" s="57">
        <f>102.6+3.52+3.52+7.59+12*0.5+47</f>
        <v>170.23</v>
      </c>
      <c r="L462" s="53">
        <f>F462*K462</f>
        <v>1201.8237999999999</v>
      </c>
      <c r="M462" s="57"/>
      <c r="N462" s="53"/>
      <c r="O462" s="59"/>
      <c r="P462" s="53"/>
      <c r="Q462" s="69"/>
      <c r="R462" s="53"/>
      <c r="S462" s="57">
        <f>84.25+3.575+6.6+18*0.5+25+3+3</f>
        <v>134.42500000000001</v>
      </c>
      <c r="T462" s="66">
        <f t="shared" si="47"/>
        <v>949.04050000000007</v>
      </c>
      <c r="U462" s="57">
        <f>22.76+3.575+17.876+12.926+16.068+3+3+20</f>
        <v>99.204999999999998</v>
      </c>
      <c r="V462" s="66">
        <f t="shared" si="48"/>
        <v>700.38729999999998</v>
      </c>
      <c r="W462" s="69"/>
      <c r="X462" s="66"/>
      <c r="Y462" s="36">
        <f t="shared" si="49"/>
        <v>403.85999999999996</v>
      </c>
      <c r="Z462" s="37">
        <f t="shared" si="50"/>
        <v>2851.2516000000001</v>
      </c>
    </row>
    <row r="463" spans="1:26" ht="25" x14ac:dyDescent="0.2">
      <c r="A463" s="3" t="s">
        <v>571</v>
      </c>
      <c r="B463" s="3">
        <v>9</v>
      </c>
      <c r="C463" s="3" t="s">
        <v>4000</v>
      </c>
      <c r="D463" s="8" t="s">
        <v>36</v>
      </c>
      <c r="E463" s="13" t="s">
        <v>4001</v>
      </c>
      <c r="F463" s="9">
        <v>27.76</v>
      </c>
      <c r="G463" s="10">
        <v>9.4</v>
      </c>
      <c r="H463" s="11">
        <f t="shared" si="45"/>
        <v>260.94</v>
      </c>
      <c r="J463" s="53"/>
      <c r="K463" s="57">
        <f>3.7</f>
        <v>3.7</v>
      </c>
      <c r="L463" s="53">
        <f>F463*K463</f>
        <v>102.71200000000002</v>
      </c>
      <c r="M463" s="57"/>
      <c r="N463" s="53"/>
      <c r="O463" s="59"/>
      <c r="P463" s="53"/>
      <c r="Q463" s="69"/>
      <c r="R463" s="53"/>
      <c r="S463" s="57">
        <f>5.7</f>
        <v>5.7</v>
      </c>
      <c r="T463" s="66">
        <f t="shared" si="47"/>
        <v>158.23200000000003</v>
      </c>
      <c r="U463" s="57"/>
      <c r="V463" s="66"/>
      <c r="W463" s="69"/>
      <c r="X463" s="66"/>
      <c r="Y463" s="36">
        <f t="shared" si="49"/>
        <v>9.4</v>
      </c>
      <c r="Z463" s="37">
        <f t="shared" si="50"/>
        <v>260.94400000000007</v>
      </c>
    </row>
    <row r="464" spans="1:26" x14ac:dyDescent="0.2">
      <c r="E464" s="81" t="s">
        <v>25</v>
      </c>
      <c r="F464" s="6"/>
      <c r="G464" s="6"/>
      <c r="H464" s="12">
        <f>SUM(H455:H463)</f>
        <v>55575.27</v>
      </c>
      <c r="J464" s="53"/>
      <c r="K464" s="57"/>
      <c r="L464" s="71">
        <f>SUM(L455:L463)</f>
        <v>33982.255799999999</v>
      </c>
      <c r="M464" s="57"/>
      <c r="N464" s="53"/>
      <c r="O464" s="59"/>
      <c r="P464" s="53"/>
      <c r="Q464" s="69"/>
      <c r="R464" s="53"/>
      <c r="S464" s="57"/>
      <c r="T464" s="72">
        <f>SUM(T455:T463)</f>
        <v>10796.9493</v>
      </c>
      <c r="U464" s="57"/>
      <c r="V464" s="67">
        <f>SUM(V455:V463)</f>
        <v>10796.067999999999</v>
      </c>
      <c r="W464" s="69"/>
      <c r="X464" s="66"/>
      <c r="Z464" s="37">
        <f t="shared" si="50"/>
        <v>55575.273099999999</v>
      </c>
    </row>
    <row r="465" spans="1:29" x14ac:dyDescent="0.2">
      <c r="J465" s="53"/>
      <c r="K465" s="57"/>
      <c r="L465" s="53"/>
      <c r="M465" s="57"/>
      <c r="N465" s="53"/>
      <c r="O465" s="59"/>
      <c r="P465" s="53"/>
      <c r="Q465" s="69"/>
      <c r="R465" s="53"/>
      <c r="S465" s="57"/>
      <c r="T465" s="66"/>
      <c r="U465" s="57"/>
      <c r="V465" s="66"/>
      <c r="W465" s="69"/>
      <c r="X465" s="66"/>
    </row>
    <row r="466" spans="1:29" x14ac:dyDescent="0.2">
      <c r="C466" s="6" t="s">
        <v>6</v>
      </c>
      <c r="D466" s="7" t="s">
        <v>7</v>
      </c>
      <c r="E466" s="81" t="s">
        <v>8</v>
      </c>
      <c r="J466" s="53"/>
      <c r="K466" s="57"/>
      <c r="L466" s="53"/>
      <c r="M466" s="57"/>
      <c r="N466" s="53"/>
      <c r="O466" s="59"/>
      <c r="P466" s="53"/>
      <c r="Q466" s="69"/>
      <c r="R466" s="53"/>
      <c r="S466" s="57"/>
      <c r="T466" s="66"/>
      <c r="U466" s="57"/>
      <c r="V466" s="66"/>
      <c r="W466" s="69"/>
      <c r="X466" s="66"/>
    </row>
    <row r="467" spans="1:29" x14ac:dyDescent="0.2">
      <c r="C467" s="6" t="s">
        <v>9</v>
      </c>
      <c r="D467" s="7" t="s">
        <v>385</v>
      </c>
      <c r="E467" s="81" t="s">
        <v>588</v>
      </c>
      <c r="J467" s="53">
        <f>J496+J499+J511+J566+J580+J656+J675+J705+J714+J740+J836</f>
        <v>37875.624000000003</v>
      </c>
      <c r="K467" s="57"/>
      <c r="L467" s="53">
        <f>L499+L511+L535+L554+L566+L599+L611+L626+L675+L692+L729+L776+L789+L801+L822+L836+L847+L857</f>
        <v>72255.234075</v>
      </c>
      <c r="M467" s="57"/>
      <c r="N467" s="53"/>
      <c r="O467" s="59"/>
      <c r="P467" s="53"/>
      <c r="Q467" s="69"/>
      <c r="R467" s="53">
        <f>R580+R675+R692+R729+R776+R801+R836+R857</f>
        <v>27716.731124999998</v>
      </c>
      <c r="S467" s="57"/>
      <c r="T467" s="66">
        <f>T471+T499+T511+T535+T554+T566+T599+T611+T626+T675+T692+T705+T729+T754+T776+T789+T801+T808+T822+T836+T847</f>
        <v>66026.864650000003</v>
      </c>
      <c r="U467" s="57"/>
      <c r="V467" s="66">
        <f>V499+V511+V535+V554+V566+V599+V611+V626+V637+V675+V692+V705+V729+V740+V776+V789+V801+V822+V836+V847</f>
        <v>53648.177550000015</v>
      </c>
      <c r="W467" s="69"/>
      <c r="X467" s="66"/>
      <c r="Z467" s="37">
        <f>J467+L467+T467+V467+R467</f>
        <v>257522.63140000001</v>
      </c>
      <c r="AB467" s="41">
        <f>J467+L467+R467</f>
        <v>137847.58919999999</v>
      </c>
      <c r="AC467" s="41">
        <f>T467+V467</f>
        <v>119675.04220000003</v>
      </c>
    </row>
    <row r="468" spans="1:29" x14ac:dyDescent="0.2">
      <c r="C468" s="6" t="s">
        <v>11</v>
      </c>
      <c r="D468" s="7" t="s">
        <v>7</v>
      </c>
      <c r="E468" s="81" t="s">
        <v>589</v>
      </c>
      <c r="J468" s="53"/>
      <c r="K468" s="57"/>
      <c r="L468" s="53"/>
      <c r="M468" s="57"/>
      <c r="N468" s="53"/>
      <c r="O468" s="59"/>
      <c r="P468" s="53"/>
      <c r="Q468" s="69"/>
      <c r="R468" s="53"/>
      <c r="S468" s="57"/>
      <c r="T468" s="66"/>
      <c r="U468" s="57"/>
      <c r="V468" s="66"/>
      <c r="W468" s="69"/>
      <c r="X468" s="66"/>
    </row>
    <row r="469" spans="1:29" x14ac:dyDescent="0.2">
      <c r="J469" s="53"/>
      <c r="K469" s="57"/>
      <c r="L469" s="53"/>
      <c r="M469" s="57"/>
      <c r="N469" s="53"/>
      <c r="O469" s="59"/>
      <c r="P469" s="53"/>
      <c r="Q469" s="69"/>
      <c r="R469" s="53"/>
      <c r="S469" s="57"/>
      <c r="T469" s="66"/>
      <c r="U469" s="57"/>
      <c r="V469" s="66"/>
      <c r="W469" s="69"/>
      <c r="X469" s="66"/>
    </row>
    <row r="470" spans="1:29" ht="263" x14ac:dyDescent="0.2">
      <c r="A470" s="3" t="s">
        <v>590</v>
      </c>
      <c r="B470" s="3">
        <v>1</v>
      </c>
      <c r="C470" s="3" t="s">
        <v>591</v>
      </c>
      <c r="D470" s="8" t="s">
        <v>23</v>
      </c>
      <c r="E470" s="13" t="s">
        <v>592</v>
      </c>
      <c r="F470" s="9">
        <v>18987.52</v>
      </c>
      <c r="G470" s="10">
        <v>1</v>
      </c>
      <c r="H470" s="11">
        <f>ROUND(ROUND(F470,2)*ROUND(G470,3),2)</f>
        <v>18987.52</v>
      </c>
      <c r="J470" s="53"/>
      <c r="K470" s="57"/>
      <c r="L470" s="53"/>
      <c r="M470" s="57"/>
      <c r="N470" s="53"/>
      <c r="O470" s="59"/>
      <c r="P470" s="53"/>
      <c r="Q470" s="69"/>
      <c r="R470" s="53"/>
      <c r="S470" s="57">
        <f>G470</f>
        <v>1</v>
      </c>
      <c r="T470" s="66">
        <f>F470*S470</f>
        <v>18987.52</v>
      </c>
      <c r="U470" s="57"/>
      <c r="V470" s="66"/>
      <c r="W470" s="69"/>
      <c r="X470" s="66"/>
    </row>
    <row r="471" spans="1:29" x14ac:dyDescent="0.2">
      <c r="E471" s="81" t="s">
        <v>25</v>
      </c>
      <c r="F471" s="6"/>
      <c r="G471" s="6"/>
      <c r="H471" s="12">
        <f>SUM(H470:H470)</f>
        <v>18987.52</v>
      </c>
      <c r="J471" s="53"/>
      <c r="K471" s="57"/>
      <c r="L471" s="53"/>
      <c r="M471" s="57"/>
      <c r="N471" s="53"/>
      <c r="O471" s="59"/>
      <c r="P471" s="53"/>
      <c r="Q471" s="69"/>
      <c r="R471" s="53"/>
      <c r="S471" s="57"/>
      <c r="T471" s="67">
        <f>T470</f>
        <v>18987.52</v>
      </c>
      <c r="U471" s="57"/>
      <c r="V471" s="66"/>
      <c r="W471" s="69"/>
      <c r="X471" s="66"/>
    </row>
    <row r="472" spans="1:29" x14ac:dyDescent="0.2">
      <c r="J472" s="53"/>
      <c r="K472" s="57"/>
      <c r="L472" s="53"/>
      <c r="M472" s="57"/>
      <c r="N472" s="53"/>
      <c r="O472" s="59"/>
      <c r="P472" s="53"/>
      <c r="Q472" s="69"/>
      <c r="R472" s="53"/>
      <c r="S472" s="57"/>
      <c r="T472" s="66"/>
      <c r="U472" s="57"/>
      <c r="V472" s="66"/>
      <c r="W472" s="69"/>
      <c r="X472" s="66"/>
    </row>
    <row r="473" spans="1:29" x14ac:dyDescent="0.2">
      <c r="C473" s="6" t="s">
        <v>6</v>
      </c>
      <c r="D473" s="7" t="s">
        <v>7</v>
      </c>
      <c r="E473" s="81" t="s">
        <v>8</v>
      </c>
      <c r="J473" s="53"/>
      <c r="K473" s="57"/>
      <c r="L473" s="53"/>
      <c r="M473" s="57"/>
      <c r="N473" s="53"/>
      <c r="O473" s="59"/>
      <c r="P473" s="53"/>
      <c r="Q473" s="69"/>
      <c r="R473" s="53"/>
      <c r="S473" s="57"/>
      <c r="T473" s="66"/>
      <c r="U473" s="57"/>
      <c r="V473" s="66"/>
      <c r="W473" s="69"/>
      <c r="X473" s="66"/>
    </row>
    <row r="474" spans="1:29" x14ac:dyDescent="0.2">
      <c r="C474" s="6" t="s">
        <v>9</v>
      </c>
      <c r="D474" s="7" t="s">
        <v>385</v>
      </c>
      <c r="E474" s="81" t="s">
        <v>588</v>
      </c>
      <c r="J474" s="53"/>
      <c r="K474" s="57"/>
      <c r="L474" s="53"/>
      <c r="M474" s="57"/>
      <c r="N474" s="53"/>
      <c r="O474" s="59"/>
      <c r="P474" s="53"/>
      <c r="Q474" s="69"/>
      <c r="R474" s="53"/>
      <c r="S474" s="57"/>
      <c r="T474" s="66"/>
      <c r="U474" s="57"/>
      <c r="V474" s="66"/>
      <c r="W474" s="69"/>
      <c r="X474" s="66"/>
    </row>
    <row r="475" spans="1:29" x14ac:dyDescent="0.2">
      <c r="C475" s="6" t="s">
        <v>11</v>
      </c>
      <c r="D475" s="7" t="s">
        <v>72</v>
      </c>
      <c r="E475" s="81" t="s">
        <v>593</v>
      </c>
      <c r="J475" s="53"/>
      <c r="K475" s="57"/>
      <c r="L475" s="53"/>
      <c r="M475" s="57"/>
      <c r="N475" s="53"/>
      <c r="O475" s="59"/>
      <c r="P475" s="53"/>
      <c r="Q475" s="69"/>
      <c r="R475" s="53"/>
      <c r="S475" s="57"/>
      <c r="T475" s="66"/>
      <c r="U475" s="57"/>
      <c r="V475" s="66"/>
      <c r="W475" s="69"/>
      <c r="X475" s="66"/>
    </row>
    <row r="476" spans="1:29" x14ac:dyDescent="0.2">
      <c r="C476" s="6" t="s">
        <v>91</v>
      </c>
      <c r="D476" s="7" t="s">
        <v>594</v>
      </c>
      <c r="E476" s="81" t="s">
        <v>595</v>
      </c>
      <c r="J476" s="53"/>
      <c r="K476" s="57"/>
      <c r="L476" s="53"/>
      <c r="M476" s="57"/>
      <c r="N476" s="53"/>
      <c r="O476" s="59"/>
      <c r="P476" s="53"/>
      <c r="Q476" s="69"/>
      <c r="R476" s="53"/>
      <c r="S476" s="57"/>
      <c r="T476" s="66"/>
      <c r="U476" s="57"/>
      <c r="V476" s="66"/>
      <c r="W476" s="69"/>
      <c r="X476" s="66"/>
    </row>
    <row r="477" spans="1:29" x14ac:dyDescent="0.2">
      <c r="J477" s="53"/>
      <c r="K477" s="57"/>
      <c r="L477" s="53"/>
      <c r="M477" s="57"/>
      <c r="N477" s="53"/>
      <c r="O477" s="59"/>
      <c r="P477" s="53"/>
      <c r="Q477" s="69"/>
      <c r="R477" s="53"/>
      <c r="S477" s="57"/>
      <c r="T477" s="66"/>
      <c r="U477" s="57"/>
      <c r="V477" s="66"/>
      <c r="W477" s="69"/>
      <c r="X477" s="66"/>
    </row>
    <row r="478" spans="1:29" ht="409.6" x14ac:dyDescent="0.2">
      <c r="A478" s="3" t="s">
        <v>596</v>
      </c>
      <c r="B478" s="3">
        <v>1</v>
      </c>
      <c r="C478" s="3" t="s">
        <v>597</v>
      </c>
      <c r="D478" s="8" t="s">
        <v>598</v>
      </c>
      <c r="E478" s="13" t="s">
        <v>599</v>
      </c>
      <c r="F478" s="9">
        <v>0</v>
      </c>
      <c r="G478" s="10">
        <v>0</v>
      </c>
      <c r="H478" s="11">
        <f>ROUND(ROUND(F478,2)*ROUND(G478,3),2)</f>
        <v>0</v>
      </c>
      <c r="J478" s="53"/>
      <c r="K478" s="57"/>
      <c r="L478" s="53"/>
      <c r="M478" s="57"/>
      <c r="N478" s="53"/>
      <c r="O478" s="59"/>
      <c r="P478" s="53"/>
      <c r="Q478" s="69"/>
      <c r="R478" s="53"/>
      <c r="S478" s="57"/>
      <c r="T478" s="66"/>
      <c r="U478" s="57"/>
      <c r="V478" s="66"/>
      <c r="W478" s="69"/>
      <c r="X478" s="66"/>
    </row>
    <row r="479" spans="1:29" x14ac:dyDescent="0.2">
      <c r="E479" s="81" t="s">
        <v>25</v>
      </c>
      <c r="F479" s="6"/>
      <c r="G479" s="6"/>
      <c r="H479" s="12">
        <f>SUM(H478:H478)</f>
        <v>0</v>
      </c>
      <c r="J479" s="53"/>
      <c r="K479" s="57"/>
      <c r="L479" s="53"/>
      <c r="M479" s="57"/>
      <c r="N479" s="53"/>
      <c r="O479" s="59"/>
      <c r="P479" s="53"/>
      <c r="Q479" s="69"/>
      <c r="R479" s="53"/>
      <c r="S479" s="57"/>
      <c r="T479" s="66"/>
      <c r="U479" s="57"/>
      <c r="V479" s="66"/>
      <c r="W479" s="69"/>
      <c r="X479" s="66"/>
    </row>
    <row r="480" spans="1:29" x14ac:dyDescent="0.2">
      <c r="J480" s="53"/>
      <c r="K480" s="57"/>
      <c r="L480" s="53"/>
      <c r="M480" s="57"/>
      <c r="N480" s="53"/>
      <c r="O480" s="59"/>
      <c r="P480" s="53"/>
      <c r="Q480" s="69"/>
      <c r="R480" s="53"/>
      <c r="S480" s="57"/>
      <c r="T480" s="66"/>
      <c r="U480" s="57"/>
      <c r="V480" s="66"/>
      <c r="W480" s="69"/>
      <c r="X480" s="66"/>
    </row>
    <row r="481" spans="1:26" x14ac:dyDescent="0.2">
      <c r="C481" s="6" t="s">
        <v>6</v>
      </c>
      <c r="D481" s="7" t="s">
        <v>7</v>
      </c>
      <c r="E481" s="81" t="s">
        <v>8</v>
      </c>
      <c r="J481" s="53"/>
      <c r="K481" s="57"/>
      <c r="L481" s="53"/>
      <c r="M481" s="57"/>
      <c r="N481" s="53"/>
      <c r="O481" s="59"/>
      <c r="P481" s="53"/>
      <c r="Q481" s="69"/>
      <c r="R481" s="53"/>
      <c r="S481" s="57"/>
      <c r="T481" s="66"/>
      <c r="U481" s="57"/>
      <c r="V481" s="66"/>
      <c r="W481" s="69"/>
      <c r="X481" s="66"/>
    </row>
    <row r="482" spans="1:26" x14ac:dyDescent="0.2">
      <c r="C482" s="6" t="s">
        <v>9</v>
      </c>
      <c r="D482" s="7" t="s">
        <v>385</v>
      </c>
      <c r="E482" s="81" t="s">
        <v>588</v>
      </c>
      <c r="J482" s="53"/>
      <c r="K482" s="57"/>
      <c r="L482" s="53"/>
      <c r="M482" s="57"/>
      <c r="N482" s="53"/>
      <c r="O482" s="59"/>
      <c r="P482" s="53"/>
      <c r="Q482" s="69"/>
      <c r="R482" s="53"/>
      <c r="S482" s="57"/>
      <c r="T482" s="66"/>
      <c r="U482" s="57"/>
      <c r="V482" s="66"/>
      <c r="W482" s="69"/>
      <c r="X482" s="66"/>
    </row>
    <row r="483" spans="1:26" x14ac:dyDescent="0.2">
      <c r="C483" s="6" t="s">
        <v>11</v>
      </c>
      <c r="D483" s="7" t="s">
        <v>72</v>
      </c>
      <c r="E483" s="81" t="s">
        <v>593</v>
      </c>
      <c r="J483" s="53"/>
      <c r="K483" s="57"/>
      <c r="L483" s="53"/>
      <c r="M483" s="57"/>
      <c r="N483" s="53"/>
      <c r="O483" s="59"/>
      <c r="P483" s="53"/>
      <c r="Q483" s="69"/>
      <c r="R483" s="53"/>
      <c r="S483" s="57"/>
      <c r="T483" s="66"/>
      <c r="U483" s="57"/>
      <c r="V483" s="66"/>
      <c r="W483" s="69"/>
      <c r="X483" s="66"/>
    </row>
    <row r="484" spans="1:26" x14ac:dyDescent="0.2">
      <c r="C484" s="6" t="s">
        <v>91</v>
      </c>
      <c r="D484" s="7" t="s">
        <v>7</v>
      </c>
      <c r="E484" s="81" t="s">
        <v>600</v>
      </c>
      <c r="J484" s="53"/>
      <c r="K484" s="57"/>
      <c r="L484" s="53"/>
      <c r="M484" s="57"/>
      <c r="N484" s="53"/>
      <c r="O484" s="59"/>
      <c r="P484" s="53"/>
      <c r="Q484" s="69"/>
      <c r="R484" s="53"/>
      <c r="S484" s="57"/>
      <c r="T484" s="66"/>
      <c r="U484" s="57"/>
      <c r="V484" s="66"/>
      <c r="W484" s="69"/>
      <c r="X484" s="66"/>
    </row>
    <row r="485" spans="1:26" x14ac:dyDescent="0.2">
      <c r="J485" s="53"/>
      <c r="K485" s="57"/>
      <c r="L485" s="53"/>
      <c r="M485" s="57"/>
      <c r="N485" s="53"/>
      <c r="O485" s="59"/>
      <c r="P485" s="53"/>
      <c r="Q485" s="69"/>
      <c r="R485" s="53"/>
      <c r="S485" s="57"/>
      <c r="T485" s="66"/>
      <c r="U485" s="57"/>
      <c r="V485" s="66"/>
      <c r="W485" s="69"/>
      <c r="X485" s="66"/>
    </row>
    <row r="486" spans="1:26" ht="49" x14ac:dyDescent="0.2">
      <c r="A486" s="3" t="s">
        <v>601</v>
      </c>
      <c r="B486" s="3">
        <v>1</v>
      </c>
      <c r="C486" s="3" t="s">
        <v>602</v>
      </c>
      <c r="D486" s="8" t="s">
        <v>36</v>
      </c>
      <c r="E486" s="13" t="s">
        <v>603</v>
      </c>
      <c r="F486" s="9">
        <v>3.3</v>
      </c>
      <c r="G486" s="10">
        <v>28.8</v>
      </c>
      <c r="H486" s="11">
        <f t="shared" ref="H486:H498" si="51">ROUND(ROUND(F486,2)*ROUND(G486,3),2)</f>
        <v>95.04</v>
      </c>
      <c r="I486" s="36">
        <f>G486</f>
        <v>28.8</v>
      </c>
      <c r="J486" s="53">
        <f>F486*I486</f>
        <v>95.039999999999992</v>
      </c>
      <c r="K486" s="57"/>
      <c r="L486" s="53"/>
      <c r="M486" s="57"/>
      <c r="N486" s="53"/>
      <c r="O486" s="59"/>
      <c r="P486" s="53"/>
      <c r="Q486" s="69"/>
      <c r="R486" s="53"/>
      <c r="S486" s="57"/>
      <c r="T486" s="66"/>
      <c r="U486" s="57"/>
      <c r="V486" s="66"/>
      <c r="W486" s="69"/>
      <c r="X486" s="66"/>
    </row>
    <row r="487" spans="1:26" ht="49" x14ac:dyDescent="0.2">
      <c r="A487" s="3" t="s">
        <v>601</v>
      </c>
      <c r="B487" s="3">
        <v>2</v>
      </c>
      <c r="C487" s="3" t="s">
        <v>604</v>
      </c>
      <c r="D487" s="8" t="s">
        <v>36</v>
      </c>
      <c r="E487" s="13" t="s">
        <v>605</v>
      </c>
      <c r="F487" s="9">
        <v>3.66</v>
      </c>
      <c r="G487" s="10">
        <v>99.6</v>
      </c>
      <c r="H487" s="11">
        <f t="shared" si="51"/>
        <v>364.54</v>
      </c>
      <c r="I487" s="36">
        <f>52.8</f>
        <v>52.8</v>
      </c>
      <c r="J487" s="53">
        <f>F487*I487</f>
        <v>193.24799999999999</v>
      </c>
      <c r="K487" s="57">
        <f>25.2</f>
        <v>25.2</v>
      </c>
      <c r="L487" s="53">
        <f>F487*K487</f>
        <v>92.231999999999999</v>
      </c>
      <c r="M487" s="57"/>
      <c r="N487" s="53"/>
      <c r="O487" s="59"/>
      <c r="P487" s="53"/>
      <c r="Q487" s="69"/>
      <c r="R487" s="53"/>
      <c r="S487" s="57">
        <f>8.4</f>
        <v>8.4</v>
      </c>
      <c r="T487" s="66">
        <f>F487*S487</f>
        <v>30.744000000000003</v>
      </c>
      <c r="U487" s="57">
        <f>13.2</f>
        <v>13.2</v>
      </c>
      <c r="V487" s="66">
        <f>F487*U487</f>
        <v>48.311999999999998</v>
      </c>
      <c r="W487" s="69"/>
      <c r="X487" s="66"/>
      <c r="Y487" s="36">
        <f>I487+K487+S487+U487+Q487</f>
        <v>99.600000000000009</v>
      </c>
      <c r="Z487" s="37">
        <f>J487+L487+T487+V487+R487</f>
        <v>364.53600000000006</v>
      </c>
    </row>
    <row r="488" spans="1:26" ht="49" x14ac:dyDescent="0.2">
      <c r="A488" s="3" t="s">
        <v>601</v>
      </c>
      <c r="B488" s="3">
        <v>3</v>
      </c>
      <c r="C488" s="3" t="s">
        <v>606</v>
      </c>
      <c r="D488" s="8" t="s">
        <v>36</v>
      </c>
      <c r="E488" s="13" t="s">
        <v>607</v>
      </c>
      <c r="F488" s="9">
        <v>8.64</v>
      </c>
      <c r="G488" s="10">
        <v>9.6</v>
      </c>
      <c r="H488" s="11">
        <f t="shared" si="51"/>
        <v>82.94</v>
      </c>
      <c r="I488" s="36">
        <f>G488</f>
        <v>9.6</v>
      </c>
      <c r="J488" s="53">
        <f>F488*I488</f>
        <v>82.944000000000003</v>
      </c>
      <c r="K488" s="57"/>
      <c r="L488" s="53"/>
      <c r="M488" s="57"/>
      <c r="N488" s="53"/>
      <c r="O488" s="59"/>
      <c r="P488" s="53"/>
      <c r="Q488" s="69"/>
      <c r="R488" s="53"/>
      <c r="S488" s="57"/>
      <c r="T488" s="66"/>
      <c r="U488" s="57"/>
      <c r="V488" s="66"/>
      <c r="W488" s="69"/>
      <c r="X488" s="66"/>
    </row>
    <row r="489" spans="1:26" ht="49" x14ac:dyDescent="0.2">
      <c r="A489" s="3" t="s">
        <v>601</v>
      </c>
      <c r="B489" s="3">
        <v>4</v>
      </c>
      <c r="C489" s="3" t="s">
        <v>608</v>
      </c>
      <c r="D489" s="8" t="s">
        <v>36</v>
      </c>
      <c r="E489" s="13" t="s">
        <v>609</v>
      </c>
      <c r="F489" s="9">
        <v>24.29</v>
      </c>
      <c r="G489" s="10">
        <v>132</v>
      </c>
      <c r="H489" s="11">
        <f t="shared" si="51"/>
        <v>3206.28</v>
      </c>
      <c r="J489" s="53"/>
      <c r="K489" s="57"/>
      <c r="L489" s="53"/>
      <c r="M489" s="57"/>
      <c r="N489" s="53"/>
      <c r="O489" s="59"/>
      <c r="P489" s="53"/>
      <c r="Q489" s="69"/>
      <c r="R489" s="53"/>
      <c r="S489" s="57">
        <f>24</f>
        <v>24</v>
      </c>
      <c r="T489" s="66">
        <f>F489*S489</f>
        <v>582.96</v>
      </c>
      <c r="U489" s="57">
        <v>108</v>
      </c>
      <c r="V489" s="66">
        <f t="shared" ref="V489:V494" si="52">F489*U489</f>
        <v>2623.3199999999997</v>
      </c>
      <c r="W489" s="69"/>
      <c r="X489" s="66"/>
      <c r="Y489" s="36">
        <f>I489+K489+S489+U489+Q489</f>
        <v>132</v>
      </c>
      <c r="Z489" s="37">
        <f>J489+L489+T489+V489+R489</f>
        <v>3206.2799999999997</v>
      </c>
    </row>
    <row r="490" spans="1:26" ht="49" x14ac:dyDescent="0.2">
      <c r="A490" s="3" t="s">
        <v>601</v>
      </c>
      <c r="B490" s="3">
        <v>5</v>
      </c>
      <c r="C490" s="3" t="s">
        <v>610</v>
      </c>
      <c r="D490" s="8" t="s">
        <v>36</v>
      </c>
      <c r="E490" s="13" t="s">
        <v>611</v>
      </c>
      <c r="F490" s="9">
        <v>26.92</v>
      </c>
      <c r="G490" s="10">
        <v>24</v>
      </c>
      <c r="H490" s="11">
        <f t="shared" si="51"/>
        <v>646.08000000000004</v>
      </c>
      <c r="J490" s="53"/>
      <c r="K490" s="57"/>
      <c r="L490" s="53"/>
      <c r="M490" s="57"/>
      <c r="N490" s="53"/>
      <c r="O490" s="59"/>
      <c r="P490" s="53"/>
      <c r="Q490" s="69"/>
      <c r="R490" s="53"/>
      <c r="S490" s="57"/>
      <c r="T490" s="66"/>
      <c r="U490" s="57">
        <f>G490</f>
        <v>24</v>
      </c>
      <c r="V490" s="66">
        <f t="shared" si="52"/>
        <v>646.08000000000004</v>
      </c>
      <c r="W490" s="69"/>
      <c r="X490" s="66"/>
    </row>
    <row r="491" spans="1:26" ht="61" x14ac:dyDescent="0.2">
      <c r="A491" s="3" t="s">
        <v>601</v>
      </c>
      <c r="B491" s="3">
        <v>6</v>
      </c>
      <c r="C491" s="3" t="s">
        <v>612</v>
      </c>
      <c r="D491" s="8" t="s">
        <v>36</v>
      </c>
      <c r="E491" s="13" t="s">
        <v>613</v>
      </c>
      <c r="F491" s="9">
        <v>7.32</v>
      </c>
      <c r="G491" s="10">
        <v>84</v>
      </c>
      <c r="H491" s="11">
        <f t="shared" si="51"/>
        <v>614.88</v>
      </c>
      <c r="J491" s="53"/>
      <c r="K491" s="57"/>
      <c r="L491" s="53"/>
      <c r="M491" s="57"/>
      <c r="N491" s="53"/>
      <c r="O491" s="59"/>
      <c r="P491" s="53"/>
      <c r="Q491" s="69"/>
      <c r="R491" s="53"/>
      <c r="S491" s="57">
        <f>24</f>
        <v>24</v>
      </c>
      <c r="T491" s="66">
        <f>F491*S491</f>
        <v>175.68</v>
      </c>
      <c r="U491" s="57">
        <f>60</f>
        <v>60</v>
      </c>
      <c r="V491" s="66">
        <f t="shared" si="52"/>
        <v>439.20000000000005</v>
      </c>
      <c r="W491" s="69"/>
      <c r="X491" s="66"/>
      <c r="Y491" s="36">
        <f>I491+K491+S491+U491+Q491</f>
        <v>84</v>
      </c>
      <c r="Z491" s="37">
        <f>J491+L491+T491+V491+R491</f>
        <v>614.88000000000011</v>
      </c>
    </row>
    <row r="492" spans="1:26" ht="61" x14ac:dyDescent="0.2">
      <c r="A492" s="3" t="s">
        <v>601</v>
      </c>
      <c r="B492" s="3">
        <v>7</v>
      </c>
      <c r="C492" s="3" t="s">
        <v>614</v>
      </c>
      <c r="D492" s="8" t="s">
        <v>36</v>
      </c>
      <c r="E492" s="13" t="s">
        <v>615</v>
      </c>
      <c r="F492" s="9">
        <v>7.51</v>
      </c>
      <c r="G492" s="10">
        <v>12</v>
      </c>
      <c r="H492" s="11">
        <f t="shared" si="51"/>
        <v>90.12</v>
      </c>
      <c r="J492" s="53"/>
      <c r="K492" s="57"/>
      <c r="L492" s="53"/>
      <c r="M492" s="57"/>
      <c r="N492" s="53"/>
      <c r="O492" s="59"/>
      <c r="P492" s="53"/>
      <c r="Q492" s="69"/>
      <c r="R492" s="53"/>
      <c r="S492" s="57"/>
      <c r="T492" s="66"/>
      <c r="U492" s="57">
        <f>G492</f>
        <v>12</v>
      </c>
      <c r="V492" s="66">
        <f t="shared" si="52"/>
        <v>90.12</v>
      </c>
      <c r="W492" s="69"/>
      <c r="X492" s="66"/>
    </row>
    <row r="493" spans="1:26" ht="61" x14ac:dyDescent="0.2">
      <c r="A493" s="3" t="s">
        <v>601</v>
      </c>
      <c r="B493" s="3">
        <v>8</v>
      </c>
      <c r="C493" s="3" t="s">
        <v>616</v>
      </c>
      <c r="D493" s="8" t="s">
        <v>36</v>
      </c>
      <c r="E493" s="13" t="s">
        <v>617</v>
      </c>
      <c r="F493" s="9">
        <v>11.86</v>
      </c>
      <c r="G493" s="10">
        <v>48</v>
      </c>
      <c r="H493" s="11">
        <f t="shared" si="51"/>
        <v>569.28</v>
      </c>
      <c r="J493" s="53"/>
      <c r="K493" s="57"/>
      <c r="L493" s="53"/>
      <c r="M493" s="57"/>
      <c r="N493" s="53"/>
      <c r="O493" s="59"/>
      <c r="P493" s="53"/>
      <c r="Q493" s="69"/>
      <c r="R493" s="53"/>
      <c r="S493" s="57"/>
      <c r="T493" s="66"/>
      <c r="U493" s="57">
        <f>G493</f>
        <v>48</v>
      </c>
      <c r="V493" s="66">
        <f t="shared" si="52"/>
        <v>569.28</v>
      </c>
      <c r="W493" s="69"/>
      <c r="X493" s="66"/>
    </row>
    <row r="494" spans="1:26" ht="61" x14ac:dyDescent="0.2">
      <c r="A494" s="3" t="s">
        <v>601</v>
      </c>
      <c r="B494" s="3">
        <v>9</v>
      </c>
      <c r="C494" s="3" t="s">
        <v>618</v>
      </c>
      <c r="D494" s="8" t="s">
        <v>36</v>
      </c>
      <c r="E494" s="13" t="s">
        <v>619</v>
      </c>
      <c r="F494" s="9">
        <v>11.95</v>
      </c>
      <c r="G494" s="10">
        <v>38.4</v>
      </c>
      <c r="H494" s="11">
        <f t="shared" si="51"/>
        <v>458.88</v>
      </c>
      <c r="I494" s="36">
        <f>26.4</f>
        <v>26.4</v>
      </c>
      <c r="J494" s="53">
        <f>F494*I494</f>
        <v>315.47999999999996</v>
      </c>
      <c r="K494" s="57"/>
      <c r="L494" s="53"/>
      <c r="M494" s="57"/>
      <c r="N494" s="53"/>
      <c r="O494" s="59"/>
      <c r="P494" s="53"/>
      <c r="Q494" s="69"/>
      <c r="R494" s="53"/>
      <c r="S494" s="57"/>
      <c r="T494" s="66"/>
      <c r="U494" s="57">
        <f>12</f>
        <v>12</v>
      </c>
      <c r="V494" s="66">
        <f t="shared" si="52"/>
        <v>143.39999999999998</v>
      </c>
      <c r="W494" s="69"/>
      <c r="X494" s="66"/>
      <c r="Y494" s="36">
        <f>I494+K494+S494+U494+Q494</f>
        <v>38.4</v>
      </c>
      <c r="Z494" s="37">
        <f>J494+L494+T494+V494+R494</f>
        <v>458.87999999999994</v>
      </c>
    </row>
    <row r="495" spans="1:26" ht="61" x14ac:dyDescent="0.2">
      <c r="A495" s="3" t="s">
        <v>601</v>
      </c>
      <c r="B495" s="3">
        <v>10</v>
      </c>
      <c r="C495" s="3" t="s">
        <v>620</v>
      </c>
      <c r="D495" s="8" t="s">
        <v>36</v>
      </c>
      <c r="E495" s="13" t="s">
        <v>621</v>
      </c>
      <c r="F495" s="9">
        <v>13.79</v>
      </c>
      <c r="G495" s="10">
        <v>52.8</v>
      </c>
      <c r="H495" s="11">
        <f t="shared" si="51"/>
        <v>728.11</v>
      </c>
      <c r="I495" s="36">
        <f>G495</f>
        <v>52.8</v>
      </c>
      <c r="J495" s="53">
        <f>F495*I495</f>
        <v>728.11199999999997</v>
      </c>
      <c r="K495" s="57"/>
      <c r="L495" s="53"/>
      <c r="M495" s="57"/>
      <c r="N495" s="53"/>
      <c r="O495" s="59"/>
      <c r="P495" s="53"/>
      <c r="Q495" s="69"/>
      <c r="R495" s="53"/>
      <c r="S495" s="57"/>
      <c r="T495" s="66"/>
      <c r="U495" s="57"/>
      <c r="V495" s="66"/>
      <c r="W495" s="69"/>
      <c r="X495" s="66"/>
    </row>
    <row r="496" spans="1:26" ht="37" x14ac:dyDescent="0.2">
      <c r="A496" s="3" t="s">
        <v>601</v>
      </c>
      <c r="B496" s="3">
        <v>11</v>
      </c>
      <c r="C496" s="3" t="s">
        <v>622</v>
      </c>
      <c r="D496" s="8" t="s">
        <v>36</v>
      </c>
      <c r="E496" s="13" t="s">
        <v>623</v>
      </c>
      <c r="F496" s="9">
        <v>13.74</v>
      </c>
      <c r="G496" s="10">
        <v>21</v>
      </c>
      <c r="H496" s="11">
        <f t="shared" si="51"/>
        <v>288.54000000000002</v>
      </c>
      <c r="I496" s="36">
        <f>G496</f>
        <v>21</v>
      </c>
      <c r="J496" s="53">
        <f>F496*I496</f>
        <v>288.54000000000002</v>
      </c>
      <c r="K496" s="57"/>
      <c r="L496" s="53"/>
      <c r="M496" s="57"/>
      <c r="N496" s="53"/>
      <c r="O496" s="59"/>
      <c r="P496" s="53"/>
      <c r="Q496" s="69"/>
      <c r="R496" s="53"/>
      <c r="S496" s="57"/>
      <c r="T496" s="66"/>
      <c r="U496" s="57"/>
      <c r="V496" s="66"/>
      <c r="W496" s="69"/>
      <c r="X496" s="66"/>
    </row>
    <row r="497" spans="1:26" ht="169" x14ac:dyDescent="0.2">
      <c r="A497" s="3" t="s">
        <v>601</v>
      </c>
      <c r="B497" s="3">
        <v>12</v>
      </c>
      <c r="C497" s="3" t="s">
        <v>624</v>
      </c>
      <c r="D497" s="8" t="s">
        <v>625</v>
      </c>
      <c r="E497" s="13" t="s">
        <v>626</v>
      </c>
      <c r="F497" s="9">
        <v>1430.68</v>
      </c>
      <c r="G497" s="10">
        <v>1</v>
      </c>
      <c r="H497" s="11">
        <f t="shared" si="51"/>
        <v>1430.68</v>
      </c>
      <c r="I497" s="36">
        <f>G497</f>
        <v>1</v>
      </c>
      <c r="J497" s="53">
        <f>F497*I497</f>
        <v>1430.68</v>
      </c>
      <c r="K497" s="57"/>
      <c r="L497" s="53"/>
      <c r="M497" s="57"/>
      <c r="N497" s="53"/>
      <c r="O497" s="59"/>
      <c r="P497" s="53"/>
      <c r="Q497" s="69"/>
      <c r="R497" s="53"/>
      <c r="S497" s="57"/>
      <c r="T497" s="66"/>
      <c r="U497" s="57"/>
      <c r="V497" s="66"/>
      <c r="W497" s="69"/>
      <c r="X497" s="66"/>
    </row>
    <row r="498" spans="1:26" ht="25" x14ac:dyDescent="0.2">
      <c r="A498" s="3" t="s">
        <v>601</v>
      </c>
      <c r="B498" s="3">
        <v>13</v>
      </c>
      <c r="C498" s="3" t="s">
        <v>627</v>
      </c>
      <c r="D498" s="8" t="s">
        <v>625</v>
      </c>
      <c r="E498" s="13" t="s">
        <v>628</v>
      </c>
      <c r="F498" s="9">
        <v>216</v>
      </c>
      <c r="G498" s="10">
        <v>1</v>
      </c>
      <c r="H498" s="11">
        <f t="shared" si="51"/>
        <v>216</v>
      </c>
      <c r="I498" s="36">
        <f>G498</f>
        <v>1</v>
      </c>
      <c r="J498" s="53">
        <f>F498*I498</f>
        <v>216</v>
      </c>
      <c r="K498" s="57"/>
      <c r="L498" s="53"/>
      <c r="M498" s="57"/>
      <c r="N498" s="53"/>
      <c r="O498" s="59"/>
      <c r="P498" s="53"/>
      <c r="Q498" s="69"/>
      <c r="R498" s="53"/>
      <c r="S498" s="57"/>
      <c r="T498" s="66"/>
      <c r="U498" s="57"/>
      <c r="V498" s="66"/>
      <c r="W498" s="69"/>
      <c r="X498" s="66"/>
    </row>
    <row r="499" spans="1:26" x14ac:dyDescent="0.2">
      <c r="E499" s="81" t="s">
        <v>25</v>
      </c>
      <c r="F499" s="6"/>
      <c r="G499" s="6"/>
      <c r="H499" s="12">
        <f>SUM(H486:H498)</f>
        <v>8791.369999999999</v>
      </c>
      <c r="J499" s="71">
        <f>SUM(J486:J498)</f>
        <v>3350.0439999999999</v>
      </c>
      <c r="K499" s="57"/>
      <c r="L499" s="54">
        <f>SUM(L486:L498)</f>
        <v>92.231999999999999</v>
      </c>
      <c r="M499" s="58"/>
      <c r="N499" s="71">
        <f>SUM(N486:N498)</f>
        <v>0</v>
      </c>
      <c r="O499" s="75"/>
      <c r="P499" s="71">
        <f>SUM(P486:P498)</f>
        <v>0</v>
      </c>
      <c r="Q499" s="69"/>
      <c r="R499" s="54">
        <f>SUM(R486:R498)</f>
        <v>0</v>
      </c>
      <c r="S499" s="57"/>
      <c r="T499" s="72">
        <f>SUM(T486:T498)</f>
        <v>789.38400000000001</v>
      </c>
      <c r="U499" s="57"/>
      <c r="V499" s="67">
        <f>SUM(V486:V498)</f>
        <v>4559.7119999999986</v>
      </c>
      <c r="W499" s="69"/>
      <c r="X499" s="66"/>
      <c r="Z499" s="37">
        <f>J499+L499+T499+V499+R499</f>
        <v>8791.3719999999994</v>
      </c>
    </row>
    <row r="500" spans="1:26" x14ac:dyDescent="0.2">
      <c r="J500" s="53"/>
      <c r="K500" s="57"/>
      <c r="L500" s="53"/>
      <c r="M500" s="57"/>
      <c r="N500" s="53"/>
      <c r="O500" s="59"/>
      <c r="P500" s="53"/>
      <c r="Q500" s="69"/>
      <c r="R500" s="53"/>
      <c r="S500" s="57"/>
      <c r="T500" s="66"/>
      <c r="U500" s="57"/>
      <c r="V500" s="66"/>
      <c r="W500" s="69"/>
      <c r="X500" s="66"/>
    </row>
    <row r="501" spans="1:26" x14ac:dyDescent="0.2">
      <c r="C501" s="6" t="s">
        <v>6</v>
      </c>
      <c r="D501" s="7" t="s">
        <v>7</v>
      </c>
      <c r="E501" s="81" t="s">
        <v>8</v>
      </c>
      <c r="J501" s="53"/>
      <c r="K501" s="57"/>
      <c r="L501" s="53"/>
      <c r="M501" s="57"/>
      <c r="N501" s="53"/>
      <c r="O501" s="59"/>
      <c r="P501" s="53"/>
      <c r="Q501" s="69"/>
      <c r="R501" s="53"/>
      <c r="S501" s="57"/>
      <c r="T501" s="66"/>
      <c r="U501" s="57"/>
      <c r="V501" s="66"/>
      <c r="W501" s="69"/>
      <c r="X501" s="66"/>
    </row>
    <row r="502" spans="1:26" x14ac:dyDescent="0.2">
      <c r="C502" s="6" t="s">
        <v>9</v>
      </c>
      <c r="D502" s="7" t="s">
        <v>385</v>
      </c>
      <c r="E502" s="81" t="s">
        <v>588</v>
      </c>
      <c r="J502" s="53"/>
      <c r="K502" s="57"/>
      <c r="L502" s="53"/>
      <c r="M502" s="57"/>
      <c r="N502" s="53"/>
      <c r="O502" s="59"/>
      <c r="P502" s="53"/>
      <c r="Q502" s="69"/>
      <c r="R502" s="53"/>
      <c r="S502" s="57"/>
      <c r="T502" s="66"/>
      <c r="U502" s="57"/>
      <c r="V502" s="66"/>
      <c r="W502" s="69"/>
      <c r="X502" s="66"/>
    </row>
    <row r="503" spans="1:26" x14ac:dyDescent="0.2">
      <c r="C503" s="6" t="s">
        <v>11</v>
      </c>
      <c r="D503" s="7" t="s">
        <v>72</v>
      </c>
      <c r="E503" s="81" t="s">
        <v>593</v>
      </c>
      <c r="J503" s="53"/>
      <c r="K503" s="57"/>
      <c r="L503" s="53"/>
      <c r="M503" s="57"/>
      <c r="N503" s="53"/>
      <c r="O503" s="59"/>
      <c r="P503" s="53"/>
      <c r="Q503" s="69"/>
      <c r="R503" s="53"/>
      <c r="S503" s="57"/>
      <c r="T503" s="66"/>
      <c r="U503" s="57"/>
      <c r="V503" s="66"/>
      <c r="W503" s="69"/>
      <c r="X503" s="66"/>
    </row>
    <row r="504" spans="1:26" x14ac:dyDescent="0.2">
      <c r="C504" s="6" t="s">
        <v>91</v>
      </c>
      <c r="D504" s="7" t="s">
        <v>26</v>
      </c>
      <c r="E504" s="81" t="s">
        <v>629</v>
      </c>
      <c r="J504" s="53"/>
      <c r="K504" s="57"/>
      <c r="L504" s="53"/>
      <c r="M504" s="57"/>
      <c r="N504" s="53"/>
      <c r="O504" s="59"/>
      <c r="P504" s="53"/>
      <c r="Q504" s="69"/>
      <c r="R504" s="53"/>
      <c r="S504" s="57"/>
      <c r="T504" s="66"/>
      <c r="U504" s="57"/>
      <c r="V504" s="66"/>
      <c r="W504" s="69"/>
      <c r="X504" s="66"/>
    </row>
    <row r="505" spans="1:26" x14ac:dyDescent="0.2">
      <c r="J505" s="53"/>
      <c r="K505" s="57"/>
      <c r="L505" s="53"/>
      <c r="M505" s="57"/>
      <c r="N505" s="53"/>
      <c r="O505" s="59"/>
      <c r="P505" s="53"/>
      <c r="Q505" s="69"/>
      <c r="R505" s="53"/>
      <c r="S505" s="57"/>
      <c r="T505" s="66"/>
      <c r="U505" s="57"/>
      <c r="V505" s="66"/>
      <c r="W505" s="69"/>
      <c r="X505" s="66"/>
    </row>
    <row r="506" spans="1:26" ht="25" x14ac:dyDescent="0.2">
      <c r="A506" s="3" t="s">
        <v>630</v>
      </c>
      <c r="B506" s="3">
        <v>1</v>
      </c>
      <c r="C506" s="3" t="s">
        <v>631</v>
      </c>
      <c r="D506" s="8" t="s">
        <v>23</v>
      </c>
      <c r="E506" s="13" t="s">
        <v>632</v>
      </c>
      <c r="F506" s="9">
        <v>14.79</v>
      </c>
      <c r="G506" s="10">
        <v>7</v>
      </c>
      <c r="H506" s="11">
        <f>ROUND(ROUND(F506,2)*ROUND(G506,3),2)</f>
        <v>103.53</v>
      </c>
      <c r="J506" s="53"/>
      <c r="K506" s="57">
        <f>3</f>
        <v>3</v>
      </c>
      <c r="L506" s="53">
        <f>F506*K506</f>
        <v>44.37</v>
      </c>
      <c r="M506" s="57"/>
      <c r="N506" s="53"/>
      <c r="O506" s="59"/>
      <c r="P506" s="53"/>
      <c r="Q506" s="69"/>
      <c r="R506" s="53"/>
      <c r="S506" s="57">
        <f>2</f>
        <v>2</v>
      </c>
      <c r="T506" s="66">
        <f>F506*S506</f>
        <v>29.58</v>
      </c>
      <c r="U506" s="57">
        <f>2</f>
        <v>2</v>
      </c>
      <c r="V506" s="66">
        <f>F506*U506</f>
        <v>29.58</v>
      </c>
      <c r="W506" s="69"/>
      <c r="X506" s="66"/>
      <c r="Y506" s="36">
        <f t="shared" ref="Y506:Z508" si="53">I506+K506+S506+U506+Q506</f>
        <v>7</v>
      </c>
      <c r="Z506" s="37">
        <f t="shared" si="53"/>
        <v>103.52999999999999</v>
      </c>
    </row>
    <row r="507" spans="1:26" ht="25" x14ac:dyDescent="0.2">
      <c r="A507" s="3" t="s">
        <v>630</v>
      </c>
      <c r="B507" s="3">
        <v>2</v>
      </c>
      <c r="C507" s="3" t="s">
        <v>633</v>
      </c>
      <c r="D507" s="8" t="s">
        <v>23</v>
      </c>
      <c r="E507" s="13" t="s">
        <v>634</v>
      </c>
      <c r="F507" s="9">
        <v>12.16</v>
      </c>
      <c r="G507" s="10">
        <v>5</v>
      </c>
      <c r="H507" s="11">
        <f>ROUND(ROUND(F507,2)*ROUND(G507,3),2)</f>
        <v>60.8</v>
      </c>
      <c r="J507" s="53"/>
      <c r="K507" s="57">
        <f>1</f>
        <v>1</v>
      </c>
      <c r="L507" s="53">
        <f>F507*K507</f>
        <v>12.16</v>
      </c>
      <c r="M507" s="57"/>
      <c r="N507" s="53"/>
      <c r="O507" s="59"/>
      <c r="P507" s="53"/>
      <c r="Q507" s="69"/>
      <c r="R507" s="53"/>
      <c r="S507" s="57"/>
      <c r="T507" s="66"/>
      <c r="U507" s="57">
        <f>4</f>
        <v>4</v>
      </c>
      <c r="V507" s="66">
        <f>F507*U507</f>
        <v>48.64</v>
      </c>
      <c r="W507" s="69"/>
      <c r="X507" s="66"/>
      <c r="Y507" s="36">
        <f t="shared" si="53"/>
        <v>5</v>
      </c>
      <c r="Z507" s="37">
        <f t="shared" si="53"/>
        <v>60.8</v>
      </c>
    </row>
    <row r="508" spans="1:26" ht="25" x14ac:dyDescent="0.2">
      <c r="A508" s="3" t="s">
        <v>630</v>
      </c>
      <c r="B508" s="3">
        <v>3</v>
      </c>
      <c r="C508" s="3" t="s">
        <v>635</v>
      </c>
      <c r="D508" s="8" t="s">
        <v>23</v>
      </c>
      <c r="E508" s="13" t="s">
        <v>636</v>
      </c>
      <c r="F508" s="9">
        <v>14.7</v>
      </c>
      <c r="G508" s="10">
        <v>5</v>
      </c>
      <c r="H508" s="11">
        <f>ROUND(ROUND(F508,2)*ROUND(G508,3),2)</f>
        <v>73.5</v>
      </c>
      <c r="I508" s="36">
        <f>2</f>
        <v>2</v>
      </c>
      <c r="J508" s="53">
        <f>F508*I508</f>
        <v>29.4</v>
      </c>
      <c r="K508" s="57">
        <f>1</f>
        <v>1</v>
      </c>
      <c r="L508" s="53">
        <f>F508*K508</f>
        <v>14.7</v>
      </c>
      <c r="M508" s="57"/>
      <c r="N508" s="53"/>
      <c r="O508" s="59"/>
      <c r="P508" s="53"/>
      <c r="Q508" s="69"/>
      <c r="R508" s="53"/>
      <c r="S508" s="57">
        <f>1</f>
        <v>1</v>
      </c>
      <c r="T508" s="66">
        <f>F508*S508</f>
        <v>14.7</v>
      </c>
      <c r="U508" s="57">
        <f>1</f>
        <v>1</v>
      </c>
      <c r="V508" s="66">
        <f>F508*U508</f>
        <v>14.7</v>
      </c>
      <c r="W508" s="69"/>
      <c r="X508" s="66"/>
      <c r="Y508" s="36">
        <f t="shared" si="53"/>
        <v>5</v>
      </c>
      <c r="Z508" s="37">
        <f t="shared" si="53"/>
        <v>73.5</v>
      </c>
    </row>
    <row r="509" spans="1:26" ht="25" x14ac:dyDescent="0.2">
      <c r="A509" s="3" t="s">
        <v>630</v>
      </c>
      <c r="B509" s="3">
        <v>4</v>
      </c>
      <c r="C509" s="3" t="s">
        <v>637</v>
      </c>
      <c r="D509" s="8" t="s">
        <v>23</v>
      </c>
      <c r="E509" s="13" t="s">
        <v>638</v>
      </c>
      <c r="F509" s="9">
        <v>31.78</v>
      </c>
      <c r="G509" s="10">
        <v>1</v>
      </c>
      <c r="H509" s="11">
        <f>ROUND(ROUND(F509,2)*ROUND(G509,3),2)</f>
        <v>31.78</v>
      </c>
      <c r="I509" s="36">
        <f>1</f>
        <v>1</v>
      </c>
      <c r="J509" s="53">
        <f>F509*I509</f>
        <v>31.78</v>
      </c>
      <c r="K509" s="57"/>
      <c r="L509" s="53"/>
      <c r="M509" s="57"/>
      <c r="N509" s="53"/>
      <c r="O509" s="59"/>
      <c r="P509" s="53"/>
      <c r="Q509" s="69"/>
      <c r="R509" s="53"/>
      <c r="S509" s="57"/>
      <c r="T509" s="66"/>
      <c r="U509" s="57"/>
      <c r="V509" s="66"/>
      <c r="W509" s="69"/>
      <c r="X509" s="66"/>
    </row>
    <row r="510" spans="1:26" ht="37" x14ac:dyDescent="0.2">
      <c r="A510" s="3" t="s">
        <v>630</v>
      </c>
      <c r="B510" s="3">
        <v>5</v>
      </c>
      <c r="C510" s="3" t="s">
        <v>639</v>
      </c>
      <c r="D510" s="8" t="s">
        <v>23</v>
      </c>
      <c r="E510" s="13" t="s">
        <v>640</v>
      </c>
      <c r="F510" s="9">
        <v>18.649999999999999</v>
      </c>
      <c r="G510" s="10">
        <v>19</v>
      </c>
      <c r="H510" s="11">
        <f>ROUND(ROUND(F510,2)*ROUND(G510,3),2)</f>
        <v>354.35</v>
      </c>
      <c r="J510" s="53"/>
      <c r="K510" s="57">
        <f>4</f>
        <v>4</v>
      </c>
      <c r="L510" s="53">
        <f>F510*K510</f>
        <v>74.599999999999994</v>
      </c>
      <c r="M510" s="57"/>
      <c r="N510" s="53"/>
      <c r="O510" s="59"/>
      <c r="P510" s="53"/>
      <c r="Q510" s="69"/>
      <c r="R510" s="53"/>
      <c r="S510" s="57">
        <f>4</f>
        <v>4</v>
      </c>
      <c r="T510" s="66">
        <f>F510*S510</f>
        <v>74.599999999999994</v>
      </c>
      <c r="U510" s="57">
        <f>11</f>
        <v>11</v>
      </c>
      <c r="V510" s="66">
        <f>F510*U510</f>
        <v>205.14999999999998</v>
      </c>
      <c r="W510" s="69"/>
      <c r="X510" s="66"/>
      <c r="Y510" s="36">
        <f>I510+K510+S510+U510+Q510</f>
        <v>19</v>
      </c>
      <c r="Z510" s="37">
        <f>J510+L510+T510+V510+R510</f>
        <v>354.34999999999997</v>
      </c>
    </row>
    <row r="511" spans="1:26" x14ac:dyDescent="0.2">
      <c r="E511" s="81" t="s">
        <v>25</v>
      </c>
      <c r="F511" s="6"/>
      <c r="G511" s="6"/>
      <c r="H511" s="12">
        <f>SUM(H506:H510)</f>
        <v>623.96</v>
      </c>
      <c r="J511" s="71">
        <f>SUM(J506:J510)</f>
        <v>61.18</v>
      </c>
      <c r="K511" s="57"/>
      <c r="L511" s="71">
        <f>SUM(L506:L510)</f>
        <v>145.82999999999998</v>
      </c>
      <c r="M511" s="58"/>
      <c r="N511" s="71">
        <f>SUM(N506:N510)</f>
        <v>0</v>
      </c>
      <c r="O511" s="75"/>
      <c r="P511" s="71">
        <f>SUM(P498:P510)</f>
        <v>0</v>
      </c>
      <c r="Q511" s="69"/>
      <c r="R511" s="53"/>
      <c r="S511" s="57"/>
      <c r="T511" s="72">
        <f>SUM(T506:T510)</f>
        <v>118.88</v>
      </c>
      <c r="U511" s="57"/>
      <c r="V511" s="67">
        <f>SUM(V506:V510)</f>
        <v>298.07</v>
      </c>
      <c r="W511" s="69"/>
      <c r="X511" s="66"/>
      <c r="Z511" s="37">
        <f>J511+L511+T511+V511+R511</f>
        <v>623.96</v>
      </c>
    </row>
    <row r="512" spans="1:26" x14ac:dyDescent="0.2">
      <c r="J512" s="53"/>
      <c r="K512" s="57"/>
      <c r="L512" s="53"/>
      <c r="M512" s="57"/>
      <c r="N512" s="53"/>
      <c r="O512" s="59"/>
      <c r="P512" s="53"/>
      <c r="Q512" s="69"/>
      <c r="R512" s="53"/>
      <c r="S512" s="57"/>
      <c r="T512" s="66"/>
      <c r="U512" s="57"/>
      <c r="V512" s="66"/>
      <c r="W512" s="69"/>
      <c r="X512" s="66"/>
    </row>
    <row r="513" spans="1:26" x14ac:dyDescent="0.2">
      <c r="C513" s="6" t="s">
        <v>6</v>
      </c>
      <c r="D513" s="7" t="s">
        <v>7</v>
      </c>
      <c r="E513" s="81" t="s">
        <v>8</v>
      </c>
      <c r="J513" s="53"/>
      <c r="K513" s="57"/>
      <c r="L513" s="53"/>
      <c r="M513" s="57"/>
      <c r="N513" s="53"/>
      <c r="O513" s="59"/>
      <c r="P513" s="53"/>
      <c r="Q513" s="69"/>
      <c r="R513" s="53"/>
      <c r="S513" s="57"/>
      <c r="T513" s="66"/>
      <c r="U513" s="57"/>
      <c r="V513" s="66"/>
      <c r="W513" s="69"/>
      <c r="X513" s="66"/>
    </row>
    <row r="514" spans="1:26" x14ac:dyDescent="0.2">
      <c r="C514" s="6" t="s">
        <v>9</v>
      </c>
      <c r="D514" s="7" t="s">
        <v>385</v>
      </c>
      <c r="E514" s="81" t="s">
        <v>588</v>
      </c>
      <c r="J514" s="53"/>
      <c r="K514" s="57"/>
      <c r="L514" s="53"/>
      <c r="M514" s="57"/>
      <c r="N514" s="53"/>
      <c r="O514" s="59"/>
      <c r="P514" s="53"/>
      <c r="Q514" s="69"/>
      <c r="R514" s="53"/>
      <c r="S514" s="57"/>
      <c r="T514" s="66"/>
      <c r="U514" s="57"/>
      <c r="V514" s="66"/>
      <c r="W514" s="69"/>
      <c r="X514" s="66"/>
    </row>
    <row r="515" spans="1:26" x14ac:dyDescent="0.2">
      <c r="C515" s="6" t="s">
        <v>11</v>
      </c>
      <c r="D515" s="7" t="s">
        <v>72</v>
      </c>
      <c r="E515" s="81" t="s">
        <v>593</v>
      </c>
      <c r="J515" s="53"/>
      <c r="K515" s="57"/>
      <c r="L515" s="53"/>
      <c r="M515" s="57"/>
      <c r="N515" s="53"/>
      <c r="O515" s="59"/>
      <c r="P515" s="53"/>
      <c r="Q515" s="69"/>
      <c r="R515" s="53"/>
      <c r="S515" s="57"/>
      <c r="T515" s="66"/>
      <c r="U515" s="57"/>
      <c r="V515" s="66"/>
      <c r="W515" s="69"/>
      <c r="X515" s="66"/>
    </row>
    <row r="516" spans="1:26" x14ac:dyDescent="0.2">
      <c r="C516" s="6" t="s">
        <v>91</v>
      </c>
      <c r="D516" s="7" t="s">
        <v>72</v>
      </c>
      <c r="E516" s="81" t="s">
        <v>641</v>
      </c>
      <c r="J516" s="53"/>
      <c r="K516" s="57"/>
      <c r="L516" s="53"/>
      <c r="M516" s="57"/>
      <c r="N516" s="53"/>
      <c r="O516" s="59"/>
      <c r="P516" s="53"/>
      <c r="Q516" s="69"/>
      <c r="R516" s="53"/>
      <c r="S516" s="57"/>
      <c r="T516" s="66"/>
      <c r="U516" s="57"/>
      <c r="V516" s="66"/>
      <c r="W516" s="69"/>
      <c r="X516" s="66"/>
    </row>
    <row r="517" spans="1:26" x14ac:dyDescent="0.2">
      <c r="J517" s="53"/>
      <c r="K517" s="57"/>
      <c r="L517" s="53"/>
      <c r="M517" s="57"/>
      <c r="N517" s="53"/>
      <c r="O517" s="59"/>
      <c r="P517" s="53"/>
      <c r="Q517" s="69"/>
      <c r="R517" s="53"/>
      <c r="S517" s="57"/>
      <c r="T517" s="66"/>
      <c r="U517" s="57"/>
      <c r="V517" s="66"/>
      <c r="W517" s="69"/>
      <c r="X517" s="66"/>
    </row>
    <row r="518" spans="1:26" ht="25" x14ac:dyDescent="0.2">
      <c r="A518" s="3" t="s">
        <v>642</v>
      </c>
      <c r="B518" s="3">
        <v>1</v>
      </c>
      <c r="C518" s="3" t="s">
        <v>3902</v>
      </c>
      <c r="D518" s="8" t="s">
        <v>23</v>
      </c>
      <c r="E518" s="13" t="s">
        <v>3903</v>
      </c>
      <c r="F518" s="9">
        <v>151.15</v>
      </c>
      <c r="G518" s="10">
        <v>6</v>
      </c>
      <c r="H518" s="11">
        <f t="shared" ref="H518:H534" si="54">ROUND(ROUND(F518,2)*ROUND(G518,3),2)</f>
        <v>906.9</v>
      </c>
      <c r="J518" s="53"/>
      <c r="K518" s="57">
        <f>2</f>
        <v>2</v>
      </c>
      <c r="L518" s="53">
        <f t="shared" ref="L518:L524" si="55">F518*K518</f>
        <v>302.3</v>
      </c>
      <c r="M518" s="57"/>
      <c r="N518" s="53"/>
      <c r="O518" s="59"/>
      <c r="P518" s="53"/>
      <c r="Q518" s="69"/>
      <c r="R518" s="53"/>
      <c r="S518" s="57">
        <f>1</f>
        <v>1</v>
      </c>
      <c r="T518" s="66">
        <f>F518*S518</f>
        <v>151.15</v>
      </c>
      <c r="U518" s="57">
        <f>3</f>
        <v>3</v>
      </c>
      <c r="V518" s="66">
        <f t="shared" ref="V518:V525" si="56">F518*U518</f>
        <v>453.45000000000005</v>
      </c>
      <c r="W518" s="69"/>
      <c r="X518" s="66"/>
      <c r="Y518" s="36">
        <f t="shared" ref="Y518:Z523" si="57">I518+K518+S518+U518+Q518</f>
        <v>6</v>
      </c>
      <c r="Z518" s="37">
        <f t="shared" si="57"/>
        <v>906.90000000000009</v>
      </c>
    </row>
    <row r="519" spans="1:26" ht="37" x14ac:dyDescent="0.2">
      <c r="A519" s="3" t="s">
        <v>642</v>
      </c>
      <c r="B519" s="3">
        <v>2</v>
      </c>
      <c r="C519" s="3" t="s">
        <v>3904</v>
      </c>
      <c r="D519" s="8" t="s">
        <v>23</v>
      </c>
      <c r="E519" s="13" t="s">
        <v>3905</v>
      </c>
      <c r="F519" s="9">
        <v>145.24</v>
      </c>
      <c r="G519" s="10">
        <v>6</v>
      </c>
      <c r="H519" s="11">
        <f t="shared" si="54"/>
        <v>871.44</v>
      </c>
      <c r="J519" s="53"/>
      <c r="K519" s="57">
        <f>2</f>
        <v>2</v>
      </c>
      <c r="L519" s="53">
        <f t="shared" si="55"/>
        <v>290.48</v>
      </c>
      <c r="M519" s="57"/>
      <c r="N519" s="53"/>
      <c r="O519" s="59"/>
      <c r="P519" s="53"/>
      <c r="Q519" s="69"/>
      <c r="R519" s="53"/>
      <c r="S519" s="57">
        <f>1</f>
        <v>1</v>
      </c>
      <c r="T519" s="66">
        <f>F519*S519</f>
        <v>145.24</v>
      </c>
      <c r="U519" s="57">
        <f>3</f>
        <v>3</v>
      </c>
      <c r="V519" s="66">
        <f t="shared" si="56"/>
        <v>435.72</v>
      </c>
      <c r="W519" s="69"/>
      <c r="X519" s="66"/>
      <c r="Y519" s="36">
        <f t="shared" si="57"/>
        <v>6</v>
      </c>
      <c r="Z519" s="37">
        <f t="shared" si="57"/>
        <v>871.44</v>
      </c>
    </row>
    <row r="520" spans="1:26" ht="37" x14ac:dyDescent="0.2">
      <c r="A520" s="3" t="s">
        <v>642</v>
      </c>
      <c r="B520" s="3">
        <v>3</v>
      </c>
      <c r="C520" s="3" t="s">
        <v>3906</v>
      </c>
      <c r="D520" s="8" t="s">
        <v>23</v>
      </c>
      <c r="E520" s="13" t="s">
        <v>3907</v>
      </c>
      <c r="F520" s="9">
        <v>327.77</v>
      </c>
      <c r="G520" s="10">
        <v>6</v>
      </c>
      <c r="H520" s="11">
        <f t="shared" si="54"/>
        <v>1966.62</v>
      </c>
      <c r="J520" s="53"/>
      <c r="K520" s="57">
        <f>2</f>
        <v>2</v>
      </c>
      <c r="L520" s="53">
        <f t="shared" si="55"/>
        <v>655.54</v>
      </c>
      <c r="M520" s="57"/>
      <c r="N520" s="53"/>
      <c r="O520" s="59"/>
      <c r="P520" s="53"/>
      <c r="Q520" s="69"/>
      <c r="R520" s="53"/>
      <c r="S520" s="57">
        <f>1</f>
        <v>1</v>
      </c>
      <c r="T520" s="66">
        <f>F520*S520</f>
        <v>327.77</v>
      </c>
      <c r="U520" s="57">
        <f>3</f>
        <v>3</v>
      </c>
      <c r="V520" s="66">
        <f t="shared" si="56"/>
        <v>983.31</v>
      </c>
      <c r="W520" s="69"/>
      <c r="X520" s="66"/>
      <c r="Y520" s="36">
        <f t="shared" si="57"/>
        <v>6</v>
      </c>
      <c r="Z520" s="37">
        <f t="shared" si="57"/>
        <v>1966.62</v>
      </c>
    </row>
    <row r="521" spans="1:26" ht="37" x14ac:dyDescent="0.2">
      <c r="A521" s="3" t="s">
        <v>642</v>
      </c>
      <c r="B521" s="3">
        <v>4</v>
      </c>
      <c r="C521" s="3" t="s">
        <v>3908</v>
      </c>
      <c r="D521" s="8" t="s">
        <v>23</v>
      </c>
      <c r="E521" s="13" t="s">
        <v>3909</v>
      </c>
      <c r="F521" s="9">
        <v>124.74</v>
      </c>
      <c r="G521" s="10">
        <v>6</v>
      </c>
      <c r="H521" s="11">
        <f t="shared" si="54"/>
        <v>748.44</v>
      </c>
      <c r="J521" s="53"/>
      <c r="K521" s="57">
        <f>2</f>
        <v>2</v>
      </c>
      <c r="L521" s="53">
        <f t="shared" si="55"/>
        <v>249.48</v>
      </c>
      <c r="M521" s="57"/>
      <c r="N521" s="53"/>
      <c r="O521" s="59"/>
      <c r="P521" s="53"/>
      <c r="Q521" s="69"/>
      <c r="R521" s="53"/>
      <c r="S521" s="57">
        <f>1</f>
        <v>1</v>
      </c>
      <c r="T521" s="66">
        <f>F521*S521</f>
        <v>124.74</v>
      </c>
      <c r="U521" s="57">
        <f>3</f>
        <v>3</v>
      </c>
      <c r="V521" s="66">
        <f t="shared" si="56"/>
        <v>374.21999999999997</v>
      </c>
      <c r="W521" s="69"/>
      <c r="X521" s="66"/>
      <c r="Y521" s="36">
        <f t="shared" si="57"/>
        <v>6</v>
      </c>
      <c r="Z521" s="37">
        <f t="shared" si="57"/>
        <v>748.43999999999994</v>
      </c>
    </row>
    <row r="522" spans="1:26" ht="49" x14ac:dyDescent="0.2">
      <c r="A522" s="3" t="s">
        <v>642</v>
      </c>
      <c r="B522" s="3">
        <v>5</v>
      </c>
      <c r="C522" s="3" t="s">
        <v>3910</v>
      </c>
      <c r="D522" s="8" t="s">
        <v>23</v>
      </c>
      <c r="E522" s="13" t="s">
        <v>3911</v>
      </c>
      <c r="F522" s="9">
        <v>448.76</v>
      </c>
      <c r="G522" s="10">
        <v>2</v>
      </c>
      <c r="H522" s="11">
        <f t="shared" si="54"/>
        <v>897.52</v>
      </c>
      <c r="J522" s="53"/>
      <c r="K522" s="57">
        <f>1</f>
        <v>1</v>
      </c>
      <c r="L522" s="53">
        <f t="shared" si="55"/>
        <v>448.76</v>
      </c>
      <c r="M522" s="57"/>
      <c r="N522" s="53"/>
      <c r="O522" s="59"/>
      <c r="P522" s="53"/>
      <c r="Q522" s="69"/>
      <c r="R522" s="53"/>
      <c r="S522" s="57"/>
      <c r="T522" s="66"/>
      <c r="U522" s="57">
        <f>1</f>
        <v>1</v>
      </c>
      <c r="V522" s="66">
        <f t="shared" si="56"/>
        <v>448.76</v>
      </c>
      <c r="W522" s="69"/>
      <c r="X522" s="66"/>
      <c r="Y522" s="36">
        <f t="shared" si="57"/>
        <v>2</v>
      </c>
      <c r="Z522" s="37">
        <f t="shared" si="57"/>
        <v>897.52</v>
      </c>
    </row>
    <row r="523" spans="1:26" ht="49" x14ac:dyDescent="0.2">
      <c r="A523" s="3" t="s">
        <v>642</v>
      </c>
      <c r="B523" s="3">
        <v>6</v>
      </c>
      <c r="C523" s="3" t="s">
        <v>3912</v>
      </c>
      <c r="D523" s="8" t="s">
        <v>23</v>
      </c>
      <c r="E523" s="13" t="s">
        <v>3913</v>
      </c>
      <c r="F523" s="9">
        <v>487.86</v>
      </c>
      <c r="G523" s="10">
        <v>5</v>
      </c>
      <c r="H523" s="11">
        <f t="shared" si="54"/>
        <v>2439.3000000000002</v>
      </c>
      <c r="J523" s="53"/>
      <c r="K523" s="57">
        <f>1</f>
        <v>1</v>
      </c>
      <c r="L523" s="53">
        <f t="shared" si="55"/>
        <v>487.86</v>
      </c>
      <c r="M523" s="57"/>
      <c r="N523" s="53"/>
      <c r="O523" s="59"/>
      <c r="P523" s="53"/>
      <c r="Q523" s="69"/>
      <c r="R523" s="53"/>
      <c r="S523" s="57">
        <f>2</f>
        <v>2</v>
      </c>
      <c r="T523" s="66">
        <f>F523*S523</f>
        <v>975.72</v>
      </c>
      <c r="U523" s="57">
        <f>2</f>
        <v>2</v>
      </c>
      <c r="V523" s="66">
        <f t="shared" si="56"/>
        <v>975.72</v>
      </c>
      <c r="W523" s="69"/>
      <c r="X523" s="66"/>
      <c r="Y523" s="36">
        <f t="shared" si="57"/>
        <v>5</v>
      </c>
      <c r="Z523" s="37">
        <f t="shared" si="57"/>
        <v>2439.3000000000002</v>
      </c>
    </row>
    <row r="524" spans="1:26" ht="61" x14ac:dyDescent="0.2">
      <c r="A524" s="3" t="s">
        <v>642</v>
      </c>
      <c r="B524" s="3">
        <v>7</v>
      </c>
      <c r="C524" s="3" t="s">
        <v>3914</v>
      </c>
      <c r="D524" s="8" t="s">
        <v>23</v>
      </c>
      <c r="E524" s="13" t="s">
        <v>3915</v>
      </c>
      <c r="F524" s="9">
        <v>468.74</v>
      </c>
      <c r="G524" s="10">
        <v>7</v>
      </c>
      <c r="H524" s="11">
        <f t="shared" si="54"/>
        <v>3281.18</v>
      </c>
      <c r="J524" s="53"/>
      <c r="K524" s="57">
        <f>2</f>
        <v>2</v>
      </c>
      <c r="L524" s="53">
        <f t="shared" si="55"/>
        <v>937.48</v>
      </c>
      <c r="M524" s="57"/>
      <c r="N524" s="53"/>
      <c r="O524" s="59"/>
      <c r="P524" s="53"/>
      <c r="Q524" s="69"/>
      <c r="R524" s="53"/>
      <c r="S524" s="57">
        <f>2</f>
        <v>2</v>
      </c>
      <c r="T524" s="66">
        <f>F524*S524</f>
        <v>937.48</v>
      </c>
      <c r="U524" s="57">
        <f>3</f>
        <v>3</v>
      </c>
      <c r="V524" s="66">
        <f t="shared" si="56"/>
        <v>1406.22</v>
      </c>
      <c r="W524" s="69"/>
      <c r="X524" s="66"/>
      <c r="Y524" s="36">
        <f>I524+K524+S524+U524+Q524</f>
        <v>7</v>
      </c>
    </row>
    <row r="525" spans="1:26" ht="37" x14ac:dyDescent="0.2">
      <c r="A525" s="3" t="s">
        <v>642</v>
      </c>
      <c r="B525" s="3">
        <v>8</v>
      </c>
      <c r="C525" s="3" t="s">
        <v>3916</v>
      </c>
      <c r="D525" s="8" t="s">
        <v>23</v>
      </c>
      <c r="E525" s="13" t="s">
        <v>3917</v>
      </c>
      <c r="F525" s="9">
        <v>331.1</v>
      </c>
      <c r="G525" s="10">
        <v>2</v>
      </c>
      <c r="H525" s="11">
        <f t="shared" si="54"/>
        <v>662.2</v>
      </c>
      <c r="J525" s="53"/>
      <c r="K525" s="57"/>
      <c r="L525" s="53"/>
      <c r="M525" s="57"/>
      <c r="N525" s="53"/>
      <c r="O525" s="59"/>
      <c r="P525" s="53"/>
      <c r="Q525" s="69"/>
      <c r="R525" s="53"/>
      <c r="S525" s="57"/>
      <c r="T525" s="66"/>
      <c r="U525" s="57">
        <f>2</f>
        <v>2</v>
      </c>
      <c r="V525" s="66">
        <f t="shared" si="56"/>
        <v>662.2</v>
      </c>
      <c r="W525" s="69"/>
      <c r="X525" s="66"/>
    </row>
    <row r="526" spans="1:26" ht="49" x14ac:dyDescent="0.2">
      <c r="A526" s="3" t="s">
        <v>642</v>
      </c>
      <c r="B526" s="3">
        <v>9</v>
      </c>
      <c r="C526" s="3" t="s">
        <v>3918</v>
      </c>
      <c r="D526" s="8" t="s">
        <v>23</v>
      </c>
      <c r="E526" s="13" t="s">
        <v>3919</v>
      </c>
      <c r="F526" s="9">
        <v>678.23</v>
      </c>
      <c r="G526" s="10">
        <v>2</v>
      </c>
      <c r="H526" s="11">
        <f t="shared" si="54"/>
        <v>1356.46</v>
      </c>
      <c r="J526" s="53"/>
      <c r="K526" s="57"/>
      <c r="L526" s="53"/>
      <c r="M526" s="57"/>
      <c r="N526" s="53"/>
      <c r="O526" s="59"/>
      <c r="P526" s="53"/>
      <c r="Q526" s="69"/>
      <c r="R526" s="53"/>
      <c r="S526" s="57"/>
      <c r="T526" s="66"/>
      <c r="U526" s="57">
        <f>2</f>
        <v>2</v>
      </c>
      <c r="V526" s="66">
        <f>H526</f>
        <v>1356.46</v>
      </c>
      <c r="W526" s="69"/>
      <c r="X526" s="66"/>
    </row>
    <row r="527" spans="1:26" ht="37" x14ac:dyDescent="0.2">
      <c r="A527" s="3" t="s">
        <v>642</v>
      </c>
      <c r="B527" s="3">
        <v>10</v>
      </c>
      <c r="C527" s="3" t="s">
        <v>3920</v>
      </c>
      <c r="D527" s="8" t="s">
        <v>23</v>
      </c>
      <c r="E527" s="13" t="s">
        <v>3921</v>
      </c>
      <c r="F527" s="9">
        <v>204.3</v>
      </c>
      <c r="G527" s="10">
        <v>1</v>
      </c>
      <c r="H527" s="11">
        <f t="shared" si="54"/>
        <v>204.3</v>
      </c>
      <c r="J527" s="53"/>
      <c r="K527" s="57">
        <f>1</f>
        <v>1</v>
      </c>
      <c r="L527" s="53">
        <f>F527*K527</f>
        <v>204.3</v>
      </c>
      <c r="M527" s="57"/>
      <c r="N527" s="53"/>
      <c r="O527" s="59"/>
      <c r="P527" s="53"/>
      <c r="Q527" s="69"/>
      <c r="R527" s="53"/>
      <c r="S527" s="57"/>
      <c r="T527" s="66"/>
      <c r="U527" s="57"/>
      <c r="V527" s="66"/>
      <c r="W527" s="69"/>
      <c r="X527" s="66"/>
    </row>
    <row r="528" spans="1:26" ht="25" x14ac:dyDescent="0.2">
      <c r="A528" s="3" t="s">
        <v>642</v>
      </c>
      <c r="B528" s="3">
        <v>11</v>
      </c>
      <c r="C528" s="3" t="s">
        <v>3922</v>
      </c>
      <c r="D528" s="8" t="s">
        <v>23</v>
      </c>
      <c r="E528" s="13" t="s">
        <v>3923</v>
      </c>
      <c r="F528" s="9">
        <v>74.58</v>
      </c>
      <c r="G528" s="10">
        <v>1</v>
      </c>
      <c r="H528" s="11">
        <f t="shared" si="54"/>
        <v>74.58</v>
      </c>
      <c r="J528" s="53"/>
      <c r="K528" s="57">
        <f>1</f>
        <v>1</v>
      </c>
      <c r="L528" s="53">
        <f>F528*K528</f>
        <v>74.58</v>
      </c>
      <c r="M528" s="57"/>
      <c r="N528" s="53"/>
      <c r="O528" s="59"/>
      <c r="P528" s="53"/>
      <c r="Q528" s="69"/>
      <c r="R528" s="53"/>
      <c r="S528" s="57"/>
      <c r="T528" s="66"/>
      <c r="U528" s="57"/>
      <c r="V528" s="66"/>
      <c r="W528" s="69"/>
      <c r="X528" s="66"/>
    </row>
    <row r="529" spans="1:26" ht="37" x14ac:dyDescent="0.2">
      <c r="A529" s="3" t="s">
        <v>642</v>
      </c>
      <c r="B529" s="3">
        <v>12</v>
      </c>
      <c r="C529" s="3" t="s">
        <v>3924</v>
      </c>
      <c r="D529" s="8" t="s">
        <v>23</v>
      </c>
      <c r="E529" s="13" t="s">
        <v>3925</v>
      </c>
      <c r="F529" s="9">
        <v>90.01</v>
      </c>
      <c r="G529" s="10">
        <v>1</v>
      </c>
      <c r="H529" s="11">
        <f t="shared" si="54"/>
        <v>90.01</v>
      </c>
      <c r="J529" s="53"/>
      <c r="K529" s="57">
        <f>1</f>
        <v>1</v>
      </c>
      <c r="L529" s="53">
        <f>F529*K529</f>
        <v>90.01</v>
      </c>
      <c r="M529" s="57"/>
      <c r="N529" s="53"/>
      <c r="O529" s="59"/>
      <c r="P529" s="53"/>
      <c r="Q529" s="69"/>
      <c r="R529" s="53"/>
      <c r="S529" s="57"/>
      <c r="T529" s="66"/>
      <c r="U529" s="57"/>
      <c r="V529" s="66"/>
      <c r="W529" s="69"/>
      <c r="X529" s="66"/>
    </row>
    <row r="530" spans="1:26" ht="25" x14ac:dyDescent="0.2">
      <c r="A530" s="3" t="s">
        <v>642</v>
      </c>
      <c r="B530" s="3">
        <v>13</v>
      </c>
      <c r="C530" s="3" t="s">
        <v>3926</v>
      </c>
      <c r="D530" s="8" t="s">
        <v>23</v>
      </c>
      <c r="E530" s="13" t="s">
        <v>3927</v>
      </c>
      <c r="F530" s="9">
        <v>158.71</v>
      </c>
      <c r="G530" s="10">
        <v>1</v>
      </c>
      <c r="H530" s="11">
        <f t="shared" si="54"/>
        <v>158.71</v>
      </c>
      <c r="J530" s="53"/>
      <c r="K530" s="57"/>
      <c r="L530" s="53"/>
      <c r="M530" s="57"/>
      <c r="N530" s="53"/>
      <c r="O530" s="59"/>
      <c r="P530" s="53"/>
      <c r="Q530" s="69"/>
      <c r="R530" s="53"/>
      <c r="S530" s="57"/>
      <c r="T530" s="66"/>
      <c r="U530" s="57">
        <f>1</f>
        <v>1</v>
      </c>
      <c r="V530" s="66">
        <f>F530*U530</f>
        <v>158.71</v>
      </c>
      <c r="W530" s="69"/>
      <c r="X530" s="66"/>
    </row>
    <row r="531" spans="1:26" ht="25" x14ac:dyDescent="0.2">
      <c r="A531" s="3" t="s">
        <v>642</v>
      </c>
      <c r="B531" s="3">
        <v>14</v>
      </c>
      <c r="C531" s="3" t="s">
        <v>3928</v>
      </c>
      <c r="D531" s="8" t="s">
        <v>23</v>
      </c>
      <c r="E531" s="13" t="s">
        <v>3929</v>
      </c>
      <c r="F531" s="9">
        <v>15.8</v>
      </c>
      <c r="G531" s="10">
        <v>1</v>
      </c>
      <c r="H531" s="11">
        <f t="shared" si="54"/>
        <v>15.8</v>
      </c>
      <c r="J531" s="53"/>
      <c r="K531" s="57"/>
      <c r="L531" s="53"/>
      <c r="M531" s="57"/>
      <c r="N531" s="53"/>
      <c r="O531" s="59"/>
      <c r="P531" s="53"/>
      <c r="Q531" s="69"/>
      <c r="R531" s="53"/>
      <c r="S531" s="57"/>
      <c r="T531" s="66"/>
      <c r="U531" s="57">
        <f>1</f>
        <v>1</v>
      </c>
      <c r="V531" s="66">
        <f>F531*U531</f>
        <v>15.8</v>
      </c>
      <c r="W531" s="69"/>
      <c r="X531" s="66"/>
    </row>
    <row r="532" spans="1:26" ht="25" x14ac:dyDescent="0.2">
      <c r="A532" s="3" t="s">
        <v>642</v>
      </c>
      <c r="B532" s="3">
        <v>15</v>
      </c>
      <c r="C532" s="3" t="s">
        <v>3930</v>
      </c>
      <c r="D532" s="8" t="s">
        <v>23</v>
      </c>
      <c r="E532" s="13" t="s">
        <v>3931</v>
      </c>
      <c r="F532" s="9">
        <v>260.13</v>
      </c>
      <c r="G532" s="10">
        <v>1</v>
      </c>
      <c r="H532" s="11">
        <f t="shared" si="54"/>
        <v>260.13</v>
      </c>
      <c r="J532" s="53"/>
      <c r="K532" s="57"/>
      <c r="L532" s="53"/>
      <c r="M532" s="57"/>
      <c r="N532" s="53"/>
      <c r="O532" s="59"/>
      <c r="P532" s="53"/>
      <c r="Q532" s="69"/>
      <c r="R532" s="53"/>
      <c r="S532" s="57">
        <f>1</f>
        <v>1</v>
      </c>
      <c r="T532" s="66">
        <f>F532*S532</f>
        <v>260.13</v>
      </c>
      <c r="U532" s="57"/>
      <c r="V532" s="66"/>
      <c r="W532" s="69"/>
      <c r="X532" s="66"/>
    </row>
    <row r="533" spans="1:26" ht="25" x14ac:dyDescent="0.2">
      <c r="A533" s="3" t="s">
        <v>642</v>
      </c>
      <c r="B533" s="3">
        <v>16</v>
      </c>
      <c r="C533" s="3" t="s">
        <v>3932</v>
      </c>
      <c r="D533" s="8" t="s">
        <v>23</v>
      </c>
      <c r="E533" s="13" t="s">
        <v>3933</v>
      </c>
      <c r="F533" s="9">
        <v>33.47</v>
      </c>
      <c r="G533" s="10">
        <v>1</v>
      </c>
      <c r="H533" s="11">
        <f t="shared" si="54"/>
        <v>33.47</v>
      </c>
      <c r="J533" s="53"/>
      <c r="K533" s="57"/>
      <c r="L533" s="53"/>
      <c r="M533" s="57"/>
      <c r="N533" s="53"/>
      <c r="O533" s="59"/>
      <c r="P533" s="53"/>
      <c r="Q533" s="69"/>
      <c r="R533" s="53"/>
      <c r="S533" s="57">
        <f>1</f>
        <v>1</v>
      </c>
      <c r="T533" s="66">
        <f>F533*S533</f>
        <v>33.47</v>
      </c>
      <c r="U533" s="57"/>
      <c r="V533" s="66"/>
      <c r="W533" s="69"/>
      <c r="X533" s="66"/>
    </row>
    <row r="534" spans="1:26" ht="37" x14ac:dyDescent="0.2">
      <c r="A534" s="3" t="s">
        <v>642</v>
      </c>
      <c r="B534" s="3">
        <v>17</v>
      </c>
      <c r="C534" s="3" t="s">
        <v>3934</v>
      </c>
      <c r="D534" s="8" t="s">
        <v>23</v>
      </c>
      <c r="E534" s="13" t="s">
        <v>3935</v>
      </c>
      <c r="F534" s="9">
        <v>250.01</v>
      </c>
      <c r="G534" s="10">
        <v>2</v>
      </c>
      <c r="H534" s="11">
        <f t="shared" si="54"/>
        <v>500.02</v>
      </c>
      <c r="J534" s="53"/>
      <c r="K534" s="57"/>
      <c r="L534" s="53"/>
      <c r="M534" s="57"/>
      <c r="N534" s="53"/>
      <c r="O534" s="59"/>
      <c r="P534" s="53"/>
      <c r="Q534" s="69"/>
      <c r="R534" s="53"/>
      <c r="S534" s="57">
        <f>1</f>
        <v>1</v>
      </c>
      <c r="T534" s="66">
        <f>F534*S534</f>
        <v>250.01</v>
      </c>
      <c r="U534" s="57">
        <f>1</f>
        <v>1</v>
      </c>
      <c r="V534" s="66">
        <f>F534*U534</f>
        <v>250.01</v>
      </c>
      <c r="W534" s="69"/>
      <c r="X534" s="66"/>
      <c r="Y534" s="36">
        <f>I534+K534+S534+U534+Q534</f>
        <v>2</v>
      </c>
    </row>
    <row r="535" spans="1:26" x14ac:dyDescent="0.2">
      <c r="E535" s="81" t="s">
        <v>25</v>
      </c>
      <c r="F535" s="6"/>
      <c r="G535" s="6"/>
      <c r="H535" s="12">
        <f>SUM(H518:H534)</f>
        <v>14467.079999999998</v>
      </c>
      <c r="J535" s="53"/>
      <c r="K535" s="57"/>
      <c r="L535" s="71">
        <f>SUM(L518:L534)</f>
        <v>3740.7900000000004</v>
      </c>
      <c r="M535" s="58"/>
      <c r="N535" s="71">
        <f>SUM(N518:N534)</f>
        <v>0</v>
      </c>
      <c r="O535" s="75"/>
      <c r="P535" s="71">
        <f>SUM(P522:P534)</f>
        <v>0</v>
      </c>
      <c r="Q535" s="69"/>
      <c r="R535" s="53"/>
      <c r="S535" s="57"/>
      <c r="T535" s="72">
        <f>SUM(T518:T534)</f>
        <v>3205.71</v>
      </c>
      <c r="U535" s="57"/>
      <c r="V535" s="67">
        <f>SUM(V518:V534)</f>
        <v>7520.5800000000008</v>
      </c>
      <c r="W535" s="69"/>
      <c r="X535" s="66"/>
      <c r="Z535" s="37">
        <f t="shared" ref="Z535" si="58">J535+L535+T535+V535+R535</f>
        <v>14467.080000000002</v>
      </c>
    </row>
    <row r="536" spans="1:26" x14ac:dyDescent="0.2">
      <c r="J536" s="53"/>
      <c r="K536" s="57"/>
      <c r="L536" s="53"/>
      <c r="M536" s="57"/>
      <c r="N536" s="53"/>
      <c r="O536" s="59"/>
      <c r="P536" s="53"/>
      <c r="Q536" s="69"/>
      <c r="R536" s="53"/>
      <c r="S536" s="57"/>
      <c r="T536" s="66"/>
      <c r="U536" s="57"/>
      <c r="V536" s="66"/>
      <c r="W536" s="69"/>
      <c r="X536" s="66"/>
    </row>
    <row r="537" spans="1:26" x14ac:dyDescent="0.2">
      <c r="C537" s="6" t="s">
        <v>6</v>
      </c>
      <c r="D537" s="7" t="s">
        <v>7</v>
      </c>
      <c r="E537" s="81" t="s">
        <v>8</v>
      </c>
      <c r="J537" s="53"/>
      <c r="K537" s="57"/>
      <c r="L537" s="53"/>
      <c r="M537" s="57"/>
      <c r="N537" s="53"/>
      <c r="O537" s="59"/>
      <c r="P537" s="53"/>
      <c r="Q537" s="69"/>
      <c r="R537" s="53"/>
      <c r="S537" s="57"/>
      <c r="T537" s="66"/>
      <c r="U537" s="57"/>
      <c r="V537" s="66"/>
      <c r="W537" s="69"/>
      <c r="X537" s="66"/>
    </row>
    <row r="538" spans="1:26" x14ac:dyDescent="0.2">
      <c r="C538" s="6" t="s">
        <v>9</v>
      </c>
      <c r="D538" s="7" t="s">
        <v>385</v>
      </c>
      <c r="E538" s="81" t="s">
        <v>588</v>
      </c>
      <c r="J538" s="53"/>
      <c r="K538" s="57"/>
      <c r="L538" s="53"/>
      <c r="M538" s="57"/>
      <c r="N538" s="53"/>
      <c r="O538" s="59"/>
      <c r="P538" s="53"/>
      <c r="Q538" s="69"/>
      <c r="R538" s="53"/>
      <c r="S538" s="57"/>
      <c r="T538" s="66"/>
      <c r="U538" s="57"/>
      <c r="V538" s="66"/>
      <c r="W538" s="69"/>
      <c r="X538" s="66"/>
    </row>
    <row r="539" spans="1:26" x14ac:dyDescent="0.2">
      <c r="C539" s="6" t="s">
        <v>11</v>
      </c>
      <c r="D539" s="7" t="s">
        <v>153</v>
      </c>
      <c r="E539" s="81" t="s">
        <v>643</v>
      </c>
      <c r="J539" s="53"/>
      <c r="K539" s="57"/>
      <c r="L539" s="53"/>
      <c r="M539" s="57"/>
      <c r="N539" s="53"/>
      <c r="O539" s="59"/>
      <c r="P539" s="53"/>
      <c r="Q539" s="69"/>
      <c r="R539" s="53"/>
      <c r="S539" s="57"/>
      <c r="T539" s="66"/>
      <c r="U539" s="57"/>
      <c r="V539" s="66"/>
      <c r="W539" s="69"/>
      <c r="X539" s="66"/>
    </row>
    <row r="540" spans="1:26" x14ac:dyDescent="0.2">
      <c r="C540" s="6" t="s">
        <v>91</v>
      </c>
      <c r="D540" s="7" t="s">
        <v>594</v>
      </c>
      <c r="E540" s="81" t="s">
        <v>644</v>
      </c>
      <c r="J540" s="53"/>
      <c r="K540" s="57"/>
      <c r="L540" s="53"/>
      <c r="M540" s="57"/>
      <c r="N540" s="53"/>
      <c r="O540" s="59"/>
      <c r="P540" s="53"/>
      <c r="Q540" s="69"/>
      <c r="R540" s="53"/>
      <c r="S540" s="57"/>
      <c r="T540" s="66"/>
      <c r="U540" s="57"/>
      <c r="V540" s="66"/>
      <c r="W540" s="69"/>
      <c r="X540" s="66"/>
    </row>
    <row r="541" spans="1:26" x14ac:dyDescent="0.2">
      <c r="J541" s="53"/>
      <c r="K541" s="57"/>
      <c r="L541" s="53"/>
      <c r="M541" s="57"/>
      <c r="N541" s="53"/>
      <c r="O541" s="59"/>
      <c r="P541" s="53"/>
      <c r="Q541" s="69"/>
      <c r="R541" s="53"/>
      <c r="S541" s="57"/>
      <c r="T541" s="66"/>
      <c r="U541" s="57"/>
      <c r="V541" s="66"/>
      <c r="W541" s="69"/>
      <c r="X541" s="66"/>
    </row>
    <row r="542" spans="1:26" ht="409.6" x14ac:dyDescent="0.2">
      <c r="A542" s="3" t="s">
        <v>645</v>
      </c>
      <c r="B542" s="3">
        <v>1</v>
      </c>
      <c r="C542" s="3" t="s">
        <v>646</v>
      </c>
      <c r="D542" s="8" t="s">
        <v>625</v>
      </c>
      <c r="E542" s="13" t="s">
        <v>647</v>
      </c>
      <c r="F542" s="9">
        <v>0</v>
      </c>
      <c r="G542" s="10">
        <v>0</v>
      </c>
      <c r="H542" s="11">
        <f>ROUND(ROUND(F542,2)*ROUND(G542,3),2)</f>
        <v>0</v>
      </c>
      <c r="J542" s="53"/>
      <c r="K542" s="57"/>
      <c r="L542" s="53"/>
      <c r="M542" s="57"/>
      <c r="N542" s="53"/>
      <c r="O542" s="59"/>
      <c r="P542" s="53"/>
      <c r="Q542" s="69"/>
      <c r="R542" s="53"/>
      <c r="S542" s="57"/>
      <c r="T542" s="66"/>
      <c r="U542" s="57"/>
      <c r="V542" s="66"/>
      <c r="W542" s="69"/>
      <c r="X542" s="66"/>
    </row>
    <row r="543" spans="1:26" x14ac:dyDescent="0.2">
      <c r="E543" s="81" t="s">
        <v>25</v>
      </c>
      <c r="F543" s="6"/>
      <c r="G543" s="6"/>
      <c r="H543" s="12">
        <f>SUM(H542:H542)</f>
        <v>0</v>
      </c>
      <c r="J543" s="53"/>
      <c r="K543" s="57"/>
      <c r="L543" s="53"/>
      <c r="M543" s="57"/>
      <c r="N543" s="53"/>
      <c r="O543" s="59"/>
      <c r="P543" s="71">
        <f>SUM(P530:P542)</f>
        <v>0</v>
      </c>
      <c r="Q543" s="69"/>
      <c r="R543" s="53"/>
      <c r="S543" s="57"/>
      <c r="T543" s="66"/>
      <c r="U543" s="57"/>
      <c r="V543" s="66"/>
      <c r="W543" s="69"/>
      <c r="X543" s="66"/>
    </row>
    <row r="544" spans="1:26" x14ac:dyDescent="0.2">
      <c r="J544" s="53"/>
      <c r="K544" s="57"/>
      <c r="L544" s="53"/>
      <c r="M544" s="57"/>
      <c r="N544" s="53"/>
      <c r="O544" s="59"/>
      <c r="P544" s="53"/>
      <c r="Q544" s="69"/>
      <c r="R544" s="53"/>
      <c r="S544" s="57"/>
      <c r="T544" s="66"/>
      <c r="U544" s="57"/>
      <c r="V544" s="66"/>
      <c r="W544" s="69"/>
      <c r="X544" s="66"/>
    </row>
    <row r="545" spans="1:27" x14ac:dyDescent="0.2">
      <c r="C545" s="6" t="s">
        <v>6</v>
      </c>
      <c r="D545" s="7" t="s">
        <v>7</v>
      </c>
      <c r="E545" s="81" t="s">
        <v>8</v>
      </c>
      <c r="J545" s="53"/>
      <c r="K545" s="57"/>
      <c r="L545" s="53"/>
      <c r="M545" s="57"/>
      <c r="N545" s="53"/>
      <c r="O545" s="59"/>
      <c r="P545" s="53"/>
      <c r="Q545" s="69"/>
      <c r="R545" s="53"/>
      <c r="S545" s="57"/>
      <c r="T545" s="66"/>
      <c r="U545" s="57"/>
      <c r="V545" s="66"/>
      <c r="W545" s="69"/>
      <c r="X545" s="66"/>
    </row>
    <row r="546" spans="1:27" x14ac:dyDescent="0.2">
      <c r="C546" s="6" t="s">
        <v>9</v>
      </c>
      <c r="D546" s="7" t="s">
        <v>385</v>
      </c>
      <c r="E546" s="81" t="s">
        <v>588</v>
      </c>
      <c r="J546" s="53"/>
      <c r="K546" s="57"/>
      <c r="L546" s="53"/>
      <c r="M546" s="57"/>
      <c r="N546" s="53"/>
      <c r="O546" s="59"/>
      <c r="P546" s="53"/>
      <c r="Q546" s="69"/>
      <c r="R546" s="53"/>
      <c r="S546" s="57"/>
      <c r="T546" s="66"/>
      <c r="U546" s="57"/>
      <c r="V546" s="66"/>
      <c r="W546" s="69"/>
      <c r="X546" s="66"/>
    </row>
    <row r="547" spans="1:27" x14ac:dyDescent="0.2">
      <c r="C547" s="6" t="s">
        <v>11</v>
      </c>
      <c r="D547" s="7" t="s">
        <v>153</v>
      </c>
      <c r="E547" s="81" t="s">
        <v>643</v>
      </c>
      <c r="J547" s="53"/>
      <c r="K547" s="57"/>
      <c r="L547" s="53"/>
      <c r="M547" s="57"/>
      <c r="N547" s="53"/>
      <c r="O547" s="59"/>
      <c r="P547" s="53"/>
      <c r="Q547" s="69"/>
      <c r="R547" s="53"/>
      <c r="S547" s="57"/>
      <c r="T547" s="66"/>
      <c r="U547" s="57"/>
      <c r="V547" s="66"/>
      <c r="W547" s="69"/>
      <c r="X547" s="66"/>
    </row>
    <row r="548" spans="1:27" x14ac:dyDescent="0.2">
      <c r="C548" s="6" t="s">
        <v>91</v>
      </c>
      <c r="D548" s="7" t="s">
        <v>7</v>
      </c>
      <c r="E548" s="81" t="s">
        <v>648</v>
      </c>
      <c r="J548" s="53"/>
      <c r="K548" s="57"/>
      <c r="L548" s="53"/>
      <c r="M548" s="57"/>
      <c r="N548" s="53"/>
      <c r="O548" s="59"/>
      <c r="P548" s="53"/>
      <c r="Q548" s="69"/>
      <c r="R548" s="53"/>
      <c r="S548" s="57"/>
      <c r="T548" s="66"/>
      <c r="U548" s="57"/>
      <c r="V548" s="66"/>
      <c r="W548" s="69"/>
      <c r="X548" s="66"/>
    </row>
    <row r="549" spans="1:27" x14ac:dyDescent="0.2">
      <c r="J549" s="53"/>
      <c r="K549" s="57"/>
      <c r="L549" s="53"/>
      <c r="M549" s="57"/>
      <c r="N549" s="53"/>
      <c r="O549" s="59"/>
      <c r="P549" s="53"/>
      <c r="Q549" s="69"/>
      <c r="R549" s="53"/>
      <c r="S549" s="57"/>
      <c r="T549" s="66"/>
      <c r="U549" s="57"/>
      <c r="V549" s="66"/>
      <c r="W549" s="69"/>
      <c r="X549" s="66"/>
    </row>
    <row r="550" spans="1:27" ht="37" x14ac:dyDescent="0.2">
      <c r="A550" s="3" t="s">
        <v>649</v>
      </c>
      <c r="B550" s="3">
        <v>1</v>
      </c>
      <c r="C550" s="3" t="s">
        <v>650</v>
      </c>
      <c r="D550" s="8" t="s">
        <v>36</v>
      </c>
      <c r="E550" s="13" t="s">
        <v>651</v>
      </c>
      <c r="F550" s="9">
        <v>31.91</v>
      </c>
      <c r="G550" s="10">
        <v>23.1</v>
      </c>
      <c r="H550" s="11">
        <f>ROUND(ROUND(F550,2)*ROUND(G550,3),2)</f>
        <v>737.12</v>
      </c>
      <c r="I550" s="3"/>
      <c r="J550" s="53"/>
      <c r="K550" s="57">
        <f t="shared" ref="K550:U552" si="59">4.4</f>
        <v>4.4000000000000004</v>
      </c>
      <c r="L550" s="53">
        <f>F550*K550</f>
        <v>140.40400000000002</v>
      </c>
      <c r="M550" s="57"/>
      <c r="N550" s="53"/>
      <c r="O550" s="59"/>
      <c r="P550" s="53"/>
      <c r="Q550" s="69"/>
      <c r="R550" s="53"/>
      <c r="S550" s="57">
        <f t="shared" si="59"/>
        <v>4.4000000000000004</v>
      </c>
      <c r="T550" s="66">
        <f>F550*S550</f>
        <v>140.40400000000002</v>
      </c>
      <c r="U550" s="57">
        <f>14.3</f>
        <v>14.3</v>
      </c>
      <c r="V550" s="66">
        <f>F550*U550</f>
        <v>456.31300000000005</v>
      </c>
      <c r="W550" s="69"/>
      <c r="X550" s="66"/>
      <c r="Y550" s="36">
        <f>I550+K550+S550+U550+Q550</f>
        <v>23.1</v>
      </c>
      <c r="Z550" s="37">
        <f>J550+L550+T550+V550+R550</f>
        <v>737.12100000000009</v>
      </c>
      <c r="AA550" s="3"/>
    </row>
    <row r="551" spans="1:27" ht="37" x14ac:dyDescent="0.2">
      <c r="A551" s="3" t="s">
        <v>649</v>
      </c>
      <c r="B551" s="3">
        <v>2</v>
      </c>
      <c r="C551" s="3" t="s">
        <v>652</v>
      </c>
      <c r="D551" s="8" t="s">
        <v>36</v>
      </c>
      <c r="E551" s="13" t="s">
        <v>653</v>
      </c>
      <c r="F551" s="9">
        <v>24.73</v>
      </c>
      <c r="G551" s="10">
        <v>3.3</v>
      </c>
      <c r="H551" s="11">
        <f>ROUND(ROUND(F551,2)*ROUND(G551,3),2)</f>
        <v>81.61</v>
      </c>
      <c r="I551" s="3"/>
      <c r="J551" s="53"/>
      <c r="K551" s="77"/>
      <c r="L551" s="53"/>
      <c r="M551" s="77"/>
      <c r="N551" s="53"/>
      <c r="O551" s="59"/>
      <c r="P551" s="53"/>
      <c r="Q551" s="69"/>
      <c r="R551" s="53"/>
      <c r="S551" s="77"/>
      <c r="T551" s="66"/>
      <c r="U551" s="57">
        <f>G551</f>
        <v>3.3</v>
      </c>
      <c r="V551" s="66">
        <f>F551*U551</f>
        <v>81.608999999999995</v>
      </c>
      <c r="W551" s="69"/>
      <c r="X551" s="66"/>
      <c r="Y551" s="3"/>
      <c r="AA551" s="3"/>
    </row>
    <row r="552" spans="1:27" ht="37" x14ac:dyDescent="0.2">
      <c r="A552" s="3" t="s">
        <v>649</v>
      </c>
      <c r="B552" s="3">
        <v>3</v>
      </c>
      <c r="C552" s="3" t="s">
        <v>654</v>
      </c>
      <c r="D552" s="8" t="s">
        <v>36</v>
      </c>
      <c r="E552" s="13" t="s">
        <v>655</v>
      </c>
      <c r="F552" s="9">
        <v>21.97</v>
      </c>
      <c r="G552" s="10">
        <v>8.8000000000000007</v>
      </c>
      <c r="H552" s="11">
        <f>ROUND(ROUND(F552,2)*ROUND(G552,3),2)</f>
        <v>193.34</v>
      </c>
      <c r="I552" s="3"/>
      <c r="J552" s="53"/>
      <c r="K552" s="57">
        <f t="shared" ref="K552:S553" si="60">2.2</f>
        <v>2.2000000000000002</v>
      </c>
      <c r="L552" s="53">
        <f>F552*K552</f>
        <v>48.334000000000003</v>
      </c>
      <c r="M552" s="57"/>
      <c r="N552" s="53"/>
      <c r="O552" s="59"/>
      <c r="P552" s="53"/>
      <c r="Q552" s="69"/>
      <c r="R552" s="53"/>
      <c r="S552" s="57">
        <f t="shared" si="60"/>
        <v>2.2000000000000002</v>
      </c>
      <c r="T552" s="66">
        <f>F552*S552</f>
        <v>48.334000000000003</v>
      </c>
      <c r="U552" s="57">
        <f t="shared" si="59"/>
        <v>4.4000000000000004</v>
      </c>
      <c r="V552" s="66">
        <f>F552*U552</f>
        <v>96.668000000000006</v>
      </c>
      <c r="W552" s="69"/>
      <c r="X552" s="66"/>
      <c r="Y552" s="36">
        <f>I552+K552+S552+U552+Q552</f>
        <v>8.8000000000000007</v>
      </c>
      <c r="Z552" s="37">
        <f>J552+L552+T552+V552+R552</f>
        <v>193.33600000000001</v>
      </c>
      <c r="AA552" s="3"/>
    </row>
    <row r="553" spans="1:27" ht="37" x14ac:dyDescent="0.2">
      <c r="A553" s="3" t="s">
        <v>649</v>
      </c>
      <c r="B553" s="3">
        <v>4</v>
      </c>
      <c r="C553" s="3" t="s">
        <v>656</v>
      </c>
      <c r="D553" s="8" t="s">
        <v>36</v>
      </c>
      <c r="E553" s="13" t="s">
        <v>657</v>
      </c>
      <c r="F553" s="9">
        <v>20.73</v>
      </c>
      <c r="G553" s="10">
        <v>13.75</v>
      </c>
      <c r="H553" s="11">
        <f>ROUND(ROUND(F553,2)*ROUND(G553,3),2)</f>
        <v>285.04000000000002</v>
      </c>
      <c r="I553" s="3"/>
      <c r="J553" s="53"/>
      <c r="K553" s="57">
        <f>3.85</f>
        <v>3.85</v>
      </c>
      <c r="L553" s="53">
        <f>F553*K553</f>
        <v>79.810500000000005</v>
      </c>
      <c r="M553" s="57"/>
      <c r="N553" s="53"/>
      <c r="O553" s="59"/>
      <c r="P553" s="53"/>
      <c r="Q553" s="69"/>
      <c r="R553" s="53"/>
      <c r="S553" s="57">
        <f t="shared" si="60"/>
        <v>2.2000000000000002</v>
      </c>
      <c r="T553" s="66">
        <f>F553*S553</f>
        <v>45.606000000000002</v>
      </c>
      <c r="U553" s="57">
        <v>7.7</v>
      </c>
      <c r="V553" s="66">
        <f>F553*U553</f>
        <v>159.62100000000001</v>
      </c>
      <c r="W553" s="69"/>
      <c r="X553" s="66"/>
      <c r="Y553" s="36">
        <f>I553+K553+S553+U553+Q553</f>
        <v>13.75</v>
      </c>
      <c r="Z553" s="37">
        <f>J553+L553+T553+V553+R553</f>
        <v>285.03750000000002</v>
      </c>
      <c r="AA553" s="3"/>
    </row>
    <row r="554" spans="1:27" x14ac:dyDescent="0.2">
      <c r="E554" s="81" t="s">
        <v>25</v>
      </c>
      <c r="F554" s="6"/>
      <c r="G554" s="6"/>
      <c r="H554" s="12">
        <f>SUM(H550:H553)</f>
        <v>1297.1100000000001</v>
      </c>
      <c r="I554" s="3"/>
      <c r="J554" s="53"/>
      <c r="K554" s="77"/>
      <c r="L554" s="54">
        <f>L550+L552+L553</f>
        <v>268.54850000000005</v>
      </c>
      <c r="M554" s="78"/>
      <c r="N554" s="54">
        <f>N550+N552+N553</f>
        <v>0</v>
      </c>
      <c r="O554" s="60"/>
      <c r="P554" s="71">
        <f>SUM(P541:P553)</f>
        <v>0</v>
      </c>
      <c r="Q554" s="69"/>
      <c r="R554" s="53"/>
      <c r="S554" s="78"/>
      <c r="T554" s="67">
        <f>T550+T552+T553</f>
        <v>234.34400000000002</v>
      </c>
      <c r="U554" s="78"/>
      <c r="V554" s="67">
        <f>V550+V551+V552+V553+0.01</f>
        <v>794.221</v>
      </c>
      <c r="W554" s="69"/>
      <c r="X554" s="66"/>
      <c r="Y554" s="3"/>
      <c r="Z554" s="37">
        <f>J554+L554+T554+V554+R554</f>
        <v>1297.1134999999999</v>
      </c>
      <c r="AA554" s="3"/>
    </row>
    <row r="555" spans="1:27" x14ac:dyDescent="0.2">
      <c r="I555" s="3"/>
      <c r="J555" s="53"/>
      <c r="K555" s="77"/>
      <c r="L555" s="53"/>
      <c r="M555" s="77"/>
      <c r="N555" s="53"/>
      <c r="O555" s="59"/>
      <c r="P555" s="53"/>
      <c r="Q555" s="69"/>
      <c r="R555" s="53"/>
      <c r="S555" s="77"/>
      <c r="T555" s="66"/>
      <c r="U555" s="77"/>
      <c r="V555" s="66"/>
      <c r="W555" s="69"/>
      <c r="X555" s="66"/>
      <c r="Y555" s="3"/>
      <c r="AA555" s="3"/>
    </row>
    <row r="556" spans="1:27" x14ac:dyDescent="0.2">
      <c r="C556" s="6" t="s">
        <v>6</v>
      </c>
      <c r="D556" s="7" t="s">
        <v>7</v>
      </c>
      <c r="E556" s="81" t="s">
        <v>8</v>
      </c>
      <c r="I556" s="3"/>
      <c r="J556" s="53"/>
      <c r="K556" s="77"/>
      <c r="L556" s="53"/>
      <c r="M556" s="77"/>
      <c r="N556" s="53"/>
      <c r="O556" s="59"/>
      <c r="P556" s="53"/>
      <c r="Q556" s="69"/>
      <c r="R556" s="53"/>
      <c r="S556" s="77"/>
      <c r="T556" s="66"/>
      <c r="U556" s="77"/>
      <c r="V556" s="66"/>
      <c r="W556" s="69"/>
      <c r="X556" s="66"/>
      <c r="Y556" s="3"/>
      <c r="AA556" s="3"/>
    </row>
    <row r="557" spans="1:27" x14ac:dyDescent="0.2">
      <c r="C557" s="6" t="s">
        <v>9</v>
      </c>
      <c r="D557" s="7" t="s">
        <v>385</v>
      </c>
      <c r="E557" s="81" t="s">
        <v>588</v>
      </c>
      <c r="I557" s="3"/>
      <c r="J557" s="53"/>
      <c r="K557" s="77"/>
      <c r="L557" s="53"/>
      <c r="M557" s="77"/>
      <c r="N557" s="53"/>
      <c r="O557" s="59"/>
      <c r="P557" s="53"/>
      <c r="Q557" s="69"/>
      <c r="R557" s="53"/>
      <c r="S557" s="77"/>
      <c r="T557" s="66"/>
      <c r="U557" s="77"/>
      <c r="V557" s="66"/>
      <c r="W557" s="69"/>
      <c r="X557" s="66"/>
      <c r="Y557" s="3"/>
      <c r="AA557" s="3"/>
    </row>
    <row r="558" spans="1:27" x14ac:dyDescent="0.2">
      <c r="C558" s="6" t="s">
        <v>11</v>
      </c>
      <c r="D558" s="7" t="s">
        <v>153</v>
      </c>
      <c r="E558" s="81" t="s">
        <v>643</v>
      </c>
      <c r="I558" s="3"/>
      <c r="J558" s="53"/>
      <c r="K558" s="77"/>
      <c r="L558" s="53"/>
      <c r="M558" s="77"/>
      <c r="N558" s="53"/>
      <c r="O558" s="59"/>
      <c r="P558" s="53"/>
      <c r="Q558" s="69"/>
      <c r="R558" s="53"/>
      <c r="S558" s="77"/>
      <c r="T558" s="66"/>
      <c r="U558" s="77"/>
      <c r="V558" s="66"/>
      <c r="W558" s="69"/>
      <c r="X558" s="66"/>
      <c r="Y558" s="3"/>
      <c r="AA558" s="3"/>
    </row>
    <row r="559" spans="1:27" x14ac:dyDescent="0.2">
      <c r="C559" s="6" t="s">
        <v>91</v>
      </c>
      <c r="D559" s="7" t="s">
        <v>26</v>
      </c>
      <c r="E559" s="81" t="s">
        <v>600</v>
      </c>
      <c r="I559" s="3"/>
      <c r="J559" s="53"/>
      <c r="K559" s="77"/>
      <c r="L559" s="53"/>
      <c r="M559" s="77"/>
      <c r="N559" s="53"/>
      <c r="O559" s="59"/>
      <c r="P559" s="53"/>
      <c r="Q559" s="69"/>
      <c r="R559" s="53"/>
      <c r="S559" s="77"/>
      <c r="T559" s="66"/>
      <c r="U559" s="77"/>
      <c r="V559" s="66"/>
      <c r="W559" s="69"/>
      <c r="X559" s="66"/>
      <c r="Y559" s="3"/>
      <c r="AA559" s="3"/>
    </row>
    <row r="560" spans="1:27" x14ac:dyDescent="0.2">
      <c r="I560" s="3"/>
      <c r="J560" s="53"/>
      <c r="K560" s="77"/>
      <c r="L560" s="53"/>
      <c r="M560" s="77"/>
      <c r="N560" s="53"/>
      <c r="O560" s="59"/>
      <c r="P560" s="53"/>
      <c r="Q560" s="69"/>
      <c r="R560" s="53"/>
      <c r="S560" s="77"/>
      <c r="T560" s="66"/>
      <c r="U560" s="77"/>
      <c r="V560" s="66"/>
      <c r="W560" s="69"/>
      <c r="X560" s="66"/>
      <c r="Y560" s="3"/>
      <c r="AA560" s="3"/>
    </row>
    <row r="561" spans="1:27" ht="37" x14ac:dyDescent="0.2">
      <c r="A561" s="3" t="s">
        <v>658</v>
      </c>
      <c r="B561" s="3">
        <v>1</v>
      </c>
      <c r="C561" s="3" t="s">
        <v>659</v>
      </c>
      <c r="D561" s="8" t="s">
        <v>36</v>
      </c>
      <c r="E561" s="13" t="s">
        <v>660</v>
      </c>
      <c r="F561" s="9">
        <v>41.94</v>
      </c>
      <c r="G561" s="10">
        <v>32.76</v>
      </c>
      <c r="H561" s="11">
        <f>ROUND(ROUND(F561,2)*ROUND(G561,3),2)</f>
        <v>1373.95</v>
      </c>
      <c r="I561" s="3"/>
      <c r="J561" s="53"/>
      <c r="K561" s="57">
        <f t="shared" ref="K561" si="61">15.75</f>
        <v>15.75</v>
      </c>
      <c r="L561" s="53">
        <f>F561*K561</f>
        <v>660.55499999999995</v>
      </c>
      <c r="M561" s="57"/>
      <c r="N561" s="53"/>
      <c r="O561" s="59"/>
      <c r="P561" s="53"/>
      <c r="Q561" s="69"/>
      <c r="R561" s="53"/>
      <c r="S561" s="57">
        <f>7.35</f>
        <v>7.35</v>
      </c>
      <c r="T561" s="66">
        <f>F561*S561</f>
        <v>308.25899999999996</v>
      </c>
      <c r="U561" s="57">
        <f>9.66</f>
        <v>9.66</v>
      </c>
      <c r="V561" s="66">
        <f>F561*U561</f>
        <v>405.1404</v>
      </c>
      <c r="W561" s="69"/>
      <c r="X561" s="66"/>
      <c r="Y561" s="36">
        <f>I561+K561+S561+U561+Q561</f>
        <v>32.760000000000005</v>
      </c>
      <c r="Z561" s="37">
        <f>J561+L561+T561+V561+R561</f>
        <v>1373.9543999999999</v>
      </c>
      <c r="AA561" s="3"/>
    </row>
    <row r="562" spans="1:27" ht="37" x14ac:dyDescent="0.2">
      <c r="A562" s="3" t="s">
        <v>658</v>
      </c>
      <c r="B562" s="3">
        <v>2</v>
      </c>
      <c r="C562" s="3" t="s">
        <v>661</v>
      </c>
      <c r="D562" s="8" t="s">
        <v>36</v>
      </c>
      <c r="E562" s="13" t="s">
        <v>662</v>
      </c>
      <c r="F562" s="9">
        <v>28.75</v>
      </c>
      <c r="G562" s="10">
        <v>31.5</v>
      </c>
      <c r="H562" s="11">
        <f>ROUND(ROUND(F562,2)*ROUND(G562,3),2)</f>
        <v>905.63</v>
      </c>
      <c r="I562" s="3"/>
      <c r="J562" s="53"/>
      <c r="K562" s="57">
        <f>18.9</f>
        <v>18.899999999999999</v>
      </c>
      <c r="L562" s="53">
        <f>F562*K562</f>
        <v>543.375</v>
      </c>
      <c r="M562" s="57"/>
      <c r="N562" s="53"/>
      <c r="O562" s="59"/>
      <c r="P562" s="53"/>
      <c r="Q562" s="69"/>
      <c r="R562" s="53"/>
      <c r="S562" s="57">
        <f t="shared" ref="S562:U562" si="62">6.3</f>
        <v>6.3</v>
      </c>
      <c r="T562" s="66">
        <f>F562*S562</f>
        <v>181.125</v>
      </c>
      <c r="U562" s="57">
        <f t="shared" si="62"/>
        <v>6.3</v>
      </c>
      <c r="V562" s="66">
        <f>F562*U562</f>
        <v>181.125</v>
      </c>
      <c r="W562" s="69"/>
      <c r="X562" s="66"/>
      <c r="Y562" s="36">
        <f>I562+K562+S562+U562+Q562</f>
        <v>31.5</v>
      </c>
      <c r="Z562" s="37">
        <f>J562+L562+T562+V562+R562</f>
        <v>905.625</v>
      </c>
      <c r="AA562" s="3"/>
    </row>
    <row r="563" spans="1:27" ht="85" x14ac:dyDescent="0.2">
      <c r="A563" s="3" t="s">
        <v>658</v>
      </c>
      <c r="B563" s="3">
        <v>3</v>
      </c>
      <c r="C563" s="3" t="s">
        <v>663</v>
      </c>
      <c r="D563" s="8" t="s">
        <v>36</v>
      </c>
      <c r="E563" s="13" t="s">
        <v>664</v>
      </c>
      <c r="F563" s="9">
        <v>29.58</v>
      </c>
      <c r="G563" s="10">
        <v>51.45</v>
      </c>
      <c r="H563" s="11">
        <f>ROUND(ROUND(F563,2)*ROUND(G563,3),2)</f>
        <v>1521.89</v>
      </c>
      <c r="I563" s="36">
        <f>G563</f>
        <v>51.45</v>
      </c>
      <c r="J563" s="53">
        <f>F563*I563</f>
        <v>1521.8910000000001</v>
      </c>
      <c r="K563" s="77"/>
      <c r="L563" s="53"/>
      <c r="M563" s="77"/>
      <c r="N563" s="53"/>
      <c r="O563" s="59"/>
      <c r="P563" s="53"/>
      <c r="Q563" s="69"/>
      <c r="R563" s="53"/>
      <c r="S563" s="77"/>
      <c r="T563" s="66"/>
      <c r="U563" s="77"/>
      <c r="V563" s="66"/>
      <c r="W563" s="69"/>
      <c r="X563" s="66"/>
      <c r="Y563" s="3"/>
      <c r="AA563" s="3"/>
    </row>
    <row r="564" spans="1:27" ht="85" x14ac:dyDescent="0.2">
      <c r="A564" s="3" t="s">
        <v>658</v>
      </c>
      <c r="B564" s="3">
        <v>4</v>
      </c>
      <c r="C564" s="3" t="s">
        <v>665</v>
      </c>
      <c r="D564" s="8" t="s">
        <v>36</v>
      </c>
      <c r="E564" s="13" t="s">
        <v>666</v>
      </c>
      <c r="F564" s="9">
        <v>48.74</v>
      </c>
      <c r="G564" s="10">
        <v>99.75</v>
      </c>
      <c r="H564" s="11">
        <f>ROUND(ROUND(F564,2)*ROUND(G564,3),2)</f>
        <v>4861.82</v>
      </c>
      <c r="I564" s="36">
        <f>G564</f>
        <v>99.75</v>
      </c>
      <c r="J564" s="53">
        <f>F564*I564</f>
        <v>4861.8150000000005</v>
      </c>
      <c r="K564" s="77"/>
      <c r="L564" s="53"/>
      <c r="M564" s="77"/>
      <c r="N564" s="53"/>
      <c r="O564" s="59"/>
      <c r="P564" s="53"/>
      <c r="Q564" s="69"/>
      <c r="R564" s="53"/>
      <c r="S564" s="77"/>
      <c r="T564" s="66"/>
      <c r="U564" s="77"/>
      <c r="V564" s="66"/>
      <c r="W564" s="69"/>
      <c r="X564" s="66"/>
      <c r="Y564" s="3"/>
      <c r="AA564" s="3"/>
    </row>
    <row r="565" spans="1:27" ht="85" x14ac:dyDescent="0.2">
      <c r="A565" s="3" t="s">
        <v>658</v>
      </c>
      <c r="B565" s="3">
        <v>5</v>
      </c>
      <c r="C565" s="3" t="s">
        <v>667</v>
      </c>
      <c r="D565" s="8" t="s">
        <v>36</v>
      </c>
      <c r="E565" s="13" t="s">
        <v>668</v>
      </c>
      <c r="F565" s="9">
        <v>58.53</v>
      </c>
      <c r="G565" s="10">
        <v>7</v>
      </c>
      <c r="H565" s="11">
        <f>ROUND(ROUND(F565,2)*ROUND(G565,3),2)</f>
        <v>409.71</v>
      </c>
      <c r="I565" s="36">
        <f>G565</f>
        <v>7</v>
      </c>
      <c r="J565" s="53">
        <f>F565*I565</f>
        <v>409.71000000000004</v>
      </c>
      <c r="K565" s="77"/>
      <c r="L565" s="53"/>
      <c r="M565" s="77"/>
      <c r="N565" s="53"/>
      <c r="O565" s="59"/>
      <c r="P565" s="53"/>
      <c r="Q565" s="69"/>
      <c r="R565" s="53"/>
      <c r="S565" s="77"/>
      <c r="T565" s="66"/>
      <c r="U565" s="77"/>
      <c r="V565" s="66"/>
      <c r="W565" s="69"/>
      <c r="X565" s="66"/>
      <c r="Y565" s="3"/>
      <c r="AA565" s="3"/>
    </row>
    <row r="566" spans="1:27" x14ac:dyDescent="0.2">
      <c r="E566" s="81" t="s">
        <v>25</v>
      </c>
      <c r="F566" s="6"/>
      <c r="G566" s="6"/>
      <c r="H566" s="12">
        <f>SUM(H561:H565)</f>
        <v>9073</v>
      </c>
      <c r="I566" s="3"/>
      <c r="J566" s="54">
        <f>J563+J564+J565</f>
        <v>6793.4160000000002</v>
      </c>
      <c r="K566" s="77"/>
      <c r="L566" s="54">
        <f>L561+L562</f>
        <v>1203.9299999999998</v>
      </c>
      <c r="M566" s="78"/>
      <c r="N566" s="54">
        <f>N561+N562</f>
        <v>0</v>
      </c>
      <c r="O566" s="60"/>
      <c r="P566" s="71">
        <f>SUM(P553:P565)</f>
        <v>0</v>
      </c>
      <c r="Q566" s="69"/>
      <c r="R566" s="53"/>
      <c r="S566" s="77"/>
      <c r="T566" s="67">
        <f>T561+T562</f>
        <v>489.38399999999996</v>
      </c>
      <c r="U566" s="77"/>
      <c r="V566" s="67">
        <f>V561+V562</f>
        <v>586.2654</v>
      </c>
      <c r="W566" s="69"/>
      <c r="X566" s="66"/>
      <c r="Y566" s="3"/>
      <c r="Z566" s="37">
        <f>J566+L566+T566+V566+R566</f>
        <v>9072.9953999999998</v>
      </c>
      <c r="AA566" s="3"/>
    </row>
    <row r="567" spans="1:27" x14ac:dyDescent="0.2">
      <c r="I567" s="3"/>
      <c r="J567" s="53"/>
      <c r="K567" s="77"/>
      <c r="L567" s="53"/>
      <c r="M567" s="77"/>
      <c r="N567" s="53"/>
      <c r="O567" s="59"/>
      <c r="P567" s="53"/>
      <c r="Q567" s="69"/>
      <c r="R567" s="53"/>
      <c r="S567" s="77"/>
      <c r="T567" s="66"/>
      <c r="U567" s="77"/>
      <c r="V567" s="66"/>
      <c r="W567" s="69"/>
      <c r="X567" s="66"/>
      <c r="Y567" s="3"/>
      <c r="AA567" s="3"/>
    </row>
    <row r="568" spans="1:27" x14ac:dyDescent="0.2">
      <c r="C568" s="6" t="s">
        <v>6</v>
      </c>
      <c r="D568" s="7" t="s">
        <v>7</v>
      </c>
      <c r="E568" s="81" t="s">
        <v>8</v>
      </c>
      <c r="I568" s="3"/>
      <c r="J568" s="53"/>
      <c r="K568" s="77"/>
      <c r="L568" s="53"/>
      <c r="M568" s="77"/>
      <c r="N568" s="53"/>
      <c r="O568" s="59"/>
      <c r="P568" s="53"/>
      <c r="Q568" s="69"/>
      <c r="R568" s="53"/>
      <c r="S568" s="77"/>
      <c r="T568" s="66"/>
      <c r="U568" s="77"/>
      <c r="V568" s="66"/>
      <c r="W568" s="69"/>
      <c r="X568" s="66"/>
      <c r="Y568" s="3"/>
      <c r="AA568" s="3"/>
    </row>
    <row r="569" spans="1:27" x14ac:dyDescent="0.2">
      <c r="C569" s="6" t="s">
        <v>9</v>
      </c>
      <c r="D569" s="7" t="s">
        <v>385</v>
      </c>
      <c r="E569" s="81" t="s">
        <v>588</v>
      </c>
      <c r="I569" s="3"/>
      <c r="J569" s="53"/>
      <c r="K569" s="77"/>
      <c r="L569" s="53"/>
      <c r="M569" s="77"/>
      <c r="N569" s="53"/>
      <c r="O569" s="59"/>
      <c r="P569" s="53"/>
      <c r="Q569" s="69"/>
      <c r="R569" s="53"/>
      <c r="S569" s="77"/>
      <c r="T569" s="66"/>
      <c r="U569" s="77"/>
      <c r="V569" s="66"/>
      <c r="W569" s="69"/>
      <c r="X569" s="66"/>
      <c r="Y569" s="3"/>
      <c r="AA569" s="3"/>
    </row>
    <row r="570" spans="1:27" x14ac:dyDescent="0.2">
      <c r="C570" s="6" t="s">
        <v>11</v>
      </c>
      <c r="D570" s="7" t="s">
        <v>153</v>
      </c>
      <c r="E570" s="81" t="s">
        <v>643</v>
      </c>
      <c r="I570" s="3"/>
      <c r="J570" s="53"/>
      <c r="K570" s="77"/>
      <c r="L570" s="53"/>
      <c r="M570" s="77"/>
      <c r="N570" s="53"/>
      <c r="O570" s="59"/>
      <c r="P570" s="53"/>
      <c r="Q570" s="69"/>
      <c r="R570" s="53"/>
      <c r="S570" s="77"/>
      <c r="T570" s="66"/>
      <c r="U570" s="77"/>
      <c r="V570" s="66"/>
      <c r="W570" s="69"/>
      <c r="X570" s="66"/>
      <c r="Y570" s="3"/>
      <c r="AA570" s="3"/>
    </row>
    <row r="571" spans="1:27" x14ac:dyDescent="0.2">
      <c r="C571" s="6" t="s">
        <v>91</v>
      </c>
      <c r="D571" s="7" t="s">
        <v>72</v>
      </c>
      <c r="E571" s="81" t="s">
        <v>669</v>
      </c>
      <c r="I571" s="3"/>
      <c r="J571" s="53"/>
      <c r="K571" s="77"/>
      <c r="L571" s="53"/>
      <c r="M571" s="77"/>
      <c r="N571" s="53"/>
      <c r="O571" s="59"/>
      <c r="P571" s="53"/>
      <c r="Q571" s="69"/>
      <c r="R571" s="53"/>
      <c r="S571" s="77"/>
      <c r="T571" s="66"/>
      <c r="U571" s="77"/>
      <c r="V571" s="66"/>
      <c r="W571" s="69"/>
      <c r="X571" s="66"/>
      <c r="Y571" s="3"/>
      <c r="AA571" s="3"/>
    </row>
    <row r="572" spans="1:27" x14ac:dyDescent="0.2">
      <c r="I572" s="3"/>
      <c r="J572" s="53"/>
      <c r="K572" s="77"/>
      <c r="L572" s="53"/>
      <c r="M572" s="77"/>
      <c r="N572" s="53"/>
      <c r="O572" s="59"/>
      <c r="P572" s="53"/>
      <c r="Q572" s="69"/>
      <c r="R572" s="53"/>
      <c r="S572" s="77"/>
      <c r="T572" s="66"/>
      <c r="U572" s="77"/>
      <c r="V572" s="66"/>
      <c r="W572" s="69"/>
      <c r="X572" s="66"/>
      <c r="Y572" s="3"/>
      <c r="AA572" s="3"/>
    </row>
    <row r="573" spans="1:27" ht="49" x14ac:dyDescent="0.2">
      <c r="A573" s="3" t="s">
        <v>670</v>
      </c>
      <c r="B573" s="3">
        <v>1</v>
      </c>
      <c r="C573" s="3" t="s">
        <v>671</v>
      </c>
      <c r="D573" s="8" t="s">
        <v>36</v>
      </c>
      <c r="E573" s="13" t="s">
        <v>672</v>
      </c>
      <c r="F573" s="9">
        <v>198.52</v>
      </c>
      <c r="G573" s="10">
        <v>11</v>
      </c>
      <c r="H573" s="11">
        <f t="shared" ref="H573:H579" si="63">ROUND(ROUND(F573,2)*ROUND(G573,3),2)</f>
        <v>2183.7199999999998</v>
      </c>
      <c r="I573" s="3"/>
      <c r="J573" s="53"/>
      <c r="K573" s="77"/>
      <c r="L573" s="53"/>
      <c r="M573" s="77"/>
      <c r="N573" s="53"/>
      <c r="O573" s="59"/>
      <c r="P573" s="53"/>
      <c r="Q573" s="69">
        <f>G573</f>
        <v>11</v>
      </c>
      <c r="R573" s="53">
        <f>F573*Q573</f>
        <v>2183.7200000000003</v>
      </c>
      <c r="S573" s="77"/>
      <c r="T573" s="66"/>
      <c r="U573" s="77"/>
      <c r="V573" s="66"/>
      <c r="W573" s="69"/>
      <c r="X573" s="66"/>
      <c r="Y573" s="3"/>
      <c r="AA573" s="3"/>
    </row>
    <row r="574" spans="1:27" ht="61" x14ac:dyDescent="0.2">
      <c r="A574" s="3" t="s">
        <v>670</v>
      </c>
      <c r="B574" s="3">
        <v>2</v>
      </c>
      <c r="C574" s="3" t="s">
        <v>673</v>
      </c>
      <c r="D574" s="8" t="s">
        <v>36</v>
      </c>
      <c r="E574" s="13" t="s">
        <v>674</v>
      </c>
      <c r="F574" s="9">
        <v>112.14</v>
      </c>
      <c r="G574" s="10">
        <v>23</v>
      </c>
      <c r="H574" s="11">
        <f t="shared" si="63"/>
        <v>2579.2199999999998</v>
      </c>
      <c r="I574" s="3"/>
      <c r="J574" s="53"/>
      <c r="K574" s="77"/>
      <c r="L574" s="53"/>
      <c r="M574" s="77"/>
      <c r="N574" s="53"/>
      <c r="O574" s="59"/>
      <c r="P574" s="53"/>
      <c r="Q574" s="69">
        <f>G574</f>
        <v>23</v>
      </c>
      <c r="R574" s="53">
        <f>F574*Q574</f>
        <v>2579.2199999999998</v>
      </c>
      <c r="S574" s="77"/>
      <c r="T574" s="66"/>
      <c r="U574" s="77"/>
      <c r="V574" s="66"/>
      <c r="W574" s="69"/>
      <c r="X574" s="66"/>
      <c r="Y574" s="3"/>
      <c r="AA574" s="3"/>
    </row>
    <row r="575" spans="1:27" ht="37" x14ac:dyDescent="0.2">
      <c r="A575" s="3" t="s">
        <v>670</v>
      </c>
      <c r="B575" s="3">
        <v>3</v>
      </c>
      <c r="C575" s="3" t="s">
        <v>675</v>
      </c>
      <c r="D575" s="8" t="s">
        <v>625</v>
      </c>
      <c r="E575" s="13" t="s">
        <v>676</v>
      </c>
      <c r="F575" s="9">
        <v>41.84</v>
      </c>
      <c r="G575" s="10">
        <v>2</v>
      </c>
      <c r="H575" s="11">
        <f t="shared" si="63"/>
        <v>83.68</v>
      </c>
      <c r="I575" s="36">
        <f>G575</f>
        <v>2</v>
      </c>
      <c r="J575" s="53">
        <f>F575*I575</f>
        <v>83.68</v>
      </c>
      <c r="K575" s="77"/>
      <c r="L575" s="53"/>
      <c r="M575" s="77"/>
      <c r="N575" s="53"/>
      <c r="O575" s="59"/>
      <c r="P575" s="53"/>
      <c r="Q575" s="69"/>
      <c r="R575" s="53"/>
      <c r="S575" s="77"/>
      <c r="T575" s="66"/>
      <c r="U575" s="77"/>
      <c r="V575" s="66"/>
      <c r="W575" s="69"/>
      <c r="X575" s="66"/>
      <c r="Y575" s="3"/>
      <c r="AA575" s="3"/>
    </row>
    <row r="576" spans="1:27" ht="61" x14ac:dyDescent="0.2">
      <c r="A576" s="3" t="s">
        <v>670</v>
      </c>
      <c r="B576" s="3">
        <v>4</v>
      </c>
      <c r="C576" s="3" t="s">
        <v>677</v>
      </c>
      <c r="D576" s="8" t="s">
        <v>625</v>
      </c>
      <c r="E576" s="13" t="s">
        <v>678</v>
      </c>
      <c r="F576" s="9">
        <v>453.71</v>
      </c>
      <c r="G576" s="10">
        <v>1</v>
      </c>
      <c r="H576" s="11">
        <f t="shared" si="63"/>
        <v>453.71</v>
      </c>
      <c r="I576" s="36">
        <f>G576</f>
        <v>1</v>
      </c>
      <c r="J576" s="53">
        <f>F576*I576</f>
        <v>453.71</v>
      </c>
      <c r="K576" s="77"/>
      <c r="L576" s="53"/>
      <c r="M576" s="77"/>
      <c r="N576" s="53"/>
      <c r="O576" s="59"/>
      <c r="P576" s="53"/>
      <c r="Q576" s="69"/>
      <c r="R576" s="53"/>
      <c r="S576" s="77"/>
      <c r="T576" s="66"/>
      <c r="U576" s="77"/>
      <c r="V576" s="66"/>
      <c r="W576" s="69"/>
      <c r="X576" s="66"/>
      <c r="Y576" s="3"/>
      <c r="AA576" s="3"/>
    </row>
    <row r="577" spans="1:27" ht="145" x14ac:dyDescent="0.2">
      <c r="A577" s="3" t="s">
        <v>670</v>
      </c>
      <c r="B577" s="3">
        <v>5</v>
      </c>
      <c r="C577" s="3" t="s">
        <v>679</v>
      </c>
      <c r="D577" s="8" t="s">
        <v>23</v>
      </c>
      <c r="E577" s="13" t="s">
        <v>680</v>
      </c>
      <c r="F577" s="9">
        <v>782.89</v>
      </c>
      <c r="G577" s="10">
        <v>1</v>
      </c>
      <c r="H577" s="11">
        <f t="shared" si="63"/>
        <v>782.89</v>
      </c>
      <c r="I577" s="3"/>
      <c r="J577" s="53"/>
      <c r="K577" s="77"/>
      <c r="L577" s="53"/>
      <c r="M577" s="77"/>
      <c r="N577" s="53"/>
      <c r="O577" s="59"/>
      <c r="P577" s="53"/>
      <c r="Q577" s="69">
        <f>G577</f>
        <v>1</v>
      </c>
      <c r="R577" s="53">
        <f>F577*Q577</f>
        <v>782.89</v>
      </c>
      <c r="S577" s="77"/>
      <c r="T577" s="66"/>
      <c r="U577" s="77"/>
      <c r="V577" s="66"/>
      <c r="W577" s="69"/>
      <c r="X577" s="66"/>
      <c r="Y577" s="3"/>
      <c r="AA577" s="3"/>
    </row>
    <row r="578" spans="1:27" ht="181" x14ac:dyDescent="0.2">
      <c r="A578" s="3" t="s">
        <v>670</v>
      </c>
      <c r="B578" s="3">
        <v>6</v>
      </c>
      <c r="C578" s="3" t="s">
        <v>681</v>
      </c>
      <c r="D578" s="8" t="s">
        <v>23</v>
      </c>
      <c r="E578" s="13" t="s">
        <v>682</v>
      </c>
      <c r="F578" s="9">
        <v>1200</v>
      </c>
      <c r="G578" s="10">
        <v>1</v>
      </c>
      <c r="H578" s="11">
        <f t="shared" si="63"/>
        <v>1200</v>
      </c>
      <c r="I578" s="36">
        <f>G578</f>
        <v>1</v>
      </c>
      <c r="J578" s="53">
        <f>F578*I578</f>
        <v>1200</v>
      </c>
      <c r="K578" s="77"/>
      <c r="L578" s="53"/>
      <c r="M578" s="77"/>
      <c r="N578" s="53"/>
      <c r="O578" s="59"/>
      <c r="P578" s="53"/>
      <c r="Q578" s="69"/>
      <c r="R578" s="53"/>
      <c r="S578" s="77"/>
      <c r="T578" s="66"/>
      <c r="U578" s="77"/>
      <c r="V578" s="66"/>
      <c r="W578" s="69"/>
      <c r="X578" s="66"/>
      <c r="Y578" s="3"/>
      <c r="AA578" s="3"/>
    </row>
    <row r="579" spans="1:27" ht="25" x14ac:dyDescent="0.2">
      <c r="A579" s="3" t="s">
        <v>670</v>
      </c>
      <c r="B579" s="3">
        <v>7</v>
      </c>
      <c r="C579" s="3" t="s">
        <v>683</v>
      </c>
      <c r="D579" s="8" t="s">
        <v>625</v>
      </c>
      <c r="E579" s="13" t="s">
        <v>684</v>
      </c>
      <c r="F579" s="9">
        <v>216</v>
      </c>
      <c r="G579" s="10">
        <v>1</v>
      </c>
      <c r="H579" s="11">
        <f t="shared" si="63"/>
        <v>216</v>
      </c>
      <c r="I579" s="36">
        <f>G579</f>
        <v>1</v>
      </c>
      <c r="J579" s="53">
        <f>F579*I579</f>
        <v>216</v>
      </c>
      <c r="K579" s="77"/>
      <c r="L579" s="53"/>
      <c r="M579" s="77"/>
      <c r="N579" s="53"/>
      <c r="O579" s="59"/>
      <c r="P579" s="53"/>
      <c r="Q579" s="69"/>
      <c r="R579" s="53"/>
      <c r="S579" s="77"/>
      <c r="T579" s="66"/>
      <c r="U579" s="77"/>
      <c r="V579" s="66"/>
      <c r="W579" s="69"/>
      <c r="X579" s="66"/>
      <c r="Y579" s="3"/>
      <c r="AA579" s="3"/>
    </row>
    <row r="580" spans="1:27" x14ac:dyDescent="0.2">
      <c r="E580" s="81" t="s">
        <v>25</v>
      </c>
      <c r="F580" s="6"/>
      <c r="G580" s="6"/>
      <c r="H580" s="12">
        <f>SUM(H573:H579)</f>
        <v>7499.22</v>
      </c>
      <c r="I580" s="3"/>
      <c r="J580" s="54">
        <f>J575+J576+J578+J579</f>
        <v>1953.3899999999999</v>
      </c>
      <c r="K580" s="77"/>
      <c r="L580" s="53"/>
      <c r="M580" s="77"/>
      <c r="N580" s="53"/>
      <c r="O580" s="59"/>
      <c r="P580" s="53"/>
      <c r="Q580" s="69"/>
      <c r="R580" s="54">
        <f>R573+R574+R577</f>
        <v>5545.8300000000008</v>
      </c>
      <c r="S580" s="77"/>
      <c r="T580" s="66"/>
      <c r="U580" s="77"/>
      <c r="V580" s="66"/>
      <c r="W580" s="69"/>
      <c r="X580" s="66"/>
      <c r="Y580" s="3"/>
      <c r="Z580" s="37">
        <f>J580+L580+T580+V580+R580</f>
        <v>7499.2200000000012</v>
      </c>
      <c r="AA580" s="3"/>
    </row>
    <row r="581" spans="1:27" x14ac:dyDescent="0.2">
      <c r="J581" s="53"/>
      <c r="K581" s="57"/>
      <c r="L581" s="53"/>
      <c r="M581" s="57"/>
      <c r="N581" s="53"/>
      <c r="O581" s="59"/>
      <c r="P581" s="53"/>
      <c r="Q581" s="69"/>
      <c r="R581" s="53"/>
      <c r="S581" s="57"/>
      <c r="T581" s="66"/>
      <c r="U581" s="57"/>
      <c r="V581" s="66"/>
      <c r="W581" s="69"/>
      <c r="X581" s="66"/>
    </row>
    <row r="582" spans="1:27" x14ac:dyDescent="0.2">
      <c r="C582" s="6" t="s">
        <v>6</v>
      </c>
      <c r="D582" s="7" t="s">
        <v>7</v>
      </c>
      <c r="E582" s="81" t="s">
        <v>8</v>
      </c>
      <c r="H582" s="41"/>
      <c r="J582" s="53"/>
      <c r="K582" s="57"/>
      <c r="L582" s="53"/>
      <c r="M582" s="57"/>
      <c r="N582" s="53"/>
      <c r="O582" s="59"/>
      <c r="P582" s="53"/>
      <c r="Q582" s="69"/>
      <c r="R582" s="53"/>
      <c r="S582" s="57"/>
      <c r="T582" s="66"/>
      <c r="U582" s="57"/>
      <c r="V582" s="66"/>
      <c r="W582" s="69"/>
      <c r="X582" s="66"/>
    </row>
    <row r="583" spans="1:27" x14ac:dyDescent="0.2">
      <c r="C583" s="6" t="s">
        <v>9</v>
      </c>
      <c r="D583" s="7" t="s">
        <v>385</v>
      </c>
      <c r="E583" s="81" t="s">
        <v>588</v>
      </c>
      <c r="J583" s="53"/>
      <c r="K583" s="57"/>
      <c r="L583" s="53"/>
      <c r="M583" s="57"/>
      <c r="N583" s="53"/>
      <c r="O583" s="59"/>
      <c r="P583" s="53"/>
      <c r="Q583" s="69"/>
      <c r="R583" s="53"/>
      <c r="S583" s="57"/>
      <c r="T583" s="66"/>
      <c r="U583" s="57"/>
      <c r="V583" s="66"/>
      <c r="W583" s="69"/>
      <c r="X583" s="66"/>
    </row>
    <row r="584" spans="1:27" x14ac:dyDescent="0.2">
      <c r="C584" s="6" t="s">
        <v>11</v>
      </c>
      <c r="D584" s="7" t="s">
        <v>158</v>
      </c>
      <c r="E584" s="81" t="s">
        <v>685</v>
      </c>
      <c r="J584" s="53"/>
      <c r="K584" s="57"/>
      <c r="L584" s="53"/>
      <c r="M584" s="57"/>
      <c r="N584" s="53"/>
      <c r="O584" s="59"/>
      <c r="P584" s="53"/>
      <c r="Q584" s="69"/>
      <c r="R584" s="53"/>
      <c r="S584" s="57"/>
      <c r="T584" s="66"/>
      <c r="U584" s="57"/>
      <c r="V584" s="66"/>
      <c r="W584" s="69"/>
      <c r="X584" s="66"/>
    </row>
    <row r="585" spans="1:27" x14ac:dyDescent="0.2">
      <c r="C585" s="6" t="s">
        <v>91</v>
      </c>
      <c r="D585" s="7" t="s">
        <v>7</v>
      </c>
      <c r="E585" s="81" t="s">
        <v>686</v>
      </c>
      <c r="J585" s="53"/>
      <c r="K585" s="57"/>
      <c r="L585" s="53"/>
      <c r="M585" s="57"/>
      <c r="N585" s="53"/>
      <c r="O585" s="59"/>
      <c r="P585" s="53"/>
      <c r="Q585" s="69"/>
      <c r="R585" s="53"/>
      <c r="S585" s="57"/>
      <c r="T585" s="66"/>
      <c r="U585" s="57"/>
      <c r="V585" s="66"/>
      <c r="W585" s="69"/>
      <c r="X585" s="66"/>
    </row>
    <row r="586" spans="1:27" x14ac:dyDescent="0.2">
      <c r="J586" s="53"/>
      <c r="K586" s="57"/>
      <c r="L586" s="53"/>
      <c r="M586" s="57"/>
      <c r="N586" s="53"/>
      <c r="O586" s="59"/>
      <c r="P586" s="53"/>
      <c r="Q586" s="69"/>
      <c r="R586" s="53"/>
      <c r="S586" s="57"/>
      <c r="T586" s="66"/>
      <c r="U586" s="57"/>
      <c r="V586" s="66"/>
      <c r="W586" s="69"/>
      <c r="X586" s="66"/>
    </row>
    <row r="587" spans="1:27" ht="133" x14ac:dyDescent="0.2">
      <c r="A587" s="3" t="s">
        <v>687</v>
      </c>
      <c r="B587" s="3">
        <v>1</v>
      </c>
      <c r="C587" s="3" t="s">
        <v>688</v>
      </c>
      <c r="D587" s="8" t="s">
        <v>23</v>
      </c>
      <c r="E587" s="13" t="s">
        <v>689</v>
      </c>
      <c r="F587" s="9">
        <v>134.44</v>
      </c>
      <c r="G587" s="10">
        <v>4</v>
      </c>
      <c r="H587" s="11">
        <f t="shared" ref="H587:H598" si="64">ROUND(ROUND(F587,2)*ROUND(G587,3),2)</f>
        <v>537.76</v>
      </c>
      <c r="I587" s="3"/>
      <c r="J587" s="53"/>
      <c r="K587" s="77"/>
      <c r="L587" s="53"/>
      <c r="M587" s="57"/>
      <c r="N587" s="53"/>
      <c r="O587" s="59"/>
      <c r="P587" s="53"/>
      <c r="Q587" s="69"/>
      <c r="R587" s="53"/>
      <c r="S587" s="57">
        <f t="shared" ref="S587:U589" si="65">2</f>
        <v>2</v>
      </c>
      <c r="T587" s="66">
        <f>F587*S587</f>
        <v>268.88</v>
      </c>
      <c r="U587" s="57">
        <f t="shared" si="65"/>
        <v>2</v>
      </c>
      <c r="V587" s="66">
        <f>F587*U587</f>
        <v>268.88</v>
      </c>
      <c r="W587" s="69"/>
      <c r="X587" s="66"/>
      <c r="Y587" s="36">
        <f>I587+K587+S587+U587+Q587</f>
        <v>4</v>
      </c>
      <c r="Z587" s="37">
        <f>J587+L587+T587+V587+R587</f>
        <v>537.76</v>
      </c>
    </row>
    <row r="588" spans="1:27" ht="133" x14ac:dyDescent="0.2">
      <c r="A588" s="3" t="s">
        <v>687</v>
      </c>
      <c r="B588" s="3">
        <v>2</v>
      </c>
      <c r="C588" s="3" t="s">
        <v>690</v>
      </c>
      <c r="D588" s="8" t="s">
        <v>23</v>
      </c>
      <c r="E588" s="13" t="s">
        <v>691</v>
      </c>
      <c r="F588" s="9">
        <v>169.78</v>
      </c>
      <c r="G588" s="10">
        <v>2</v>
      </c>
      <c r="H588" s="11">
        <f t="shared" si="64"/>
        <v>339.56</v>
      </c>
      <c r="I588" s="3"/>
      <c r="J588" s="53"/>
      <c r="K588" s="57">
        <f>G588</f>
        <v>2</v>
      </c>
      <c r="L588" s="53">
        <f>F588*K588</f>
        <v>339.56</v>
      </c>
      <c r="M588" s="77"/>
      <c r="N588" s="53"/>
      <c r="O588" s="59"/>
      <c r="P588" s="53"/>
      <c r="Q588" s="69"/>
      <c r="R588" s="53"/>
      <c r="S588" s="77"/>
      <c r="T588" s="66"/>
      <c r="U588" s="77"/>
      <c r="V588" s="66"/>
      <c r="W588" s="69"/>
      <c r="X588" s="66"/>
      <c r="Y588" s="3"/>
    </row>
    <row r="589" spans="1:27" ht="193" x14ac:dyDescent="0.2">
      <c r="A589" s="3" t="s">
        <v>687</v>
      </c>
      <c r="B589" s="3">
        <v>3</v>
      </c>
      <c r="C589" s="3" t="s">
        <v>692</v>
      </c>
      <c r="D589" s="8" t="s">
        <v>23</v>
      </c>
      <c r="E589" s="13" t="s">
        <v>693</v>
      </c>
      <c r="F589" s="9">
        <v>333.69</v>
      </c>
      <c r="G589" s="10">
        <v>4</v>
      </c>
      <c r="H589" s="11">
        <f t="shared" si="64"/>
        <v>1334.76</v>
      </c>
      <c r="I589" s="3"/>
      <c r="J589" s="53"/>
      <c r="K589" s="77"/>
      <c r="L589" s="53"/>
      <c r="M589" s="57"/>
      <c r="N589" s="53"/>
      <c r="O589" s="59"/>
      <c r="P589" s="53"/>
      <c r="Q589" s="69"/>
      <c r="R589" s="53"/>
      <c r="S589" s="57">
        <f t="shared" si="65"/>
        <v>2</v>
      </c>
      <c r="T589" s="66">
        <f>F589*S589</f>
        <v>667.38</v>
      </c>
      <c r="U589" s="57">
        <f t="shared" si="65"/>
        <v>2</v>
      </c>
      <c r="V589" s="66">
        <f>F589*U589</f>
        <v>667.38</v>
      </c>
      <c r="W589" s="69"/>
      <c r="X589" s="66"/>
      <c r="Y589" s="36">
        <f>I589+K589+S589+U589+Q589</f>
        <v>4</v>
      </c>
      <c r="Z589" s="37">
        <f>J589+L589+T589+V589+R589</f>
        <v>1334.76</v>
      </c>
    </row>
    <row r="590" spans="1:27" ht="205" x14ac:dyDescent="0.2">
      <c r="A590" s="3" t="s">
        <v>687</v>
      </c>
      <c r="B590" s="3">
        <v>4</v>
      </c>
      <c r="C590" s="3" t="s">
        <v>694</v>
      </c>
      <c r="D590" s="8" t="s">
        <v>23</v>
      </c>
      <c r="E590" s="13" t="s">
        <v>695</v>
      </c>
      <c r="F590" s="9">
        <v>510.26</v>
      </c>
      <c r="G590" s="10">
        <v>2</v>
      </c>
      <c r="H590" s="11">
        <f t="shared" si="64"/>
        <v>1020.52</v>
      </c>
      <c r="I590" s="3"/>
      <c r="J590" s="53"/>
      <c r="K590" s="57">
        <f>G590</f>
        <v>2</v>
      </c>
      <c r="L590" s="53">
        <f t="shared" ref="L590:L598" si="66">F590*K590</f>
        <v>1020.52</v>
      </c>
      <c r="M590" s="77"/>
      <c r="N590" s="53"/>
      <c r="O590" s="59"/>
      <c r="P590" s="53"/>
      <c r="Q590" s="69"/>
      <c r="R590" s="53"/>
      <c r="S590" s="77"/>
      <c r="T590" s="66"/>
      <c r="U590" s="77"/>
      <c r="V590" s="66"/>
      <c r="W590" s="69"/>
      <c r="X590" s="66"/>
      <c r="Y590" s="3"/>
    </row>
    <row r="591" spans="1:27" ht="157" x14ac:dyDescent="0.2">
      <c r="A591" s="3" t="s">
        <v>687</v>
      </c>
      <c r="B591" s="3">
        <v>5</v>
      </c>
      <c r="C591" s="3" t="s">
        <v>696</v>
      </c>
      <c r="D591" s="8" t="s">
        <v>23</v>
      </c>
      <c r="E591" s="13" t="s">
        <v>697</v>
      </c>
      <c r="F591" s="9">
        <v>18.399999999999999</v>
      </c>
      <c r="G591" s="10">
        <v>367</v>
      </c>
      <c r="H591" s="11">
        <f t="shared" si="64"/>
        <v>6752.8</v>
      </c>
      <c r="I591" s="3"/>
      <c r="J591" s="53"/>
      <c r="K591" s="57">
        <f t="shared" ref="K591:K592" si="67">220</f>
        <v>220</v>
      </c>
      <c r="L591" s="53">
        <f t="shared" si="66"/>
        <v>4047.9999999999995</v>
      </c>
      <c r="M591" s="57"/>
      <c r="N591" s="53"/>
      <c r="O591" s="59"/>
      <c r="P591" s="53"/>
      <c r="Q591" s="69"/>
      <c r="R591" s="53"/>
      <c r="S591" s="57">
        <f>82</f>
        <v>82</v>
      </c>
      <c r="T591" s="66">
        <f t="shared" ref="T591:T598" si="68">F591*S591</f>
        <v>1508.8</v>
      </c>
      <c r="U591" s="57">
        <f>65</f>
        <v>65</v>
      </c>
      <c r="V591" s="66">
        <f t="shared" ref="V591:V598" si="69">F591*U591</f>
        <v>1196</v>
      </c>
      <c r="W591" s="69"/>
      <c r="X591" s="66"/>
      <c r="Y591" s="36">
        <f t="shared" ref="Y591:Z598" si="70">I591+K591+S591+U591+Q591</f>
        <v>367</v>
      </c>
      <c r="Z591" s="37">
        <f t="shared" si="70"/>
        <v>6752.7999999999993</v>
      </c>
    </row>
    <row r="592" spans="1:27" ht="109" x14ac:dyDescent="0.2">
      <c r="A592" s="3" t="s">
        <v>687</v>
      </c>
      <c r="B592" s="3">
        <v>6</v>
      </c>
      <c r="C592" s="3" t="s">
        <v>698</v>
      </c>
      <c r="D592" s="8" t="s">
        <v>36</v>
      </c>
      <c r="E592" s="13" t="s">
        <v>699</v>
      </c>
      <c r="F592" s="9">
        <v>2.93</v>
      </c>
      <c r="G592" s="10">
        <v>370</v>
      </c>
      <c r="H592" s="11">
        <f t="shared" si="64"/>
        <v>1084.0999999999999</v>
      </c>
      <c r="I592" s="3"/>
      <c r="J592" s="53"/>
      <c r="K592" s="57">
        <f t="shared" si="67"/>
        <v>220</v>
      </c>
      <c r="L592" s="53">
        <f t="shared" si="66"/>
        <v>644.6</v>
      </c>
      <c r="M592" s="57"/>
      <c r="N592" s="53"/>
      <c r="O592" s="59"/>
      <c r="P592" s="53"/>
      <c r="Q592" s="69"/>
      <c r="R592" s="53"/>
      <c r="S592" s="57">
        <f>80</f>
        <v>80</v>
      </c>
      <c r="T592" s="66">
        <f t="shared" si="68"/>
        <v>234.4</v>
      </c>
      <c r="U592" s="57">
        <f>70</f>
        <v>70</v>
      </c>
      <c r="V592" s="66">
        <f t="shared" si="69"/>
        <v>205.10000000000002</v>
      </c>
      <c r="W592" s="69"/>
      <c r="X592" s="66"/>
      <c r="Y592" s="36">
        <f t="shared" si="70"/>
        <v>370</v>
      </c>
      <c r="Z592" s="37">
        <f t="shared" si="70"/>
        <v>1084.0999999999999</v>
      </c>
    </row>
    <row r="593" spans="1:28" ht="109" x14ac:dyDescent="0.2">
      <c r="A593" s="3" t="s">
        <v>687</v>
      </c>
      <c r="B593" s="3">
        <v>7</v>
      </c>
      <c r="C593" s="3" t="s">
        <v>700</v>
      </c>
      <c r="D593" s="8" t="s">
        <v>36</v>
      </c>
      <c r="E593" s="13" t="s">
        <v>701</v>
      </c>
      <c r="F593" s="9">
        <v>7.51</v>
      </c>
      <c r="G593" s="10">
        <v>2704.8</v>
      </c>
      <c r="H593" s="11">
        <f t="shared" si="64"/>
        <v>20313.05</v>
      </c>
      <c r="I593" s="3"/>
      <c r="J593" s="53"/>
      <c r="K593" s="57">
        <f>1680</f>
        <v>1680</v>
      </c>
      <c r="L593" s="53">
        <f t="shared" si="66"/>
        <v>12616.8</v>
      </c>
      <c r="M593" s="57"/>
      <c r="N593" s="53"/>
      <c r="O593" s="59"/>
      <c r="P593" s="53"/>
      <c r="Q593" s="69"/>
      <c r="R593" s="53"/>
      <c r="S593" s="57">
        <f>541.8</f>
        <v>541.79999999999995</v>
      </c>
      <c r="T593" s="66">
        <f t="shared" si="68"/>
        <v>4068.9179999999997</v>
      </c>
      <c r="U593" s="57">
        <f>483</f>
        <v>483</v>
      </c>
      <c r="V593" s="66">
        <f t="shared" si="69"/>
        <v>3627.33</v>
      </c>
      <c r="W593" s="69"/>
      <c r="X593" s="66"/>
      <c r="Y593" s="36">
        <f t="shared" si="70"/>
        <v>2704.8</v>
      </c>
      <c r="Z593" s="37">
        <f t="shared" si="70"/>
        <v>20313.048000000003</v>
      </c>
    </row>
    <row r="594" spans="1:28" ht="109" x14ac:dyDescent="0.2">
      <c r="A594" s="3" t="s">
        <v>687</v>
      </c>
      <c r="B594" s="3">
        <v>8</v>
      </c>
      <c r="C594" s="3" t="s">
        <v>702</v>
      </c>
      <c r="D594" s="8" t="s">
        <v>36</v>
      </c>
      <c r="E594" s="13" t="s">
        <v>703</v>
      </c>
      <c r="F594" s="9">
        <v>1.72</v>
      </c>
      <c r="G594" s="10">
        <v>232.05</v>
      </c>
      <c r="H594" s="11">
        <f t="shared" si="64"/>
        <v>399.13</v>
      </c>
      <c r="I594" s="3"/>
      <c r="J594" s="53"/>
      <c r="K594" s="57">
        <f>89.25</f>
        <v>89.25</v>
      </c>
      <c r="L594" s="53">
        <f t="shared" si="66"/>
        <v>153.51</v>
      </c>
      <c r="M594" s="57"/>
      <c r="N594" s="53"/>
      <c r="O594" s="59"/>
      <c r="P594" s="53"/>
      <c r="Q594" s="69"/>
      <c r="R594" s="53"/>
      <c r="S594" s="57">
        <f>73.5</f>
        <v>73.5</v>
      </c>
      <c r="T594" s="66">
        <f t="shared" si="68"/>
        <v>126.42</v>
      </c>
      <c r="U594" s="57">
        <f>69.3</f>
        <v>69.3</v>
      </c>
      <c r="V594" s="66">
        <f t="shared" si="69"/>
        <v>119.196</v>
      </c>
      <c r="W594" s="69"/>
      <c r="X594" s="66"/>
      <c r="Y594" s="36">
        <f t="shared" si="70"/>
        <v>232.05</v>
      </c>
      <c r="Z594" s="37">
        <f t="shared" si="70"/>
        <v>399.12599999999998</v>
      </c>
    </row>
    <row r="595" spans="1:28" ht="97" x14ac:dyDescent="0.2">
      <c r="A595" s="3" t="s">
        <v>687</v>
      </c>
      <c r="B595" s="3">
        <v>9</v>
      </c>
      <c r="C595" s="3" t="s">
        <v>704</v>
      </c>
      <c r="D595" s="8" t="s">
        <v>103</v>
      </c>
      <c r="E595" s="13" t="s">
        <v>705</v>
      </c>
      <c r="F595" s="9">
        <v>5.08</v>
      </c>
      <c r="G595" s="10">
        <v>85</v>
      </c>
      <c r="H595" s="11">
        <f t="shared" si="64"/>
        <v>431.8</v>
      </c>
      <c r="I595" s="3"/>
      <c r="J595" s="53"/>
      <c r="K595" s="57">
        <f t="shared" ref="K595" si="71">50</f>
        <v>50</v>
      </c>
      <c r="L595" s="53">
        <f t="shared" si="66"/>
        <v>254</v>
      </c>
      <c r="M595" s="57"/>
      <c r="N595" s="53"/>
      <c r="O595" s="59"/>
      <c r="P595" s="53"/>
      <c r="Q595" s="69"/>
      <c r="R595" s="53"/>
      <c r="S595" s="57">
        <v>20</v>
      </c>
      <c r="T595" s="66">
        <f t="shared" si="68"/>
        <v>101.6</v>
      </c>
      <c r="U595" s="57">
        <v>15</v>
      </c>
      <c r="V595" s="66">
        <f t="shared" si="69"/>
        <v>76.2</v>
      </c>
      <c r="W595" s="69"/>
      <c r="X595" s="66"/>
      <c r="Y595" s="36">
        <f t="shared" si="70"/>
        <v>85</v>
      </c>
      <c r="Z595" s="37">
        <f t="shared" si="70"/>
        <v>431.8</v>
      </c>
    </row>
    <row r="596" spans="1:28" ht="97" x14ac:dyDescent="0.2">
      <c r="A596" s="3" t="s">
        <v>687</v>
      </c>
      <c r="B596" s="3">
        <v>10</v>
      </c>
      <c r="C596" s="3" t="s">
        <v>706</v>
      </c>
      <c r="D596" s="8" t="s">
        <v>23</v>
      </c>
      <c r="E596" s="13" t="s">
        <v>707</v>
      </c>
      <c r="F596" s="9">
        <v>0.22</v>
      </c>
      <c r="G596" s="10">
        <v>100</v>
      </c>
      <c r="H596" s="11">
        <f t="shared" si="64"/>
        <v>22</v>
      </c>
      <c r="I596" s="3"/>
      <c r="J596" s="53"/>
      <c r="K596" s="57">
        <f>60</f>
        <v>60</v>
      </c>
      <c r="L596" s="53">
        <f t="shared" si="66"/>
        <v>13.2</v>
      </c>
      <c r="M596" s="57"/>
      <c r="N596" s="53"/>
      <c r="O596" s="59"/>
      <c r="P596" s="53"/>
      <c r="Q596" s="69"/>
      <c r="R596" s="53"/>
      <c r="S596" s="57">
        <f>22</f>
        <v>22</v>
      </c>
      <c r="T596" s="66">
        <f t="shared" si="68"/>
        <v>4.84</v>
      </c>
      <c r="U596" s="57">
        <f t="shared" ref="U596" si="72">18</f>
        <v>18</v>
      </c>
      <c r="V596" s="66">
        <f t="shared" si="69"/>
        <v>3.96</v>
      </c>
      <c r="W596" s="69"/>
      <c r="X596" s="66"/>
      <c r="Y596" s="36">
        <f t="shared" si="70"/>
        <v>100</v>
      </c>
      <c r="Z596" s="37">
        <f t="shared" si="70"/>
        <v>22</v>
      </c>
    </row>
    <row r="597" spans="1:28" ht="97" x14ac:dyDescent="0.2">
      <c r="A597" s="3" t="s">
        <v>687</v>
      </c>
      <c r="B597" s="3">
        <v>11</v>
      </c>
      <c r="C597" s="3" t="s">
        <v>708</v>
      </c>
      <c r="D597" s="8" t="s">
        <v>36</v>
      </c>
      <c r="E597" s="13" t="s">
        <v>709</v>
      </c>
      <c r="F597" s="9">
        <v>8.4700000000000006</v>
      </c>
      <c r="G597" s="10">
        <v>67</v>
      </c>
      <c r="H597" s="11">
        <f t="shared" si="64"/>
        <v>567.49</v>
      </c>
      <c r="I597" s="3"/>
      <c r="J597" s="53"/>
      <c r="K597" s="57">
        <f>53</f>
        <v>53</v>
      </c>
      <c r="L597" s="53">
        <f t="shared" si="66"/>
        <v>448.91</v>
      </c>
      <c r="M597" s="57"/>
      <c r="N597" s="53"/>
      <c r="O597" s="59"/>
      <c r="P597" s="53"/>
      <c r="Q597" s="69"/>
      <c r="R597" s="53"/>
      <c r="S597" s="57">
        <f>6</f>
        <v>6</v>
      </c>
      <c r="T597" s="66">
        <f t="shared" si="68"/>
        <v>50.820000000000007</v>
      </c>
      <c r="U597" s="57">
        <f t="shared" ref="U597" si="73">8</f>
        <v>8</v>
      </c>
      <c r="V597" s="66">
        <f t="shared" si="69"/>
        <v>67.760000000000005</v>
      </c>
      <c r="W597" s="69"/>
      <c r="X597" s="66"/>
      <c r="Y597" s="36">
        <f t="shared" si="70"/>
        <v>67</v>
      </c>
      <c r="Z597" s="37">
        <f t="shared" si="70"/>
        <v>567.49</v>
      </c>
    </row>
    <row r="598" spans="1:28" ht="73" x14ac:dyDescent="0.2">
      <c r="A598" s="3" t="s">
        <v>687</v>
      </c>
      <c r="B598" s="3">
        <v>12</v>
      </c>
      <c r="C598" s="3" t="s">
        <v>710</v>
      </c>
      <c r="D598" s="8" t="s">
        <v>23</v>
      </c>
      <c r="E598" s="13" t="s">
        <v>711</v>
      </c>
      <c r="F598" s="9">
        <v>1.35</v>
      </c>
      <c r="G598" s="10">
        <v>64</v>
      </c>
      <c r="H598" s="11">
        <f t="shared" si="64"/>
        <v>86.4</v>
      </c>
      <c r="I598" s="3"/>
      <c r="J598" s="53"/>
      <c r="K598" s="57">
        <f>32</f>
        <v>32</v>
      </c>
      <c r="L598" s="53">
        <f t="shared" si="66"/>
        <v>43.2</v>
      </c>
      <c r="M598" s="57"/>
      <c r="N598" s="53"/>
      <c r="O598" s="59"/>
      <c r="P598" s="53"/>
      <c r="Q598" s="69"/>
      <c r="R598" s="53"/>
      <c r="S598" s="57">
        <f t="shared" ref="S598:U598" si="74">16</f>
        <v>16</v>
      </c>
      <c r="T598" s="66">
        <f t="shared" si="68"/>
        <v>21.6</v>
      </c>
      <c r="U598" s="57">
        <f t="shared" si="74"/>
        <v>16</v>
      </c>
      <c r="V598" s="66">
        <f t="shared" si="69"/>
        <v>21.6</v>
      </c>
      <c r="W598" s="69"/>
      <c r="X598" s="66"/>
      <c r="Y598" s="36">
        <f t="shared" si="70"/>
        <v>64</v>
      </c>
      <c r="Z598" s="37">
        <f t="shared" si="70"/>
        <v>86.4</v>
      </c>
    </row>
    <row r="599" spans="1:28" x14ac:dyDescent="0.2">
      <c r="E599" s="81" t="s">
        <v>25</v>
      </c>
      <c r="F599" s="6"/>
      <c r="G599" s="6"/>
      <c r="H599" s="12">
        <f>SUM(H587:H598)</f>
        <v>32889.370000000003</v>
      </c>
      <c r="I599" s="3"/>
      <c r="J599" s="53"/>
      <c r="K599" s="77"/>
      <c r="L599" s="54">
        <f>L588+L590+L591+L592+L593+L594+L595+L596+L597+L598</f>
        <v>19582.3</v>
      </c>
      <c r="M599" s="78"/>
      <c r="N599" s="54">
        <f>N587+N589+N591+N592+N593+N594+N595+N596+N597+N598</f>
        <v>0</v>
      </c>
      <c r="O599" s="60"/>
      <c r="P599" s="71">
        <f>SUM(P586:P598)</f>
        <v>0</v>
      </c>
      <c r="Q599" s="69"/>
      <c r="R599" s="53"/>
      <c r="S599" s="77"/>
      <c r="T599" s="67">
        <f>T587+T589+T591+T592+T593+T594+T595+T596+T597+T598</f>
        <v>7053.6580000000004</v>
      </c>
      <c r="U599" s="77"/>
      <c r="V599" s="67">
        <f>V587+V589+V591+V592+V593+V594+V595+V596+V597+V598+0.01</f>
        <v>6253.4160000000011</v>
      </c>
      <c r="W599" s="69"/>
      <c r="X599" s="66"/>
      <c r="Y599" s="3"/>
      <c r="Z599" s="37">
        <f>J599+L599+T599+V599+R599</f>
        <v>32889.373999999996</v>
      </c>
    </row>
    <row r="600" spans="1:28" x14ac:dyDescent="0.2">
      <c r="J600" s="53"/>
      <c r="K600" s="57"/>
      <c r="L600" s="53"/>
      <c r="M600" s="57"/>
      <c r="N600" s="53"/>
      <c r="O600" s="59"/>
      <c r="P600" s="53"/>
      <c r="Q600" s="69"/>
      <c r="R600" s="53"/>
      <c r="S600" s="57"/>
      <c r="T600" s="66"/>
      <c r="U600" s="57"/>
      <c r="V600" s="66"/>
      <c r="W600" s="69"/>
      <c r="X600" s="66"/>
    </row>
    <row r="601" spans="1:28" x14ac:dyDescent="0.2">
      <c r="C601" s="6" t="s">
        <v>6</v>
      </c>
      <c r="D601" s="7" t="s">
        <v>7</v>
      </c>
      <c r="E601" s="81" t="s">
        <v>8</v>
      </c>
      <c r="J601" s="53"/>
      <c r="K601" s="57"/>
      <c r="L601" s="53"/>
      <c r="M601" s="57"/>
      <c r="N601" s="53"/>
      <c r="O601" s="59"/>
      <c r="P601" s="53"/>
      <c r="Q601" s="69"/>
      <c r="R601" s="53"/>
      <c r="S601" s="57"/>
      <c r="T601" s="66"/>
      <c r="U601" s="57"/>
      <c r="V601" s="66"/>
      <c r="W601" s="69"/>
      <c r="X601" s="66"/>
    </row>
    <row r="602" spans="1:28" x14ac:dyDescent="0.2">
      <c r="C602" s="6" t="s">
        <v>9</v>
      </c>
      <c r="D602" s="7" t="s">
        <v>385</v>
      </c>
      <c r="E602" s="81" t="s">
        <v>588</v>
      </c>
      <c r="J602" s="53"/>
      <c r="K602" s="57"/>
      <c r="L602" s="53"/>
      <c r="M602" s="57"/>
      <c r="N602" s="53"/>
      <c r="O602" s="59"/>
      <c r="P602" s="53"/>
      <c r="Q602" s="69"/>
      <c r="R602" s="53"/>
      <c r="S602" s="57"/>
      <c r="T602" s="66"/>
      <c r="U602" s="57"/>
      <c r="V602" s="66"/>
      <c r="W602" s="69"/>
      <c r="X602" s="66"/>
    </row>
    <row r="603" spans="1:28" x14ac:dyDescent="0.2">
      <c r="C603" s="6" t="s">
        <v>11</v>
      </c>
      <c r="D603" s="7" t="s">
        <v>158</v>
      </c>
      <c r="E603" s="81" t="s">
        <v>685</v>
      </c>
      <c r="J603" s="53"/>
      <c r="K603" s="57"/>
      <c r="L603" s="53"/>
      <c r="M603" s="57"/>
      <c r="N603" s="53"/>
      <c r="O603" s="59"/>
      <c r="P603" s="53"/>
      <c r="Q603" s="69"/>
      <c r="R603" s="53"/>
      <c r="S603" s="57"/>
      <c r="T603" s="66"/>
      <c r="U603" s="57"/>
      <c r="V603" s="66"/>
      <c r="W603" s="69"/>
      <c r="X603" s="66"/>
    </row>
    <row r="604" spans="1:28" x14ac:dyDescent="0.2">
      <c r="C604" s="6" t="s">
        <v>91</v>
      </c>
      <c r="D604" s="7" t="s">
        <v>26</v>
      </c>
      <c r="E604" s="81" t="s">
        <v>712</v>
      </c>
      <c r="J604" s="53"/>
      <c r="K604" s="57"/>
      <c r="L604" s="53"/>
      <c r="M604" s="57"/>
      <c r="N604" s="53"/>
      <c r="O604" s="59"/>
      <c r="P604" s="53"/>
      <c r="Q604" s="69"/>
      <c r="R604" s="53"/>
      <c r="S604" s="57"/>
      <c r="T604" s="66"/>
      <c r="U604" s="57"/>
      <c r="V604" s="66"/>
      <c r="W604" s="69"/>
      <c r="X604" s="66"/>
    </row>
    <row r="605" spans="1:28" x14ac:dyDescent="0.2">
      <c r="C605" s="6" t="s">
        <v>713</v>
      </c>
      <c r="D605" s="7" t="s">
        <v>7</v>
      </c>
      <c r="E605" s="81" t="s">
        <v>714</v>
      </c>
      <c r="J605" s="53"/>
      <c r="K605" s="57"/>
      <c r="L605" s="53"/>
      <c r="M605" s="57"/>
      <c r="N605" s="53"/>
      <c r="O605" s="59"/>
      <c r="P605" s="53"/>
      <c r="Q605" s="69"/>
      <c r="R605" s="53"/>
      <c r="S605" s="57"/>
      <c r="T605" s="66"/>
      <c r="U605" s="57"/>
      <c r="V605" s="66"/>
      <c r="W605" s="69"/>
      <c r="X605" s="66"/>
    </row>
    <row r="606" spans="1:28" x14ac:dyDescent="0.2">
      <c r="J606" s="53"/>
      <c r="K606" s="57"/>
      <c r="L606" s="53"/>
      <c r="M606" s="57"/>
      <c r="N606" s="53"/>
      <c r="O606" s="59"/>
      <c r="P606" s="53"/>
      <c r="Q606" s="69"/>
      <c r="R606" s="53"/>
      <c r="S606" s="57"/>
      <c r="T606" s="66"/>
      <c r="U606" s="57"/>
      <c r="V606" s="66"/>
      <c r="W606" s="69"/>
      <c r="X606" s="66"/>
      <c r="AB606" s="41"/>
    </row>
    <row r="607" spans="1:28" ht="409.6" x14ac:dyDescent="0.2">
      <c r="A607" s="3" t="s">
        <v>715</v>
      </c>
      <c r="B607" s="3">
        <v>1</v>
      </c>
      <c r="C607" s="3" t="s">
        <v>716</v>
      </c>
      <c r="D607" s="8" t="s">
        <v>23</v>
      </c>
      <c r="E607" s="13" t="s">
        <v>717</v>
      </c>
      <c r="F607" s="9">
        <v>6328.56</v>
      </c>
      <c r="G607" s="10">
        <v>1</v>
      </c>
      <c r="H607" s="11">
        <f>ROUND(ROUND(F607,2)*ROUND(G607,3),2)</f>
        <v>6328.56</v>
      </c>
      <c r="I607" s="3"/>
      <c r="J607" s="53"/>
      <c r="K607" s="57">
        <f>G607</f>
        <v>1</v>
      </c>
      <c r="L607" s="53">
        <f>F607*K607</f>
        <v>6328.56</v>
      </c>
      <c r="M607" s="77"/>
      <c r="N607" s="53"/>
      <c r="O607" s="59"/>
      <c r="P607" s="53"/>
      <c r="Q607" s="69"/>
      <c r="R607" s="53"/>
      <c r="S607" s="77"/>
      <c r="T607" s="66"/>
      <c r="U607" s="77"/>
      <c r="V607" s="66"/>
      <c r="W607" s="69"/>
      <c r="X607" s="66"/>
      <c r="Y607" s="3"/>
    </row>
    <row r="608" spans="1:28" ht="409.6" x14ac:dyDescent="0.2">
      <c r="A608" s="3" t="s">
        <v>715</v>
      </c>
      <c r="B608" s="3">
        <v>2</v>
      </c>
      <c r="C608" s="3" t="s">
        <v>718</v>
      </c>
      <c r="D608" s="8" t="s">
        <v>23</v>
      </c>
      <c r="E608" s="13" t="s">
        <v>719</v>
      </c>
      <c r="F608" s="9">
        <v>4158.09</v>
      </c>
      <c r="G608" s="10">
        <v>1</v>
      </c>
      <c r="H608" s="11">
        <f>ROUND(ROUND(F608,2)*ROUND(G608,3),2)</f>
        <v>4158.09</v>
      </c>
      <c r="I608" s="3"/>
      <c r="J608" s="53"/>
      <c r="K608" s="77"/>
      <c r="L608" s="53"/>
      <c r="M608" s="57"/>
      <c r="N608" s="53"/>
      <c r="O608" s="59"/>
      <c r="P608" s="53"/>
      <c r="Q608" s="69"/>
      <c r="R608" s="53"/>
      <c r="S608" s="57">
        <f>G608</f>
        <v>1</v>
      </c>
      <c r="T608" s="66">
        <f>F608*S608</f>
        <v>4158.09</v>
      </c>
      <c r="U608" s="77"/>
      <c r="V608" s="66"/>
      <c r="W608" s="69"/>
      <c r="X608" s="66"/>
      <c r="Y608" s="3"/>
    </row>
    <row r="609" spans="1:26" ht="157" x14ac:dyDescent="0.2">
      <c r="A609" s="3" t="s">
        <v>715</v>
      </c>
      <c r="B609" s="3">
        <v>3</v>
      </c>
      <c r="C609" s="3" t="s">
        <v>720</v>
      </c>
      <c r="D609" s="8" t="s">
        <v>23</v>
      </c>
      <c r="E609" s="13" t="s">
        <v>721</v>
      </c>
      <c r="F609" s="9">
        <v>1412.12</v>
      </c>
      <c r="G609" s="10">
        <v>1</v>
      </c>
      <c r="H609" s="11">
        <f>ROUND(ROUND(F609,2)*ROUND(G609,3),2)</f>
        <v>1412.12</v>
      </c>
      <c r="I609" s="3"/>
      <c r="J609" s="53"/>
      <c r="K609" s="77"/>
      <c r="L609" s="53"/>
      <c r="M609" s="77"/>
      <c r="N609" s="53"/>
      <c r="O609" s="59"/>
      <c r="P609" s="53"/>
      <c r="Q609" s="69"/>
      <c r="R609" s="53"/>
      <c r="S609" s="77"/>
      <c r="T609" s="66"/>
      <c r="U609" s="57">
        <f>G609</f>
        <v>1</v>
      </c>
      <c r="V609" s="66">
        <f>F609*U609</f>
        <v>1412.12</v>
      </c>
      <c r="W609" s="69"/>
      <c r="X609" s="66"/>
      <c r="Y609" s="3"/>
    </row>
    <row r="610" spans="1:26" ht="409.6" x14ac:dyDescent="0.2">
      <c r="A610" s="3" t="s">
        <v>715</v>
      </c>
      <c r="B610" s="3">
        <v>4</v>
      </c>
      <c r="C610" s="3" t="s">
        <v>722</v>
      </c>
      <c r="D610" s="8" t="s">
        <v>23</v>
      </c>
      <c r="E610" s="13" t="s">
        <v>723</v>
      </c>
      <c r="F610" s="9">
        <v>469.63</v>
      </c>
      <c r="G610" s="10">
        <v>2</v>
      </c>
      <c r="H610" s="11">
        <f>ROUND(ROUND(F610,2)*ROUND(G610,3),2)</f>
        <v>939.26</v>
      </c>
      <c r="I610" s="3"/>
      <c r="J610" s="53"/>
      <c r="K610" s="57">
        <f>1</f>
        <v>1</v>
      </c>
      <c r="L610" s="53">
        <f>F610*K610</f>
        <v>469.63</v>
      </c>
      <c r="M610" s="57"/>
      <c r="N610" s="53"/>
      <c r="O610" s="59"/>
      <c r="P610" s="53"/>
      <c r="Q610" s="69"/>
      <c r="R610" s="53"/>
      <c r="S610" s="57">
        <f>1</f>
        <v>1</v>
      </c>
      <c r="T610" s="66">
        <f>F610*S610</f>
        <v>469.63</v>
      </c>
      <c r="U610" s="77"/>
      <c r="V610" s="66"/>
      <c r="W610" s="69"/>
      <c r="X610" s="66"/>
      <c r="Y610" s="36">
        <f>I610+K610+S610+U610+Q610</f>
        <v>2</v>
      </c>
      <c r="Z610" s="37">
        <f>J610+L610+T610+V610+R610</f>
        <v>939.26</v>
      </c>
    </row>
    <row r="611" spans="1:26" x14ac:dyDescent="0.2">
      <c r="E611" s="81" t="s">
        <v>25</v>
      </c>
      <c r="F611" s="6"/>
      <c r="G611" s="6"/>
      <c r="H611" s="12">
        <f>SUM(H607:H610)</f>
        <v>12838.03</v>
      </c>
      <c r="I611" s="3"/>
      <c r="J611" s="53"/>
      <c r="K611" s="77"/>
      <c r="L611" s="54">
        <f>L607+L610</f>
        <v>6798.1900000000005</v>
      </c>
      <c r="M611" s="78"/>
      <c r="N611" s="54">
        <f>N608+N610</f>
        <v>0</v>
      </c>
      <c r="O611" s="60"/>
      <c r="P611" s="71">
        <f>SUM(P598:P610)</f>
        <v>0</v>
      </c>
      <c r="Q611" s="69"/>
      <c r="R611" s="53"/>
      <c r="S611" s="77"/>
      <c r="T611" s="67">
        <f>T608+T610</f>
        <v>4627.72</v>
      </c>
      <c r="U611" s="77"/>
      <c r="V611" s="67">
        <f>V609</f>
        <v>1412.12</v>
      </c>
      <c r="W611" s="69"/>
      <c r="X611" s="66"/>
      <c r="Y611" s="3"/>
      <c r="Z611" s="37">
        <f>J611+L611+T611+V611+R611</f>
        <v>12838.029999999999</v>
      </c>
    </row>
    <row r="612" spans="1:26" x14ac:dyDescent="0.2">
      <c r="J612" s="53"/>
      <c r="K612" s="57"/>
      <c r="L612" s="53"/>
      <c r="M612" s="57"/>
      <c r="N612" s="53"/>
      <c r="O612" s="59"/>
      <c r="P612" s="53"/>
      <c r="Q612" s="69"/>
      <c r="R612" s="53"/>
      <c r="S612" s="57"/>
      <c r="T612" s="66"/>
      <c r="U612" s="57"/>
      <c r="V612" s="66"/>
      <c r="W612" s="69"/>
      <c r="X612" s="66"/>
    </row>
    <row r="613" spans="1:26" x14ac:dyDescent="0.2">
      <c r="C613" s="6" t="s">
        <v>6</v>
      </c>
      <c r="D613" s="7" t="s">
        <v>7</v>
      </c>
      <c r="E613" s="81" t="s">
        <v>8</v>
      </c>
      <c r="J613" s="53"/>
      <c r="K613" s="57"/>
      <c r="L613" s="53"/>
      <c r="M613" s="57"/>
      <c r="N613" s="53"/>
      <c r="O613" s="59"/>
      <c r="P613" s="53"/>
      <c r="Q613" s="69"/>
      <c r="R613" s="53"/>
      <c r="S613" s="57"/>
      <c r="T613" s="66"/>
      <c r="U613" s="57"/>
      <c r="V613" s="66"/>
      <c r="W613" s="69"/>
      <c r="X613" s="66"/>
    </row>
    <row r="614" spans="1:26" x14ac:dyDescent="0.2">
      <c r="C614" s="6" t="s">
        <v>9</v>
      </c>
      <c r="D614" s="7" t="s">
        <v>385</v>
      </c>
      <c r="E614" s="81" t="s">
        <v>588</v>
      </c>
      <c r="J614" s="53"/>
      <c r="K614" s="57"/>
      <c r="L614" s="53"/>
      <c r="M614" s="57"/>
      <c r="N614" s="53"/>
      <c r="O614" s="59"/>
      <c r="P614" s="53"/>
      <c r="Q614" s="69"/>
      <c r="R614" s="53"/>
      <c r="S614" s="57"/>
      <c r="T614" s="66"/>
      <c r="U614" s="57"/>
      <c r="V614" s="66"/>
      <c r="W614" s="69"/>
      <c r="X614" s="66"/>
    </row>
    <row r="615" spans="1:26" x14ac:dyDescent="0.2">
      <c r="C615" s="6" t="s">
        <v>11</v>
      </c>
      <c r="D615" s="7" t="s">
        <v>158</v>
      </c>
      <c r="E615" s="81" t="s">
        <v>685</v>
      </c>
      <c r="J615" s="53"/>
      <c r="K615" s="57"/>
      <c r="L615" s="53"/>
      <c r="M615" s="57"/>
      <c r="N615" s="53"/>
      <c r="O615" s="59"/>
      <c r="P615" s="53"/>
      <c r="Q615" s="69"/>
      <c r="R615" s="53"/>
      <c r="S615" s="57"/>
      <c r="T615" s="66"/>
      <c r="U615" s="57"/>
      <c r="V615" s="66"/>
      <c r="W615" s="69"/>
      <c r="X615" s="66"/>
    </row>
    <row r="616" spans="1:26" x14ac:dyDescent="0.2">
      <c r="C616" s="6" t="s">
        <v>91</v>
      </c>
      <c r="D616" s="7" t="s">
        <v>26</v>
      </c>
      <c r="E616" s="81" t="s">
        <v>712</v>
      </c>
      <c r="J616" s="53"/>
      <c r="K616" s="57"/>
      <c r="L616" s="53"/>
      <c r="M616" s="57"/>
      <c r="N616" s="53"/>
      <c r="O616" s="59"/>
      <c r="P616" s="53"/>
      <c r="Q616" s="69"/>
      <c r="R616" s="53"/>
      <c r="S616" s="57"/>
      <c r="T616" s="66"/>
      <c r="U616" s="57"/>
      <c r="V616" s="66"/>
      <c r="W616" s="69"/>
      <c r="X616" s="66"/>
    </row>
    <row r="617" spans="1:26" x14ac:dyDescent="0.2">
      <c r="C617" s="6" t="s">
        <v>713</v>
      </c>
      <c r="D617" s="7" t="s">
        <v>26</v>
      </c>
      <c r="E617" s="81" t="s">
        <v>600</v>
      </c>
      <c r="J617" s="53"/>
      <c r="K617" s="57"/>
      <c r="L617" s="53"/>
      <c r="M617" s="57"/>
      <c r="N617" s="53"/>
      <c r="O617" s="59"/>
      <c r="P617" s="53"/>
      <c r="Q617" s="69"/>
      <c r="R617" s="53"/>
      <c r="S617" s="57"/>
      <c r="T617" s="66"/>
      <c r="U617" s="57"/>
      <c r="V617" s="66"/>
      <c r="W617" s="69"/>
      <c r="X617" s="66"/>
    </row>
    <row r="618" spans="1:26" x14ac:dyDescent="0.2">
      <c r="J618" s="53"/>
      <c r="K618" s="57"/>
      <c r="L618" s="53"/>
      <c r="M618" s="57"/>
      <c r="N618" s="53"/>
      <c r="O618" s="59"/>
      <c r="P618" s="53"/>
      <c r="Q618" s="69"/>
      <c r="R618" s="53"/>
      <c r="S618" s="57"/>
      <c r="T618" s="66"/>
      <c r="U618" s="57"/>
      <c r="V618" s="66"/>
      <c r="W618" s="69"/>
      <c r="X618" s="66"/>
    </row>
    <row r="619" spans="1:26" ht="37" x14ac:dyDescent="0.2">
      <c r="A619" s="3" t="s">
        <v>724</v>
      </c>
      <c r="B619" s="3">
        <v>1</v>
      </c>
      <c r="C619" s="3" t="s">
        <v>725</v>
      </c>
      <c r="D619" s="8" t="s">
        <v>18</v>
      </c>
      <c r="E619" s="13" t="s">
        <v>726</v>
      </c>
      <c r="F619" s="9">
        <v>34.06</v>
      </c>
      <c r="G619" s="10">
        <v>55</v>
      </c>
      <c r="H619" s="11">
        <f t="shared" ref="H619:H625" si="75">ROUND(ROUND(F619,2)*ROUND(G619,3),2)</f>
        <v>1873.3</v>
      </c>
      <c r="I619" s="3"/>
      <c r="J619" s="53"/>
      <c r="K619" s="57">
        <f>38.5</f>
        <v>38.5</v>
      </c>
      <c r="L619" s="53">
        <f>F619*K619</f>
        <v>1311.3100000000002</v>
      </c>
      <c r="M619" s="57"/>
      <c r="N619" s="53"/>
      <c r="O619" s="59"/>
      <c r="P619" s="53"/>
      <c r="Q619" s="69"/>
      <c r="R619" s="53"/>
      <c r="S619" s="57">
        <f>16.5</f>
        <v>16.5</v>
      </c>
      <c r="T619" s="66">
        <f t="shared" ref="T619:T625" si="76">F619*S619</f>
        <v>561.99</v>
      </c>
      <c r="U619" s="77"/>
      <c r="V619" s="66"/>
      <c r="W619" s="69"/>
      <c r="X619" s="66"/>
      <c r="Y619" s="36">
        <f t="shared" ref="Y619:Z621" si="77">I619+K619+S619+U619+Q619</f>
        <v>55</v>
      </c>
      <c r="Z619" s="37">
        <f t="shared" si="77"/>
        <v>1873.3000000000002</v>
      </c>
    </row>
    <row r="620" spans="1:26" ht="25" x14ac:dyDescent="0.2">
      <c r="A620" s="3" t="s">
        <v>724</v>
      </c>
      <c r="B620" s="3">
        <v>2</v>
      </c>
      <c r="C620" s="3" t="s">
        <v>727</v>
      </c>
      <c r="D620" s="8" t="s">
        <v>36</v>
      </c>
      <c r="E620" s="13" t="s">
        <v>728</v>
      </c>
      <c r="F620" s="9">
        <v>18.46</v>
      </c>
      <c r="G620" s="10">
        <v>39.9</v>
      </c>
      <c r="H620" s="11">
        <f t="shared" si="75"/>
        <v>736.55</v>
      </c>
      <c r="I620" s="3"/>
      <c r="J620" s="53"/>
      <c r="K620" s="57">
        <f>7.35</f>
        <v>7.35</v>
      </c>
      <c r="L620" s="53">
        <f>F620*K620</f>
        <v>135.68100000000001</v>
      </c>
      <c r="M620" s="57"/>
      <c r="N620" s="53"/>
      <c r="O620" s="59"/>
      <c r="P620" s="53"/>
      <c r="Q620" s="69"/>
      <c r="R620" s="53"/>
      <c r="S620" s="57">
        <f t="shared" ref="S620" si="78">6.3</f>
        <v>6.3</v>
      </c>
      <c r="T620" s="66">
        <f t="shared" si="76"/>
        <v>116.298</v>
      </c>
      <c r="U620" s="57">
        <f>26.25</f>
        <v>26.25</v>
      </c>
      <c r="V620" s="66">
        <f>F620*U620</f>
        <v>484.57500000000005</v>
      </c>
      <c r="W620" s="69"/>
      <c r="X620" s="66"/>
      <c r="Y620" s="36">
        <f t="shared" si="77"/>
        <v>39.9</v>
      </c>
      <c r="Z620" s="37">
        <f t="shared" si="77"/>
        <v>736.55400000000009</v>
      </c>
    </row>
    <row r="621" spans="1:26" ht="25" x14ac:dyDescent="0.2">
      <c r="A621" s="3" t="s">
        <v>724</v>
      </c>
      <c r="B621" s="3">
        <v>3</v>
      </c>
      <c r="C621" s="3" t="s">
        <v>729</v>
      </c>
      <c r="D621" s="8" t="s">
        <v>36</v>
      </c>
      <c r="E621" s="13" t="s">
        <v>730</v>
      </c>
      <c r="F621" s="9">
        <v>19.190000000000001</v>
      </c>
      <c r="G621" s="10">
        <v>26.25</v>
      </c>
      <c r="H621" s="11">
        <f t="shared" si="75"/>
        <v>503.74</v>
      </c>
      <c r="I621" s="3"/>
      <c r="J621" s="53"/>
      <c r="K621" s="77"/>
      <c r="L621" s="53"/>
      <c r="M621" s="57"/>
      <c r="N621" s="53"/>
      <c r="O621" s="59"/>
      <c r="P621" s="53"/>
      <c r="Q621" s="69"/>
      <c r="R621" s="53"/>
      <c r="S621" s="57">
        <f t="shared" ref="S621" si="79">15.75</f>
        <v>15.75</v>
      </c>
      <c r="T621" s="66">
        <f t="shared" si="76"/>
        <v>302.24250000000001</v>
      </c>
      <c r="U621" s="57">
        <f>10.5</f>
        <v>10.5</v>
      </c>
      <c r="V621" s="66">
        <f>F621*U621</f>
        <v>201.495</v>
      </c>
      <c r="W621" s="69"/>
      <c r="X621" s="66"/>
      <c r="Y621" s="36">
        <f t="shared" si="77"/>
        <v>26.25</v>
      </c>
      <c r="Z621" s="37">
        <f t="shared" si="77"/>
        <v>503.73750000000001</v>
      </c>
    </row>
    <row r="622" spans="1:26" ht="25" x14ac:dyDescent="0.2">
      <c r="A622" s="3" t="s">
        <v>724</v>
      </c>
      <c r="B622" s="3">
        <v>4</v>
      </c>
      <c r="C622" s="3" t="s">
        <v>731</v>
      </c>
      <c r="D622" s="8" t="s">
        <v>36</v>
      </c>
      <c r="E622" s="13" t="s">
        <v>732</v>
      </c>
      <c r="F622" s="9">
        <v>19.690000000000001</v>
      </c>
      <c r="G622" s="10">
        <v>6.3</v>
      </c>
      <c r="H622" s="11">
        <f t="shared" si="75"/>
        <v>124.05</v>
      </c>
      <c r="I622" s="3"/>
      <c r="J622" s="53"/>
      <c r="K622" s="77"/>
      <c r="L622" s="53"/>
      <c r="M622" s="57"/>
      <c r="N622" s="53"/>
      <c r="O622" s="59"/>
      <c r="P622" s="53"/>
      <c r="Q622" s="69"/>
      <c r="R622" s="53"/>
      <c r="S622" s="57">
        <f>G622</f>
        <v>6.3</v>
      </c>
      <c r="T622" s="66">
        <f t="shared" si="76"/>
        <v>124.04700000000001</v>
      </c>
      <c r="U622" s="77"/>
      <c r="V622" s="66"/>
      <c r="W622" s="69"/>
      <c r="X622" s="66"/>
      <c r="Y622" s="3"/>
    </row>
    <row r="623" spans="1:26" ht="25" x14ac:dyDescent="0.2">
      <c r="A623" s="3" t="s">
        <v>724</v>
      </c>
      <c r="B623" s="3">
        <v>5</v>
      </c>
      <c r="C623" s="3" t="s">
        <v>733</v>
      </c>
      <c r="D623" s="8" t="s">
        <v>36</v>
      </c>
      <c r="E623" s="13" t="s">
        <v>734</v>
      </c>
      <c r="F623" s="9">
        <v>22.98</v>
      </c>
      <c r="G623" s="10">
        <v>21</v>
      </c>
      <c r="H623" s="11">
        <f t="shared" si="75"/>
        <v>482.58</v>
      </c>
      <c r="I623" s="3"/>
      <c r="J623" s="53"/>
      <c r="K623" s="77"/>
      <c r="L623" s="53"/>
      <c r="M623" s="57"/>
      <c r="N623" s="53"/>
      <c r="O623" s="59"/>
      <c r="P623" s="53"/>
      <c r="Q623" s="69"/>
      <c r="R623" s="53"/>
      <c r="S623" s="57">
        <f>12.6</f>
        <v>12.6</v>
      </c>
      <c r="T623" s="66">
        <f t="shared" si="76"/>
        <v>289.548</v>
      </c>
      <c r="U623" s="57">
        <f>8.4</f>
        <v>8.4</v>
      </c>
      <c r="V623" s="66">
        <f>F623*U623</f>
        <v>193.03200000000001</v>
      </c>
      <c r="W623" s="69"/>
      <c r="X623" s="66"/>
      <c r="Y623" s="36">
        <f>I623+K623+S623+U623+Q623</f>
        <v>21</v>
      </c>
      <c r="Z623" s="37">
        <f>J623+L623+T623+V623+R623</f>
        <v>482.58000000000004</v>
      </c>
    </row>
    <row r="624" spans="1:26" ht="25" x14ac:dyDescent="0.2">
      <c r="A624" s="3" t="s">
        <v>724</v>
      </c>
      <c r="B624" s="3">
        <v>6</v>
      </c>
      <c r="C624" s="3" t="s">
        <v>735</v>
      </c>
      <c r="D624" s="8" t="s">
        <v>36</v>
      </c>
      <c r="E624" s="13" t="s">
        <v>736</v>
      </c>
      <c r="F624" s="9">
        <v>9.3800000000000008</v>
      </c>
      <c r="G624" s="10">
        <v>10.5</v>
      </c>
      <c r="H624" s="11">
        <f t="shared" si="75"/>
        <v>98.49</v>
      </c>
      <c r="I624" s="3"/>
      <c r="J624" s="53"/>
      <c r="K624" s="57">
        <f t="shared" ref="K624:U624" si="80">4.2</f>
        <v>4.2</v>
      </c>
      <c r="L624" s="53">
        <f>F624*K624</f>
        <v>39.396000000000008</v>
      </c>
      <c r="M624" s="57"/>
      <c r="N624" s="53"/>
      <c r="O624" s="59"/>
      <c r="P624" s="53"/>
      <c r="Q624" s="69"/>
      <c r="R624" s="53"/>
      <c r="S624" s="57">
        <f>2.1</f>
        <v>2.1</v>
      </c>
      <c r="T624" s="66">
        <f t="shared" si="76"/>
        <v>19.698000000000004</v>
      </c>
      <c r="U624" s="57">
        <f t="shared" si="80"/>
        <v>4.2</v>
      </c>
      <c r="V624" s="66">
        <f>F624*U624</f>
        <v>39.396000000000008</v>
      </c>
      <c r="W624" s="69"/>
      <c r="X624" s="66"/>
      <c r="Y624" s="36">
        <f>I624+K624+S624+U624+Q624</f>
        <v>10.5</v>
      </c>
      <c r="Z624" s="37">
        <f>J624+L624+T624+V624+R624</f>
        <v>98.490000000000009</v>
      </c>
    </row>
    <row r="625" spans="1:26" ht="25" x14ac:dyDescent="0.2">
      <c r="A625" s="3" t="s">
        <v>724</v>
      </c>
      <c r="B625" s="3">
        <v>7</v>
      </c>
      <c r="C625" s="3" t="s">
        <v>737</v>
      </c>
      <c r="D625" s="8" t="s">
        <v>36</v>
      </c>
      <c r="E625" s="13" t="s">
        <v>738</v>
      </c>
      <c r="F625" s="9">
        <v>12.72</v>
      </c>
      <c r="G625" s="10">
        <v>6.3</v>
      </c>
      <c r="H625" s="11">
        <f t="shared" si="75"/>
        <v>80.14</v>
      </c>
      <c r="I625" s="3"/>
      <c r="J625" s="53"/>
      <c r="K625" s="77"/>
      <c r="L625" s="53"/>
      <c r="M625" s="57"/>
      <c r="N625" s="53"/>
      <c r="O625" s="59"/>
      <c r="P625" s="53"/>
      <c r="Q625" s="69"/>
      <c r="R625" s="53"/>
      <c r="S625" s="57">
        <f>G625</f>
        <v>6.3</v>
      </c>
      <c r="T625" s="66">
        <f t="shared" si="76"/>
        <v>80.135999999999996</v>
      </c>
      <c r="U625" s="77"/>
      <c r="V625" s="66"/>
      <c r="W625" s="69"/>
      <c r="X625" s="66"/>
      <c r="Y625" s="3"/>
    </row>
    <row r="626" spans="1:26" x14ac:dyDescent="0.2">
      <c r="E626" s="81" t="s">
        <v>25</v>
      </c>
      <c r="F626" s="6"/>
      <c r="G626" s="6"/>
      <c r="H626" s="12">
        <f>SUM(H619:H625)</f>
        <v>3898.85</v>
      </c>
      <c r="I626" s="3"/>
      <c r="J626" s="53"/>
      <c r="K626" s="77"/>
      <c r="L626" s="54">
        <f>L619+L620+L624</f>
        <v>1486.3870000000002</v>
      </c>
      <c r="M626" s="78"/>
      <c r="N626" s="54">
        <f>N619+N620+N621+N622+N623+N624+N625</f>
        <v>0</v>
      </c>
      <c r="O626" s="60"/>
      <c r="P626" s="71">
        <f>SUM(P613:P625)</f>
        <v>0</v>
      </c>
      <c r="Q626" s="69"/>
      <c r="R626" s="53"/>
      <c r="S626" s="78"/>
      <c r="T626" s="67">
        <f>T619+T620+T621+T622+T623+T624+T625</f>
        <v>1493.9595000000002</v>
      </c>
      <c r="U626" s="78"/>
      <c r="V626" s="67">
        <f>V620+V621+V623+V624+0.01</f>
        <v>918.50800000000004</v>
      </c>
      <c r="W626" s="69"/>
      <c r="X626" s="66"/>
      <c r="Y626" s="3"/>
      <c r="Z626" s="37">
        <f>J626+L626+T626+V626+R626</f>
        <v>3898.8545000000004</v>
      </c>
    </row>
    <row r="627" spans="1:26" x14ac:dyDescent="0.2">
      <c r="J627" s="53"/>
      <c r="K627" s="57"/>
      <c r="L627" s="53"/>
      <c r="M627" s="57"/>
      <c r="N627" s="53"/>
      <c r="O627" s="59"/>
      <c r="P627" s="53"/>
      <c r="Q627" s="69"/>
      <c r="R627" s="53"/>
      <c r="S627" s="57"/>
      <c r="T627" s="66"/>
      <c r="U627" s="57"/>
      <c r="V627" s="66"/>
      <c r="W627" s="69"/>
      <c r="X627" s="66"/>
    </row>
    <row r="628" spans="1:26" x14ac:dyDescent="0.2">
      <c r="C628" s="6" t="s">
        <v>6</v>
      </c>
      <c r="D628" s="7" t="s">
        <v>7</v>
      </c>
      <c r="E628" s="81" t="s">
        <v>8</v>
      </c>
      <c r="J628" s="53"/>
      <c r="K628" s="57"/>
      <c r="L628" s="53"/>
      <c r="M628" s="57"/>
      <c r="N628" s="53"/>
      <c r="O628" s="59"/>
      <c r="P628" s="53"/>
      <c r="Q628" s="69"/>
      <c r="R628" s="53"/>
      <c r="S628" s="57"/>
      <c r="T628" s="66"/>
      <c r="U628" s="57"/>
      <c r="V628" s="66"/>
      <c r="W628" s="69"/>
      <c r="X628" s="66"/>
    </row>
    <row r="629" spans="1:26" x14ac:dyDescent="0.2">
      <c r="C629" s="6" t="s">
        <v>9</v>
      </c>
      <c r="D629" s="7" t="s">
        <v>385</v>
      </c>
      <c r="E629" s="81" t="s">
        <v>588</v>
      </c>
      <c r="J629" s="53"/>
      <c r="K629" s="57"/>
      <c r="L629" s="53"/>
      <c r="M629" s="57"/>
      <c r="N629" s="53"/>
      <c r="O629" s="59"/>
      <c r="P629" s="53"/>
      <c r="Q629" s="69"/>
      <c r="R629" s="53"/>
      <c r="S629" s="57"/>
      <c r="T629" s="66"/>
      <c r="U629" s="57"/>
      <c r="V629" s="66"/>
      <c r="W629" s="69"/>
      <c r="X629" s="66"/>
    </row>
    <row r="630" spans="1:26" x14ac:dyDescent="0.2">
      <c r="C630" s="6" t="s">
        <v>11</v>
      </c>
      <c r="D630" s="7" t="s">
        <v>158</v>
      </c>
      <c r="E630" s="81" t="s">
        <v>685</v>
      </c>
      <c r="J630" s="53"/>
      <c r="K630" s="57"/>
      <c r="L630" s="53"/>
      <c r="M630" s="57"/>
      <c r="N630" s="53"/>
      <c r="O630" s="59"/>
      <c r="P630" s="53"/>
      <c r="Q630" s="69"/>
      <c r="R630" s="53"/>
      <c r="S630" s="57"/>
      <c r="T630" s="66"/>
      <c r="U630" s="57"/>
      <c r="V630" s="66"/>
      <c r="W630" s="69"/>
      <c r="X630" s="66"/>
    </row>
    <row r="631" spans="1:26" x14ac:dyDescent="0.2">
      <c r="C631" s="6" t="s">
        <v>91</v>
      </c>
      <c r="D631" s="7" t="s">
        <v>26</v>
      </c>
      <c r="E631" s="81" t="s">
        <v>712</v>
      </c>
      <c r="J631" s="53"/>
      <c r="K631" s="57"/>
      <c r="L631" s="53"/>
      <c r="M631" s="57"/>
      <c r="N631" s="53"/>
      <c r="O631" s="59"/>
      <c r="P631" s="53"/>
      <c r="Q631" s="69"/>
      <c r="R631" s="53"/>
      <c r="S631" s="57"/>
      <c r="T631" s="66"/>
      <c r="U631" s="57"/>
      <c r="V631" s="66"/>
      <c r="W631" s="69"/>
      <c r="X631" s="66"/>
    </row>
    <row r="632" spans="1:26" x14ac:dyDescent="0.2">
      <c r="C632" s="6" t="s">
        <v>713</v>
      </c>
      <c r="D632" s="7" t="s">
        <v>72</v>
      </c>
      <c r="E632" s="81" t="s">
        <v>739</v>
      </c>
      <c r="J632" s="53"/>
      <c r="K632" s="57"/>
      <c r="L632" s="53"/>
      <c r="M632" s="57"/>
      <c r="N632" s="53"/>
      <c r="O632" s="59"/>
      <c r="P632" s="53"/>
      <c r="Q632" s="69"/>
      <c r="R632" s="53"/>
      <c r="S632" s="57"/>
      <c r="T632" s="66"/>
      <c r="U632" s="57"/>
      <c r="V632" s="66"/>
      <c r="W632" s="69"/>
      <c r="X632" s="66"/>
    </row>
    <row r="633" spans="1:26" x14ac:dyDescent="0.2">
      <c r="J633" s="53"/>
      <c r="K633" s="57"/>
      <c r="L633" s="53"/>
      <c r="M633" s="57"/>
      <c r="N633" s="53"/>
      <c r="O633" s="59"/>
      <c r="P633" s="53"/>
      <c r="Q633" s="69"/>
      <c r="R633" s="53"/>
      <c r="S633" s="57"/>
      <c r="T633" s="66"/>
      <c r="U633" s="57"/>
      <c r="V633" s="66"/>
      <c r="W633" s="69"/>
      <c r="X633" s="66"/>
    </row>
    <row r="634" spans="1:26" ht="25" x14ac:dyDescent="0.2">
      <c r="A634" s="3" t="s">
        <v>740</v>
      </c>
      <c r="B634" s="3">
        <v>1</v>
      </c>
      <c r="C634" s="3" t="s">
        <v>741</v>
      </c>
      <c r="D634" s="8" t="s">
        <v>742</v>
      </c>
      <c r="E634" s="13" t="s">
        <v>743</v>
      </c>
      <c r="F634" s="9">
        <v>21.04</v>
      </c>
      <c r="G634" s="10">
        <v>10</v>
      </c>
      <c r="H634" s="11">
        <f>ROUND(ROUND(F634,2)*ROUND(G634,3),2)</f>
        <v>210.4</v>
      </c>
      <c r="J634" s="53"/>
      <c r="K634" s="57">
        <f>4</f>
        <v>4</v>
      </c>
      <c r="L634" s="53">
        <f>F634*K634</f>
        <v>84.16</v>
      </c>
      <c r="M634" s="57"/>
      <c r="N634" s="53"/>
      <c r="O634" s="59"/>
      <c r="P634" s="53"/>
      <c r="Q634" s="69"/>
      <c r="R634" s="53"/>
      <c r="S634" s="57">
        <f>2</f>
        <v>2</v>
      </c>
      <c r="T634" s="66">
        <f>F634*S634</f>
        <v>42.08</v>
      </c>
      <c r="U634" s="57">
        <f>4</f>
        <v>4</v>
      </c>
      <c r="V634" s="66">
        <f>F634*U634</f>
        <v>84.16</v>
      </c>
      <c r="W634" s="69"/>
      <c r="X634" s="66"/>
      <c r="Y634" s="36">
        <f>I634+K634+S634+U634+Q634</f>
        <v>10</v>
      </c>
      <c r="Z634" s="37">
        <f>J634+L634+T634+V634+R634</f>
        <v>210.39999999999998</v>
      </c>
    </row>
    <row r="635" spans="1:26" ht="37" x14ac:dyDescent="0.2">
      <c r="A635" s="3" t="s">
        <v>740</v>
      </c>
      <c r="B635" s="3">
        <v>2</v>
      </c>
      <c r="C635" s="3" t="s">
        <v>744</v>
      </c>
      <c r="D635" s="8" t="s">
        <v>23</v>
      </c>
      <c r="E635" s="13" t="s">
        <v>745</v>
      </c>
      <c r="F635" s="9">
        <v>34.06</v>
      </c>
      <c r="G635" s="10">
        <v>4</v>
      </c>
      <c r="H635" s="11">
        <f>ROUND(ROUND(F635,2)*ROUND(G635,3),2)</f>
        <v>136.24</v>
      </c>
      <c r="J635" s="53"/>
      <c r="K635" s="57"/>
      <c r="L635" s="53"/>
      <c r="M635" s="57"/>
      <c r="N635" s="53"/>
      <c r="O635" s="59"/>
      <c r="P635" s="53"/>
      <c r="Q635" s="69"/>
      <c r="R635" s="53"/>
      <c r="S635" s="57"/>
      <c r="T635" s="66"/>
      <c r="U635" s="57">
        <f>4</f>
        <v>4</v>
      </c>
      <c r="V635" s="66">
        <f>F635*U635</f>
        <v>136.24</v>
      </c>
      <c r="W635" s="69"/>
      <c r="X635" s="66"/>
      <c r="Z635" s="37">
        <f>J635+L635+T635+V635+R635</f>
        <v>136.24</v>
      </c>
    </row>
    <row r="636" spans="1:26" ht="49" x14ac:dyDescent="0.2">
      <c r="A636" s="3" t="s">
        <v>740</v>
      </c>
      <c r="B636" s="3">
        <v>3</v>
      </c>
      <c r="C636" s="3" t="s">
        <v>746</v>
      </c>
      <c r="D636" s="8" t="s">
        <v>23</v>
      </c>
      <c r="E636" s="13" t="s">
        <v>747</v>
      </c>
      <c r="F636" s="9">
        <v>88.57</v>
      </c>
      <c r="G636" s="10">
        <v>7</v>
      </c>
      <c r="H636" s="11">
        <f>ROUND(ROUND(F636,2)*ROUND(G636,3),2)</f>
        <v>619.99</v>
      </c>
      <c r="J636" s="53"/>
      <c r="K636" s="57">
        <f>7</f>
        <v>7</v>
      </c>
      <c r="L636" s="53">
        <f>F636*K636</f>
        <v>619.99</v>
      </c>
      <c r="M636" s="57"/>
      <c r="N636" s="53"/>
      <c r="O636" s="59"/>
      <c r="P636" s="53"/>
      <c r="Q636" s="69"/>
      <c r="R636" s="53"/>
      <c r="S636" s="57"/>
      <c r="T636" s="66"/>
      <c r="U636" s="57"/>
      <c r="V636" s="66"/>
      <c r="W636" s="69"/>
      <c r="X636" s="66"/>
    </row>
    <row r="637" spans="1:26" x14ac:dyDescent="0.2">
      <c r="E637" s="81" t="s">
        <v>25</v>
      </c>
      <c r="F637" s="6"/>
      <c r="G637" s="6"/>
      <c r="H637" s="12">
        <f>SUM(H634:H636)</f>
        <v>966.63</v>
      </c>
      <c r="J637" s="53"/>
      <c r="K637" s="57"/>
      <c r="L637" s="71">
        <f>SUM(L634:L636)</f>
        <v>704.15</v>
      </c>
      <c r="M637" s="57"/>
      <c r="N637" s="53"/>
      <c r="O637" s="59"/>
      <c r="P637" s="53"/>
      <c r="Q637" s="69"/>
      <c r="R637" s="53"/>
      <c r="S637" s="57"/>
      <c r="T637" s="72">
        <f>SUM(T634:T636)</f>
        <v>42.08</v>
      </c>
      <c r="U637" s="57"/>
      <c r="V637" s="67">
        <f>SUM(V634:V636)</f>
        <v>220.4</v>
      </c>
      <c r="W637" s="69"/>
      <c r="X637" s="66"/>
      <c r="Z637" s="37">
        <f>J637+L637+T637+V637+R637</f>
        <v>966.63</v>
      </c>
    </row>
    <row r="638" spans="1:26" x14ac:dyDescent="0.2">
      <c r="J638" s="53"/>
      <c r="K638" s="57"/>
      <c r="L638" s="53"/>
      <c r="M638" s="57"/>
      <c r="N638" s="53"/>
      <c r="O638" s="59"/>
      <c r="P638" s="53"/>
      <c r="Q638" s="69"/>
      <c r="R638" s="53"/>
      <c r="S638" s="57"/>
      <c r="T638" s="66"/>
      <c r="U638" s="57"/>
      <c r="V638" s="66"/>
      <c r="W638" s="69"/>
      <c r="X638" s="66"/>
    </row>
    <row r="639" spans="1:26" x14ac:dyDescent="0.2">
      <c r="C639" s="6" t="s">
        <v>6</v>
      </c>
      <c r="D639" s="7" t="s">
        <v>7</v>
      </c>
      <c r="E639" s="81" t="s">
        <v>8</v>
      </c>
      <c r="J639" s="53"/>
      <c r="K639" s="57"/>
      <c r="L639" s="53"/>
      <c r="M639" s="57"/>
      <c r="N639" s="53"/>
      <c r="O639" s="59"/>
      <c r="P639" s="53"/>
      <c r="Q639" s="69"/>
      <c r="R639" s="53"/>
      <c r="S639" s="57"/>
      <c r="T639" s="66"/>
      <c r="U639" s="57"/>
      <c r="V639" s="66"/>
      <c r="W639" s="69"/>
      <c r="X639" s="66"/>
    </row>
    <row r="640" spans="1:26" x14ac:dyDescent="0.2">
      <c r="C640" s="6" t="s">
        <v>9</v>
      </c>
      <c r="D640" s="7" t="s">
        <v>385</v>
      </c>
      <c r="E640" s="81" t="s">
        <v>588</v>
      </c>
      <c r="J640" s="53"/>
      <c r="K640" s="57"/>
      <c r="L640" s="53"/>
      <c r="M640" s="57"/>
      <c r="N640" s="53"/>
      <c r="O640" s="59"/>
      <c r="P640" s="53"/>
      <c r="Q640" s="69"/>
      <c r="R640" s="53"/>
      <c r="S640" s="57"/>
      <c r="T640" s="66"/>
      <c r="U640" s="57"/>
      <c r="V640" s="66"/>
      <c r="W640" s="69"/>
      <c r="X640" s="66"/>
    </row>
    <row r="641" spans="1:24" x14ac:dyDescent="0.2">
      <c r="C641" s="6" t="s">
        <v>11</v>
      </c>
      <c r="D641" s="7" t="s">
        <v>385</v>
      </c>
      <c r="E641" s="81" t="s">
        <v>748</v>
      </c>
      <c r="J641" s="53"/>
      <c r="K641" s="57"/>
      <c r="L641" s="53"/>
      <c r="M641" s="57"/>
      <c r="N641" s="53"/>
      <c r="O641" s="59"/>
      <c r="P641" s="53"/>
      <c r="Q641" s="69"/>
      <c r="R641" s="53"/>
      <c r="S641" s="57"/>
      <c r="T641" s="66"/>
      <c r="U641" s="57"/>
      <c r="V641" s="66"/>
      <c r="W641" s="69"/>
      <c r="X641" s="66"/>
    </row>
    <row r="642" spans="1:24" x14ac:dyDescent="0.2">
      <c r="C642" s="6" t="s">
        <v>91</v>
      </c>
      <c r="D642" s="7" t="s">
        <v>594</v>
      </c>
      <c r="E642" s="81" t="s">
        <v>749</v>
      </c>
      <c r="J642" s="53"/>
      <c r="K642" s="57"/>
      <c r="L642" s="53"/>
      <c r="M642" s="57"/>
      <c r="N642" s="53"/>
      <c r="O642" s="59"/>
      <c r="P642" s="53"/>
      <c r="Q642" s="69"/>
      <c r="R642" s="53"/>
      <c r="S642" s="57"/>
      <c r="T642" s="66"/>
      <c r="U642" s="57"/>
      <c r="V642" s="66"/>
      <c r="W642" s="69"/>
      <c r="X642" s="66"/>
    </row>
    <row r="643" spans="1:24" x14ac:dyDescent="0.2">
      <c r="J643" s="53"/>
      <c r="K643" s="57"/>
      <c r="L643" s="53"/>
      <c r="M643" s="57"/>
      <c r="N643" s="53"/>
      <c r="O643" s="59"/>
      <c r="P643" s="53"/>
      <c r="Q643" s="69"/>
      <c r="R643" s="53"/>
      <c r="S643" s="57"/>
      <c r="T643" s="66"/>
      <c r="U643" s="57"/>
      <c r="V643" s="66"/>
      <c r="W643" s="69"/>
      <c r="X643" s="66"/>
    </row>
    <row r="644" spans="1:24" ht="409.6" x14ac:dyDescent="0.2">
      <c r="A644" s="3" t="s">
        <v>750</v>
      </c>
      <c r="B644" s="3">
        <v>1</v>
      </c>
      <c r="C644" s="3" t="s">
        <v>751</v>
      </c>
      <c r="D644" s="8" t="s">
        <v>598</v>
      </c>
      <c r="E644" s="13" t="s">
        <v>752</v>
      </c>
      <c r="F644" s="9">
        <v>0</v>
      </c>
      <c r="G644" s="10">
        <v>0</v>
      </c>
      <c r="H644" s="11">
        <f>ROUND(ROUND(F644,2)*ROUND(G644,3),2)</f>
        <v>0</v>
      </c>
      <c r="J644" s="53"/>
      <c r="K644" s="57"/>
      <c r="L644" s="53"/>
      <c r="M644" s="57"/>
      <c r="N644" s="53"/>
      <c r="O644" s="59"/>
      <c r="P644" s="53"/>
      <c r="Q644" s="69"/>
      <c r="R644" s="53"/>
      <c r="S644" s="57"/>
      <c r="T644" s="66"/>
      <c r="U644" s="57"/>
      <c r="V644" s="66"/>
      <c r="W644" s="69"/>
      <c r="X644" s="66"/>
    </row>
    <row r="645" spans="1:24" x14ac:dyDescent="0.2">
      <c r="E645" s="81" t="s">
        <v>25</v>
      </c>
      <c r="F645" s="6"/>
      <c r="G645" s="6"/>
      <c r="H645" s="12">
        <f>SUM(H644:H644)</f>
        <v>0</v>
      </c>
      <c r="J645" s="53"/>
      <c r="K645" s="57"/>
      <c r="L645" s="53"/>
      <c r="M645" s="57"/>
      <c r="N645" s="53"/>
      <c r="O645" s="59"/>
      <c r="P645" s="53"/>
      <c r="Q645" s="69"/>
      <c r="R645" s="53"/>
      <c r="S645" s="57"/>
      <c r="T645" s="66"/>
      <c r="U645" s="57"/>
      <c r="V645" s="66"/>
      <c r="W645" s="69"/>
      <c r="X645" s="66"/>
    </row>
    <row r="646" spans="1:24" x14ac:dyDescent="0.2">
      <c r="J646" s="53"/>
      <c r="K646" s="57"/>
      <c r="L646" s="53"/>
      <c r="M646" s="57"/>
      <c r="N646" s="53"/>
      <c r="O646" s="59"/>
      <c r="P646" s="53"/>
      <c r="Q646" s="69"/>
      <c r="R646" s="53"/>
      <c r="S646" s="57"/>
      <c r="T646" s="66"/>
      <c r="U646" s="57"/>
      <c r="V646" s="66"/>
      <c r="W646" s="69"/>
      <c r="X646" s="66"/>
    </row>
    <row r="647" spans="1:24" x14ac:dyDescent="0.2">
      <c r="C647" s="6" t="s">
        <v>6</v>
      </c>
      <c r="D647" s="7" t="s">
        <v>7</v>
      </c>
      <c r="E647" s="81" t="s">
        <v>8</v>
      </c>
      <c r="J647" s="53"/>
      <c r="K647" s="57"/>
      <c r="L647" s="53"/>
      <c r="M647" s="57"/>
      <c r="N647" s="53"/>
      <c r="O647" s="59"/>
      <c r="P647" s="53"/>
      <c r="Q647" s="69"/>
      <c r="R647" s="53"/>
      <c r="S647" s="57"/>
      <c r="T647" s="66"/>
      <c r="U647" s="57"/>
      <c r="V647" s="66"/>
      <c r="W647" s="69"/>
      <c r="X647" s="66"/>
    </row>
    <row r="648" spans="1:24" x14ac:dyDescent="0.2">
      <c r="C648" s="6" t="s">
        <v>9</v>
      </c>
      <c r="D648" s="7" t="s">
        <v>385</v>
      </c>
      <c r="E648" s="81" t="s">
        <v>588</v>
      </c>
      <c r="J648" s="53"/>
      <c r="K648" s="57"/>
      <c r="L648" s="53"/>
      <c r="M648" s="57"/>
      <c r="N648" s="53"/>
      <c r="O648" s="59"/>
      <c r="P648" s="53"/>
      <c r="Q648" s="69"/>
      <c r="R648" s="53"/>
      <c r="S648" s="57"/>
      <c r="T648" s="66"/>
      <c r="U648" s="57"/>
      <c r="V648" s="66"/>
      <c r="W648" s="69"/>
      <c r="X648" s="66"/>
    </row>
    <row r="649" spans="1:24" x14ac:dyDescent="0.2">
      <c r="C649" s="6" t="s">
        <v>11</v>
      </c>
      <c r="D649" s="7" t="s">
        <v>385</v>
      </c>
      <c r="E649" s="81" t="s">
        <v>748</v>
      </c>
      <c r="J649" s="53"/>
      <c r="K649" s="57"/>
      <c r="L649" s="53"/>
      <c r="M649" s="57"/>
      <c r="N649" s="53"/>
      <c r="O649" s="59"/>
      <c r="P649" s="53"/>
      <c r="Q649" s="69"/>
      <c r="R649" s="53"/>
      <c r="S649" s="57"/>
      <c r="T649" s="66"/>
      <c r="U649" s="57"/>
      <c r="V649" s="66"/>
      <c r="W649" s="69"/>
      <c r="X649" s="66"/>
    </row>
    <row r="650" spans="1:24" x14ac:dyDescent="0.2">
      <c r="C650" s="6" t="s">
        <v>91</v>
      </c>
      <c r="D650" s="7" t="s">
        <v>7</v>
      </c>
      <c r="E650" s="81" t="s">
        <v>753</v>
      </c>
      <c r="J650" s="53"/>
      <c r="K650" s="57"/>
      <c r="L650" s="53"/>
      <c r="M650" s="57"/>
      <c r="N650" s="53"/>
      <c r="O650" s="59"/>
      <c r="P650" s="53"/>
      <c r="Q650" s="69"/>
      <c r="R650" s="53"/>
      <c r="S650" s="57"/>
      <c r="T650" s="66"/>
      <c r="U650" s="57"/>
      <c r="V650" s="66"/>
      <c r="W650" s="69"/>
      <c r="X650" s="66"/>
    </row>
    <row r="651" spans="1:24" x14ac:dyDescent="0.2">
      <c r="J651" s="53"/>
      <c r="K651" s="57"/>
      <c r="L651" s="53"/>
      <c r="M651" s="57"/>
      <c r="N651" s="53"/>
      <c r="O651" s="59"/>
      <c r="P651" s="53"/>
      <c r="Q651" s="69"/>
      <c r="R651" s="53"/>
      <c r="S651" s="57"/>
      <c r="T651" s="66"/>
      <c r="U651" s="57"/>
      <c r="V651" s="66"/>
      <c r="W651" s="69"/>
      <c r="X651" s="66"/>
    </row>
    <row r="652" spans="1:24" ht="25" x14ac:dyDescent="0.2">
      <c r="A652" s="3" t="s">
        <v>754</v>
      </c>
      <c r="B652" s="3">
        <v>1</v>
      </c>
      <c r="C652" s="3" t="s">
        <v>755</v>
      </c>
      <c r="D652" s="8" t="s">
        <v>23</v>
      </c>
      <c r="E652" s="13" t="s">
        <v>756</v>
      </c>
      <c r="F652" s="9">
        <v>50.96</v>
      </c>
      <c r="G652" s="10">
        <v>11</v>
      </c>
      <c r="H652" s="11">
        <f>ROUND(ROUND(F652,2)*ROUND(G652,3),2)</f>
        <v>560.55999999999995</v>
      </c>
      <c r="I652" s="36">
        <f>G652</f>
        <v>11</v>
      </c>
      <c r="J652" s="53">
        <f>F652*I652</f>
        <v>560.56000000000006</v>
      </c>
      <c r="K652" s="57"/>
      <c r="L652" s="53"/>
      <c r="M652" s="57"/>
      <c r="N652" s="53"/>
      <c r="O652" s="59"/>
      <c r="P652" s="53"/>
      <c r="Q652" s="69"/>
      <c r="R652" s="53"/>
      <c r="S652" s="57"/>
      <c r="T652" s="66"/>
      <c r="U652" s="57"/>
      <c r="V652" s="66"/>
      <c r="W652" s="69"/>
      <c r="X652" s="66"/>
    </row>
    <row r="653" spans="1:24" x14ac:dyDescent="0.2">
      <c r="A653" s="3" t="s">
        <v>754</v>
      </c>
      <c r="B653" s="3">
        <v>2</v>
      </c>
      <c r="C653" s="3" t="s">
        <v>757</v>
      </c>
      <c r="D653" s="8" t="s">
        <v>36</v>
      </c>
      <c r="E653" s="13" t="s">
        <v>758</v>
      </c>
      <c r="F653" s="9">
        <v>15.2</v>
      </c>
      <c r="G653" s="10">
        <v>42</v>
      </c>
      <c r="H653" s="11">
        <f>ROUND(ROUND(F653,2)*ROUND(G653,3),2)</f>
        <v>638.4</v>
      </c>
      <c r="I653" s="36">
        <f>G653</f>
        <v>42</v>
      </c>
      <c r="J653" s="53">
        <f>F653*I653</f>
        <v>638.4</v>
      </c>
      <c r="K653" s="57"/>
      <c r="L653" s="53"/>
      <c r="M653" s="57"/>
      <c r="N653" s="53"/>
      <c r="O653" s="59"/>
      <c r="P653" s="53"/>
      <c r="Q653" s="69"/>
      <c r="R653" s="53"/>
      <c r="S653" s="57"/>
      <c r="T653" s="66"/>
      <c r="U653" s="57"/>
      <c r="V653" s="66"/>
      <c r="W653" s="69"/>
      <c r="X653" s="66"/>
    </row>
    <row r="654" spans="1:24" ht="25" x14ac:dyDescent="0.2">
      <c r="A654" s="3" t="s">
        <v>754</v>
      </c>
      <c r="B654" s="3">
        <v>3</v>
      </c>
      <c r="C654" s="3" t="s">
        <v>759</v>
      </c>
      <c r="D654" s="8" t="s">
        <v>23</v>
      </c>
      <c r="E654" s="13" t="s">
        <v>760</v>
      </c>
      <c r="F654" s="9">
        <v>60.03</v>
      </c>
      <c r="G654" s="10">
        <v>3</v>
      </c>
      <c r="H654" s="11">
        <f>ROUND(ROUND(F654,2)*ROUND(G654,3),2)</f>
        <v>180.09</v>
      </c>
      <c r="I654" s="36">
        <f>G654</f>
        <v>3</v>
      </c>
      <c r="J654" s="53">
        <f>F654*I654</f>
        <v>180.09</v>
      </c>
      <c r="K654" s="57"/>
      <c r="L654" s="53"/>
      <c r="M654" s="57"/>
      <c r="N654" s="53"/>
      <c r="O654" s="59"/>
      <c r="P654" s="53"/>
      <c r="Q654" s="69"/>
      <c r="R654" s="53"/>
      <c r="S654" s="57"/>
      <c r="T654" s="66"/>
      <c r="U654" s="57"/>
      <c r="V654" s="66"/>
      <c r="W654" s="69"/>
      <c r="X654" s="66"/>
    </row>
    <row r="655" spans="1:24" ht="97" x14ac:dyDescent="0.2">
      <c r="A655" s="3" t="s">
        <v>754</v>
      </c>
      <c r="B655" s="3">
        <v>4</v>
      </c>
      <c r="C655" s="3" t="s">
        <v>761</v>
      </c>
      <c r="D655" s="8" t="s">
        <v>625</v>
      </c>
      <c r="E655" s="13" t="s">
        <v>762</v>
      </c>
      <c r="F655" s="9">
        <v>965.2</v>
      </c>
      <c r="G655" s="10">
        <v>1</v>
      </c>
      <c r="H655" s="11">
        <f>ROUND(ROUND(F655,2)*ROUND(G655,3),2)</f>
        <v>965.2</v>
      </c>
      <c r="I655" s="36">
        <f>G655</f>
        <v>1</v>
      </c>
      <c r="J655" s="53">
        <f>F655*I655</f>
        <v>965.2</v>
      </c>
      <c r="K655" s="57"/>
      <c r="L655" s="53"/>
      <c r="M655" s="57"/>
      <c r="N655" s="53"/>
      <c r="O655" s="59"/>
      <c r="P655" s="53"/>
      <c r="Q655" s="69"/>
      <c r="R655" s="53"/>
      <c r="S655" s="57"/>
      <c r="T655" s="66"/>
      <c r="U655" s="57"/>
      <c r="V655" s="66"/>
      <c r="W655" s="69"/>
      <c r="X655" s="66"/>
    </row>
    <row r="656" spans="1:24" x14ac:dyDescent="0.2">
      <c r="E656" s="81" t="s">
        <v>25</v>
      </c>
      <c r="F656" s="6"/>
      <c r="G656" s="6"/>
      <c r="H656" s="12">
        <f>SUM(H652:H655)</f>
        <v>2344.25</v>
      </c>
      <c r="I656" s="3"/>
      <c r="J656" s="54">
        <f>J652+J653+J654+J655</f>
        <v>2344.25</v>
      </c>
      <c r="K656" s="57"/>
      <c r="L656" s="53"/>
      <c r="M656" s="57"/>
      <c r="N656" s="53"/>
      <c r="O656" s="59"/>
      <c r="P656" s="53"/>
      <c r="Q656" s="69"/>
      <c r="R656" s="53"/>
      <c r="S656" s="57"/>
      <c r="T656" s="66"/>
      <c r="U656" s="57"/>
      <c r="V656" s="66"/>
      <c r="W656" s="69"/>
      <c r="X656" s="66"/>
    </row>
    <row r="657" spans="1:26" x14ac:dyDescent="0.2">
      <c r="J657" s="53"/>
      <c r="K657" s="57"/>
      <c r="L657" s="53"/>
      <c r="M657" s="57"/>
      <c r="N657" s="53"/>
      <c r="O657" s="59"/>
      <c r="P657" s="53"/>
      <c r="Q657" s="69"/>
      <c r="R657" s="53"/>
      <c r="S657" s="57"/>
      <c r="T657" s="66"/>
      <c r="U657" s="57"/>
      <c r="V657" s="66"/>
      <c r="W657" s="69"/>
      <c r="X657" s="66"/>
    </row>
    <row r="658" spans="1:26" x14ac:dyDescent="0.2">
      <c r="C658" s="6" t="s">
        <v>6</v>
      </c>
      <c r="D658" s="7" t="s">
        <v>7</v>
      </c>
      <c r="E658" s="81" t="s">
        <v>8</v>
      </c>
      <c r="J658" s="53"/>
      <c r="K658" s="57"/>
      <c r="L658" s="53"/>
      <c r="M658" s="57"/>
      <c r="N658" s="53"/>
      <c r="O658" s="59"/>
      <c r="P658" s="53"/>
      <c r="Q658" s="69"/>
      <c r="R658" s="53"/>
      <c r="S658" s="57"/>
      <c r="T658" s="66"/>
      <c r="U658" s="57"/>
      <c r="V658" s="66"/>
      <c r="W658" s="69"/>
      <c r="X658" s="66"/>
    </row>
    <row r="659" spans="1:26" x14ac:dyDescent="0.2">
      <c r="C659" s="6" t="s">
        <v>9</v>
      </c>
      <c r="D659" s="7" t="s">
        <v>385</v>
      </c>
      <c r="E659" s="81" t="s">
        <v>588</v>
      </c>
      <c r="J659" s="53"/>
      <c r="K659" s="57"/>
      <c r="L659" s="53"/>
      <c r="M659" s="57"/>
      <c r="N659" s="53"/>
      <c r="O659" s="59"/>
      <c r="P659" s="53"/>
      <c r="Q659" s="69"/>
      <c r="R659" s="53"/>
      <c r="S659" s="57"/>
      <c r="T659" s="66"/>
      <c r="U659" s="57"/>
      <c r="V659" s="66"/>
      <c r="W659" s="69"/>
      <c r="X659" s="66"/>
    </row>
    <row r="660" spans="1:26" x14ac:dyDescent="0.2">
      <c r="C660" s="6" t="s">
        <v>11</v>
      </c>
      <c r="D660" s="7" t="s">
        <v>385</v>
      </c>
      <c r="E660" s="81" t="s">
        <v>748</v>
      </c>
      <c r="J660" s="53"/>
      <c r="K660" s="57"/>
      <c r="L660" s="53"/>
      <c r="M660" s="57"/>
      <c r="N660" s="53"/>
      <c r="O660" s="59"/>
      <c r="P660" s="53"/>
      <c r="Q660" s="69"/>
      <c r="R660" s="53"/>
      <c r="S660" s="57"/>
      <c r="T660" s="66"/>
      <c r="U660" s="57"/>
      <c r="V660" s="66"/>
      <c r="W660" s="69"/>
      <c r="X660" s="66"/>
    </row>
    <row r="661" spans="1:26" x14ac:dyDescent="0.2">
      <c r="C661" s="6" t="s">
        <v>91</v>
      </c>
      <c r="D661" s="7" t="s">
        <v>26</v>
      </c>
      <c r="E661" s="81" t="s">
        <v>600</v>
      </c>
      <c r="J661" s="53"/>
      <c r="K661" s="57"/>
      <c r="L661" s="53"/>
      <c r="M661" s="57"/>
      <c r="N661" s="53"/>
      <c r="O661" s="59"/>
      <c r="P661" s="53"/>
      <c r="Q661" s="69"/>
      <c r="R661" s="53"/>
      <c r="S661" s="57"/>
      <c r="T661" s="66"/>
      <c r="U661" s="57"/>
      <c r="V661" s="66"/>
      <c r="W661" s="69"/>
      <c r="X661" s="66"/>
    </row>
    <row r="662" spans="1:26" x14ac:dyDescent="0.2">
      <c r="J662" s="53"/>
      <c r="K662" s="57"/>
      <c r="L662" s="53"/>
      <c r="M662" s="57"/>
      <c r="N662" s="53"/>
      <c r="O662" s="59"/>
      <c r="P662" s="53"/>
      <c r="Q662" s="69"/>
      <c r="R662" s="53"/>
      <c r="S662" s="57"/>
      <c r="T662" s="66"/>
      <c r="U662" s="57"/>
      <c r="V662" s="66"/>
      <c r="W662" s="69"/>
      <c r="X662" s="66"/>
    </row>
    <row r="663" spans="1:26" ht="49" x14ac:dyDescent="0.2">
      <c r="A663" s="3" t="s">
        <v>763</v>
      </c>
      <c r="B663" s="3">
        <v>1</v>
      </c>
      <c r="C663" s="3" t="s">
        <v>764</v>
      </c>
      <c r="D663" s="8" t="s">
        <v>36</v>
      </c>
      <c r="E663" s="13" t="s">
        <v>765</v>
      </c>
      <c r="F663" s="9">
        <v>2.95</v>
      </c>
      <c r="G663" s="10">
        <v>4485</v>
      </c>
      <c r="H663" s="11">
        <f t="shared" ref="H663:H674" si="81">ROUND(ROUND(F663,2)*ROUND(G663,3),2)</f>
        <v>13230.75</v>
      </c>
      <c r="I663" s="3"/>
      <c r="J663" s="53"/>
      <c r="K663" s="57">
        <f>G663*45%</f>
        <v>2018.25</v>
      </c>
      <c r="L663" s="53">
        <f>F663*K663</f>
        <v>5953.8375000000005</v>
      </c>
      <c r="M663" s="59"/>
      <c r="N663" s="53"/>
      <c r="O663" s="59"/>
      <c r="P663" s="53"/>
      <c r="Q663" s="69">
        <f>G663*15%</f>
        <v>672.75</v>
      </c>
      <c r="R663" s="53">
        <f>F663*Q663</f>
        <v>1984.6125000000002</v>
      </c>
      <c r="S663" s="59">
        <f>G663*20%</f>
        <v>897</v>
      </c>
      <c r="T663" s="66">
        <f>F663*S663</f>
        <v>2646.15</v>
      </c>
      <c r="U663" s="59">
        <f>G663*20%</f>
        <v>897</v>
      </c>
      <c r="V663" s="66">
        <f>F663*U663</f>
        <v>2646.15</v>
      </c>
      <c r="W663" s="69"/>
      <c r="X663" s="66"/>
      <c r="Y663" s="36">
        <f>I663+K663+S663+U663+Q663</f>
        <v>4485</v>
      </c>
      <c r="Z663" s="37">
        <f>J663+L663+T663+V663+R663</f>
        <v>13230.75</v>
      </c>
    </row>
    <row r="664" spans="1:26" ht="49" x14ac:dyDescent="0.2">
      <c r="A664" s="3" t="s">
        <v>763</v>
      </c>
      <c r="B664" s="3">
        <v>2</v>
      </c>
      <c r="C664" s="3" t="s">
        <v>766</v>
      </c>
      <c r="D664" s="8" t="s">
        <v>36</v>
      </c>
      <c r="E664" s="13" t="s">
        <v>767</v>
      </c>
      <c r="F664" s="9">
        <v>3.79</v>
      </c>
      <c r="G664" s="10">
        <v>1520</v>
      </c>
      <c r="H664" s="11">
        <f t="shared" si="81"/>
        <v>5760.8</v>
      </c>
      <c r="I664" s="3"/>
      <c r="J664" s="53"/>
      <c r="K664" s="57">
        <f>G664*45%</f>
        <v>684</v>
      </c>
      <c r="L664" s="53">
        <f>F664*K664</f>
        <v>2592.36</v>
      </c>
      <c r="M664" s="57"/>
      <c r="N664" s="53"/>
      <c r="O664" s="59"/>
      <c r="P664" s="53"/>
      <c r="Q664" s="69">
        <f>G664*15%</f>
        <v>228</v>
      </c>
      <c r="R664" s="53">
        <f>F664*Q664</f>
        <v>864.12</v>
      </c>
      <c r="S664" s="57">
        <f>G664*20%</f>
        <v>304</v>
      </c>
      <c r="T664" s="66">
        <f>F664*S664</f>
        <v>1152.1600000000001</v>
      </c>
      <c r="U664" s="57">
        <f>G664*20%</f>
        <v>304</v>
      </c>
      <c r="V664" s="66">
        <f>F664*U664</f>
        <v>1152.1600000000001</v>
      </c>
      <c r="W664" s="69"/>
      <c r="X664" s="66"/>
      <c r="Y664" s="36">
        <f>I664+K664+S664+U664+Q664</f>
        <v>1520</v>
      </c>
      <c r="Z664" s="37">
        <f>J664+L664+T664+V664+R664</f>
        <v>5760.8</v>
      </c>
    </row>
    <row r="665" spans="1:26" ht="49" x14ac:dyDescent="0.2">
      <c r="A665" s="3" t="s">
        <v>763</v>
      </c>
      <c r="B665" s="3">
        <v>3</v>
      </c>
      <c r="C665" s="3" t="s">
        <v>768</v>
      </c>
      <c r="D665" s="8" t="s">
        <v>36</v>
      </c>
      <c r="E665" s="13" t="s">
        <v>769</v>
      </c>
      <c r="F665" s="9">
        <v>7.99</v>
      </c>
      <c r="G665" s="10">
        <v>15.75</v>
      </c>
      <c r="H665" s="11">
        <f t="shared" si="81"/>
        <v>125.84</v>
      </c>
      <c r="I665" s="3"/>
      <c r="J665" s="53"/>
      <c r="K665" s="57">
        <f>G665</f>
        <v>15.75</v>
      </c>
      <c r="L665" s="53">
        <f>F665*K665</f>
        <v>125.8425</v>
      </c>
      <c r="M665" s="77"/>
      <c r="N665" s="53"/>
      <c r="O665" s="59"/>
      <c r="P665" s="53"/>
      <c r="Q665" s="69"/>
      <c r="R665" s="53"/>
      <c r="S665" s="77"/>
      <c r="T665" s="66"/>
      <c r="U665" s="77"/>
      <c r="V665" s="66"/>
      <c r="W665" s="69"/>
      <c r="X665" s="66"/>
      <c r="Y665" s="3"/>
    </row>
    <row r="666" spans="1:26" ht="49" x14ac:dyDescent="0.2">
      <c r="A666" s="3" t="s">
        <v>763</v>
      </c>
      <c r="B666" s="3">
        <v>4</v>
      </c>
      <c r="C666" s="3" t="s">
        <v>770</v>
      </c>
      <c r="D666" s="8" t="s">
        <v>36</v>
      </c>
      <c r="E666" s="13" t="s">
        <v>771</v>
      </c>
      <c r="F666" s="9">
        <v>4.04</v>
      </c>
      <c r="G666" s="10">
        <v>100</v>
      </c>
      <c r="H666" s="11">
        <f t="shared" si="81"/>
        <v>404</v>
      </c>
      <c r="I666" s="3"/>
      <c r="J666" s="53"/>
      <c r="K666" s="57">
        <f>G666</f>
        <v>100</v>
      </c>
      <c r="L666" s="53">
        <f>F666*K666</f>
        <v>404</v>
      </c>
      <c r="M666" s="77"/>
      <c r="N666" s="53"/>
      <c r="O666" s="59"/>
      <c r="P666" s="53"/>
      <c r="Q666" s="69"/>
      <c r="R666" s="53"/>
      <c r="S666" s="77"/>
      <c r="T666" s="66"/>
      <c r="U666" s="77"/>
      <c r="V666" s="66"/>
      <c r="W666" s="69"/>
      <c r="X666" s="66"/>
      <c r="Y666" s="3"/>
    </row>
    <row r="667" spans="1:26" ht="49" x14ac:dyDescent="0.2">
      <c r="A667" s="3" t="s">
        <v>763</v>
      </c>
      <c r="B667" s="3">
        <v>5</v>
      </c>
      <c r="C667" s="3" t="s">
        <v>772</v>
      </c>
      <c r="D667" s="8" t="s">
        <v>36</v>
      </c>
      <c r="E667" s="13" t="s">
        <v>773</v>
      </c>
      <c r="F667" s="9">
        <v>16.739999999999998</v>
      </c>
      <c r="G667" s="10">
        <v>42</v>
      </c>
      <c r="H667" s="11">
        <f t="shared" si="81"/>
        <v>703.08</v>
      </c>
      <c r="I667" s="36">
        <f>G667</f>
        <v>42</v>
      </c>
      <c r="J667" s="53">
        <f>F667*I667</f>
        <v>703.07999999999993</v>
      </c>
      <c r="K667" s="77"/>
      <c r="L667" s="53"/>
      <c r="M667" s="77"/>
      <c r="N667" s="53"/>
      <c r="O667" s="59"/>
      <c r="P667" s="53"/>
      <c r="Q667" s="69"/>
      <c r="R667" s="53"/>
      <c r="S667" s="77"/>
      <c r="T667" s="66"/>
      <c r="U667" s="77"/>
      <c r="V667" s="66"/>
      <c r="W667" s="69"/>
      <c r="X667" s="66"/>
      <c r="Y667" s="3"/>
    </row>
    <row r="668" spans="1:26" ht="49" x14ac:dyDescent="0.2">
      <c r="A668" s="3" t="s">
        <v>763</v>
      </c>
      <c r="B668" s="3">
        <v>6</v>
      </c>
      <c r="C668" s="3" t="s">
        <v>774</v>
      </c>
      <c r="D668" s="8" t="s">
        <v>36</v>
      </c>
      <c r="E668" s="13" t="s">
        <v>775</v>
      </c>
      <c r="F668" s="9">
        <v>57.56</v>
      </c>
      <c r="G668" s="10">
        <v>18.899999999999999</v>
      </c>
      <c r="H668" s="11">
        <f t="shared" si="81"/>
        <v>1087.8800000000001</v>
      </c>
      <c r="I668" s="36">
        <f>G668</f>
        <v>18.899999999999999</v>
      </c>
      <c r="J668" s="53">
        <f>F668*I668</f>
        <v>1087.884</v>
      </c>
      <c r="K668" s="77"/>
      <c r="L668" s="53"/>
      <c r="M668" s="77"/>
      <c r="N668" s="53"/>
      <c r="O668" s="59"/>
      <c r="P668" s="53"/>
      <c r="Q668" s="69"/>
      <c r="R668" s="53"/>
      <c r="S668" s="77"/>
      <c r="T668" s="66"/>
      <c r="U668" s="77"/>
      <c r="V668" s="66"/>
      <c r="W668" s="69"/>
      <c r="X668" s="66"/>
      <c r="Y668" s="3"/>
    </row>
    <row r="669" spans="1:26" ht="25" x14ac:dyDescent="0.2">
      <c r="A669" s="3" t="s">
        <v>763</v>
      </c>
      <c r="B669" s="3">
        <v>7</v>
      </c>
      <c r="C669" s="3" t="s">
        <v>776</v>
      </c>
      <c r="D669" s="8" t="s">
        <v>36</v>
      </c>
      <c r="E669" s="13" t="s">
        <v>777</v>
      </c>
      <c r="F669" s="9">
        <v>36.83</v>
      </c>
      <c r="G669" s="10">
        <v>35</v>
      </c>
      <c r="H669" s="11">
        <f t="shared" si="81"/>
        <v>1289.05</v>
      </c>
      <c r="I669" s="3"/>
      <c r="J669" s="53"/>
      <c r="K669" s="57">
        <f>G669</f>
        <v>35</v>
      </c>
      <c r="L669" s="53">
        <f t="shared" ref="L669:L674" si="82">F669*K669</f>
        <v>1289.05</v>
      </c>
      <c r="M669" s="77"/>
      <c r="N669" s="53"/>
      <c r="O669" s="59"/>
      <c r="P669" s="53"/>
      <c r="Q669" s="69"/>
      <c r="R669" s="53"/>
      <c r="S669" s="77"/>
      <c r="T669" s="66"/>
      <c r="U669" s="77"/>
      <c r="V669" s="66"/>
      <c r="W669" s="69"/>
      <c r="X669" s="66"/>
      <c r="Y669" s="3"/>
    </row>
    <row r="670" spans="1:26" x14ac:dyDescent="0.2">
      <c r="A670" s="3" t="s">
        <v>763</v>
      </c>
      <c r="B670" s="3">
        <v>8</v>
      </c>
      <c r="C670" s="3" t="s">
        <v>778</v>
      </c>
      <c r="D670" s="8" t="s">
        <v>36</v>
      </c>
      <c r="E670" s="13" t="s">
        <v>779</v>
      </c>
      <c r="F670" s="9">
        <v>6.57</v>
      </c>
      <c r="G670" s="10">
        <v>36.75</v>
      </c>
      <c r="H670" s="11">
        <f t="shared" si="81"/>
        <v>241.45</v>
      </c>
      <c r="I670" s="3"/>
      <c r="J670" s="53"/>
      <c r="K670" s="57">
        <f>G670</f>
        <v>36.75</v>
      </c>
      <c r="L670" s="53">
        <f t="shared" si="82"/>
        <v>241.44750000000002</v>
      </c>
      <c r="M670" s="77"/>
      <c r="N670" s="53"/>
      <c r="O670" s="59"/>
      <c r="P670" s="53"/>
      <c r="Q670" s="69"/>
      <c r="R670" s="53"/>
      <c r="S670" s="77"/>
      <c r="T670" s="66"/>
      <c r="U670" s="77"/>
      <c r="V670" s="66"/>
      <c r="W670" s="69"/>
      <c r="X670" s="66"/>
      <c r="Y670" s="3"/>
    </row>
    <row r="671" spans="1:26" ht="49" x14ac:dyDescent="0.2">
      <c r="A671" s="3" t="s">
        <v>763</v>
      </c>
      <c r="B671" s="3">
        <v>9</v>
      </c>
      <c r="C671" s="3" t="s">
        <v>780</v>
      </c>
      <c r="D671" s="8" t="s">
        <v>36</v>
      </c>
      <c r="E671" s="13" t="s">
        <v>781</v>
      </c>
      <c r="F671" s="9">
        <v>2.63</v>
      </c>
      <c r="G671" s="10">
        <v>735</v>
      </c>
      <c r="H671" s="11">
        <f t="shared" si="81"/>
        <v>1933.05</v>
      </c>
      <c r="I671" s="3"/>
      <c r="J671" s="53"/>
      <c r="K671" s="57">
        <f t="shared" ref="K671" si="83">150</f>
        <v>150</v>
      </c>
      <c r="L671" s="53">
        <f t="shared" si="82"/>
        <v>394.5</v>
      </c>
      <c r="M671" s="57"/>
      <c r="N671" s="53"/>
      <c r="O671" s="59"/>
      <c r="P671" s="53"/>
      <c r="Q671" s="69"/>
      <c r="R671" s="53"/>
      <c r="S671" s="57">
        <f t="shared" ref="S671" si="84">75</f>
        <v>75</v>
      </c>
      <c r="T671" s="66">
        <f>F671*S671</f>
        <v>197.25</v>
      </c>
      <c r="U671" s="57">
        <f>510</f>
        <v>510</v>
      </c>
      <c r="V671" s="66">
        <f>F671*U671</f>
        <v>1341.3</v>
      </c>
      <c r="W671" s="69"/>
      <c r="X671" s="66"/>
      <c r="Y671" s="36">
        <f t="shared" ref="Y671:Z674" si="85">I671+K671+S671+U671+Q671</f>
        <v>735</v>
      </c>
      <c r="Z671" s="37">
        <f t="shared" si="85"/>
        <v>1933.05</v>
      </c>
    </row>
    <row r="672" spans="1:26" ht="37" x14ac:dyDescent="0.2">
      <c r="A672" s="3" t="s">
        <v>763</v>
      </c>
      <c r="B672" s="3">
        <v>10</v>
      </c>
      <c r="C672" s="3" t="s">
        <v>782</v>
      </c>
      <c r="D672" s="8" t="s">
        <v>36</v>
      </c>
      <c r="E672" s="13" t="s">
        <v>783</v>
      </c>
      <c r="F672" s="9">
        <v>7.12</v>
      </c>
      <c r="G672" s="10">
        <v>97.5</v>
      </c>
      <c r="H672" s="11">
        <f t="shared" si="81"/>
        <v>694.2</v>
      </c>
      <c r="I672" s="3"/>
      <c r="J672" s="53"/>
      <c r="K672" s="57">
        <f>30+32.5</f>
        <v>62.5</v>
      </c>
      <c r="L672" s="53">
        <f t="shared" si="82"/>
        <v>445</v>
      </c>
      <c r="M672" s="57"/>
      <c r="N672" s="53"/>
      <c r="O672" s="59"/>
      <c r="P672" s="53"/>
      <c r="Q672" s="69"/>
      <c r="R672" s="53"/>
      <c r="S672" s="57">
        <f t="shared" ref="S672" si="86">22.5</f>
        <v>22.5</v>
      </c>
      <c r="T672" s="66">
        <f>F672*S672</f>
        <v>160.19999999999999</v>
      </c>
      <c r="U672" s="57">
        <f t="shared" ref="U672" si="87">12.5</f>
        <v>12.5</v>
      </c>
      <c r="V672" s="66">
        <f>F672*U672</f>
        <v>89</v>
      </c>
      <c r="W672" s="69"/>
      <c r="X672" s="66"/>
      <c r="Y672" s="36">
        <f t="shared" si="85"/>
        <v>97.5</v>
      </c>
      <c r="Z672" s="37">
        <f t="shared" si="85"/>
        <v>694.2</v>
      </c>
    </row>
    <row r="673" spans="1:26" ht="49" x14ac:dyDescent="0.2">
      <c r="A673" s="3" t="s">
        <v>763</v>
      </c>
      <c r="B673" s="3">
        <v>11</v>
      </c>
      <c r="C673" s="3" t="s">
        <v>784</v>
      </c>
      <c r="D673" s="8" t="s">
        <v>36</v>
      </c>
      <c r="E673" s="13" t="s">
        <v>785</v>
      </c>
      <c r="F673" s="9">
        <v>2.2599999999999998</v>
      </c>
      <c r="G673" s="10">
        <v>812.75</v>
      </c>
      <c r="H673" s="11">
        <f t="shared" si="81"/>
        <v>1836.82</v>
      </c>
      <c r="I673" s="3"/>
      <c r="J673" s="53"/>
      <c r="K673" s="57">
        <f>G673*45%</f>
        <v>365.73750000000001</v>
      </c>
      <c r="L673" s="53">
        <f t="shared" si="82"/>
        <v>826.56674999999996</v>
      </c>
      <c r="M673" s="57"/>
      <c r="N673" s="53"/>
      <c r="O673" s="59"/>
      <c r="P673" s="53"/>
      <c r="Q673" s="69">
        <f>G673*15%</f>
        <v>121.91249999999999</v>
      </c>
      <c r="R673" s="53">
        <f>F673*Q673</f>
        <v>275.52224999999999</v>
      </c>
      <c r="S673" s="57">
        <f>G673*20%</f>
        <v>162.55000000000001</v>
      </c>
      <c r="T673" s="66">
        <f>F673*S673</f>
        <v>367.363</v>
      </c>
      <c r="U673" s="57">
        <f>G673*20%</f>
        <v>162.55000000000001</v>
      </c>
      <c r="V673" s="66">
        <f>F673*U673</f>
        <v>367.363</v>
      </c>
      <c r="W673" s="69"/>
      <c r="X673" s="66"/>
      <c r="Y673" s="36">
        <f t="shared" si="85"/>
        <v>812.75000000000011</v>
      </c>
      <c r="Z673" s="37">
        <f t="shared" si="85"/>
        <v>1836.8150000000001</v>
      </c>
    </row>
    <row r="674" spans="1:26" ht="49" x14ac:dyDescent="0.2">
      <c r="A674" s="3" t="s">
        <v>763</v>
      </c>
      <c r="B674" s="3">
        <v>12</v>
      </c>
      <c r="C674" s="3" t="s">
        <v>786</v>
      </c>
      <c r="D674" s="8" t="s">
        <v>36</v>
      </c>
      <c r="E674" s="13" t="s">
        <v>787</v>
      </c>
      <c r="F674" s="9">
        <v>2.65</v>
      </c>
      <c r="G674" s="10">
        <v>434.25</v>
      </c>
      <c r="H674" s="11">
        <f t="shared" si="81"/>
        <v>1150.76</v>
      </c>
      <c r="I674" s="3"/>
      <c r="J674" s="53"/>
      <c r="K674" s="57">
        <f>G674*45%</f>
        <v>195.41249999999999</v>
      </c>
      <c r="L674" s="53">
        <f t="shared" si="82"/>
        <v>517.84312499999999</v>
      </c>
      <c r="M674" s="57"/>
      <c r="N674" s="53"/>
      <c r="O674" s="59"/>
      <c r="P674" s="53"/>
      <c r="Q674" s="69">
        <f>G674*15%</f>
        <v>65.137500000000003</v>
      </c>
      <c r="R674" s="53">
        <f>F674*Q674</f>
        <v>172.614375</v>
      </c>
      <c r="S674" s="57">
        <f>G674*20%</f>
        <v>86.850000000000009</v>
      </c>
      <c r="T674" s="66">
        <f>F674*S674</f>
        <v>230.1525</v>
      </c>
      <c r="U674" s="57">
        <f>G674*20%</f>
        <v>86.850000000000009</v>
      </c>
      <c r="V674" s="66">
        <f>F674*U674</f>
        <v>230.1525</v>
      </c>
      <c r="W674" s="69"/>
      <c r="X674" s="66"/>
      <c r="Y674" s="36">
        <f t="shared" si="85"/>
        <v>434.25</v>
      </c>
      <c r="Z674" s="37">
        <f t="shared" si="85"/>
        <v>1150.7625</v>
      </c>
    </row>
    <row r="675" spans="1:26" x14ac:dyDescent="0.2">
      <c r="E675" s="81" t="s">
        <v>25</v>
      </c>
      <c r="F675" s="6"/>
      <c r="G675" s="6"/>
      <c r="H675" s="12">
        <f>SUM(H663:H674)</f>
        <v>28457.68</v>
      </c>
      <c r="I675" s="3"/>
      <c r="J675" s="54">
        <f>J667+J668</f>
        <v>1790.9639999999999</v>
      </c>
      <c r="K675" s="78"/>
      <c r="L675" s="54">
        <f>L663+L664+L665+L666+L669+L670+L671+L672+L673+L674</f>
        <v>12790.447375</v>
      </c>
      <c r="M675" s="78"/>
      <c r="N675" s="54">
        <f>N663+N664+N671+N672+N673+N674</f>
        <v>0</v>
      </c>
      <c r="O675" s="60"/>
      <c r="P675" s="71">
        <f>SUM(P662:P674)</f>
        <v>0</v>
      </c>
      <c r="Q675" s="79"/>
      <c r="R675" s="54">
        <f>R663+R664+R673+R674</f>
        <v>3296.8691250000002</v>
      </c>
      <c r="S675" s="78"/>
      <c r="T675" s="67">
        <f>T663+T664+T671+T672+T673+T674</f>
        <v>4753.2755000000006</v>
      </c>
      <c r="U675" s="78"/>
      <c r="V675" s="67">
        <f>V663+V664+V671+V672+V673+V674</f>
        <v>5826.125500000001</v>
      </c>
      <c r="W675" s="69"/>
      <c r="X675" s="66"/>
      <c r="Y675" s="3"/>
      <c r="Z675" s="37">
        <f>J675+L675+T675+V675+R675</f>
        <v>28457.681500000002</v>
      </c>
    </row>
    <row r="676" spans="1:26" x14ac:dyDescent="0.2">
      <c r="J676" s="53"/>
      <c r="K676" s="57"/>
      <c r="L676" s="53"/>
      <c r="M676" s="57"/>
      <c r="N676" s="53"/>
      <c r="O676" s="59"/>
      <c r="P676" s="53"/>
      <c r="Q676" s="69"/>
      <c r="R676" s="53"/>
      <c r="S676" s="57"/>
      <c r="T676" s="66"/>
      <c r="U676" s="57"/>
      <c r="V676" s="66"/>
      <c r="W676" s="69"/>
      <c r="X676" s="66"/>
    </row>
    <row r="677" spans="1:26" x14ac:dyDescent="0.2">
      <c r="C677" s="6" t="s">
        <v>6</v>
      </c>
      <c r="D677" s="7" t="s">
        <v>7</v>
      </c>
      <c r="E677" s="81" t="s">
        <v>8</v>
      </c>
      <c r="J677" s="53"/>
      <c r="K677" s="57"/>
      <c r="L677" s="53"/>
      <c r="M677" s="57"/>
      <c r="N677" s="53"/>
      <c r="O677" s="59"/>
      <c r="P677" s="53"/>
      <c r="Q677" s="69"/>
      <c r="R677" s="53"/>
      <c r="S677" s="57"/>
      <c r="T677" s="66"/>
      <c r="U677" s="57"/>
      <c r="V677" s="66"/>
      <c r="W677" s="69"/>
      <c r="X677" s="66"/>
    </row>
    <row r="678" spans="1:26" x14ac:dyDescent="0.2">
      <c r="C678" s="6" t="s">
        <v>9</v>
      </c>
      <c r="D678" s="7" t="s">
        <v>385</v>
      </c>
      <c r="E678" s="81" t="s">
        <v>588</v>
      </c>
      <c r="J678" s="53"/>
      <c r="K678" s="57"/>
      <c r="L678" s="53"/>
      <c r="M678" s="57"/>
      <c r="N678" s="53"/>
      <c r="O678" s="59"/>
      <c r="P678" s="53"/>
      <c r="Q678" s="69"/>
      <c r="R678" s="53"/>
      <c r="S678" s="57"/>
      <c r="T678" s="66"/>
      <c r="U678" s="57"/>
      <c r="V678" s="66"/>
      <c r="W678" s="69"/>
      <c r="X678" s="66"/>
    </row>
    <row r="679" spans="1:26" x14ac:dyDescent="0.2">
      <c r="C679" s="6" t="s">
        <v>11</v>
      </c>
      <c r="D679" s="7" t="s">
        <v>385</v>
      </c>
      <c r="E679" s="81" t="s">
        <v>748</v>
      </c>
      <c r="J679" s="53"/>
      <c r="K679" s="57"/>
      <c r="L679" s="53"/>
      <c r="M679" s="57"/>
      <c r="N679" s="53"/>
      <c r="O679" s="59"/>
      <c r="P679" s="53"/>
      <c r="Q679" s="69"/>
      <c r="R679" s="53"/>
      <c r="S679" s="57"/>
      <c r="T679" s="66"/>
      <c r="U679" s="57"/>
      <c r="V679" s="66"/>
      <c r="W679" s="69"/>
      <c r="X679" s="66"/>
    </row>
    <row r="680" spans="1:26" x14ac:dyDescent="0.2">
      <c r="C680" s="6" t="s">
        <v>91</v>
      </c>
      <c r="D680" s="7" t="s">
        <v>72</v>
      </c>
      <c r="E680" s="81" t="s">
        <v>788</v>
      </c>
      <c r="J680" s="53"/>
      <c r="K680" s="57"/>
      <c r="L680" s="53"/>
      <c r="M680" s="57"/>
      <c r="N680" s="53"/>
      <c r="O680" s="59"/>
      <c r="P680" s="53"/>
      <c r="Q680" s="69"/>
      <c r="R680" s="53"/>
      <c r="S680" s="57"/>
      <c r="T680" s="66"/>
      <c r="U680" s="57"/>
      <c r="V680" s="66"/>
      <c r="W680" s="69"/>
      <c r="X680" s="66"/>
    </row>
    <row r="681" spans="1:26" x14ac:dyDescent="0.2">
      <c r="J681" s="53"/>
      <c r="K681" s="57"/>
      <c r="L681" s="53"/>
      <c r="M681" s="57"/>
      <c r="N681" s="53"/>
      <c r="O681" s="59"/>
      <c r="P681" s="53"/>
      <c r="Q681" s="69"/>
      <c r="R681" s="53"/>
      <c r="S681" s="57"/>
      <c r="T681" s="66"/>
      <c r="U681" s="57"/>
      <c r="V681" s="66"/>
      <c r="W681" s="69"/>
      <c r="X681" s="66"/>
    </row>
    <row r="682" spans="1:26" ht="49" x14ac:dyDescent="0.2">
      <c r="A682" s="3" t="s">
        <v>789</v>
      </c>
      <c r="B682" s="3">
        <v>1</v>
      </c>
      <c r="C682" s="3" t="s">
        <v>790</v>
      </c>
      <c r="D682" s="8" t="s">
        <v>23</v>
      </c>
      <c r="E682" s="13" t="s">
        <v>791</v>
      </c>
      <c r="F682" s="9">
        <v>209.64</v>
      </c>
      <c r="G682" s="10">
        <v>27</v>
      </c>
      <c r="H682" s="11">
        <f t="shared" ref="H682:H691" si="88">ROUND(ROUND(F682,2)*ROUND(G682,3),2)</f>
        <v>5660.28</v>
      </c>
      <c r="I682" s="3"/>
      <c r="J682" s="53"/>
      <c r="K682" s="57">
        <f>13</f>
        <v>13</v>
      </c>
      <c r="L682" s="53">
        <f>F682*K682</f>
        <v>2725.3199999999997</v>
      </c>
      <c r="M682" s="57"/>
      <c r="N682" s="53"/>
      <c r="O682" s="59"/>
      <c r="P682" s="53"/>
      <c r="Q682" s="69"/>
      <c r="R682" s="53"/>
      <c r="S682" s="57">
        <f t="shared" ref="S682" si="89">9</f>
        <v>9</v>
      </c>
      <c r="T682" s="66">
        <f>F682*S682</f>
        <v>1886.7599999999998</v>
      </c>
      <c r="U682" s="57">
        <f t="shared" ref="U682:U685" si="90">5</f>
        <v>5</v>
      </c>
      <c r="V682" s="66">
        <f>F682*U682</f>
        <v>1048.1999999999998</v>
      </c>
      <c r="W682" s="69"/>
      <c r="X682" s="66"/>
      <c r="Y682" s="36">
        <f>I682+K682+S682+U682+Q682</f>
        <v>27</v>
      </c>
      <c r="Z682" s="37">
        <f>J682+L682+T682+V682+R682</f>
        <v>5660.28</v>
      </c>
    </row>
    <row r="683" spans="1:26" ht="61" x14ac:dyDescent="0.2">
      <c r="A683" s="3" t="s">
        <v>789</v>
      </c>
      <c r="B683" s="3">
        <v>2</v>
      </c>
      <c r="C683" s="3" t="s">
        <v>792</v>
      </c>
      <c r="D683" s="8" t="s">
        <v>23</v>
      </c>
      <c r="E683" s="13" t="s">
        <v>793</v>
      </c>
      <c r="F683" s="9">
        <v>274.44</v>
      </c>
      <c r="G683" s="10">
        <v>2</v>
      </c>
      <c r="H683" s="11">
        <f t="shared" si="88"/>
        <v>548.88</v>
      </c>
      <c r="I683" s="3"/>
      <c r="J683" s="53"/>
      <c r="K683" s="77"/>
      <c r="L683" s="53"/>
      <c r="M683" s="77"/>
      <c r="N683" s="53"/>
      <c r="O683" s="59"/>
      <c r="P683" s="53"/>
      <c r="Q683" s="69">
        <f>G683</f>
        <v>2</v>
      </c>
      <c r="R683" s="53">
        <f>F683*Q683</f>
        <v>548.88</v>
      </c>
      <c r="S683" s="77"/>
      <c r="T683" s="66"/>
      <c r="U683" s="77"/>
      <c r="V683" s="66"/>
      <c r="W683" s="69"/>
      <c r="X683" s="66"/>
      <c r="Y683" s="3"/>
    </row>
    <row r="684" spans="1:26" x14ac:dyDescent="0.2">
      <c r="A684" s="3" t="s">
        <v>789</v>
      </c>
      <c r="B684" s="3">
        <v>3</v>
      </c>
      <c r="C684" s="3" t="s">
        <v>794</v>
      </c>
      <c r="D684" s="8" t="s">
        <v>23</v>
      </c>
      <c r="E684" s="13" t="s">
        <v>795</v>
      </c>
      <c r="F684" s="9">
        <v>14.9</v>
      </c>
      <c r="G684" s="10">
        <v>8</v>
      </c>
      <c r="H684" s="11">
        <f t="shared" si="88"/>
        <v>119.2</v>
      </c>
      <c r="I684" s="3"/>
      <c r="J684" s="53"/>
      <c r="K684" s="57">
        <f>6</f>
        <v>6</v>
      </c>
      <c r="L684" s="53">
        <f>F684*K684</f>
        <v>89.4</v>
      </c>
      <c r="M684" s="57"/>
      <c r="N684" s="53"/>
      <c r="O684" s="59"/>
      <c r="P684" s="53"/>
      <c r="Q684" s="69"/>
      <c r="R684" s="53"/>
      <c r="S684" s="57">
        <f t="shared" ref="S684:U691" si="91">2</f>
        <v>2</v>
      </c>
      <c r="T684" s="66">
        <f>F684*S684</f>
        <v>29.8</v>
      </c>
      <c r="U684" s="77"/>
      <c r="V684" s="66"/>
      <c r="W684" s="69"/>
      <c r="X684" s="66"/>
      <c r="Y684" s="36">
        <f>I684+K684+S684+U684+Q684</f>
        <v>8</v>
      </c>
      <c r="Z684" s="37">
        <f>J684+L684+T684+V684+R684</f>
        <v>119.2</v>
      </c>
    </row>
    <row r="685" spans="1:26" x14ac:dyDescent="0.2">
      <c r="A685" s="3" t="s">
        <v>789</v>
      </c>
      <c r="B685" s="3">
        <v>4</v>
      </c>
      <c r="C685" s="3" t="s">
        <v>796</v>
      </c>
      <c r="D685" s="8" t="s">
        <v>23</v>
      </c>
      <c r="E685" s="13" t="s">
        <v>797</v>
      </c>
      <c r="F685" s="9">
        <v>18.43</v>
      </c>
      <c r="G685" s="10">
        <v>8</v>
      </c>
      <c r="H685" s="11">
        <f t="shared" si="88"/>
        <v>147.44</v>
      </c>
      <c r="I685" s="3"/>
      <c r="J685" s="53"/>
      <c r="K685" s="77"/>
      <c r="L685" s="53"/>
      <c r="M685" s="57"/>
      <c r="N685" s="53"/>
      <c r="O685" s="59"/>
      <c r="P685" s="53"/>
      <c r="Q685" s="69"/>
      <c r="R685" s="53"/>
      <c r="S685" s="57">
        <f t="shared" ref="S685" si="92">3</f>
        <v>3</v>
      </c>
      <c r="T685" s="66">
        <f>F685*S685</f>
        <v>55.29</v>
      </c>
      <c r="U685" s="57">
        <f t="shared" si="90"/>
        <v>5</v>
      </c>
      <c r="V685" s="66">
        <f>F685*U685</f>
        <v>92.15</v>
      </c>
      <c r="W685" s="69"/>
      <c r="X685" s="66"/>
      <c r="Y685" s="36">
        <f>I685+K685+S685+U685+Q685</f>
        <v>8</v>
      </c>
      <c r="Z685" s="37">
        <f>J685+L685+T685+V685+R685</f>
        <v>147.44</v>
      </c>
    </row>
    <row r="686" spans="1:26" ht="25" x14ac:dyDescent="0.2">
      <c r="A686" s="3" t="s">
        <v>789</v>
      </c>
      <c r="B686" s="3">
        <v>5</v>
      </c>
      <c r="C686" s="3" t="s">
        <v>798</v>
      </c>
      <c r="D686" s="8" t="s">
        <v>23</v>
      </c>
      <c r="E686" s="13" t="s">
        <v>799</v>
      </c>
      <c r="F686" s="9">
        <v>14.72</v>
      </c>
      <c r="G686" s="10">
        <v>8</v>
      </c>
      <c r="H686" s="11">
        <f t="shared" si="88"/>
        <v>117.76</v>
      </c>
      <c r="I686" s="3"/>
      <c r="J686" s="53"/>
      <c r="K686" s="77"/>
      <c r="L686" s="53"/>
      <c r="M686" s="77"/>
      <c r="N686" s="53"/>
      <c r="O686" s="59"/>
      <c r="P686" s="53"/>
      <c r="Q686" s="69"/>
      <c r="R686" s="53"/>
      <c r="S686" s="77"/>
      <c r="T686" s="66"/>
      <c r="U686" s="57">
        <f t="shared" ref="U686:U689" si="93">8</f>
        <v>8</v>
      </c>
      <c r="V686" s="66">
        <f>F686*U686</f>
        <v>117.76</v>
      </c>
      <c r="W686" s="69"/>
      <c r="X686" s="66"/>
      <c r="Y686" s="3"/>
    </row>
    <row r="687" spans="1:26" ht="37" x14ac:dyDescent="0.2">
      <c r="A687" s="3" t="s">
        <v>789</v>
      </c>
      <c r="B687" s="3">
        <v>6</v>
      </c>
      <c r="C687" s="3" t="s">
        <v>800</v>
      </c>
      <c r="D687" s="8" t="s">
        <v>23</v>
      </c>
      <c r="E687" s="13" t="s">
        <v>801</v>
      </c>
      <c r="F687" s="9">
        <v>82.74</v>
      </c>
      <c r="G687" s="10">
        <v>5</v>
      </c>
      <c r="H687" s="11">
        <f t="shared" si="88"/>
        <v>413.7</v>
      </c>
      <c r="I687" s="3"/>
      <c r="J687" s="53"/>
      <c r="K687" s="57">
        <f>2</f>
        <v>2</v>
      </c>
      <c r="L687" s="53">
        <f>F687*K687</f>
        <v>165.48</v>
      </c>
      <c r="M687" s="57"/>
      <c r="N687" s="53"/>
      <c r="O687" s="59"/>
      <c r="P687" s="53"/>
      <c r="Q687" s="69"/>
      <c r="R687" s="53"/>
      <c r="S687" s="57">
        <f t="shared" ref="S687:S689" si="94">3</f>
        <v>3</v>
      </c>
      <c r="T687" s="66">
        <f>F687*S687</f>
        <v>248.21999999999997</v>
      </c>
      <c r="U687" s="77"/>
      <c r="V687" s="66"/>
      <c r="W687" s="69"/>
      <c r="X687" s="66"/>
      <c r="Y687" s="36">
        <f>I687+K687+S687+U687+Q687</f>
        <v>5</v>
      </c>
      <c r="Z687" s="37">
        <f>J687+L687+T687+V687+R687</f>
        <v>413.69999999999993</v>
      </c>
    </row>
    <row r="688" spans="1:26" ht="25" x14ac:dyDescent="0.2">
      <c r="A688" s="3" t="s">
        <v>789</v>
      </c>
      <c r="B688" s="3">
        <v>7</v>
      </c>
      <c r="C688" s="3" t="s">
        <v>802</v>
      </c>
      <c r="D688" s="8" t="s">
        <v>23</v>
      </c>
      <c r="E688" s="13" t="s">
        <v>803</v>
      </c>
      <c r="F688" s="9">
        <v>18.59</v>
      </c>
      <c r="G688" s="10">
        <v>50</v>
      </c>
      <c r="H688" s="11">
        <f t="shared" si="88"/>
        <v>929.5</v>
      </c>
      <c r="I688" s="3"/>
      <c r="J688" s="53"/>
      <c r="K688" s="57">
        <f t="shared" ref="K688" si="95">25</f>
        <v>25</v>
      </c>
      <c r="L688" s="53">
        <f>F688*K688</f>
        <v>464.75</v>
      </c>
      <c r="M688" s="57"/>
      <c r="N688" s="53"/>
      <c r="O688" s="59"/>
      <c r="P688" s="53"/>
      <c r="Q688" s="69"/>
      <c r="R688" s="53"/>
      <c r="S688" s="57">
        <f>10</f>
        <v>10</v>
      </c>
      <c r="T688" s="66">
        <f>F688*S688</f>
        <v>185.9</v>
      </c>
      <c r="U688" s="57">
        <f>15</f>
        <v>15</v>
      </c>
      <c r="V688" s="66">
        <f>F688*U688</f>
        <v>278.85000000000002</v>
      </c>
      <c r="W688" s="69"/>
      <c r="X688" s="66"/>
      <c r="Y688" s="36">
        <f>K688+S688+U688</f>
        <v>50</v>
      </c>
      <c r="Z688" s="37">
        <f>J688+L688+T688+V688+R688</f>
        <v>929.5</v>
      </c>
    </row>
    <row r="689" spans="1:26" ht="61" x14ac:dyDescent="0.2">
      <c r="A689" s="3" t="s">
        <v>789</v>
      </c>
      <c r="B689" s="3">
        <v>8</v>
      </c>
      <c r="C689" s="3" t="s">
        <v>804</v>
      </c>
      <c r="D689" s="8" t="s">
        <v>23</v>
      </c>
      <c r="E689" s="13" t="s">
        <v>805</v>
      </c>
      <c r="F689" s="9">
        <v>55.36</v>
      </c>
      <c r="G689" s="10">
        <v>11</v>
      </c>
      <c r="H689" s="11">
        <f t="shared" si="88"/>
        <v>608.96</v>
      </c>
      <c r="J689" s="53"/>
      <c r="K689" s="57"/>
      <c r="L689" s="53"/>
      <c r="M689" s="57"/>
      <c r="N689" s="53"/>
      <c r="O689" s="59"/>
      <c r="P689" s="53"/>
      <c r="Q689" s="69"/>
      <c r="R689" s="53"/>
      <c r="S689" s="57">
        <f t="shared" si="94"/>
        <v>3</v>
      </c>
      <c r="T689" s="66">
        <f>F689*S689</f>
        <v>166.07999999999998</v>
      </c>
      <c r="U689" s="57">
        <f t="shared" si="93"/>
        <v>8</v>
      </c>
      <c r="V689" s="66">
        <f>F689*U689</f>
        <v>442.88</v>
      </c>
      <c r="W689" s="69"/>
      <c r="X689" s="66"/>
      <c r="Y689" s="36">
        <f>K689+S689+U689</f>
        <v>11</v>
      </c>
      <c r="Z689" s="37">
        <f>J689+L689+T689+V689+R689</f>
        <v>608.96</v>
      </c>
    </row>
    <row r="690" spans="1:26" ht="25" x14ac:dyDescent="0.2">
      <c r="A690" s="3" t="s">
        <v>789</v>
      </c>
      <c r="B690" s="3">
        <v>9</v>
      </c>
      <c r="C690" s="3" t="s">
        <v>806</v>
      </c>
      <c r="D690" s="8" t="s">
        <v>23</v>
      </c>
      <c r="E690" s="13" t="s">
        <v>807</v>
      </c>
      <c r="F690" s="9">
        <v>19.89</v>
      </c>
      <c r="G690" s="10">
        <v>5</v>
      </c>
      <c r="H690" s="11">
        <f t="shared" si="88"/>
        <v>99.45</v>
      </c>
      <c r="I690" s="3"/>
      <c r="J690" s="53"/>
      <c r="K690" s="57">
        <f>G690</f>
        <v>5</v>
      </c>
      <c r="L690" s="53">
        <f>F690*K690</f>
        <v>99.45</v>
      </c>
      <c r="M690" s="77"/>
      <c r="N690" s="53"/>
      <c r="O690" s="59"/>
      <c r="P690" s="53"/>
      <c r="Q690" s="69"/>
      <c r="R690" s="53"/>
      <c r="S690" s="77"/>
      <c r="T690" s="66"/>
      <c r="U690" s="77"/>
      <c r="V690" s="66"/>
      <c r="W690" s="69"/>
      <c r="X690" s="66"/>
      <c r="Y690" s="3"/>
    </row>
    <row r="691" spans="1:26" ht="73" x14ac:dyDescent="0.2">
      <c r="A691" s="3" t="s">
        <v>789</v>
      </c>
      <c r="B691" s="3">
        <v>10</v>
      </c>
      <c r="C691" s="3" t="s">
        <v>808</v>
      </c>
      <c r="D691" s="8" t="s">
        <v>23</v>
      </c>
      <c r="E691" s="13" t="s">
        <v>809</v>
      </c>
      <c r="F691" s="9">
        <v>451.6</v>
      </c>
      <c r="G691" s="10">
        <v>3</v>
      </c>
      <c r="H691" s="11">
        <f t="shared" si="88"/>
        <v>1354.8</v>
      </c>
      <c r="I691" s="3"/>
      <c r="J691" s="53"/>
      <c r="K691" s="77"/>
      <c r="L691" s="53"/>
      <c r="M691" s="57"/>
      <c r="N691" s="53"/>
      <c r="O691" s="59"/>
      <c r="P691" s="53"/>
      <c r="Q691" s="69"/>
      <c r="R691" s="53"/>
      <c r="S691" s="57">
        <f>1</f>
        <v>1</v>
      </c>
      <c r="T691" s="66">
        <f>F691*S691</f>
        <v>451.6</v>
      </c>
      <c r="U691" s="57">
        <f t="shared" si="91"/>
        <v>2</v>
      </c>
      <c r="V691" s="66">
        <f>F691*U691</f>
        <v>903.2</v>
      </c>
      <c r="W691" s="69"/>
      <c r="X691" s="66"/>
      <c r="Y691" s="36">
        <f>K691+S691+U691</f>
        <v>3</v>
      </c>
      <c r="Z691" s="37">
        <f>J691+L691+T691+V691+R691</f>
        <v>1354.8000000000002</v>
      </c>
    </row>
    <row r="692" spans="1:26" x14ac:dyDescent="0.2">
      <c r="E692" s="81" t="s">
        <v>25</v>
      </c>
      <c r="F692" s="6"/>
      <c r="G692" s="6"/>
      <c r="H692" s="12">
        <f>SUM(H682:H691)</f>
        <v>9999.9699999999993</v>
      </c>
      <c r="I692" s="3"/>
      <c r="J692" s="53"/>
      <c r="K692" s="77"/>
      <c r="L692" s="54">
        <f>L682+L684+L687+L688+L690</f>
        <v>3544.3999999999996</v>
      </c>
      <c r="M692" s="78"/>
      <c r="N692" s="54">
        <f>N682+N684+N685+N687+N688+N689+N691</f>
        <v>0</v>
      </c>
      <c r="O692" s="60"/>
      <c r="P692" s="71">
        <f>SUM(P679:P691)</f>
        <v>0</v>
      </c>
      <c r="Q692" s="79"/>
      <c r="R692" s="54">
        <f>R683</f>
        <v>548.88</v>
      </c>
      <c r="S692" s="78"/>
      <c r="T692" s="67">
        <f>T682+T684+T685+T687+T688+T689+T691</f>
        <v>3023.6499999999996</v>
      </c>
      <c r="U692" s="78"/>
      <c r="V692" s="67">
        <f>V682+V685+V686+V688+V689+V691</f>
        <v>2883.04</v>
      </c>
      <c r="W692" s="69"/>
      <c r="X692" s="66"/>
      <c r="Y692" s="3"/>
      <c r="Z692" s="37">
        <f>J692+L692+T692+V692+R692</f>
        <v>9999.9699999999993</v>
      </c>
    </row>
    <row r="693" spans="1:26" x14ac:dyDescent="0.2">
      <c r="J693" s="53"/>
      <c r="K693" s="57"/>
      <c r="L693" s="53"/>
      <c r="M693" s="57"/>
      <c r="N693" s="53"/>
      <c r="O693" s="59"/>
      <c r="P693" s="53"/>
      <c r="Q693" s="69"/>
      <c r="R693" s="53"/>
      <c r="S693" s="57"/>
      <c r="T693" s="66"/>
      <c r="U693" s="57"/>
      <c r="V693" s="66"/>
      <c r="W693" s="69"/>
      <c r="X693" s="66"/>
    </row>
    <row r="694" spans="1:26" x14ac:dyDescent="0.2">
      <c r="C694" s="6" t="s">
        <v>6</v>
      </c>
      <c r="D694" s="7" t="s">
        <v>7</v>
      </c>
      <c r="E694" s="81" t="s">
        <v>8</v>
      </c>
      <c r="J694" s="53"/>
      <c r="K694" s="57"/>
      <c r="L694" s="53"/>
      <c r="M694" s="57"/>
      <c r="N694" s="53"/>
      <c r="O694" s="59"/>
      <c r="P694" s="53"/>
      <c r="Q694" s="69"/>
      <c r="R694" s="53"/>
      <c r="S694" s="57"/>
      <c r="T694" s="66"/>
      <c r="U694" s="57"/>
      <c r="V694" s="66"/>
      <c r="W694" s="69"/>
      <c r="X694" s="66"/>
    </row>
    <row r="695" spans="1:26" x14ac:dyDescent="0.2">
      <c r="C695" s="6" t="s">
        <v>9</v>
      </c>
      <c r="D695" s="7" t="s">
        <v>385</v>
      </c>
      <c r="E695" s="81" t="s">
        <v>588</v>
      </c>
      <c r="J695" s="53"/>
      <c r="K695" s="57"/>
      <c r="L695" s="53"/>
      <c r="M695" s="57"/>
      <c r="N695" s="53"/>
      <c r="O695" s="59"/>
      <c r="P695" s="53"/>
      <c r="Q695" s="69"/>
      <c r="R695" s="53"/>
      <c r="S695" s="57"/>
      <c r="T695" s="66"/>
      <c r="U695" s="57"/>
      <c r="V695" s="66"/>
      <c r="W695" s="69"/>
      <c r="X695" s="66"/>
    </row>
    <row r="696" spans="1:26" x14ac:dyDescent="0.2">
      <c r="C696" s="6" t="s">
        <v>11</v>
      </c>
      <c r="D696" s="7" t="s">
        <v>385</v>
      </c>
      <c r="E696" s="81" t="s">
        <v>748</v>
      </c>
      <c r="J696" s="53"/>
      <c r="K696" s="57"/>
      <c r="L696" s="53"/>
      <c r="M696" s="57"/>
      <c r="N696" s="53"/>
      <c r="O696" s="59"/>
      <c r="P696" s="53"/>
      <c r="Q696" s="69"/>
      <c r="R696" s="53"/>
      <c r="S696" s="57"/>
      <c r="T696" s="66"/>
      <c r="U696" s="57"/>
      <c r="V696" s="66"/>
      <c r="W696" s="69"/>
      <c r="X696" s="66"/>
    </row>
    <row r="697" spans="1:26" x14ac:dyDescent="0.2">
      <c r="C697" s="6" t="s">
        <v>91</v>
      </c>
      <c r="D697" s="7" t="s">
        <v>153</v>
      </c>
      <c r="E697" s="81" t="s">
        <v>810</v>
      </c>
      <c r="J697" s="53"/>
      <c r="K697" s="57"/>
      <c r="L697" s="53"/>
      <c r="M697" s="57"/>
      <c r="N697" s="53"/>
      <c r="O697" s="59"/>
      <c r="P697" s="53"/>
      <c r="Q697" s="69"/>
      <c r="R697" s="53"/>
      <c r="S697" s="57"/>
      <c r="T697" s="66"/>
      <c r="U697" s="57"/>
      <c r="V697" s="66"/>
      <c r="W697" s="69"/>
      <c r="X697" s="66"/>
    </row>
    <row r="698" spans="1:26" x14ac:dyDescent="0.2">
      <c r="J698" s="53"/>
      <c r="K698" s="57"/>
      <c r="L698" s="53"/>
      <c r="M698" s="57"/>
      <c r="N698" s="53"/>
      <c r="O698" s="59"/>
      <c r="P698" s="53"/>
      <c r="Q698" s="69"/>
      <c r="R698" s="53"/>
      <c r="S698" s="57"/>
      <c r="T698" s="66"/>
      <c r="U698" s="57"/>
      <c r="V698" s="66"/>
      <c r="W698" s="69"/>
      <c r="X698" s="66"/>
    </row>
    <row r="699" spans="1:26" ht="229" x14ac:dyDescent="0.2">
      <c r="A699" s="3" t="s">
        <v>811</v>
      </c>
      <c r="B699" s="3">
        <v>1</v>
      </c>
      <c r="C699" s="3" t="s">
        <v>812</v>
      </c>
      <c r="D699" s="8" t="s">
        <v>23</v>
      </c>
      <c r="E699" s="13" t="s">
        <v>813</v>
      </c>
      <c r="F699" s="9">
        <v>6639.14</v>
      </c>
      <c r="G699" s="10">
        <v>1</v>
      </c>
      <c r="H699" s="11">
        <f t="shared" ref="H699:H704" si="96">ROUND(ROUND(F699,2)*ROUND(G699,3),2)</f>
        <v>6639.14</v>
      </c>
      <c r="I699" s="36">
        <v>1</v>
      </c>
      <c r="J699" s="53">
        <v>6639.14</v>
      </c>
      <c r="K699" s="57"/>
      <c r="L699" s="53"/>
      <c r="M699" s="57"/>
      <c r="N699" s="53"/>
      <c r="O699" s="59"/>
      <c r="P699" s="53"/>
      <c r="Q699" s="69"/>
      <c r="R699" s="53"/>
      <c r="S699" s="57"/>
      <c r="T699" s="66"/>
      <c r="U699" s="57"/>
      <c r="V699" s="66"/>
      <c r="W699" s="69"/>
      <c r="X699" s="66"/>
    </row>
    <row r="700" spans="1:26" ht="169" x14ac:dyDescent="0.2">
      <c r="A700" s="3" t="s">
        <v>811</v>
      </c>
      <c r="B700" s="3">
        <v>2</v>
      </c>
      <c r="C700" s="3" t="s">
        <v>814</v>
      </c>
      <c r="D700" s="8" t="s">
        <v>23</v>
      </c>
      <c r="E700" s="13" t="s">
        <v>815</v>
      </c>
      <c r="F700" s="9">
        <v>1071.27</v>
      </c>
      <c r="G700" s="10">
        <v>1</v>
      </c>
      <c r="H700" s="11">
        <f t="shared" si="96"/>
        <v>1071.27</v>
      </c>
      <c r="J700" s="53"/>
      <c r="K700" s="57"/>
      <c r="L700" s="53"/>
      <c r="M700" s="57"/>
      <c r="N700" s="53"/>
      <c r="O700" s="59"/>
      <c r="P700" s="53"/>
      <c r="Q700" s="69"/>
      <c r="R700" s="53"/>
      <c r="S700" s="57"/>
      <c r="T700" s="66"/>
      <c r="U700" s="57">
        <v>1</v>
      </c>
      <c r="V700" s="66">
        <v>1071.27</v>
      </c>
      <c r="W700" s="69"/>
      <c r="X700" s="66"/>
    </row>
    <row r="701" spans="1:26" ht="169" x14ac:dyDescent="0.2">
      <c r="A701" s="3" t="s">
        <v>811</v>
      </c>
      <c r="B701" s="3">
        <v>3</v>
      </c>
      <c r="C701" s="3" t="s">
        <v>816</v>
      </c>
      <c r="D701" s="8" t="s">
        <v>23</v>
      </c>
      <c r="E701" s="13" t="s">
        <v>817</v>
      </c>
      <c r="F701" s="9">
        <v>758.65</v>
      </c>
      <c r="G701" s="10">
        <v>1</v>
      </c>
      <c r="H701" s="11">
        <f t="shared" si="96"/>
        <v>758.65</v>
      </c>
      <c r="J701" s="53"/>
      <c r="K701" s="57"/>
      <c r="L701" s="53"/>
      <c r="M701" s="57"/>
      <c r="N701" s="53"/>
      <c r="O701" s="59"/>
      <c r="P701" s="53"/>
      <c r="Q701" s="69"/>
      <c r="R701" s="53"/>
      <c r="S701" s="57">
        <v>1</v>
      </c>
      <c r="T701" s="66">
        <v>758.65</v>
      </c>
      <c r="U701" s="57"/>
      <c r="V701" s="66"/>
      <c r="W701" s="69"/>
      <c r="X701" s="66"/>
    </row>
    <row r="702" spans="1:26" ht="49" x14ac:dyDescent="0.2">
      <c r="A702" s="3" t="s">
        <v>811</v>
      </c>
      <c r="B702" s="3">
        <v>4</v>
      </c>
      <c r="C702" s="3" t="s">
        <v>818</v>
      </c>
      <c r="D702" s="8" t="s">
        <v>23</v>
      </c>
      <c r="E702" s="13" t="s">
        <v>819</v>
      </c>
      <c r="F702" s="9">
        <v>202.59</v>
      </c>
      <c r="G702" s="10">
        <v>1</v>
      </c>
      <c r="H702" s="11">
        <f t="shared" si="96"/>
        <v>202.59</v>
      </c>
      <c r="I702" s="36">
        <v>1</v>
      </c>
      <c r="J702" s="53">
        <v>202.59</v>
      </c>
      <c r="K702" s="57"/>
      <c r="L702" s="53"/>
      <c r="M702" s="57"/>
      <c r="N702" s="53"/>
      <c r="O702" s="59"/>
      <c r="P702" s="53"/>
      <c r="Q702" s="69"/>
      <c r="R702" s="53"/>
      <c r="S702" s="57"/>
      <c r="T702" s="66"/>
      <c r="U702" s="57"/>
      <c r="V702" s="66"/>
      <c r="W702" s="69"/>
      <c r="X702" s="66"/>
    </row>
    <row r="703" spans="1:26" ht="73" x14ac:dyDescent="0.2">
      <c r="A703" s="3" t="s">
        <v>811</v>
      </c>
      <c r="B703" s="3">
        <v>5</v>
      </c>
      <c r="C703" s="3" t="s">
        <v>820</v>
      </c>
      <c r="D703" s="8" t="s">
        <v>23</v>
      </c>
      <c r="E703" s="13" t="s">
        <v>821</v>
      </c>
      <c r="F703" s="9">
        <v>308.55</v>
      </c>
      <c r="G703" s="10">
        <v>1</v>
      </c>
      <c r="H703" s="11">
        <f t="shared" si="96"/>
        <v>308.55</v>
      </c>
      <c r="I703" s="36">
        <v>1</v>
      </c>
      <c r="J703" s="53">
        <v>308.55</v>
      </c>
      <c r="K703" s="57"/>
      <c r="L703" s="53"/>
      <c r="M703" s="57"/>
      <c r="N703" s="53"/>
      <c r="O703" s="59"/>
      <c r="P703" s="53"/>
      <c r="Q703" s="69"/>
      <c r="R703" s="53"/>
      <c r="S703" s="57"/>
      <c r="T703" s="66"/>
      <c r="U703" s="57"/>
      <c r="V703" s="66"/>
      <c r="W703" s="69"/>
      <c r="X703" s="66"/>
    </row>
    <row r="704" spans="1:26" ht="25" x14ac:dyDescent="0.2">
      <c r="A704" s="3" t="s">
        <v>811</v>
      </c>
      <c r="B704" s="3">
        <v>6</v>
      </c>
      <c r="C704" s="3" t="s">
        <v>822</v>
      </c>
      <c r="D704" s="8" t="s">
        <v>23</v>
      </c>
      <c r="E704" s="13" t="s">
        <v>823</v>
      </c>
      <c r="F704" s="9">
        <v>27.98</v>
      </c>
      <c r="G704" s="10">
        <v>6</v>
      </c>
      <c r="H704" s="11">
        <f t="shared" si="96"/>
        <v>167.88</v>
      </c>
      <c r="I704" s="36">
        <v>6</v>
      </c>
      <c r="J704" s="53">
        <v>167.88</v>
      </c>
      <c r="K704" s="57"/>
      <c r="L704" s="53"/>
      <c r="M704" s="57"/>
      <c r="N704" s="53"/>
      <c r="O704" s="59"/>
      <c r="P704" s="53"/>
      <c r="Q704" s="69"/>
      <c r="R704" s="53"/>
      <c r="S704" s="57"/>
      <c r="T704" s="66"/>
      <c r="U704" s="57"/>
      <c r="V704" s="66"/>
      <c r="W704" s="69"/>
      <c r="X704" s="66"/>
    </row>
    <row r="705" spans="1:26" x14ac:dyDescent="0.2">
      <c r="E705" s="81" t="s">
        <v>25</v>
      </c>
      <c r="F705" s="6"/>
      <c r="G705" s="6"/>
      <c r="H705" s="12">
        <f>SUM(H699:H704)</f>
        <v>9148.0799999999981</v>
      </c>
      <c r="J705" s="54">
        <v>7318.16</v>
      </c>
      <c r="K705" s="58"/>
      <c r="L705" s="54"/>
      <c r="M705" s="58"/>
      <c r="N705" s="54">
        <v>0</v>
      </c>
      <c r="O705" s="60"/>
      <c r="P705" s="71">
        <f>SUM(P692:P704)</f>
        <v>0</v>
      </c>
      <c r="Q705" s="69"/>
      <c r="R705" s="53"/>
      <c r="S705" s="58"/>
      <c r="T705" s="67">
        <v>758.65</v>
      </c>
      <c r="U705" s="58"/>
      <c r="V705" s="67">
        <v>1071.27</v>
      </c>
      <c r="W705" s="69"/>
      <c r="X705" s="66"/>
      <c r="Z705" s="37">
        <v>9148.08</v>
      </c>
    </row>
    <row r="706" spans="1:26" x14ac:dyDescent="0.2">
      <c r="J706" s="53"/>
      <c r="K706" s="57"/>
      <c r="L706" s="53"/>
      <c r="M706" s="57"/>
      <c r="N706" s="53"/>
      <c r="O706" s="59"/>
      <c r="P706" s="53"/>
      <c r="Q706" s="69"/>
      <c r="R706" s="53"/>
      <c r="S706" s="57"/>
      <c r="T706" s="66"/>
      <c r="U706" s="57"/>
      <c r="V706" s="66"/>
      <c r="W706" s="69"/>
      <c r="X706" s="66"/>
    </row>
    <row r="707" spans="1:26" x14ac:dyDescent="0.2">
      <c r="C707" s="6" t="s">
        <v>6</v>
      </c>
      <c r="D707" s="7" t="s">
        <v>7</v>
      </c>
      <c r="E707" s="81" t="s">
        <v>8</v>
      </c>
      <c r="J707" s="53"/>
      <c r="K707" s="57"/>
      <c r="L707" s="53"/>
      <c r="M707" s="57"/>
      <c r="N707" s="53"/>
      <c r="O707" s="59"/>
      <c r="P707" s="53"/>
      <c r="Q707" s="69"/>
      <c r="R707" s="53"/>
      <c r="S707" s="57"/>
      <c r="T707" s="66"/>
      <c r="U707" s="57"/>
      <c r="V707" s="66"/>
      <c r="W707" s="69"/>
      <c r="X707" s="66"/>
    </row>
    <row r="708" spans="1:26" x14ac:dyDescent="0.2">
      <c r="C708" s="6" t="s">
        <v>9</v>
      </c>
      <c r="D708" s="7" t="s">
        <v>385</v>
      </c>
      <c r="E708" s="81" t="s">
        <v>588</v>
      </c>
      <c r="J708" s="53"/>
      <c r="K708" s="57"/>
      <c r="L708" s="53"/>
      <c r="M708" s="57"/>
      <c r="N708" s="53"/>
      <c r="O708" s="59"/>
      <c r="P708" s="53"/>
      <c r="Q708" s="69"/>
      <c r="R708" s="53"/>
      <c r="S708" s="57"/>
      <c r="T708" s="66"/>
      <c r="U708" s="57"/>
      <c r="V708" s="66"/>
      <c r="W708" s="69"/>
      <c r="X708" s="66"/>
    </row>
    <row r="709" spans="1:26" x14ac:dyDescent="0.2">
      <c r="C709" s="6" t="s">
        <v>11</v>
      </c>
      <c r="D709" s="7" t="s">
        <v>385</v>
      </c>
      <c r="E709" s="81" t="s">
        <v>748</v>
      </c>
      <c r="J709" s="53"/>
      <c r="K709" s="57"/>
      <c r="L709" s="53"/>
      <c r="M709" s="57"/>
      <c r="N709" s="53"/>
      <c r="O709" s="59"/>
      <c r="P709" s="53"/>
      <c r="Q709" s="69"/>
      <c r="R709" s="53"/>
      <c r="S709" s="57"/>
      <c r="T709" s="66"/>
      <c r="U709" s="57"/>
      <c r="V709" s="66"/>
      <c r="W709" s="69"/>
      <c r="X709" s="66"/>
    </row>
    <row r="710" spans="1:26" x14ac:dyDescent="0.2">
      <c r="C710" s="6" t="s">
        <v>91</v>
      </c>
      <c r="D710" s="7" t="s">
        <v>158</v>
      </c>
      <c r="E710" s="81" t="s">
        <v>824</v>
      </c>
      <c r="J710" s="53"/>
      <c r="K710" s="57"/>
      <c r="L710" s="53"/>
      <c r="M710" s="57"/>
      <c r="N710" s="53"/>
      <c r="O710" s="59"/>
      <c r="P710" s="53"/>
      <c r="Q710" s="69"/>
      <c r="R710" s="53"/>
      <c r="S710" s="57"/>
      <c r="T710" s="66"/>
      <c r="U710" s="57"/>
      <c r="V710" s="66"/>
      <c r="W710" s="69"/>
      <c r="X710" s="66"/>
    </row>
    <row r="711" spans="1:26" x14ac:dyDescent="0.2">
      <c r="J711" s="53"/>
      <c r="K711" s="57"/>
      <c r="L711" s="53"/>
      <c r="M711" s="57"/>
      <c r="N711" s="53"/>
      <c r="O711" s="59"/>
      <c r="P711" s="53"/>
      <c r="Q711" s="69"/>
      <c r="R711" s="53"/>
      <c r="S711" s="57"/>
      <c r="T711" s="66"/>
      <c r="U711" s="57"/>
      <c r="V711" s="66"/>
      <c r="W711" s="69"/>
      <c r="X711" s="66"/>
    </row>
    <row r="712" spans="1:26" ht="409.6" x14ac:dyDescent="0.2">
      <c r="A712" s="3" t="s">
        <v>825</v>
      </c>
      <c r="B712" s="3">
        <v>1</v>
      </c>
      <c r="C712" s="3" t="s">
        <v>826</v>
      </c>
      <c r="D712" s="8" t="s">
        <v>827</v>
      </c>
      <c r="E712" s="13" t="s">
        <v>828</v>
      </c>
      <c r="F712" s="9">
        <v>1080</v>
      </c>
      <c r="G712" s="10">
        <v>1</v>
      </c>
      <c r="H712" s="11">
        <f>ROUND(ROUND(F712,2)*ROUND(G712,3),2)</f>
        <v>1080</v>
      </c>
      <c r="I712" s="36">
        <f>G712</f>
        <v>1</v>
      </c>
      <c r="J712" s="53">
        <f>F712*I712</f>
        <v>1080</v>
      </c>
      <c r="K712" s="57"/>
      <c r="L712" s="53"/>
      <c r="M712" s="57"/>
      <c r="N712" s="53"/>
      <c r="O712" s="59"/>
      <c r="P712" s="53"/>
      <c r="Q712" s="69"/>
      <c r="R712" s="53"/>
      <c r="S712" s="57"/>
      <c r="T712" s="66"/>
      <c r="U712" s="57"/>
      <c r="V712" s="66"/>
      <c r="W712" s="69"/>
      <c r="X712" s="66"/>
    </row>
    <row r="713" spans="1:26" ht="25" x14ac:dyDescent="0.2">
      <c r="A713" s="3" t="s">
        <v>825</v>
      </c>
      <c r="B713" s="3">
        <v>2</v>
      </c>
      <c r="C713" s="3" t="s">
        <v>829</v>
      </c>
      <c r="D713" s="8" t="s">
        <v>625</v>
      </c>
      <c r="E713" s="13" t="s">
        <v>830</v>
      </c>
      <c r="F713" s="9">
        <v>216</v>
      </c>
      <c r="G713" s="10">
        <v>1</v>
      </c>
      <c r="H713" s="11">
        <f>ROUND(ROUND(F713,2)*ROUND(G713,3),2)</f>
        <v>216</v>
      </c>
      <c r="I713" s="36">
        <f>G713</f>
        <v>1</v>
      </c>
      <c r="J713" s="53">
        <f>F713*I713</f>
        <v>216</v>
      </c>
      <c r="K713" s="57"/>
      <c r="L713" s="53"/>
      <c r="M713" s="57"/>
      <c r="N713" s="53"/>
      <c r="O713" s="59"/>
      <c r="P713" s="53"/>
      <c r="Q713" s="69"/>
      <c r="R713" s="53"/>
      <c r="S713" s="57"/>
      <c r="T713" s="66"/>
      <c r="U713" s="57"/>
      <c r="V713" s="66"/>
      <c r="W713" s="69"/>
      <c r="X713" s="66"/>
    </row>
    <row r="714" spans="1:26" x14ac:dyDescent="0.2">
      <c r="E714" s="81" t="s">
        <v>25</v>
      </c>
      <c r="F714" s="6"/>
      <c r="G714" s="6"/>
      <c r="H714" s="12">
        <f>SUM(H712:H713)</f>
        <v>1296</v>
      </c>
      <c r="I714" s="3"/>
      <c r="J714" s="54">
        <f>J712+J713</f>
        <v>1296</v>
      </c>
      <c r="K714" s="57"/>
      <c r="L714" s="53"/>
      <c r="M714" s="57"/>
      <c r="N714" s="53"/>
      <c r="O714" s="59"/>
      <c r="P714" s="53"/>
      <c r="Q714" s="69"/>
      <c r="R714" s="53"/>
      <c r="S714" s="57"/>
      <c r="T714" s="66"/>
      <c r="U714" s="57"/>
      <c r="V714" s="66"/>
      <c r="W714" s="69"/>
      <c r="X714" s="66"/>
    </row>
    <row r="715" spans="1:26" x14ac:dyDescent="0.2">
      <c r="J715" s="53"/>
      <c r="K715" s="57"/>
      <c r="L715" s="53"/>
      <c r="M715" s="57"/>
      <c r="N715" s="53"/>
      <c r="O715" s="59"/>
      <c r="P715" s="53"/>
      <c r="Q715" s="69"/>
      <c r="R715" s="53"/>
      <c r="S715" s="57"/>
      <c r="T715" s="66"/>
      <c r="U715" s="57"/>
      <c r="V715" s="66"/>
      <c r="W715" s="69"/>
      <c r="X715" s="66"/>
    </row>
    <row r="716" spans="1:26" x14ac:dyDescent="0.2">
      <c r="C716" s="6" t="s">
        <v>6</v>
      </c>
      <c r="D716" s="7" t="s">
        <v>7</v>
      </c>
      <c r="E716" s="81" t="s">
        <v>8</v>
      </c>
      <c r="J716" s="53"/>
      <c r="K716" s="57"/>
      <c r="L716" s="53"/>
      <c r="M716" s="57"/>
      <c r="N716" s="53"/>
      <c r="O716" s="59"/>
      <c r="P716" s="53"/>
      <c r="Q716" s="69"/>
      <c r="R716" s="53"/>
      <c r="S716" s="57"/>
      <c r="T716" s="66"/>
      <c r="U716" s="57"/>
      <c r="V716" s="66"/>
      <c r="W716" s="69"/>
      <c r="X716" s="66"/>
    </row>
    <row r="717" spans="1:26" x14ac:dyDescent="0.2">
      <c r="C717" s="6" t="s">
        <v>9</v>
      </c>
      <c r="D717" s="7" t="s">
        <v>385</v>
      </c>
      <c r="E717" s="81" t="s">
        <v>588</v>
      </c>
      <c r="J717" s="53"/>
      <c r="K717" s="57"/>
      <c r="L717" s="53"/>
      <c r="M717" s="57"/>
      <c r="N717" s="53"/>
      <c r="O717" s="59"/>
      <c r="P717" s="53"/>
      <c r="Q717" s="69"/>
      <c r="R717" s="53"/>
      <c r="S717" s="57"/>
      <c r="T717" s="66"/>
      <c r="U717" s="57"/>
      <c r="V717" s="66"/>
      <c r="W717" s="69"/>
      <c r="X717" s="66"/>
    </row>
    <row r="718" spans="1:26" x14ac:dyDescent="0.2">
      <c r="C718" s="6" t="s">
        <v>11</v>
      </c>
      <c r="D718" s="7" t="s">
        <v>400</v>
      </c>
      <c r="E718" s="81" t="s">
        <v>831</v>
      </c>
      <c r="J718" s="53"/>
      <c r="K718" s="57"/>
      <c r="L718" s="53"/>
      <c r="M718" s="57"/>
      <c r="N718" s="53"/>
      <c r="O718" s="59"/>
      <c r="P718" s="53"/>
      <c r="Q718" s="69"/>
      <c r="R718" s="53"/>
      <c r="S718" s="57"/>
      <c r="T718" s="66"/>
      <c r="U718" s="57"/>
      <c r="V718" s="66"/>
      <c r="W718" s="69"/>
      <c r="X718" s="66"/>
    </row>
    <row r="719" spans="1:26" x14ac:dyDescent="0.2">
      <c r="J719" s="53"/>
      <c r="K719" s="57"/>
      <c r="L719" s="53"/>
      <c r="M719" s="57"/>
      <c r="N719" s="53"/>
      <c r="O719" s="59"/>
      <c r="P719" s="53"/>
      <c r="Q719" s="69"/>
      <c r="R719" s="53"/>
      <c r="S719" s="57"/>
      <c r="T719" s="66"/>
      <c r="U719" s="57"/>
      <c r="V719" s="66"/>
      <c r="W719" s="69"/>
      <c r="X719" s="66"/>
    </row>
    <row r="720" spans="1:26" ht="157" x14ac:dyDescent="0.2">
      <c r="A720" s="3" t="s">
        <v>832</v>
      </c>
      <c r="B720" s="3">
        <v>1</v>
      </c>
      <c r="C720" s="3" t="s">
        <v>833</v>
      </c>
      <c r="D720" s="8" t="s">
        <v>625</v>
      </c>
      <c r="E720" s="13" t="s">
        <v>834</v>
      </c>
      <c r="F720" s="9">
        <v>748.7</v>
      </c>
      <c r="G720" s="10">
        <v>15</v>
      </c>
      <c r="H720" s="11">
        <f t="shared" ref="H720:H728" si="97">ROUND(ROUND(F720,2)*ROUND(G720,3),2)</f>
        <v>11230.5</v>
      </c>
      <c r="I720" s="3"/>
      <c r="J720" s="53"/>
      <c r="K720" s="77"/>
      <c r="L720" s="53"/>
      <c r="M720" s="77"/>
      <c r="N720" s="53"/>
      <c r="O720" s="59"/>
      <c r="P720" s="53"/>
      <c r="Q720" s="69">
        <f>G720</f>
        <v>15</v>
      </c>
      <c r="R720" s="53">
        <f>F720*Q720</f>
        <v>11230.5</v>
      </c>
      <c r="S720" s="77"/>
      <c r="T720" s="66"/>
      <c r="U720" s="77"/>
      <c r="V720" s="66"/>
      <c r="W720" s="69"/>
      <c r="X720" s="66"/>
      <c r="Y720" s="3"/>
    </row>
    <row r="721" spans="1:26" ht="145" x14ac:dyDescent="0.2">
      <c r="A721" s="3" t="s">
        <v>832</v>
      </c>
      <c r="B721" s="3">
        <v>2</v>
      </c>
      <c r="C721" s="3" t="s">
        <v>835</v>
      </c>
      <c r="D721" s="8" t="s">
        <v>36</v>
      </c>
      <c r="E721" s="13" t="s">
        <v>836</v>
      </c>
      <c r="F721" s="9">
        <v>58.42</v>
      </c>
      <c r="G721" s="10">
        <v>56</v>
      </c>
      <c r="H721" s="11">
        <f t="shared" si="97"/>
        <v>3271.52</v>
      </c>
      <c r="I721" s="3"/>
      <c r="J721" s="53"/>
      <c r="K721" s="57">
        <f>G721</f>
        <v>56</v>
      </c>
      <c r="L721" s="53">
        <f>F721*K721</f>
        <v>3271.52</v>
      </c>
      <c r="M721" s="77"/>
      <c r="N721" s="53"/>
      <c r="O721" s="59"/>
      <c r="P721" s="53"/>
      <c r="Q721" s="69"/>
      <c r="R721" s="53"/>
      <c r="S721" s="77"/>
      <c r="T721" s="66"/>
      <c r="U721" s="77"/>
      <c r="V721" s="66"/>
      <c r="W721" s="69"/>
      <c r="X721" s="66"/>
      <c r="Y721" s="3"/>
    </row>
    <row r="722" spans="1:26" ht="133" x14ac:dyDescent="0.2">
      <c r="A722" s="3" t="s">
        <v>832</v>
      </c>
      <c r="B722" s="3">
        <v>3</v>
      </c>
      <c r="C722" s="3" t="s">
        <v>837</v>
      </c>
      <c r="D722" s="8" t="s">
        <v>625</v>
      </c>
      <c r="E722" s="13" t="s">
        <v>838</v>
      </c>
      <c r="F722" s="9">
        <v>104.51</v>
      </c>
      <c r="G722" s="10">
        <v>46</v>
      </c>
      <c r="H722" s="11">
        <f t="shared" si="97"/>
        <v>4807.46</v>
      </c>
      <c r="I722" s="3"/>
      <c r="J722" s="53"/>
      <c r="K722" s="57">
        <f>G722</f>
        <v>46</v>
      </c>
      <c r="L722" s="53">
        <f>F722*K722</f>
        <v>4807.46</v>
      </c>
      <c r="M722" s="77"/>
      <c r="N722" s="53"/>
      <c r="O722" s="59"/>
      <c r="P722" s="53"/>
      <c r="Q722" s="69"/>
      <c r="R722" s="53"/>
      <c r="S722" s="77"/>
      <c r="T722" s="66"/>
      <c r="U722" s="77"/>
      <c r="V722" s="66"/>
      <c r="W722" s="69"/>
      <c r="X722" s="66"/>
      <c r="Y722" s="3"/>
    </row>
    <row r="723" spans="1:26" ht="145" x14ac:dyDescent="0.2">
      <c r="A723" s="3" t="s">
        <v>832</v>
      </c>
      <c r="B723" s="3">
        <v>4</v>
      </c>
      <c r="C723" s="3" t="s">
        <v>839</v>
      </c>
      <c r="D723" s="8" t="s">
        <v>625</v>
      </c>
      <c r="E723" s="13" t="s">
        <v>840</v>
      </c>
      <c r="F723" s="9">
        <v>85.84</v>
      </c>
      <c r="G723" s="10">
        <v>6</v>
      </c>
      <c r="H723" s="11">
        <f t="shared" si="97"/>
        <v>515.04</v>
      </c>
      <c r="I723" s="3"/>
      <c r="J723" s="53"/>
      <c r="K723" s="77"/>
      <c r="L723" s="53"/>
      <c r="M723" s="57"/>
      <c r="N723" s="53"/>
      <c r="O723" s="59"/>
      <c r="P723" s="53"/>
      <c r="Q723" s="69"/>
      <c r="R723" s="53"/>
      <c r="S723" s="57">
        <f>G723</f>
        <v>6</v>
      </c>
      <c r="T723" s="66">
        <f>F723*S723</f>
        <v>515.04</v>
      </c>
      <c r="U723" s="77"/>
      <c r="V723" s="66"/>
      <c r="W723" s="69"/>
      <c r="X723" s="66"/>
      <c r="Y723" s="3"/>
    </row>
    <row r="724" spans="1:26" ht="145" x14ac:dyDescent="0.2">
      <c r="A724" s="3" t="s">
        <v>832</v>
      </c>
      <c r="B724" s="3">
        <v>5</v>
      </c>
      <c r="C724" s="3" t="s">
        <v>841</v>
      </c>
      <c r="D724" s="8" t="s">
        <v>625</v>
      </c>
      <c r="E724" s="13" t="s">
        <v>842</v>
      </c>
      <c r="F724" s="9">
        <v>102.54</v>
      </c>
      <c r="G724" s="10">
        <v>17</v>
      </c>
      <c r="H724" s="11">
        <f t="shared" si="97"/>
        <v>1743.18</v>
      </c>
      <c r="I724" s="3"/>
      <c r="J724" s="53"/>
      <c r="K724" s="57">
        <f>4</f>
        <v>4</v>
      </c>
      <c r="L724" s="53">
        <f>F724*K724</f>
        <v>410.16</v>
      </c>
      <c r="M724" s="57"/>
      <c r="N724" s="53"/>
      <c r="O724" s="59"/>
      <c r="P724" s="53"/>
      <c r="Q724" s="69"/>
      <c r="R724" s="53"/>
      <c r="S724" s="57">
        <f t="shared" ref="S724" si="98">9</f>
        <v>9</v>
      </c>
      <c r="T724" s="66">
        <f>F724*S724</f>
        <v>922.86</v>
      </c>
      <c r="U724" s="57">
        <f t="shared" ref="U724" si="99">4</f>
        <v>4</v>
      </c>
      <c r="V724" s="66">
        <f>F724*U724</f>
        <v>410.16</v>
      </c>
      <c r="W724" s="69"/>
      <c r="X724" s="66"/>
      <c r="Y724" s="36">
        <f>K724+S724+U724</f>
        <v>17</v>
      </c>
      <c r="Z724" s="37">
        <f>J724+L724+T724+V724+R724</f>
        <v>1743.18</v>
      </c>
    </row>
    <row r="725" spans="1:26" ht="145" x14ac:dyDescent="0.2">
      <c r="A725" s="3" t="s">
        <v>832</v>
      </c>
      <c r="B725" s="3">
        <v>6</v>
      </c>
      <c r="C725" s="3" t="s">
        <v>843</v>
      </c>
      <c r="D725" s="8" t="s">
        <v>625</v>
      </c>
      <c r="E725" s="13" t="s">
        <v>844</v>
      </c>
      <c r="F725" s="9">
        <v>171.56</v>
      </c>
      <c r="G725" s="10">
        <v>11</v>
      </c>
      <c r="H725" s="11">
        <f t="shared" si="97"/>
        <v>1887.16</v>
      </c>
      <c r="I725" s="3"/>
      <c r="J725" s="53"/>
      <c r="K725" s="77"/>
      <c r="L725" s="53"/>
      <c r="M725" s="57"/>
      <c r="N725" s="53"/>
      <c r="O725" s="59"/>
      <c r="P725" s="53"/>
      <c r="Q725" s="69"/>
      <c r="R725" s="53"/>
      <c r="S725" s="57">
        <f>G725</f>
        <v>11</v>
      </c>
      <c r="T725" s="66">
        <f>F725*S725</f>
        <v>1887.16</v>
      </c>
      <c r="U725" s="77"/>
      <c r="V725" s="66"/>
      <c r="W725" s="69"/>
      <c r="X725" s="66"/>
      <c r="Y725" s="3"/>
    </row>
    <row r="726" spans="1:26" ht="133" x14ac:dyDescent="0.2">
      <c r="A726" s="3" t="s">
        <v>832</v>
      </c>
      <c r="B726" s="3">
        <v>7</v>
      </c>
      <c r="C726" s="3" t="s">
        <v>845</v>
      </c>
      <c r="D726" s="8" t="s">
        <v>625</v>
      </c>
      <c r="E726" s="13" t="s">
        <v>846</v>
      </c>
      <c r="F726" s="9">
        <v>153.56</v>
      </c>
      <c r="G726" s="10">
        <v>20</v>
      </c>
      <c r="H726" s="11">
        <f t="shared" si="97"/>
        <v>3071.2</v>
      </c>
      <c r="I726" s="3"/>
      <c r="J726" s="53"/>
      <c r="K726" s="57">
        <f>14</f>
        <v>14</v>
      </c>
      <c r="L726" s="53">
        <f>F726*K726</f>
        <v>2149.84</v>
      </c>
      <c r="M726" s="77"/>
      <c r="N726" s="53"/>
      <c r="O726" s="59"/>
      <c r="P726" s="53"/>
      <c r="Q726" s="69"/>
      <c r="R726" s="53"/>
      <c r="S726" s="77"/>
      <c r="T726" s="66"/>
      <c r="U726" s="57">
        <f t="shared" ref="U726" si="100">6</f>
        <v>6</v>
      </c>
      <c r="V726" s="66">
        <f>F726*U726</f>
        <v>921.36</v>
      </c>
      <c r="W726" s="69"/>
      <c r="X726" s="66"/>
      <c r="Y726" s="36">
        <f>K726+S726+U726</f>
        <v>20</v>
      </c>
      <c r="Z726" s="37">
        <f>J726+L726+T726+V726+R726</f>
        <v>3071.2000000000003</v>
      </c>
    </row>
    <row r="727" spans="1:26" ht="133" x14ac:dyDescent="0.2">
      <c r="A727" s="3" t="s">
        <v>832</v>
      </c>
      <c r="B727" s="3">
        <v>8</v>
      </c>
      <c r="C727" s="3" t="s">
        <v>847</v>
      </c>
      <c r="D727" s="8" t="s">
        <v>625</v>
      </c>
      <c r="E727" s="13" t="s">
        <v>848</v>
      </c>
      <c r="F727" s="9">
        <v>72.75</v>
      </c>
      <c r="G727" s="10">
        <v>39</v>
      </c>
      <c r="H727" s="11">
        <f t="shared" si="97"/>
        <v>2837.25</v>
      </c>
      <c r="I727" s="3"/>
      <c r="J727" s="53"/>
      <c r="K727" s="77"/>
      <c r="L727" s="53"/>
      <c r="M727" s="57"/>
      <c r="N727" s="53"/>
      <c r="O727" s="59"/>
      <c r="P727" s="53"/>
      <c r="Q727" s="69">
        <f>34</f>
        <v>34</v>
      </c>
      <c r="R727" s="53">
        <f>F727*Q727</f>
        <v>2473.5</v>
      </c>
      <c r="S727" s="57">
        <f>5</f>
        <v>5</v>
      </c>
      <c r="T727" s="66">
        <f>F727*S727</f>
        <v>363.75</v>
      </c>
      <c r="U727" s="77"/>
      <c r="V727" s="66"/>
      <c r="W727" s="69"/>
      <c r="X727" s="66"/>
      <c r="Y727" s="36">
        <f>K727+S727+U727+Q727</f>
        <v>39</v>
      </c>
      <c r="Z727" s="37">
        <f>J727+L727+T727+V727+R727</f>
        <v>2837.25</v>
      </c>
    </row>
    <row r="728" spans="1:26" ht="229" x14ac:dyDescent="0.2">
      <c r="A728" s="3" t="s">
        <v>832</v>
      </c>
      <c r="B728" s="3">
        <v>9</v>
      </c>
      <c r="C728" s="3" t="s">
        <v>849</v>
      </c>
      <c r="D728" s="8" t="s">
        <v>36</v>
      </c>
      <c r="E728" s="13" t="s">
        <v>850</v>
      </c>
      <c r="F728" s="9">
        <v>53.12</v>
      </c>
      <c r="G728" s="10">
        <v>55.5</v>
      </c>
      <c r="H728" s="11">
        <f t="shared" si="97"/>
        <v>2948.16</v>
      </c>
      <c r="I728" s="3"/>
      <c r="J728" s="53"/>
      <c r="K728" s="57">
        <f>4</f>
        <v>4</v>
      </c>
      <c r="L728" s="53">
        <f>F728*K728</f>
        <v>212.48</v>
      </c>
      <c r="M728" s="57"/>
      <c r="N728" s="53"/>
      <c r="O728" s="59"/>
      <c r="P728" s="53"/>
      <c r="Q728" s="69">
        <f>28</f>
        <v>28</v>
      </c>
      <c r="R728" s="53">
        <f>F728*Q728</f>
        <v>1487.36</v>
      </c>
      <c r="S728" s="57">
        <f>5.5</f>
        <v>5.5</v>
      </c>
      <c r="T728" s="66">
        <f>F728*S728</f>
        <v>292.15999999999997</v>
      </c>
      <c r="U728" s="57">
        <f>18</f>
        <v>18</v>
      </c>
      <c r="V728" s="66">
        <f>F728*U728</f>
        <v>956.16</v>
      </c>
      <c r="W728" s="69"/>
      <c r="X728" s="66"/>
      <c r="Y728" s="36">
        <f>K728+S728+U728+Q728</f>
        <v>55.5</v>
      </c>
      <c r="Z728" s="37">
        <f>J728+L728+T728+V728+R728</f>
        <v>2948.16</v>
      </c>
    </row>
    <row r="729" spans="1:26" x14ac:dyDescent="0.2">
      <c r="E729" s="81" t="s">
        <v>25</v>
      </c>
      <c r="F729" s="6"/>
      <c r="G729" s="6"/>
      <c r="H729" s="12">
        <f>SUM(H720:H728)</f>
        <v>32311.47</v>
      </c>
      <c r="I729" s="3"/>
      <c r="J729" s="53"/>
      <c r="K729" s="77"/>
      <c r="L729" s="54">
        <f>L721+L722+L724+L726+L728</f>
        <v>10851.46</v>
      </c>
      <c r="M729" s="78"/>
      <c r="N729" s="54">
        <f>N723+N724+N725+N727+N728</f>
        <v>0</v>
      </c>
      <c r="O729" s="60"/>
      <c r="P729" s="71">
        <f>SUM(P716:P728)</f>
        <v>0</v>
      </c>
      <c r="Q729" s="79"/>
      <c r="R729" s="54">
        <f>R720+R727+R728</f>
        <v>15191.36</v>
      </c>
      <c r="S729" s="78"/>
      <c r="T729" s="67">
        <f>T723+T724+T725+T727+T728</f>
        <v>3980.9700000000003</v>
      </c>
      <c r="U729" s="78"/>
      <c r="V729" s="67">
        <f>V724+V726+V728</f>
        <v>2287.6799999999998</v>
      </c>
      <c r="W729" s="69"/>
      <c r="X729" s="66"/>
      <c r="Y729" s="3"/>
      <c r="Z729" s="37">
        <f>J729+L729+T729+V729+R729</f>
        <v>32311.47</v>
      </c>
    </row>
    <row r="730" spans="1:26" x14ac:dyDescent="0.2">
      <c r="J730" s="53"/>
      <c r="K730" s="57"/>
      <c r="L730" s="53"/>
      <c r="M730" s="57"/>
      <c r="N730" s="53"/>
      <c r="O730" s="59"/>
      <c r="P730" s="53"/>
      <c r="Q730" s="69"/>
      <c r="R730" s="53"/>
      <c r="S730" s="57"/>
      <c r="T730" s="66"/>
      <c r="U730" s="57"/>
      <c r="V730" s="66"/>
      <c r="W730" s="69"/>
      <c r="X730" s="66"/>
    </row>
    <row r="731" spans="1:26" x14ac:dyDescent="0.2">
      <c r="C731" s="6" t="s">
        <v>6</v>
      </c>
      <c r="D731" s="7" t="s">
        <v>7</v>
      </c>
      <c r="E731" s="81" t="s">
        <v>8</v>
      </c>
      <c r="J731" s="53"/>
      <c r="K731" s="57"/>
      <c r="L731" s="53"/>
      <c r="M731" s="57"/>
      <c r="N731" s="53"/>
      <c r="O731" s="59"/>
      <c r="P731" s="53"/>
      <c r="Q731" s="69"/>
      <c r="R731" s="53"/>
      <c r="S731" s="57"/>
      <c r="T731" s="66"/>
      <c r="U731" s="57"/>
      <c r="V731" s="66"/>
      <c r="W731" s="69"/>
      <c r="X731" s="66"/>
    </row>
    <row r="732" spans="1:26" x14ac:dyDescent="0.2">
      <c r="C732" s="6" t="s">
        <v>9</v>
      </c>
      <c r="D732" s="7" t="s">
        <v>385</v>
      </c>
      <c r="E732" s="81" t="s">
        <v>588</v>
      </c>
      <c r="J732" s="53"/>
      <c r="K732" s="57"/>
      <c r="L732" s="53"/>
      <c r="M732" s="57"/>
      <c r="N732" s="53"/>
      <c r="O732" s="59"/>
      <c r="P732" s="53"/>
      <c r="Q732" s="69"/>
      <c r="R732" s="53"/>
      <c r="S732" s="57"/>
      <c r="T732" s="66"/>
      <c r="U732" s="57"/>
      <c r="V732" s="66"/>
      <c r="W732" s="69"/>
      <c r="X732" s="66"/>
    </row>
    <row r="733" spans="1:26" x14ac:dyDescent="0.2">
      <c r="C733" s="6" t="s">
        <v>11</v>
      </c>
      <c r="D733" s="7" t="s">
        <v>851</v>
      </c>
      <c r="E733" s="81" t="s">
        <v>852</v>
      </c>
      <c r="J733" s="53"/>
      <c r="K733" s="57"/>
      <c r="L733" s="53"/>
      <c r="M733" s="57"/>
      <c r="N733" s="53"/>
      <c r="O733" s="59"/>
      <c r="P733" s="53"/>
      <c r="Q733" s="69"/>
      <c r="R733" s="53"/>
      <c r="S733" s="57"/>
      <c r="T733" s="66"/>
      <c r="U733" s="57"/>
      <c r="V733" s="66"/>
      <c r="W733" s="69"/>
      <c r="X733" s="66"/>
    </row>
    <row r="734" spans="1:26" x14ac:dyDescent="0.2">
      <c r="C734" s="6" t="s">
        <v>91</v>
      </c>
      <c r="D734" s="7" t="s">
        <v>7</v>
      </c>
      <c r="E734" s="81" t="s">
        <v>853</v>
      </c>
      <c r="J734" s="53"/>
      <c r="K734" s="57"/>
      <c r="L734" s="53"/>
      <c r="M734" s="57"/>
      <c r="N734" s="53"/>
      <c r="O734" s="59"/>
      <c r="P734" s="53"/>
      <c r="Q734" s="69"/>
      <c r="R734" s="53"/>
      <c r="S734" s="57"/>
      <c r="T734" s="66"/>
      <c r="U734" s="57"/>
      <c r="V734" s="66"/>
      <c r="W734" s="69"/>
      <c r="X734" s="66"/>
    </row>
    <row r="735" spans="1:26" x14ac:dyDescent="0.2">
      <c r="J735" s="53"/>
      <c r="K735" s="57"/>
      <c r="L735" s="53"/>
      <c r="M735" s="57"/>
      <c r="N735" s="53"/>
      <c r="O735" s="59"/>
      <c r="P735" s="53"/>
      <c r="Q735" s="69"/>
      <c r="R735" s="53"/>
      <c r="S735" s="57"/>
      <c r="T735" s="66"/>
      <c r="U735" s="57"/>
      <c r="V735" s="66"/>
      <c r="W735" s="69"/>
      <c r="X735" s="66"/>
    </row>
    <row r="736" spans="1:26" ht="329" x14ac:dyDescent="0.2">
      <c r="A736" s="3" t="s">
        <v>854</v>
      </c>
      <c r="B736" s="3">
        <v>1</v>
      </c>
      <c r="C736" s="3" t="s">
        <v>855</v>
      </c>
      <c r="D736" s="8" t="s">
        <v>23</v>
      </c>
      <c r="E736" s="13" t="s">
        <v>856</v>
      </c>
      <c r="F736" s="9">
        <v>11001.89</v>
      </c>
      <c r="G736" s="10">
        <v>1</v>
      </c>
      <c r="H736" s="11">
        <f>ROUND(ROUND(F736,2)*ROUND(G736,3),2)</f>
        <v>11001.89</v>
      </c>
      <c r="I736" s="36">
        <f>G736</f>
        <v>1</v>
      </c>
      <c r="J736" s="53">
        <f>F736*I736</f>
        <v>11001.89</v>
      </c>
      <c r="K736" s="77"/>
      <c r="L736" s="53"/>
      <c r="M736" s="77"/>
      <c r="N736" s="53"/>
      <c r="O736" s="59"/>
      <c r="P736" s="53"/>
      <c r="Q736" s="69"/>
      <c r="R736" s="53"/>
      <c r="S736" s="77"/>
      <c r="T736" s="66"/>
      <c r="U736" s="77"/>
      <c r="V736" s="66"/>
      <c r="W736" s="69"/>
      <c r="X736" s="66"/>
      <c r="Y736" s="3"/>
    </row>
    <row r="737" spans="1:26" ht="351" x14ac:dyDescent="0.2">
      <c r="A737" s="3" t="s">
        <v>854</v>
      </c>
      <c r="B737" s="3">
        <v>2</v>
      </c>
      <c r="C737" s="3" t="s">
        <v>857</v>
      </c>
      <c r="D737" s="8" t="s">
        <v>23</v>
      </c>
      <c r="E737" s="13" t="s">
        <v>858</v>
      </c>
      <c r="F737" s="9">
        <v>1164.0899999999999</v>
      </c>
      <c r="G737" s="10">
        <v>1</v>
      </c>
      <c r="H737" s="11">
        <f>ROUND(ROUND(F737,2)*ROUND(G737,3),2)</f>
        <v>1164.0899999999999</v>
      </c>
      <c r="I737" s="3"/>
      <c r="J737" s="53"/>
      <c r="K737" s="77"/>
      <c r="L737" s="53"/>
      <c r="M737" s="77"/>
      <c r="N737" s="53"/>
      <c r="O737" s="59"/>
      <c r="P737" s="53"/>
      <c r="Q737" s="69"/>
      <c r="R737" s="53"/>
      <c r="S737" s="77"/>
      <c r="T737" s="66"/>
      <c r="U737" s="59">
        <f>G737</f>
        <v>1</v>
      </c>
      <c r="V737" s="66">
        <f>F737*U737</f>
        <v>1164.0899999999999</v>
      </c>
      <c r="W737" s="69"/>
      <c r="X737" s="66"/>
      <c r="Y737" s="3"/>
    </row>
    <row r="738" spans="1:26" ht="307" x14ac:dyDescent="0.2">
      <c r="A738" s="3" t="s">
        <v>854</v>
      </c>
      <c r="B738" s="3">
        <v>3</v>
      </c>
      <c r="C738" s="3" t="s">
        <v>859</v>
      </c>
      <c r="D738" s="8" t="s">
        <v>23</v>
      </c>
      <c r="E738" s="13" t="s">
        <v>860</v>
      </c>
      <c r="F738" s="9">
        <v>11766.72</v>
      </c>
      <c r="G738" s="10">
        <v>1</v>
      </c>
      <c r="H738" s="11">
        <f>ROUND(ROUND(F738,2)*ROUND(G738,3),2)</f>
        <v>11766.72</v>
      </c>
      <c r="I738" s="3"/>
      <c r="J738" s="53"/>
      <c r="K738" s="77"/>
      <c r="L738" s="53"/>
      <c r="M738" s="77"/>
      <c r="N738" s="53"/>
      <c r="O738" s="59"/>
      <c r="P738" s="53"/>
      <c r="Q738" s="69"/>
      <c r="R738" s="53"/>
      <c r="S738" s="77"/>
      <c r="T738" s="66"/>
      <c r="U738" s="59">
        <f>G738</f>
        <v>1</v>
      </c>
      <c r="V738" s="66">
        <f>F738*U738</f>
        <v>11766.72</v>
      </c>
      <c r="W738" s="69"/>
      <c r="X738" s="66"/>
      <c r="Y738" s="3"/>
    </row>
    <row r="739" spans="1:26" ht="351" x14ac:dyDescent="0.2">
      <c r="A739" s="3" t="s">
        <v>854</v>
      </c>
      <c r="B739" s="3">
        <v>4</v>
      </c>
      <c r="C739" s="3" t="s">
        <v>861</v>
      </c>
      <c r="D739" s="8" t="s">
        <v>23</v>
      </c>
      <c r="E739" s="13" t="s">
        <v>862</v>
      </c>
      <c r="F739" s="9">
        <v>1080</v>
      </c>
      <c r="G739" s="10">
        <v>1</v>
      </c>
      <c r="H739" s="11">
        <f>ROUND(ROUND(F739,2)*ROUND(G739,3),2)</f>
        <v>1080</v>
      </c>
      <c r="I739" s="36">
        <f>G739</f>
        <v>1</v>
      </c>
      <c r="J739" s="53">
        <f>F739*I739</f>
        <v>1080</v>
      </c>
      <c r="K739" s="77"/>
      <c r="L739" s="53"/>
      <c r="M739" s="77"/>
      <c r="N739" s="53"/>
      <c r="O739" s="59"/>
      <c r="P739" s="53"/>
      <c r="Q739" s="69"/>
      <c r="R739" s="53"/>
      <c r="S739" s="77"/>
      <c r="T739" s="66"/>
      <c r="U739" s="77"/>
      <c r="V739" s="66"/>
      <c r="W739" s="69"/>
      <c r="X739" s="66"/>
      <c r="Y739" s="3"/>
    </row>
    <row r="740" spans="1:26" x14ac:dyDescent="0.2">
      <c r="E740" s="81" t="s">
        <v>25</v>
      </c>
      <c r="F740" s="6"/>
      <c r="G740" s="6"/>
      <c r="H740" s="12">
        <f>SUM(H736:H739)</f>
        <v>25012.699999999997</v>
      </c>
      <c r="I740" s="3"/>
      <c r="J740" s="54">
        <f>J736+J739</f>
        <v>12081.89</v>
      </c>
      <c r="K740" s="78"/>
      <c r="L740" s="54"/>
      <c r="M740" s="78"/>
      <c r="N740" s="54"/>
      <c r="O740" s="60"/>
      <c r="P740" s="54"/>
      <c r="Q740" s="69"/>
      <c r="R740" s="53"/>
      <c r="S740" s="78"/>
      <c r="T740" s="67"/>
      <c r="U740" s="78"/>
      <c r="V740" s="67">
        <f>V737+V738</f>
        <v>12930.81</v>
      </c>
      <c r="W740" s="69"/>
      <c r="X740" s="66"/>
      <c r="Y740" s="3"/>
      <c r="Z740" s="37">
        <f>J740+L740+T740+V740+R740</f>
        <v>25012.699999999997</v>
      </c>
    </row>
    <row r="741" spans="1:26" x14ac:dyDescent="0.2">
      <c r="J741" s="53"/>
      <c r="K741" s="57"/>
      <c r="L741" s="53"/>
      <c r="M741" s="57"/>
      <c r="N741" s="53"/>
      <c r="O741" s="59"/>
      <c r="P741" s="53"/>
      <c r="Q741" s="69"/>
      <c r="R741" s="53"/>
      <c r="S741" s="57"/>
      <c r="T741" s="66"/>
      <c r="U741" s="57"/>
      <c r="V741" s="66"/>
      <c r="W741" s="69"/>
      <c r="X741" s="66"/>
    </row>
    <row r="742" spans="1:26" x14ac:dyDescent="0.2">
      <c r="C742" s="6" t="s">
        <v>6</v>
      </c>
      <c r="D742" s="7" t="s">
        <v>7</v>
      </c>
      <c r="E742" s="81" t="s">
        <v>8</v>
      </c>
      <c r="J742" s="53"/>
      <c r="K742" s="57"/>
      <c r="L742" s="53"/>
      <c r="M742" s="57"/>
      <c r="N742" s="53"/>
      <c r="O742" s="59"/>
      <c r="P742" s="53"/>
      <c r="Q742" s="69"/>
      <c r="R742" s="53"/>
      <c r="S742" s="57"/>
      <c r="T742" s="66"/>
      <c r="U742" s="57"/>
      <c r="V742" s="66"/>
      <c r="W742" s="69"/>
      <c r="X742" s="66"/>
    </row>
    <row r="743" spans="1:26" x14ac:dyDescent="0.2">
      <c r="C743" s="6" t="s">
        <v>9</v>
      </c>
      <c r="D743" s="7" t="s">
        <v>385</v>
      </c>
      <c r="E743" s="81" t="s">
        <v>588</v>
      </c>
      <c r="J743" s="53"/>
      <c r="K743" s="57"/>
      <c r="L743" s="53"/>
      <c r="M743" s="57"/>
      <c r="N743" s="53"/>
      <c r="O743" s="59"/>
      <c r="P743" s="53"/>
      <c r="Q743" s="69"/>
      <c r="R743" s="53"/>
      <c r="S743" s="57"/>
      <c r="T743" s="66"/>
      <c r="U743" s="57"/>
      <c r="V743" s="66"/>
      <c r="W743" s="69"/>
      <c r="X743" s="66"/>
    </row>
    <row r="744" spans="1:26" x14ac:dyDescent="0.2">
      <c r="C744" s="6" t="s">
        <v>11</v>
      </c>
      <c r="D744" s="7" t="s">
        <v>851</v>
      </c>
      <c r="E744" s="81" t="s">
        <v>852</v>
      </c>
      <c r="J744" s="53"/>
      <c r="K744" s="57"/>
      <c r="L744" s="53"/>
      <c r="M744" s="57"/>
      <c r="N744" s="53"/>
      <c r="O744" s="59"/>
      <c r="P744" s="53"/>
      <c r="Q744" s="69"/>
      <c r="R744" s="53"/>
      <c r="S744" s="57"/>
      <c r="T744" s="66"/>
      <c r="U744" s="57"/>
      <c r="V744" s="66"/>
      <c r="W744" s="69"/>
      <c r="X744" s="66"/>
    </row>
    <row r="745" spans="1:26" x14ac:dyDescent="0.2">
      <c r="C745" s="6" t="s">
        <v>91</v>
      </c>
      <c r="D745" s="7" t="s">
        <v>26</v>
      </c>
      <c r="E745" s="81" t="s">
        <v>863</v>
      </c>
      <c r="J745" s="53"/>
      <c r="K745" s="57"/>
      <c r="L745" s="53"/>
      <c r="M745" s="57"/>
      <c r="N745" s="53"/>
      <c r="O745" s="59"/>
      <c r="P745" s="53"/>
      <c r="Q745" s="69"/>
      <c r="R745" s="53"/>
      <c r="S745" s="57"/>
      <c r="T745" s="66"/>
      <c r="U745" s="57"/>
      <c r="V745" s="66"/>
      <c r="W745" s="69"/>
      <c r="X745" s="66"/>
    </row>
    <row r="746" spans="1:26" x14ac:dyDescent="0.2">
      <c r="J746" s="53"/>
      <c r="K746" s="57"/>
      <c r="L746" s="53"/>
      <c r="M746" s="57"/>
      <c r="N746" s="53"/>
      <c r="O746" s="59"/>
      <c r="P746" s="53"/>
      <c r="Q746" s="69"/>
      <c r="R746" s="53"/>
      <c r="S746" s="57"/>
      <c r="T746" s="66"/>
      <c r="U746" s="57"/>
      <c r="V746" s="66"/>
      <c r="W746" s="69"/>
      <c r="X746" s="66"/>
    </row>
    <row r="747" spans="1:26" ht="97" x14ac:dyDescent="0.2">
      <c r="A747" s="3" t="s">
        <v>864</v>
      </c>
      <c r="B747" s="3">
        <v>1</v>
      </c>
      <c r="C747" s="3" t="s">
        <v>865</v>
      </c>
      <c r="D747" s="8" t="s">
        <v>23</v>
      </c>
      <c r="E747" s="13" t="s">
        <v>866</v>
      </c>
      <c r="F747" s="9">
        <v>632.20000000000005</v>
      </c>
      <c r="G747" s="10">
        <v>1</v>
      </c>
      <c r="H747" s="11">
        <f t="shared" ref="H747:H753" si="101">ROUND(ROUND(F747,2)*ROUND(G747,3),2)</f>
        <v>632.20000000000005</v>
      </c>
      <c r="J747" s="53"/>
      <c r="K747" s="57"/>
      <c r="L747" s="53"/>
      <c r="M747" s="57"/>
      <c r="N747" s="53"/>
      <c r="O747" s="59"/>
      <c r="P747" s="53"/>
      <c r="Q747" s="69"/>
      <c r="R747" s="53"/>
      <c r="S747" s="57">
        <v>1</v>
      </c>
      <c r="T747" s="66">
        <v>632.20000000000005</v>
      </c>
      <c r="U747" s="57"/>
      <c r="V747" s="66"/>
      <c r="W747" s="69"/>
      <c r="X747" s="66"/>
    </row>
    <row r="748" spans="1:26" ht="49" x14ac:dyDescent="0.2">
      <c r="A748" s="3" t="s">
        <v>864</v>
      </c>
      <c r="B748" s="3">
        <v>2</v>
      </c>
      <c r="C748" s="3" t="s">
        <v>867</v>
      </c>
      <c r="D748" s="8" t="s">
        <v>36</v>
      </c>
      <c r="E748" s="13" t="s">
        <v>868</v>
      </c>
      <c r="F748" s="9">
        <v>1.43</v>
      </c>
      <c r="G748" s="10">
        <v>150</v>
      </c>
      <c r="H748" s="11">
        <f t="shared" si="101"/>
        <v>214.5</v>
      </c>
      <c r="J748" s="53"/>
      <c r="K748" s="57"/>
      <c r="L748" s="53"/>
      <c r="M748" s="57"/>
      <c r="N748" s="53"/>
      <c r="O748" s="59"/>
      <c r="P748" s="53"/>
      <c r="Q748" s="69"/>
      <c r="R748" s="53"/>
      <c r="S748" s="57">
        <v>150</v>
      </c>
      <c r="T748" s="66">
        <v>214.5</v>
      </c>
      <c r="U748" s="57"/>
      <c r="V748" s="66"/>
      <c r="W748" s="69"/>
      <c r="X748" s="66"/>
    </row>
    <row r="749" spans="1:26" ht="49" x14ac:dyDescent="0.2">
      <c r="A749" s="3" t="s">
        <v>864</v>
      </c>
      <c r="B749" s="3">
        <v>3</v>
      </c>
      <c r="C749" s="3" t="s">
        <v>869</v>
      </c>
      <c r="D749" s="8" t="s">
        <v>36</v>
      </c>
      <c r="E749" s="13" t="s">
        <v>870</v>
      </c>
      <c r="F749" s="9">
        <v>23.99</v>
      </c>
      <c r="G749" s="10">
        <v>30</v>
      </c>
      <c r="H749" s="11">
        <f t="shared" si="101"/>
        <v>719.7</v>
      </c>
      <c r="J749" s="53"/>
      <c r="K749" s="57"/>
      <c r="L749" s="53"/>
      <c r="M749" s="57"/>
      <c r="N749" s="53"/>
      <c r="O749" s="59"/>
      <c r="P749" s="53"/>
      <c r="Q749" s="69"/>
      <c r="R749" s="53"/>
      <c r="S749" s="57">
        <v>30</v>
      </c>
      <c r="T749" s="66">
        <v>719.7</v>
      </c>
      <c r="U749" s="57"/>
      <c r="V749" s="66"/>
      <c r="W749" s="69"/>
      <c r="X749" s="66"/>
    </row>
    <row r="750" spans="1:26" ht="133" x14ac:dyDescent="0.2">
      <c r="A750" s="3" t="s">
        <v>864</v>
      </c>
      <c r="B750" s="3">
        <v>4</v>
      </c>
      <c r="C750" s="3" t="s">
        <v>871</v>
      </c>
      <c r="D750" s="8" t="s">
        <v>23</v>
      </c>
      <c r="E750" s="13" t="s">
        <v>872</v>
      </c>
      <c r="F750" s="9">
        <v>269.33</v>
      </c>
      <c r="G750" s="10">
        <v>1</v>
      </c>
      <c r="H750" s="11">
        <f t="shared" si="101"/>
        <v>269.33</v>
      </c>
      <c r="J750" s="53"/>
      <c r="K750" s="57"/>
      <c r="L750" s="53"/>
      <c r="M750" s="57"/>
      <c r="N750" s="53"/>
      <c r="O750" s="59"/>
      <c r="P750" s="53"/>
      <c r="Q750" s="69"/>
      <c r="R750" s="53"/>
      <c r="S750" s="57">
        <v>1</v>
      </c>
      <c r="T750" s="66">
        <v>269.33</v>
      </c>
      <c r="U750" s="57"/>
      <c r="V750" s="66"/>
      <c r="W750" s="69"/>
      <c r="X750" s="66"/>
    </row>
    <row r="751" spans="1:26" ht="121" x14ac:dyDescent="0.2">
      <c r="A751" s="3" t="s">
        <v>864</v>
      </c>
      <c r="B751" s="3">
        <v>5</v>
      </c>
      <c r="C751" s="3" t="s">
        <v>873</v>
      </c>
      <c r="D751" s="8" t="s">
        <v>23</v>
      </c>
      <c r="E751" s="13" t="s">
        <v>874</v>
      </c>
      <c r="F751" s="9">
        <v>623.09</v>
      </c>
      <c r="G751" s="10">
        <v>1</v>
      </c>
      <c r="H751" s="11">
        <f t="shared" si="101"/>
        <v>623.09</v>
      </c>
      <c r="J751" s="53"/>
      <c r="K751" s="57"/>
      <c r="L751" s="53"/>
      <c r="M751" s="57"/>
      <c r="N751" s="53"/>
      <c r="O751" s="59"/>
      <c r="P751" s="53"/>
      <c r="Q751" s="69"/>
      <c r="R751" s="53"/>
      <c r="S751" s="57">
        <v>1</v>
      </c>
      <c r="T751" s="66">
        <v>623.09</v>
      </c>
      <c r="U751" s="57"/>
      <c r="V751" s="66"/>
      <c r="W751" s="69"/>
      <c r="X751" s="66"/>
    </row>
    <row r="752" spans="1:26" ht="37" x14ac:dyDescent="0.2">
      <c r="A752" s="3" t="s">
        <v>864</v>
      </c>
      <c r="B752" s="3">
        <v>6</v>
      </c>
      <c r="C752" s="3" t="s">
        <v>782</v>
      </c>
      <c r="D752" s="8" t="s">
        <v>36</v>
      </c>
      <c r="E752" s="13" t="s">
        <v>783</v>
      </c>
      <c r="F752" s="9">
        <v>7.12</v>
      </c>
      <c r="G752" s="10">
        <v>50</v>
      </c>
      <c r="H752" s="11">
        <f t="shared" si="101"/>
        <v>356</v>
      </c>
      <c r="J752" s="53"/>
      <c r="K752" s="57"/>
      <c r="L752" s="53"/>
      <c r="M752" s="57"/>
      <c r="N752" s="53"/>
      <c r="O752" s="59"/>
      <c r="P752" s="53"/>
      <c r="Q752" s="69"/>
      <c r="R752" s="53"/>
      <c r="S752" s="57">
        <v>50</v>
      </c>
      <c r="T752" s="66">
        <v>356</v>
      </c>
      <c r="U752" s="57"/>
      <c r="V752" s="66"/>
      <c r="W752" s="69"/>
      <c r="X752" s="66"/>
    </row>
    <row r="753" spans="1:24" ht="145" x14ac:dyDescent="0.2">
      <c r="A753" s="3" t="s">
        <v>864</v>
      </c>
      <c r="B753" s="3">
        <v>7</v>
      </c>
      <c r="C753" s="3" t="s">
        <v>875</v>
      </c>
      <c r="D753" s="8" t="s">
        <v>742</v>
      </c>
      <c r="E753" s="13" t="s">
        <v>876</v>
      </c>
      <c r="F753" s="9">
        <v>648</v>
      </c>
      <c r="G753" s="10">
        <v>1</v>
      </c>
      <c r="H753" s="11">
        <f t="shared" si="101"/>
        <v>648</v>
      </c>
      <c r="J753" s="53"/>
      <c r="K753" s="57"/>
      <c r="L753" s="53"/>
      <c r="M753" s="57"/>
      <c r="N753" s="53"/>
      <c r="O753" s="59"/>
      <c r="P753" s="53"/>
      <c r="Q753" s="69"/>
      <c r="R753" s="53"/>
      <c r="S753" s="57">
        <v>1</v>
      </c>
      <c r="T753" s="66">
        <v>648</v>
      </c>
      <c r="U753" s="57"/>
      <c r="V753" s="66"/>
      <c r="W753" s="69"/>
      <c r="X753" s="66"/>
    </row>
    <row r="754" spans="1:24" x14ac:dyDescent="0.2">
      <c r="E754" s="81" t="s">
        <v>25</v>
      </c>
      <c r="F754" s="6"/>
      <c r="G754" s="6"/>
      <c r="H754" s="12">
        <f>SUM(H747:H753)</f>
        <v>3462.82</v>
      </c>
      <c r="J754" s="53"/>
      <c r="K754" s="57"/>
      <c r="L754" s="53"/>
      <c r="M754" s="57"/>
      <c r="N754" s="54">
        <f>0</f>
        <v>0</v>
      </c>
      <c r="O754" s="59"/>
      <c r="P754" s="71">
        <f>SUM(P741:P753)</f>
        <v>0</v>
      </c>
      <c r="Q754" s="69"/>
      <c r="R754" s="53"/>
      <c r="S754" s="57"/>
      <c r="T754" s="67">
        <v>3462.82</v>
      </c>
      <c r="U754" s="57"/>
      <c r="V754" s="66"/>
      <c r="W754" s="69"/>
      <c r="X754" s="66"/>
    </row>
    <row r="755" spans="1:24" x14ac:dyDescent="0.2">
      <c r="J755" s="53"/>
      <c r="K755" s="57"/>
      <c r="L755" s="53"/>
      <c r="M755" s="57"/>
      <c r="N755" s="53"/>
      <c r="O755" s="59"/>
      <c r="P755" s="53"/>
      <c r="Q755" s="69"/>
      <c r="R755" s="53"/>
      <c r="S755" s="57"/>
      <c r="T755" s="66"/>
      <c r="U755" s="57"/>
      <c r="V755" s="66"/>
      <c r="W755" s="69"/>
      <c r="X755" s="66"/>
    </row>
    <row r="756" spans="1:24" x14ac:dyDescent="0.2">
      <c r="C756" s="6" t="s">
        <v>6</v>
      </c>
      <c r="D756" s="7" t="s">
        <v>7</v>
      </c>
      <c r="E756" s="81" t="s">
        <v>8</v>
      </c>
      <c r="J756" s="53"/>
      <c r="K756" s="57"/>
      <c r="L756" s="53"/>
      <c r="M756" s="57"/>
      <c r="N756" s="53"/>
      <c r="O756" s="59"/>
      <c r="P756" s="53"/>
      <c r="Q756" s="69"/>
      <c r="R756" s="53"/>
      <c r="S756" s="57"/>
      <c r="T756" s="66"/>
      <c r="U756" s="57"/>
      <c r="V756" s="66"/>
      <c r="W756" s="69"/>
      <c r="X756" s="66"/>
    </row>
    <row r="757" spans="1:24" x14ac:dyDescent="0.2">
      <c r="C757" s="6" t="s">
        <v>9</v>
      </c>
      <c r="D757" s="7" t="s">
        <v>385</v>
      </c>
      <c r="E757" s="81" t="s">
        <v>588</v>
      </c>
      <c r="J757" s="53"/>
      <c r="K757" s="57"/>
      <c r="L757" s="53"/>
      <c r="M757" s="57"/>
      <c r="N757" s="53"/>
      <c r="O757" s="59"/>
      <c r="P757" s="53"/>
      <c r="Q757" s="69"/>
      <c r="R757" s="53"/>
      <c r="S757" s="57"/>
      <c r="T757" s="66"/>
      <c r="U757" s="57"/>
      <c r="V757" s="66"/>
      <c r="W757" s="69"/>
      <c r="X757" s="66"/>
    </row>
    <row r="758" spans="1:24" x14ac:dyDescent="0.2">
      <c r="C758" s="6" t="s">
        <v>11</v>
      </c>
      <c r="D758" s="7" t="s">
        <v>877</v>
      </c>
      <c r="E758" s="81" t="s">
        <v>878</v>
      </c>
      <c r="J758" s="53"/>
      <c r="K758" s="57"/>
      <c r="L758" s="53"/>
      <c r="M758" s="57"/>
      <c r="N758" s="53"/>
      <c r="O758" s="59"/>
      <c r="P758" s="53"/>
      <c r="Q758" s="69"/>
      <c r="R758" s="53"/>
      <c r="S758" s="57"/>
      <c r="T758" s="66"/>
      <c r="U758" s="57"/>
      <c r="V758" s="66"/>
      <c r="W758" s="69"/>
      <c r="X758" s="66"/>
    </row>
    <row r="759" spans="1:24" x14ac:dyDescent="0.2">
      <c r="C759" s="6" t="s">
        <v>91</v>
      </c>
      <c r="D759" s="7" t="s">
        <v>594</v>
      </c>
      <c r="E759" s="81" t="s">
        <v>879</v>
      </c>
      <c r="J759" s="53"/>
      <c r="K759" s="57"/>
      <c r="L759" s="53"/>
      <c r="M759" s="57"/>
      <c r="N759" s="53"/>
      <c r="O759" s="59"/>
      <c r="P759" s="53"/>
      <c r="Q759" s="69"/>
      <c r="R759" s="53"/>
      <c r="S759" s="57"/>
      <c r="T759" s="66"/>
      <c r="U759" s="57"/>
      <c r="V759" s="66"/>
      <c r="W759" s="69"/>
      <c r="X759" s="66"/>
    </row>
    <row r="760" spans="1:24" x14ac:dyDescent="0.2">
      <c r="J760" s="53"/>
      <c r="K760" s="57"/>
      <c r="L760" s="53"/>
      <c r="M760" s="57"/>
      <c r="N760" s="53"/>
      <c r="O760" s="59"/>
      <c r="P760" s="53"/>
      <c r="Q760" s="69"/>
      <c r="R760" s="53"/>
      <c r="S760" s="57"/>
      <c r="T760" s="66"/>
      <c r="U760" s="57"/>
      <c r="V760" s="66"/>
      <c r="W760" s="69"/>
      <c r="X760" s="66"/>
    </row>
    <row r="761" spans="1:24" ht="409.6" x14ac:dyDescent="0.2">
      <c r="A761" s="3" t="s">
        <v>880</v>
      </c>
      <c r="B761" s="3">
        <v>1</v>
      </c>
      <c r="C761" s="3" t="s">
        <v>881</v>
      </c>
      <c r="D761" s="8" t="s">
        <v>625</v>
      </c>
      <c r="E761" s="13" t="s">
        <v>882</v>
      </c>
      <c r="F761" s="9">
        <v>0</v>
      </c>
      <c r="G761" s="10">
        <v>0</v>
      </c>
      <c r="H761" s="11">
        <f>ROUND(ROUND(F761,2)*ROUND(G761,3),2)</f>
        <v>0</v>
      </c>
      <c r="J761" s="53"/>
      <c r="K761" s="57"/>
      <c r="L761" s="53"/>
      <c r="M761" s="57"/>
      <c r="N761" s="53"/>
      <c r="O761" s="59"/>
      <c r="P761" s="53"/>
      <c r="Q761" s="69"/>
      <c r="R761" s="53"/>
      <c r="S761" s="57"/>
      <c r="T761" s="66"/>
      <c r="U761" s="57"/>
      <c r="V761" s="66"/>
      <c r="W761" s="69"/>
      <c r="X761" s="66"/>
    </row>
    <row r="762" spans="1:24" x14ac:dyDescent="0.2">
      <c r="E762" s="81" t="s">
        <v>25</v>
      </c>
      <c r="F762" s="6"/>
      <c r="G762" s="6"/>
      <c r="H762" s="12">
        <f>SUM(H761:H761)</f>
        <v>0</v>
      </c>
      <c r="J762" s="53"/>
      <c r="K762" s="57"/>
      <c r="L762" s="53"/>
      <c r="M762" s="57"/>
      <c r="N762" s="53"/>
      <c r="O762" s="59"/>
      <c r="P762" s="53"/>
      <c r="Q762" s="69"/>
      <c r="R762" s="53"/>
      <c r="S762" s="57"/>
      <c r="T762" s="66"/>
      <c r="U762" s="57"/>
      <c r="V762" s="66"/>
      <c r="W762" s="69"/>
      <c r="X762" s="66"/>
    </row>
    <row r="763" spans="1:24" x14ac:dyDescent="0.2">
      <c r="J763" s="53"/>
      <c r="K763" s="57"/>
      <c r="L763" s="53"/>
      <c r="M763" s="57"/>
      <c r="N763" s="53"/>
      <c r="O763" s="59"/>
      <c r="P763" s="53"/>
      <c r="Q763" s="69"/>
      <c r="R763" s="53"/>
      <c r="S763" s="57"/>
      <c r="T763" s="66"/>
      <c r="U763" s="57"/>
      <c r="V763" s="66"/>
      <c r="W763" s="69"/>
      <c r="X763" s="66"/>
    </row>
    <row r="764" spans="1:24" x14ac:dyDescent="0.2">
      <c r="C764" s="6" t="s">
        <v>6</v>
      </c>
      <c r="D764" s="7" t="s">
        <v>7</v>
      </c>
      <c r="E764" s="81" t="s">
        <v>8</v>
      </c>
      <c r="J764" s="53"/>
      <c r="K764" s="57"/>
      <c r="L764" s="53"/>
      <c r="M764" s="57"/>
      <c r="N764" s="53"/>
      <c r="O764" s="59"/>
      <c r="P764" s="53"/>
      <c r="Q764" s="69"/>
      <c r="R764" s="53"/>
      <c r="S764" s="57"/>
      <c r="T764" s="66"/>
      <c r="U764" s="57"/>
      <c r="V764" s="66"/>
      <c r="W764" s="69"/>
      <c r="X764" s="66"/>
    </row>
    <row r="765" spans="1:24" x14ac:dyDescent="0.2">
      <c r="C765" s="6" t="s">
        <v>9</v>
      </c>
      <c r="D765" s="7" t="s">
        <v>385</v>
      </c>
      <c r="E765" s="81" t="s">
        <v>588</v>
      </c>
      <c r="J765" s="53"/>
      <c r="K765" s="57"/>
      <c r="L765" s="53"/>
      <c r="M765" s="57"/>
      <c r="N765" s="53"/>
      <c r="O765" s="59"/>
      <c r="P765" s="53"/>
      <c r="Q765" s="69"/>
      <c r="R765" s="53"/>
      <c r="S765" s="57"/>
      <c r="T765" s="66"/>
      <c r="U765" s="57"/>
      <c r="V765" s="66"/>
      <c r="W765" s="69"/>
      <c r="X765" s="66"/>
    </row>
    <row r="766" spans="1:24" x14ac:dyDescent="0.2">
      <c r="C766" s="6" t="s">
        <v>11</v>
      </c>
      <c r="D766" s="7" t="s">
        <v>877</v>
      </c>
      <c r="E766" s="81" t="s">
        <v>878</v>
      </c>
      <c r="J766" s="53"/>
      <c r="K766" s="57"/>
      <c r="L766" s="53"/>
      <c r="M766" s="57"/>
      <c r="N766" s="53"/>
      <c r="O766" s="59"/>
      <c r="P766" s="53"/>
      <c r="Q766" s="69"/>
      <c r="R766" s="53"/>
      <c r="S766" s="57"/>
      <c r="T766" s="66"/>
      <c r="U766" s="57"/>
      <c r="V766" s="66"/>
      <c r="W766" s="69"/>
      <c r="X766" s="66"/>
    </row>
    <row r="767" spans="1:24" x14ac:dyDescent="0.2">
      <c r="C767" s="6" t="s">
        <v>91</v>
      </c>
      <c r="D767" s="7" t="s">
        <v>7</v>
      </c>
      <c r="E767" s="81" t="s">
        <v>883</v>
      </c>
      <c r="J767" s="53"/>
      <c r="K767" s="57"/>
      <c r="L767" s="53"/>
      <c r="M767" s="57"/>
      <c r="N767" s="53"/>
      <c r="O767" s="59"/>
      <c r="P767" s="53"/>
      <c r="Q767" s="69"/>
      <c r="R767" s="53"/>
      <c r="S767" s="57"/>
      <c r="T767" s="66"/>
      <c r="U767" s="57"/>
      <c r="V767" s="66"/>
      <c r="W767" s="69"/>
      <c r="X767" s="66"/>
    </row>
    <row r="768" spans="1:24" x14ac:dyDescent="0.2">
      <c r="J768" s="53"/>
      <c r="K768" s="57"/>
      <c r="L768" s="53"/>
      <c r="M768" s="57"/>
      <c r="N768" s="53"/>
      <c r="O768" s="59"/>
      <c r="P768" s="53"/>
      <c r="Q768" s="69"/>
      <c r="R768" s="53"/>
      <c r="S768" s="57"/>
      <c r="T768" s="66"/>
      <c r="U768" s="57"/>
      <c r="V768" s="66"/>
      <c r="W768" s="69"/>
      <c r="X768" s="66"/>
    </row>
    <row r="769" spans="1:26" ht="37" x14ac:dyDescent="0.2">
      <c r="A769" s="3" t="s">
        <v>884</v>
      </c>
      <c r="B769" s="3">
        <v>1</v>
      </c>
      <c r="C769" s="3" t="s">
        <v>885</v>
      </c>
      <c r="D769" s="8" t="s">
        <v>23</v>
      </c>
      <c r="E769" s="13" t="s">
        <v>886</v>
      </c>
      <c r="F769" s="9">
        <v>1057.0899999999999</v>
      </c>
      <c r="G769" s="10">
        <v>1</v>
      </c>
      <c r="H769" s="11">
        <f t="shared" ref="H769:H775" si="102">ROUND(ROUND(F769,2)*ROUND(G769,3),2)</f>
        <v>1057.0899999999999</v>
      </c>
      <c r="I769" s="3"/>
      <c r="J769" s="53"/>
      <c r="K769" s="77"/>
      <c r="L769" s="53"/>
      <c r="M769" s="57"/>
      <c r="N769" s="53"/>
      <c r="O769" s="59"/>
      <c r="P769" s="53"/>
      <c r="Q769" s="69"/>
      <c r="R769" s="53"/>
      <c r="S769" s="57">
        <f>G769</f>
        <v>1</v>
      </c>
      <c r="T769" s="66">
        <f t="shared" ref="T769:T775" si="103">F769*S769</f>
        <v>1057.0899999999999</v>
      </c>
      <c r="U769" s="77"/>
      <c r="V769" s="66"/>
      <c r="W769" s="69"/>
      <c r="X769" s="66"/>
      <c r="Y769" s="3"/>
    </row>
    <row r="770" spans="1:26" ht="25" x14ac:dyDescent="0.2">
      <c r="A770" s="3" t="s">
        <v>884</v>
      </c>
      <c r="B770" s="3">
        <v>2</v>
      </c>
      <c r="C770" s="3" t="s">
        <v>887</v>
      </c>
      <c r="D770" s="8" t="s">
        <v>23</v>
      </c>
      <c r="E770" s="13" t="s">
        <v>888</v>
      </c>
      <c r="F770" s="9">
        <v>31.79</v>
      </c>
      <c r="G770" s="10">
        <v>1</v>
      </c>
      <c r="H770" s="11">
        <f t="shared" si="102"/>
        <v>31.79</v>
      </c>
      <c r="I770" s="3"/>
      <c r="J770" s="53"/>
      <c r="K770" s="77"/>
      <c r="L770" s="53"/>
      <c r="M770" s="57"/>
      <c r="N770" s="53"/>
      <c r="O770" s="59"/>
      <c r="P770" s="53"/>
      <c r="Q770" s="69"/>
      <c r="R770" s="53"/>
      <c r="S770" s="57">
        <f>G770</f>
        <v>1</v>
      </c>
      <c r="T770" s="66">
        <f t="shared" si="103"/>
        <v>31.79</v>
      </c>
      <c r="U770" s="77"/>
      <c r="V770" s="66"/>
      <c r="W770" s="69"/>
      <c r="X770" s="66"/>
      <c r="Y770" s="3"/>
    </row>
    <row r="771" spans="1:26" ht="37" x14ac:dyDescent="0.2">
      <c r="A771" s="3" t="s">
        <v>884</v>
      </c>
      <c r="B771" s="3">
        <v>3</v>
      </c>
      <c r="C771" s="3" t="s">
        <v>889</v>
      </c>
      <c r="D771" s="8" t="s">
        <v>23</v>
      </c>
      <c r="E771" s="13" t="s">
        <v>890</v>
      </c>
      <c r="F771" s="9">
        <v>308.81</v>
      </c>
      <c r="G771" s="10">
        <v>2</v>
      </c>
      <c r="H771" s="11">
        <f t="shared" si="102"/>
        <v>617.62</v>
      </c>
      <c r="I771" s="3"/>
      <c r="J771" s="53"/>
      <c r="K771" s="77"/>
      <c r="L771" s="53"/>
      <c r="M771" s="57"/>
      <c r="N771" s="53"/>
      <c r="O771" s="59"/>
      <c r="P771" s="53"/>
      <c r="Q771" s="69"/>
      <c r="R771" s="53"/>
      <c r="S771" s="57">
        <f>G771</f>
        <v>2</v>
      </c>
      <c r="T771" s="66">
        <f t="shared" si="103"/>
        <v>617.62</v>
      </c>
      <c r="U771" s="77"/>
      <c r="V771" s="66"/>
      <c r="W771" s="69"/>
      <c r="X771" s="66"/>
      <c r="Y771" s="3"/>
    </row>
    <row r="772" spans="1:26" ht="37" x14ac:dyDescent="0.2">
      <c r="A772" s="3" t="s">
        <v>884</v>
      </c>
      <c r="B772" s="3">
        <v>4</v>
      </c>
      <c r="C772" s="3" t="s">
        <v>891</v>
      </c>
      <c r="D772" s="8" t="s">
        <v>23</v>
      </c>
      <c r="E772" s="13" t="s">
        <v>892</v>
      </c>
      <c r="F772" s="9">
        <v>62.09</v>
      </c>
      <c r="G772" s="10">
        <v>1</v>
      </c>
      <c r="H772" s="11">
        <f t="shared" si="102"/>
        <v>62.09</v>
      </c>
      <c r="I772" s="3"/>
      <c r="J772" s="53"/>
      <c r="K772" s="77"/>
      <c r="L772" s="53"/>
      <c r="M772" s="57"/>
      <c r="N772" s="53"/>
      <c r="O772" s="59"/>
      <c r="P772" s="53"/>
      <c r="Q772" s="69"/>
      <c r="R772" s="53"/>
      <c r="S772" s="57">
        <f>G772</f>
        <v>1</v>
      </c>
      <c r="T772" s="66">
        <f t="shared" si="103"/>
        <v>62.09</v>
      </c>
      <c r="U772" s="77"/>
      <c r="V772" s="66"/>
      <c r="W772" s="69"/>
      <c r="X772" s="66"/>
      <c r="Y772" s="3"/>
    </row>
    <row r="773" spans="1:26" ht="37" x14ac:dyDescent="0.2">
      <c r="A773" s="3" t="s">
        <v>884</v>
      </c>
      <c r="B773" s="3">
        <v>5</v>
      </c>
      <c r="C773" s="3" t="s">
        <v>893</v>
      </c>
      <c r="D773" s="8" t="s">
        <v>23</v>
      </c>
      <c r="E773" s="13" t="s">
        <v>894</v>
      </c>
      <c r="F773" s="9">
        <v>7.42</v>
      </c>
      <c r="G773" s="10">
        <v>2</v>
      </c>
      <c r="H773" s="11">
        <f t="shared" si="102"/>
        <v>14.84</v>
      </c>
      <c r="I773" s="3"/>
      <c r="J773" s="53"/>
      <c r="K773" s="77"/>
      <c r="L773" s="53"/>
      <c r="M773" s="57"/>
      <c r="N773" s="53"/>
      <c r="O773" s="59"/>
      <c r="P773" s="53"/>
      <c r="Q773" s="69"/>
      <c r="R773" s="53"/>
      <c r="S773" s="57">
        <f>G773</f>
        <v>2</v>
      </c>
      <c r="T773" s="66">
        <f t="shared" si="103"/>
        <v>14.84</v>
      </c>
      <c r="U773" s="77"/>
      <c r="V773" s="66"/>
      <c r="W773" s="69"/>
      <c r="X773" s="66"/>
      <c r="Y773" s="3"/>
    </row>
    <row r="774" spans="1:26" ht="37" x14ac:dyDescent="0.2">
      <c r="A774" s="3" t="s">
        <v>884</v>
      </c>
      <c r="B774" s="3">
        <v>6</v>
      </c>
      <c r="C774" s="3" t="s">
        <v>895</v>
      </c>
      <c r="D774" s="8" t="s">
        <v>23</v>
      </c>
      <c r="E774" s="13" t="s">
        <v>896</v>
      </c>
      <c r="F774" s="9">
        <v>18.96</v>
      </c>
      <c r="G774" s="10">
        <v>4</v>
      </c>
      <c r="H774" s="11">
        <f t="shared" si="102"/>
        <v>75.84</v>
      </c>
      <c r="I774" s="3"/>
      <c r="J774" s="53"/>
      <c r="K774" s="57">
        <f>2</f>
        <v>2</v>
      </c>
      <c r="L774" s="53">
        <f>F774*K774</f>
        <v>37.92</v>
      </c>
      <c r="M774" s="57"/>
      <c r="N774" s="53"/>
      <c r="O774" s="59"/>
      <c r="P774" s="53"/>
      <c r="Q774" s="69"/>
      <c r="R774" s="53"/>
      <c r="S774" s="57">
        <f>1</f>
        <v>1</v>
      </c>
      <c r="T774" s="66">
        <f t="shared" si="103"/>
        <v>18.96</v>
      </c>
      <c r="U774" s="57">
        <f t="shared" ref="U774" si="104">1</f>
        <v>1</v>
      </c>
      <c r="V774" s="66">
        <f>F774*U774</f>
        <v>18.96</v>
      </c>
      <c r="W774" s="69"/>
      <c r="X774" s="66"/>
      <c r="Y774" s="36">
        <f>K774+S774+U774+Q774</f>
        <v>4</v>
      </c>
      <c r="Z774" s="37">
        <f>J774+L774+T774+V774+R774</f>
        <v>75.84</v>
      </c>
    </row>
    <row r="775" spans="1:26" x14ac:dyDescent="0.2">
      <c r="A775" s="3" t="s">
        <v>884</v>
      </c>
      <c r="B775" s="3">
        <v>7</v>
      </c>
      <c r="C775" s="3" t="s">
        <v>897</v>
      </c>
      <c r="D775" s="8" t="s">
        <v>625</v>
      </c>
      <c r="E775" s="13" t="s">
        <v>898</v>
      </c>
      <c r="F775" s="9">
        <v>16.420000000000002</v>
      </c>
      <c r="G775" s="10">
        <v>58</v>
      </c>
      <c r="H775" s="11">
        <f t="shared" si="102"/>
        <v>952.36</v>
      </c>
      <c r="I775" s="3"/>
      <c r="J775" s="53"/>
      <c r="K775" s="57">
        <f t="shared" ref="K775" si="105">26</f>
        <v>26</v>
      </c>
      <c r="L775" s="53">
        <f>F775*K775</f>
        <v>426.92000000000007</v>
      </c>
      <c r="M775" s="57"/>
      <c r="N775" s="53"/>
      <c r="O775" s="59"/>
      <c r="P775" s="53"/>
      <c r="Q775" s="69">
        <f t="shared" ref="Q775" si="106">4</f>
        <v>4</v>
      </c>
      <c r="R775" s="53">
        <f>F775*Q775</f>
        <v>65.680000000000007</v>
      </c>
      <c r="S775" s="57">
        <f>18</f>
        <v>18</v>
      </c>
      <c r="T775" s="66">
        <f t="shared" si="103"/>
        <v>295.56000000000006</v>
      </c>
      <c r="U775" s="57">
        <v>10</v>
      </c>
      <c r="V775" s="66">
        <f>F775*U775</f>
        <v>164.20000000000002</v>
      </c>
      <c r="W775" s="69"/>
      <c r="X775" s="66"/>
      <c r="Y775" s="36">
        <f>K775+S775+U775+Q775</f>
        <v>58</v>
      </c>
      <c r="Z775" s="37">
        <f>J775+L775+T775+V775+R775</f>
        <v>952.36000000000013</v>
      </c>
    </row>
    <row r="776" spans="1:26" x14ac:dyDescent="0.2">
      <c r="E776" s="81" t="s">
        <v>25</v>
      </c>
      <c r="F776" s="6"/>
      <c r="G776" s="6"/>
      <c r="H776" s="12">
        <f>SUM(H769:H775)</f>
        <v>2811.6299999999997</v>
      </c>
      <c r="I776" s="3"/>
      <c r="J776" s="53"/>
      <c r="K776" s="77"/>
      <c r="L776" s="54">
        <f>L774+L775</f>
        <v>464.84000000000009</v>
      </c>
      <c r="M776" s="78"/>
      <c r="N776" s="54">
        <f>N769+N770+N771+N772+N773+N774+N775</f>
        <v>0</v>
      </c>
      <c r="O776" s="60"/>
      <c r="P776" s="71">
        <f>SUM(P763:P775)</f>
        <v>0</v>
      </c>
      <c r="Q776" s="79"/>
      <c r="R776" s="54">
        <f>R775</f>
        <v>65.680000000000007</v>
      </c>
      <c r="S776" s="78"/>
      <c r="T776" s="67">
        <f>T769+T770+T771+T772+T773+T774+T775</f>
        <v>2097.9499999999998</v>
      </c>
      <c r="U776" s="78"/>
      <c r="V776" s="67">
        <f>V774+V775</f>
        <v>183.16000000000003</v>
      </c>
      <c r="W776" s="69"/>
      <c r="X776" s="66"/>
      <c r="Y776" s="3"/>
      <c r="Z776" s="37">
        <f>J776+L776+T776+V776+R776</f>
        <v>2811.6299999999997</v>
      </c>
    </row>
    <row r="777" spans="1:26" x14ac:dyDescent="0.2">
      <c r="J777" s="53"/>
      <c r="K777" s="57"/>
      <c r="L777" s="53"/>
      <c r="M777" s="57"/>
      <c r="N777" s="53"/>
      <c r="O777" s="59"/>
      <c r="P777" s="53"/>
      <c r="Q777" s="69"/>
      <c r="R777" s="53"/>
      <c r="S777" s="57"/>
      <c r="T777" s="66"/>
      <c r="U777" s="57"/>
      <c r="V777" s="66"/>
      <c r="W777" s="69"/>
      <c r="X777" s="66"/>
    </row>
    <row r="778" spans="1:26" x14ac:dyDescent="0.2">
      <c r="C778" s="6" t="s">
        <v>6</v>
      </c>
      <c r="D778" s="7" t="s">
        <v>7</v>
      </c>
      <c r="E778" s="81" t="s">
        <v>8</v>
      </c>
      <c r="J778" s="53"/>
      <c r="K778" s="57"/>
      <c r="L778" s="53"/>
      <c r="M778" s="57"/>
      <c r="N778" s="53"/>
      <c r="O778" s="59"/>
      <c r="P778" s="53"/>
      <c r="Q778" s="69"/>
      <c r="R778" s="53"/>
      <c r="S778" s="57"/>
      <c r="T778" s="66"/>
      <c r="U778" s="57"/>
      <c r="V778" s="66"/>
      <c r="W778" s="69"/>
      <c r="X778" s="66"/>
    </row>
    <row r="779" spans="1:26" x14ac:dyDescent="0.2">
      <c r="C779" s="6" t="s">
        <v>9</v>
      </c>
      <c r="D779" s="7" t="s">
        <v>385</v>
      </c>
      <c r="E779" s="81" t="s">
        <v>588</v>
      </c>
      <c r="J779" s="53"/>
      <c r="K779" s="57"/>
      <c r="L779" s="53"/>
      <c r="M779" s="57"/>
      <c r="N779" s="53"/>
      <c r="O779" s="59"/>
      <c r="P779" s="53"/>
      <c r="Q779" s="69"/>
      <c r="R779" s="53"/>
      <c r="S779" s="57"/>
      <c r="T779" s="66"/>
      <c r="U779" s="57"/>
      <c r="V779" s="66"/>
      <c r="W779" s="69"/>
      <c r="X779" s="66"/>
    </row>
    <row r="780" spans="1:26" x14ac:dyDescent="0.2">
      <c r="C780" s="6" t="s">
        <v>11</v>
      </c>
      <c r="D780" s="7" t="s">
        <v>877</v>
      </c>
      <c r="E780" s="81" t="s">
        <v>878</v>
      </c>
      <c r="J780" s="53"/>
      <c r="K780" s="57"/>
      <c r="L780" s="53"/>
      <c r="M780" s="57"/>
      <c r="N780" s="53"/>
      <c r="O780" s="59"/>
      <c r="P780" s="53"/>
      <c r="Q780" s="69"/>
      <c r="R780" s="53"/>
      <c r="S780" s="57"/>
      <c r="T780" s="66"/>
      <c r="U780" s="57"/>
      <c r="V780" s="66"/>
      <c r="W780" s="69"/>
      <c r="X780" s="66"/>
    </row>
    <row r="781" spans="1:26" x14ac:dyDescent="0.2">
      <c r="C781" s="6" t="s">
        <v>91</v>
      </c>
      <c r="D781" s="7" t="s">
        <v>26</v>
      </c>
      <c r="E781" s="81" t="s">
        <v>600</v>
      </c>
      <c r="J781" s="53"/>
      <c r="K781" s="57"/>
      <c r="L781" s="53"/>
      <c r="M781" s="57"/>
      <c r="N781" s="53"/>
      <c r="O781" s="59"/>
      <c r="P781" s="53"/>
      <c r="Q781" s="69"/>
      <c r="R781" s="53"/>
      <c r="S781" s="57"/>
      <c r="T781" s="66"/>
      <c r="U781" s="57"/>
      <c r="V781" s="66"/>
      <c r="W781" s="69"/>
      <c r="X781" s="66"/>
    </row>
    <row r="782" spans="1:26" x14ac:dyDescent="0.2">
      <c r="J782" s="53"/>
      <c r="K782" s="57"/>
      <c r="L782" s="53"/>
      <c r="M782" s="57"/>
      <c r="N782" s="53"/>
      <c r="O782" s="59"/>
      <c r="P782" s="53"/>
      <c r="Q782" s="69"/>
      <c r="R782" s="53"/>
      <c r="S782" s="57"/>
      <c r="T782" s="66"/>
      <c r="U782" s="57"/>
      <c r="V782" s="66"/>
      <c r="W782" s="69"/>
      <c r="X782" s="66"/>
    </row>
    <row r="783" spans="1:26" ht="25" x14ac:dyDescent="0.2">
      <c r="A783" s="3" t="s">
        <v>899</v>
      </c>
      <c r="B783" s="3">
        <v>1</v>
      </c>
      <c r="C783" s="3" t="s">
        <v>776</v>
      </c>
      <c r="D783" s="8" t="s">
        <v>36</v>
      </c>
      <c r="E783" s="13" t="s">
        <v>777</v>
      </c>
      <c r="F783" s="9">
        <v>36.83</v>
      </c>
      <c r="G783" s="10">
        <v>35</v>
      </c>
      <c r="H783" s="11">
        <f t="shared" ref="H783:H788" si="107">ROUND(ROUND(F783,2)*ROUND(G783,3),2)</f>
        <v>1289.05</v>
      </c>
      <c r="J783" s="53"/>
      <c r="K783" s="57">
        <v>35</v>
      </c>
      <c r="L783" s="53">
        <v>1289.05</v>
      </c>
      <c r="M783" s="57"/>
      <c r="N783" s="53"/>
      <c r="O783" s="59"/>
      <c r="P783" s="53"/>
      <c r="Q783" s="69"/>
      <c r="R783" s="53"/>
      <c r="S783" s="57"/>
      <c r="T783" s="66"/>
      <c r="U783" s="57"/>
      <c r="V783" s="66"/>
      <c r="W783" s="69"/>
      <c r="X783" s="66"/>
    </row>
    <row r="784" spans="1:26" x14ac:dyDescent="0.2">
      <c r="A784" s="3" t="s">
        <v>899</v>
      </c>
      <c r="B784" s="3">
        <v>2</v>
      </c>
      <c r="C784" s="3" t="s">
        <v>778</v>
      </c>
      <c r="D784" s="8" t="s">
        <v>36</v>
      </c>
      <c r="E784" s="13" t="s">
        <v>779</v>
      </c>
      <c r="F784" s="9">
        <v>6.57</v>
      </c>
      <c r="G784" s="10">
        <v>35</v>
      </c>
      <c r="H784" s="11">
        <f t="shared" si="107"/>
        <v>229.95</v>
      </c>
      <c r="J784" s="53"/>
      <c r="K784" s="57">
        <v>35</v>
      </c>
      <c r="L784" s="53">
        <v>229.95</v>
      </c>
      <c r="M784" s="57"/>
      <c r="N784" s="53"/>
      <c r="O784" s="59"/>
      <c r="P784" s="53"/>
      <c r="Q784" s="69"/>
      <c r="R784" s="53"/>
      <c r="S784" s="57"/>
      <c r="T784" s="66"/>
      <c r="U784" s="57"/>
      <c r="V784" s="66"/>
      <c r="W784" s="69"/>
      <c r="X784" s="66"/>
    </row>
    <row r="785" spans="1:27" ht="49" x14ac:dyDescent="0.2">
      <c r="A785" s="3" t="s">
        <v>899</v>
      </c>
      <c r="B785" s="3">
        <v>3</v>
      </c>
      <c r="C785" s="3" t="s">
        <v>780</v>
      </c>
      <c r="D785" s="8" t="s">
        <v>36</v>
      </c>
      <c r="E785" s="13" t="s">
        <v>781</v>
      </c>
      <c r="F785" s="9">
        <v>2.63</v>
      </c>
      <c r="G785" s="10">
        <v>285</v>
      </c>
      <c r="H785" s="11">
        <f t="shared" si="107"/>
        <v>749.55</v>
      </c>
      <c r="J785" s="53"/>
      <c r="K785" s="57">
        <v>150</v>
      </c>
      <c r="L785" s="53">
        <v>394.5</v>
      </c>
      <c r="M785" s="57"/>
      <c r="N785" s="53"/>
      <c r="O785" s="59"/>
      <c r="P785" s="53"/>
      <c r="Q785" s="69"/>
      <c r="R785" s="53"/>
      <c r="S785" s="57">
        <v>75</v>
      </c>
      <c r="T785" s="66">
        <v>197.25</v>
      </c>
      <c r="U785" s="57">
        <v>60</v>
      </c>
      <c r="V785" s="66">
        <v>157.80000000000001</v>
      </c>
      <c r="W785" s="69"/>
      <c r="X785" s="66"/>
      <c r="Y785" s="36">
        <v>285</v>
      </c>
      <c r="Z785" s="37">
        <v>749.55</v>
      </c>
    </row>
    <row r="786" spans="1:27" ht="49" x14ac:dyDescent="0.2">
      <c r="A786" s="3" t="s">
        <v>899</v>
      </c>
      <c r="B786" s="3">
        <v>4</v>
      </c>
      <c r="C786" s="3" t="s">
        <v>900</v>
      </c>
      <c r="D786" s="8" t="s">
        <v>36</v>
      </c>
      <c r="E786" s="13" t="s">
        <v>901</v>
      </c>
      <c r="F786" s="9">
        <v>1.92</v>
      </c>
      <c r="G786" s="10">
        <v>1550</v>
      </c>
      <c r="H786" s="11">
        <f t="shared" si="107"/>
        <v>2976</v>
      </c>
      <c r="J786" s="53"/>
      <c r="K786" s="57">
        <v>750</v>
      </c>
      <c r="L786" s="53">
        <v>1440</v>
      </c>
      <c r="M786" s="57"/>
      <c r="N786" s="53"/>
      <c r="O786" s="59"/>
      <c r="P786" s="53"/>
      <c r="Q786" s="69"/>
      <c r="R786" s="53"/>
      <c r="S786" s="57">
        <v>500</v>
      </c>
      <c r="T786" s="66">
        <v>960</v>
      </c>
      <c r="U786" s="57">
        <v>300</v>
      </c>
      <c r="V786" s="66">
        <v>576</v>
      </c>
      <c r="W786" s="69"/>
      <c r="X786" s="66"/>
      <c r="Y786" s="36">
        <v>1550</v>
      </c>
      <c r="Z786" s="37">
        <v>2976</v>
      </c>
    </row>
    <row r="787" spans="1:27" ht="37" x14ac:dyDescent="0.2">
      <c r="A787" s="3" t="s">
        <v>899</v>
      </c>
      <c r="B787" s="3">
        <v>5</v>
      </c>
      <c r="C787" s="3" t="s">
        <v>782</v>
      </c>
      <c r="D787" s="8" t="s">
        <v>36</v>
      </c>
      <c r="E787" s="13" t="s">
        <v>783</v>
      </c>
      <c r="F787" s="9">
        <v>7.12</v>
      </c>
      <c r="G787" s="10">
        <v>67.5</v>
      </c>
      <c r="H787" s="11">
        <f t="shared" si="107"/>
        <v>480.6</v>
      </c>
      <c r="J787" s="53"/>
      <c r="K787" s="57">
        <v>32.5</v>
      </c>
      <c r="L787" s="53">
        <v>231.4</v>
      </c>
      <c r="M787" s="57"/>
      <c r="N787" s="53"/>
      <c r="O787" s="59"/>
      <c r="P787" s="53"/>
      <c r="Q787" s="69"/>
      <c r="R787" s="53"/>
      <c r="S787" s="57">
        <v>22.5</v>
      </c>
      <c r="T787" s="66">
        <v>160.19999999999999</v>
      </c>
      <c r="U787" s="57">
        <v>12.5</v>
      </c>
      <c r="V787" s="66">
        <v>89</v>
      </c>
      <c r="W787" s="69"/>
      <c r="X787" s="66"/>
      <c r="Y787" s="36">
        <v>67.5</v>
      </c>
      <c r="Z787" s="37">
        <v>480.6</v>
      </c>
    </row>
    <row r="788" spans="1:27" ht="49" x14ac:dyDescent="0.2">
      <c r="A788" s="3" t="s">
        <v>899</v>
      </c>
      <c r="B788" s="3">
        <v>6</v>
      </c>
      <c r="C788" s="3" t="s">
        <v>786</v>
      </c>
      <c r="D788" s="8" t="s">
        <v>36</v>
      </c>
      <c r="E788" s="13" t="s">
        <v>787</v>
      </c>
      <c r="F788" s="9">
        <v>2.65</v>
      </c>
      <c r="G788" s="10">
        <v>270</v>
      </c>
      <c r="H788" s="11">
        <f t="shared" si="107"/>
        <v>715.5</v>
      </c>
      <c r="J788" s="53"/>
      <c r="K788" s="57">
        <v>85</v>
      </c>
      <c r="L788" s="53">
        <v>225.25</v>
      </c>
      <c r="M788" s="57"/>
      <c r="N788" s="53"/>
      <c r="O788" s="59"/>
      <c r="P788" s="53"/>
      <c r="Q788" s="69"/>
      <c r="R788" s="53"/>
      <c r="S788" s="57">
        <v>100</v>
      </c>
      <c r="T788" s="66">
        <v>265</v>
      </c>
      <c r="U788" s="57">
        <v>85</v>
      </c>
      <c r="V788" s="66">
        <v>225.25</v>
      </c>
      <c r="W788" s="69"/>
      <c r="X788" s="66"/>
      <c r="Y788" s="36">
        <v>270</v>
      </c>
      <c r="Z788" s="37">
        <v>715.5</v>
      </c>
    </row>
    <row r="789" spans="1:27" x14ac:dyDescent="0.2">
      <c r="E789" s="81" t="s">
        <v>25</v>
      </c>
      <c r="F789" s="6"/>
      <c r="G789" s="6"/>
      <c r="H789" s="12">
        <f>SUM(H783:H788)</f>
        <v>6440.6500000000005</v>
      </c>
      <c r="J789" s="53"/>
      <c r="K789" s="57"/>
      <c r="L789" s="54">
        <v>3810.15</v>
      </c>
      <c r="M789" s="58"/>
      <c r="N789" s="54">
        <f>0</f>
        <v>0</v>
      </c>
      <c r="O789" s="60"/>
      <c r="P789" s="71">
        <f>SUM(P776:P788)</f>
        <v>0</v>
      </c>
      <c r="Q789" s="69"/>
      <c r="R789" s="53"/>
      <c r="S789" s="58"/>
      <c r="T789" s="67">
        <v>1582.45</v>
      </c>
      <c r="U789" s="58"/>
      <c r="V789" s="67">
        <v>1048.05</v>
      </c>
      <c r="W789" s="69"/>
      <c r="X789" s="66"/>
      <c r="Z789" s="37">
        <v>6440.65</v>
      </c>
      <c r="AA789" s="41"/>
    </row>
    <row r="790" spans="1:27" x14ac:dyDescent="0.2">
      <c r="J790" s="53"/>
      <c r="K790" s="57"/>
      <c r="L790" s="53"/>
      <c r="M790" s="57"/>
      <c r="N790" s="53"/>
      <c r="O790" s="59"/>
      <c r="P790" s="53"/>
      <c r="Q790" s="69"/>
      <c r="R790" s="53"/>
      <c r="S790" s="57"/>
      <c r="T790" s="66"/>
      <c r="U790" s="57"/>
      <c r="V790" s="66"/>
      <c r="W790" s="69"/>
      <c r="X790" s="66"/>
    </row>
    <row r="791" spans="1:27" x14ac:dyDescent="0.2">
      <c r="C791" s="6" t="s">
        <v>6</v>
      </c>
      <c r="D791" s="7" t="s">
        <v>7</v>
      </c>
      <c r="E791" s="81" t="s">
        <v>8</v>
      </c>
      <c r="J791" s="53"/>
      <c r="K791" s="57"/>
      <c r="L791" s="53"/>
      <c r="M791" s="57"/>
      <c r="N791" s="53"/>
      <c r="O791" s="59"/>
      <c r="P791" s="53"/>
      <c r="Q791" s="69"/>
      <c r="R791" s="53"/>
      <c r="S791" s="57"/>
      <c r="T791" s="66"/>
      <c r="U791" s="57"/>
      <c r="V791" s="66"/>
      <c r="W791" s="69"/>
      <c r="X791" s="66"/>
    </row>
    <row r="792" spans="1:27" x14ac:dyDescent="0.2">
      <c r="C792" s="6" t="s">
        <v>9</v>
      </c>
      <c r="D792" s="7" t="s">
        <v>385</v>
      </c>
      <c r="E792" s="81" t="s">
        <v>588</v>
      </c>
      <c r="J792" s="53"/>
      <c r="K792" s="57"/>
      <c r="L792" s="53"/>
      <c r="M792" s="57"/>
      <c r="N792" s="53"/>
      <c r="O792" s="59"/>
      <c r="P792" s="53"/>
      <c r="Q792" s="69"/>
      <c r="R792" s="53"/>
      <c r="S792" s="57"/>
      <c r="T792" s="66"/>
      <c r="U792" s="57"/>
      <c r="V792" s="66"/>
      <c r="W792" s="69"/>
      <c r="X792" s="66"/>
    </row>
    <row r="793" spans="1:27" x14ac:dyDescent="0.2">
      <c r="C793" s="6" t="s">
        <v>11</v>
      </c>
      <c r="D793" s="7" t="s">
        <v>902</v>
      </c>
      <c r="E793" s="81" t="s">
        <v>903</v>
      </c>
      <c r="J793" s="53"/>
      <c r="K793" s="57"/>
      <c r="L793" s="53"/>
      <c r="M793" s="57"/>
      <c r="N793" s="53"/>
      <c r="O793" s="59"/>
      <c r="P793" s="53"/>
      <c r="Q793" s="69"/>
      <c r="R793" s="53"/>
      <c r="S793" s="57"/>
      <c r="T793" s="66"/>
      <c r="U793" s="57"/>
      <c r="V793" s="66"/>
      <c r="W793" s="69"/>
      <c r="X793" s="66"/>
    </row>
    <row r="794" spans="1:27" x14ac:dyDescent="0.2">
      <c r="J794" s="53"/>
      <c r="K794" s="57"/>
      <c r="L794" s="53"/>
      <c r="M794" s="57"/>
      <c r="N794" s="53"/>
      <c r="O794" s="59"/>
      <c r="P794" s="53"/>
      <c r="Q794" s="69"/>
      <c r="R794" s="53"/>
      <c r="S794" s="57"/>
      <c r="T794" s="66"/>
      <c r="U794" s="57"/>
      <c r="V794" s="66"/>
      <c r="W794" s="69"/>
      <c r="X794" s="66"/>
    </row>
    <row r="795" spans="1:27" ht="25" x14ac:dyDescent="0.2">
      <c r="A795" s="3" t="s">
        <v>904</v>
      </c>
      <c r="B795" s="3">
        <v>1</v>
      </c>
      <c r="C795" s="3" t="s">
        <v>905</v>
      </c>
      <c r="D795" s="8" t="s">
        <v>23</v>
      </c>
      <c r="E795" s="13" t="s">
        <v>906</v>
      </c>
      <c r="F795" s="9">
        <v>62.37</v>
      </c>
      <c r="G795" s="10">
        <v>7</v>
      </c>
      <c r="H795" s="11">
        <f t="shared" ref="H795:H800" si="108">ROUND(ROUND(F795,2)*ROUND(G795,3),2)</f>
        <v>436.59</v>
      </c>
      <c r="I795" s="3"/>
      <c r="J795" s="53"/>
      <c r="K795" s="57">
        <f>3</f>
        <v>3</v>
      </c>
      <c r="L795" s="53">
        <f>F795*K795</f>
        <v>187.10999999999999</v>
      </c>
      <c r="M795" s="57"/>
      <c r="N795" s="53"/>
      <c r="O795" s="59"/>
      <c r="P795" s="53"/>
      <c r="Q795" s="69">
        <f t="shared" ref="Q795:U796" si="109">1</f>
        <v>1</v>
      </c>
      <c r="R795" s="53">
        <f>F795*Q795</f>
        <v>62.37</v>
      </c>
      <c r="S795" s="57">
        <f t="shared" ref="Q795:U798" si="110">2</f>
        <v>2</v>
      </c>
      <c r="T795" s="66">
        <f>F795*S795</f>
        <v>124.74</v>
      </c>
      <c r="U795" s="57">
        <f t="shared" si="109"/>
        <v>1</v>
      </c>
      <c r="V795" s="66">
        <f>F795*U795</f>
        <v>62.37</v>
      </c>
      <c r="W795" s="69"/>
      <c r="X795" s="66"/>
      <c r="Y795" s="36">
        <f>K795+S795+U795+Q795</f>
        <v>7</v>
      </c>
      <c r="Z795" s="37">
        <f>J795+L795+T795+V795+R795</f>
        <v>436.59</v>
      </c>
    </row>
    <row r="796" spans="1:27" ht="25" x14ac:dyDescent="0.2">
      <c r="A796" s="3" t="s">
        <v>904</v>
      </c>
      <c r="B796" s="3">
        <v>2</v>
      </c>
      <c r="C796" s="3" t="s">
        <v>907</v>
      </c>
      <c r="D796" s="8" t="s">
        <v>23</v>
      </c>
      <c r="E796" s="13" t="s">
        <v>908</v>
      </c>
      <c r="F796" s="9">
        <v>10.93</v>
      </c>
      <c r="G796" s="10">
        <v>7</v>
      </c>
      <c r="H796" s="11">
        <f t="shared" si="108"/>
        <v>76.510000000000005</v>
      </c>
      <c r="I796" s="3"/>
      <c r="J796" s="53"/>
      <c r="K796" s="57">
        <f>3</f>
        <v>3</v>
      </c>
      <c r="L796" s="53">
        <f>F796*K796</f>
        <v>32.79</v>
      </c>
      <c r="M796" s="57"/>
      <c r="N796" s="53"/>
      <c r="O796" s="59"/>
      <c r="P796" s="53"/>
      <c r="Q796" s="69">
        <f t="shared" si="109"/>
        <v>1</v>
      </c>
      <c r="R796" s="53">
        <f>F796*Q796</f>
        <v>10.93</v>
      </c>
      <c r="S796" s="57">
        <f t="shared" si="110"/>
        <v>2</v>
      </c>
      <c r="T796" s="66">
        <f>F796*S796</f>
        <v>21.86</v>
      </c>
      <c r="U796" s="57">
        <f t="shared" si="109"/>
        <v>1</v>
      </c>
      <c r="V796" s="66">
        <f>F796*U796</f>
        <v>10.93</v>
      </c>
      <c r="W796" s="69"/>
      <c r="X796" s="66"/>
      <c r="Y796" s="36">
        <f>K796+S796+U796+Q796</f>
        <v>7</v>
      </c>
      <c r="Z796" s="37">
        <f>J796+L796+T796+V796+R796</f>
        <v>76.509999999999991</v>
      </c>
    </row>
    <row r="797" spans="1:27" ht="37" x14ac:dyDescent="0.2">
      <c r="A797" s="3" t="s">
        <v>904</v>
      </c>
      <c r="B797" s="3">
        <v>3</v>
      </c>
      <c r="C797" s="3" t="s">
        <v>909</v>
      </c>
      <c r="D797" s="8" t="s">
        <v>23</v>
      </c>
      <c r="E797" s="13" t="s">
        <v>910</v>
      </c>
      <c r="F797" s="9">
        <v>9.0299999999999994</v>
      </c>
      <c r="G797" s="10">
        <v>11</v>
      </c>
      <c r="H797" s="11">
        <f t="shared" si="108"/>
        <v>99.33</v>
      </c>
      <c r="I797" s="3"/>
      <c r="J797" s="53"/>
      <c r="K797" s="57">
        <f>4</f>
        <v>4</v>
      </c>
      <c r="L797" s="53">
        <f>F797*K797</f>
        <v>36.119999999999997</v>
      </c>
      <c r="M797" s="57"/>
      <c r="N797" s="53"/>
      <c r="O797" s="59"/>
      <c r="P797" s="53"/>
      <c r="Q797" s="69">
        <f t="shared" si="110"/>
        <v>2</v>
      </c>
      <c r="R797" s="53">
        <f>F797*Q797</f>
        <v>18.059999999999999</v>
      </c>
      <c r="S797" s="57">
        <f t="shared" ref="Q797:S800" si="111">3</f>
        <v>3</v>
      </c>
      <c r="T797" s="66">
        <f>F797*S797</f>
        <v>27.089999999999996</v>
      </c>
      <c r="U797" s="57">
        <f t="shared" si="110"/>
        <v>2</v>
      </c>
      <c r="V797" s="66">
        <f>F797*U797</f>
        <v>18.059999999999999</v>
      </c>
      <c r="W797" s="69"/>
      <c r="X797" s="66"/>
      <c r="Y797" s="36">
        <f>K797+S797+U797+Q797</f>
        <v>11</v>
      </c>
      <c r="Z797" s="37">
        <f>J797+L797+T797+V797+R797</f>
        <v>99.33</v>
      </c>
    </row>
    <row r="798" spans="1:27" ht="25" x14ac:dyDescent="0.2">
      <c r="A798" s="3" t="s">
        <v>904</v>
      </c>
      <c r="B798" s="3">
        <v>4</v>
      </c>
      <c r="C798" s="3" t="s">
        <v>911</v>
      </c>
      <c r="D798" s="8" t="s">
        <v>23</v>
      </c>
      <c r="E798" s="13" t="s">
        <v>912</v>
      </c>
      <c r="F798" s="9">
        <v>8.66</v>
      </c>
      <c r="G798" s="10">
        <v>7</v>
      </c>
      <c r="H798" s="11">
        <f t="shared" si="108"/>
        <v>60.62</v>
      </c>
      <c r="I798" s="3"/>
      <c r="J798" s="53"/>
      <c r="K798" s="57">
        <f>3</f>
        <v>3</v>
      </c>
      <c r="L798" s="53">
        <f>F798*K798</f>
        <v>25.98</v>
      </c>
      <c r="M798" s="57"/>
      <c r="N798" s="53"/>
      <c r="O798" s="59"/>
      <c r="P798" s="53"/>
      <c r="Q798" s="69"/>
      <c r="R798" s="53"/>
      <c r="S798" s="57">
        <f t="shared" si="110"/>
        <v>2</v>
      </c>
      <c r="T798" s="66">
        <f>F798*S798</f>
        <v>17.32</v>
      </c>
      <c r="U798" s="57">
        <f t="shared" si="110"/>
        <v>2</v>
      </c>
      <c r="V798" s="66">
        <f>F798*U798</f>
        <v>17.32</v>
      </c>
      <c r="W798" s="69"/>
      <c r="X798" s="66"/>
      <c r="Y798" s="36">
        <f>K798+S798+U798+Q798</f>
        <v>7</v>
      </c>
      <c r="Z798" s="37">
        <f>J798+L798+T798+V798+R798</f>
        <v>60.62</v>
      </c>
    </row>
    <row r="799" spans="1:27" ht="49" x14ac:dyDescent="0.2">
      <c r="A799" s="3" t="s">
        <v>904</v>
      </c>
      <c r="B799" s="3">
        <v>5</v>
      </c>
      <c r="C799" s="3" t="s">
        <v>913</v>
      </c>
      <c r="D799" s="8" t="s">
        <v>23</v>
      </c>
      <c r="E799" s="13" t="s">
        <v>914</v>
      </c>
      <c r="F799" s="9">
        <v>101.59</v>
      </c>
      <c r="G799" s="10">
        <v>27</v>
      </c>
      <c r="H799" s="11">
        <f t="shared" si="108"/>
        <v>2742.93</v>
      </c>
      <c r="I799" s="3"/>
      <c r="J799" s="53"/>
      <c r="K799" s="57">
        <f>10</f>
        <v>10</v>
      </c>
      <c r="L799" s="53">
        <f>F799*K799</f>
        <v>1015.9000000000001</v>
      </c>
      <c r="M799" s="57"/>
      <c r="N799" s="53"/>
      <c r="O799" s="59"/>
      <c r="P799" s="53"/>
      <c r="Q799" s="69"/>
      <c r="R799" s="53"/>
      <c r="S799" s="57">
        <f t="shared" ref="S799" si="112">9</f>
        <v>9</v>
      </c>
      <c r="T799" s="66">
        <f>F799*S799</f>
        <v>914.31000000000006</v>
      </c>
      <c r="U799" s="57">
        <f t="shared" ref="U799" si="113">8</f>
        <v>8</v>
      </c>
      <c r="V799" s="66">
        <f>F799*U799</f>
        <v>812.72</v>
      </c>
      <c r="W799" s="69"/>
      <c r="X799" s="66"/>
      <c r="Y799" s="36">
        <f>K799+S799+U799+Q799</f>
        <v>27</v>
      </c>
      <c r="Z799" s="37">
        <f>J799+L799+T799+V799+R799</f>
        <v>2742.9300000000003</v>
      </c>
    </row>
    <row r="800" spans="1:27" ht="49" x14ac:dyDescent="0.2">
      <c r="A800" s="3" t="s">
        <v>904</v>
      </c>
      <c r="B800" s="3">
        <v>6</v>
      </c>
      <c r="C800" s="3" t="s">
        <v>915</v>
      </c>
      <c r="D800" s="8" t="s">
        <v>23</v>
      </c>
      <c r="E800" s="13" t="s">
        <v>916</v>
      </c>
      <c r="F800" s="9">
        <v>127.39</v>
      </c>
      <c r="G800" s="10">
        <v>3</v>
      </c>
      <c r="H800" s="11">
        <f t="shared" si="108"/>
        <v>382.17</v>
      </c>
      <c r="I800" s="3"/>
      <c r="J800" s="53"/>
      <c r="K800" s="77"/>
      <c r="L800" s="53"/>
      <c r="M800" s="77"/>
      <c r="N800" s="53"/>
      <c r="O800" s="59"/>
      <c r="P800" s="53"/>
      <c r="Q800" s="69">
        <f t="shared" si="111"/>
        <v>3</v>
      </c>
      <c r="R800" s="53">
        <f>F800*Q800</f>
        <v>382.17</v>
      </c>
      <c r="S800" s="77"/>
      <c r="T800" s="66"/>
      <c r="U800" s="77"/>
      <c r="V800" s="66"/>
      <c r="W800" s="69"/>
      <c r="X800" s="66"/>
      <c r="Y800" s="3"/>
    </row>
    <row r="801" spans="1:26" x14ac:dyDescent="0.2">
      <c r="E801" s="81" t="s">
        <v>25</v>
      </c>
      <c r="F801" s="6"/>
      <c r="G801" s="6"/>
      <c r="H801" s="12">
        <f>SUM(H795:H800)</f>
        <v>3798.15</v>
      </c>
      <c r="I801" s="3"/>
      <c r="J801" s="53"/>
      <c r="K801" s="77"/>
      <c r="L801" s="54">
        <f>L795+L796+L797+L798+L799</f>
        <v>1297.9000000000001</v>
      </c>
      <c r="M801" s="78"/>
      <c r="N801" s="54">
        <f>N795+N796+N797+N798+N799</f>
        <v>0</v>
      </c>
      <c r="O801" s="60"/>
      <c r="P801" s="71">
        <f>SUM(P788:P800)</f>
        <v>0</v>
      </c>
      <c r="Q801" s="79"/>
      <c r="R801" s="54">
        <f>R795+R796+R797+R800</f>
        <v>473.53000000000003</v>
      </c>
      <c r="S801" s="78"/>
      <c r="T801" s="67">
        <f>T795+T796+T797+T798+T799</f>
        <v>1105.3200000000002</v>
      </c>
      <c r="U801" s="78"/>
      <c r="V801" s="67">
        <f>V795+V796+V797+V798+V799</f>
        <v>921.40000000000009</v>
      </c>
      <c r="W801" s="69"/>
      <c r="X801" s="66"/>
      <c r="Y801" s="3"/>
      <c r="Z801" s="37">
        <f>J801+L801+T801+V801+R801</f>
        <v>3798.1500000000005</v>
      </c>
    </row>
    <row r="802" spans="1:26" x14ac:dyDescent="0.2">
      <c r="J802" s="53"/>
      <c r="K802" s="57"/>
      <c r="L802" s="53"/>
      <c r="M802" s="57"/>
      <c r="N802" s="53"/>
      <c r="O802" s="59"/>
      <c r="P802" s="53"/>
      <c r="Q802" s="69"/>
      <c r="R802" s="53"/>
      <c r="S802" s="57"/>
      <c r="T802" s="66"/>
      <c r="U802" s="57"/>
      <c r="V802" s="66"/>
      <c r="W802" s="69"/>
      <c r="X802" s="66"/>
    </row>
    <row r="803" spans="1:26" x14ac:dyDescent="0.2">
      <c r="C803" s="6" t="s">
        <v>6</v>
      </c>
      <c r="D803" s="7" t="s">
        <v>7</v>
      </c>
      <c r="E803" s="81" t="s">
        <v>8</v>
      </c>
      <c r="J803" s="53"/>
      <c r="K803" s="57"/>
      <c r="L803" s="53"/>
      <c r="M803" s="57"/>
      <c r="N803" s="53"/>
      <c r="O803" s="59"/>
      <c r="P803" s="53"/>
      <c r="Q803" s="69"/>
      <c r="R803" s="53"/>
      <c r="S803" s="57"/>
      <c r="T803" s="66"/>
      <c r="U803" s="57"/>
      <c r="V803" s="66"/>
      <c r="W803" s="69"/>
      <c r="X803" s="66"/>
    </row>
    <row r="804" spans="1:26" x14ac:dyDescent="0.2">
      <c r="C804" s="6" t="s">
        <v>9</v>
      </c>
      <c r="D804" s="7" t="s">
        <v>385</v>
      </c>
      <c r="E804" s="81" t="s">
        <v>588</v>
      </c>
      <c r="J804" s="53"/>
      <c r="K804" s="57"/>
      <c r="L804" s="53"/>
      <c r="M804" s="57"/>
      <c r="N804" s="53"/>
      <c r="O804" s="59"/>
      <c r="P804" s="53"/>
      <c r="Q804" s="69"/>
      <c r="R804" s="53"/>
      <c r="S804" s="57"/>
      <c r="T804" s="66"/>
      <c r="U804" s="57"/>
      <c r="V804" s="66"/>
      <c r="W804" s="69"/>
      <c r="X804" s="66"/>
    </row>
    <row r="805" spans="1:26" x14ac:dyDescent="0.2">
      <c r="C805" s="6" t="s">
        <v>11</v>
      </c>
      <c r="D805" s="7" t="s">
        <v>917</v>
      </c>
      <c r="E805" s="81" t="s">
        <v>918</v>
      </c>
      <c r="J805" s="53"/>
      <c r="K805" s="57"/>
      <c r="L805" s="53"/>
      <c r="M805" s="57"/>
      <c r="N805" s="53"/>
      <c r="O805" s="59"/>
      <c r="P805" s="53"/>
      <c r="Q805" s="69"/>
      <c r="R805" s="53"/>
      <c r="S805" s="57"/>
      <c r="T805" s="66"/>
      <c r="U805" s="57"/>
      <c r="V805" s="66"/>
      <c r="W805" s="69"/>
      <c r="X805" s="66"/>
    </row>
    <row r="806" spans="1:26" x14ac:dyDescent="0.2">
      <c r="J806" s="53"/>
      <c r="K806" s="57"/>
      <c r="L806" s="53"/>
      <c r="M806" s="57"/>
      <c r="N806" s="53"/>
      <c r="O806" s="59"/>
      <c r="P806" s="53"/>
      <c r="Q806" s="69"/>
      <c r="R806" s="53"/>
      <c r="S806" s="57"/>
      <c r="T806" s="66"/>
      <c r="U806" s="57"/>
      <c r="V806" s="66"/>
      <c r="W806" s="69"/>
      <c r="X806" s="66"/>
    </row>
    <row r="807" spans="1:26" ht="73" x14ac:dyDescent="0.2">
      <c r="A807" s="3" t="s">
        <v>919</v>
      </c>
      <c r="B807" s="3">
        <v>1</v>
      </c>
      <c r="C807" s="3" t="s">
        <v>920</v>
      </c>
      <c r="D807" s="8" t="s">
        <v>23</v>
      </c>
      <c r="E807" s="13" t="s">
        <v>921</v>
      </c>
      <c r="F807" s="9">
        <v>3450.82</v>
      </c>
      <c r="G807" s="10">
        <v>1</v>
      </c>
      <c r="H807" s="11">
        <f>ROUND(ROUND(F807,2)*ROUND(G807,3),2)</f>
        <v>3450.82</v>
      </c>
      <c r="J807" s="53"/>
      <c r="K807" s="57"/>
      <c r="L807" s="53"/>
      <c r="M807" s="57"/>
      <c r="N807" s="53"/>
      <c r="O807" s="59"/>
      <c r="P807" s="53"/>
      <c r="Q807" s="69"/>
      <c r="R807" s="53"/>
      <c r="S807" s="57">
        <f>G807</f>
        <v>1</v>
      </c>
      <c r="T807" s="66">
        <f>F807*S807</f>
        <v>3450.82</v>
      </c>
      <c r="U807" s="57"/>
      <c r="V807" s="66"/>
      <c r="W807" s="69"/>
      <c r="X807" s="66"/>
    </row>
    <row r="808" spans="1:26" x14ac:dyDescent="0.2">
      <c r="E808" s="81" t="s">
        <v>25</v>
      </c>
      <c r="F808" s="6"/>
      <c r="G808" s="6"/>
      <c r="H808" s="12">
        <f>SUM(H807:H807)</f>
        <v>3450.82</v>
      </c>
      <c r="J808" s="53"/>
      <c r="K808" s="57"/>
      <c r="L808" s="53"/>
      <c r="M808" s="77"/>
      <c r="N808" s="53">
        <f>N807</f>
        <v>0</v>
      </c>
      <c r="O808" s="59"/>
      <c r="P808" s="53"/>
      <c r="Q808" s="69"/>
      <c r="R808" s="53"/>
      <c r="S808" s="77"/>
      <c r="T808" s="67">
        <f>T807</f>
        <v>3450.82</v>
      </c>
      <c r="U808" s="57"/>
      <c r="V808" s="66"/>
      <c r="W808" s="69"/>
      <c r="X808" s="66"/>
    </row>
    <row r="809" spans="1:26" x14ac:dyDescent="0.2">
      <c r="J809" s="53"/>
      <c r="K809" s="57"/>
      <c r="L809" s="53"/>
      <c r="M809" s="57"/>
      <c r="N809" s="53"/>
      <c r="O809" s="59"/>
      <c r="P809" s="53"/>
      <c r="Q809" s="69"/>
      <c r="R809" s="53"/>
      <c r="S809" s="57"/>
      <c r="T809" s="66"/>
      <c r="U809" s="57"/>
      <c r="V809" s="66"/>
      <c r="W809" s="69"/>
      <c r="X809" s="66"/>
    </row>
    <row r="810" spans="1:26" x14ac:dyDescent="0.2">
      <c r="C810" s="6" t="s">
        <v>6</v>
      </c>
      <c r="D810" s="7" t="s">
        <v>7</v>
      </c>
      <c r="E810" s="81" t="s">
        <v>8</v>
      </c>
      <c r="J810" s="53"/>
      <c r="K810" s="57"/>
      <c r="L810" s="53"/>
      <c r="M810" s="57"/>
      <c r="N810" s="53"/>
      <c r="O810" s="59"/>
      <c r="P810" s="53"/>
      <c r="Q810" s="69"/>
      <c r="R810" s="53"/>
      <c r="S810" s="57"/>
      <c r="T810" s="66"/>
      <c r="U810" s="57"/>
      <c r="V810" s="66"/>
      <c r="W810" s="69"/>
      <c r="X810" s="66"/>
    </row>
    <row r="811" spans="1:26" x14ac:dyDescent="0.2">
      <c r="C811" s="6" t="s">
        <v>9</v>
      </c>
      <c r="D811" s="7" t="s">
        <v>385</v>
      </c>
      <c r="E811" s="81" t="s">
        <v>588</v>
      </c>
      <c r="J811" s="53"/>
      <c r="K811" s="57"/>
      <c r="L811" s="53"/>
      <c r="M811" s="57"/>
      <c r="N811" s="53"/>
      <c r="O811" s="59"/>
      <c r="P811" s="53"/>
      <c r="Q811" s="69"/>
      <c r="R811" s="53"/>
      <c r="S811" s="57"/>
      <c r="T811" s="66"/>
      <c r="U811" s="57"/>
      <c r="V811" s="66"/>
      <c r="W811" s="69"/>
      <c r="X811" s="66"/>
    </row>
    <row r="812" spans="1:26" x14ac:dyDescent="0.2">
      <c r="C812" s="6" t="s">
        <v>11</v>
      </c>
      <c r="D812" s="7" t="s">
        <v>922</v>
      </c>
      <c r="E812" s="81" t="s">
        <v>923</v>
      </c>
      <c r="J812" s="53"/>
      <c r="K812" s="57"/>
      <c r="L812" s="53"/>
      <c r="M812" s="57"/>
      <c r="N812" s="53"/>
      <c r="O812" s="59"/>
      <c r="P812" s="53"/>
      <c r="Q812" s="69"/>
      <c r="R812" s="53"/>
      <c r="S812" s="57"/>
      <c r="T812" s="66"/>
      <c r="U812" s="57"/>
      <c r="V812" s="66"/>
      <c r="W812" s="69"/>
      <c r="X812" s="66"/>
    </row>
    <row r="813" spans="1:26" x14ac:dyDescent="0.2">
      <c r="C813" s="6" t="s">
        <v>91</v>
      </c>
      <c r="D813" s="7" t="s">
        <v>7</v>
      </c>
      <c r="E813" s="81" t="s">
        <v>924</v>
      </c>
      <c r="J813" s="53"/>
      <c r="K813" s="57"/>
      <c r="L813" s="53"/>
      <c r="M813" s="57"/>
      <c r="N813" s="53"/>
      <c r="O813" s="59"/>
      <c r="P813" s="53"/>
      <c r="Q813" s="69"/>
      <c r="R813" s="53"/>
      <c r="S813" s="57"/>
      <c r="T813" s="66"/>
      <c r="U813" s="57"/>
      <c r="V813" s="66"/>
      <c r="W813" s="69"/>
      <c r="X813" s="66"/>
    </row>
    <row r="814" spans="1:26" x14ac:dyDescent="0.2">
      <c r="J814" s="53"/>
      <c r="K814" s="57"/>
      <c r="L814" s="53"/>
      <c r="M814" s="57"/>
      <c r="N814" s="53"/>
      <c r="O814" s="59"/>
      <c r="P814" s="53"/>
      <c r="Q814" s="69"/>
      <c r="R814" s="53"/>
      <c r="S814" s="57"/>
      <c r="T814" s="66"/>
      <c r="U814" s="57"/>
      <c r="V814" s="66"/>
      <c r="W814" s="69"/>
      <c r="X814" s="66"/>
    </row>
    <row r="815" spans="1:26" ht="340" x14ac:dyDescent="0.2">
      <c r="A815" s="3" t="s">
        <v>925</v>
      </c>
      <c r="B815" s="3">
        <v>1</v>
      </c>
      <c r="C815" s="3" t="s">
        <v>926</v>
      </c>
      <c r="D815" s="8" t="s">
        <v>23</v>
      </c>
      <c r="E815" s="13" t="s">
        <v>927</v>
      </c>
      <c r="F815" s="9">
        <v>2027.28</v>
      </c>
      <c r="G815" s="10">
        <v>1</v>
      </c>
      <c r="H815" s="11">
        <f t="shared" ref="H815:H821" si="114">ROUND(ROUND(F815,2)*ROUND(G815,3),2)</f>
        <v>2027.28</v>
      </c>
      <c r="I815" s="3"/>
      <c r="J815" s="53"/>
      <c r="K815" s="77"/>
      <c r="L815" s="53"/>
      <c r="M815" s="57"/>
      <c r="N815" s="53"/>
      <c r="O815" s="59"/>
      <c r="P815" s="53"/>
      <c r="Q815" s="69"/>
      <c r="R815" s="53"/>
      <c r="S815" s="57">
        <f>G815</f>
        <v>1</v>
      </c>
      <c r="T815" s="66">
        <f>F815*S815</f>
        <v>2027.28</v>
      </c>
      <c r="U815" s="77"/>
      <c r="V815" s="66"/>
      <c r="W815" s="69"/>
      <c r="X815" s="66"/>
      <c r="Y815" s="3"/>
    </row>
    <row r="816" spans="1:26" ht="340" x14ac:dyDescent="0.2">
      <c r="A816" s="3" t="s">
        <v>925</v>
      </c>
      <c r="B816" s="3">
        <v>2</v>
      </c>
      <c r="C816" s="3" t="s">
        <v>928</v>
      </c>
      <c r="D816" s="8" t="s">
        <v>23</v>
      </c>
      <c r="E816" s="13" t="s">
        <v>929</v>
      </c>
      <c r="F816" s="9">
        <v>1679.54</v>
      </c>
      <c r="G816" s="10">
        <v>1</v>
      </c>
      <c r="H816" s="11">
        <f t="shared" si="114"/>
        <v>1679.54</v>
      </c>
      <c r="I816" s="3"/>
      <c r="J816" s="53"/>
      <c r="K816" s="77"/>
      <c r="L816" s="53"/>
      <c r="M816" s="77"/>
      <c r="N816" s="53"/>
      <c r="O816" s="59"/>
      <c r="P816" s="53"/>
      <c r="Q816" s="69"/>
      <c r="R816" s="53"/>
      <c r="S816" s="77"/>
      <c r="T816" s="66"/>
      <c r="U816" s="57">
        <f t="shared" ref="U816" si="115">1</f>
        <v>1</v>
      </c>
      <c r="V816" s="66">
        <f>F816*U816</f>
        <v>1679.54</v>
      </c>
      <c r="W816" s="69"/>
      <c r="X816" s="66"/>
      <c r="Y816" s="3"/>
    </row>
    <row r="817" spans="1:26" ht="217" x14ac:dyDescent="0.2">
      <c r="A817" s="3" t="s">
        <v>925</v>
      </c>
      <c r="B817" s="3">
        <v>3</v>
      </c>
      <c r="C817" s="3" t="s">
        <v>930</v>
      </c>
      <c r="D817" s="8" t="s">
        <v>23</v>
      </c>
      <c r="E817" s="13" t="s">
        <v>931</v>
      </c>
      <c r="F817" s="9">
        <v>514.03</v>
      </c>
      <c r="G817" s="10">
        <v>2</v>
      </c>
      <c r="H817" s="11">
        <f t="shared" si="114"/>
        <v>1028.06</v>
      </c>
      <c r="I817" s="3"/>
      <c r="J817" s="53"/>
      <c r="K817" s="57">
        <f>1</f>
        <v>1</v>
      </c>
      <c r="L817" s="53">
        <f>F817*K817</f>
        <v>514.03</v>
      </c>
      <c r="M817" s="57"/>
      <c r="N817" s="53"/>
      <c r="O817" s="59"/>
      <c r="P817" s="53"/>
      <c r="Q817" s="69"/>
      <c r="R817" s="53"/>
      <c r="S817" s="57">
        <f>1</f>
        <v>1</v>
      </c>
      <c r="T817" s="66">
        <f>F817*S817</f>
        <v>514.03</v>
      </c>
      <c r="U817" s="77"/>
      <c r="V817" s="66"/>
      <c r="W817" s="69"/>
      <c r="X817" s="66"/>
      <c r="Y817" s="36">
        <f t="shared" ref="Y817:Z821" si="116">I817+K817+S817+U817+Q817</f>
        <v>2</v>
      </c>
      <c r="Z817" s="37">
        <f t="shared" si="116"/>
        <v>1028.06</v>
      </c>
    </row>
    <row r="818" spans="1:26" ht="25" x14ac:dyDescent="0.2">
      <c r="A818" s="3" t="s">
        <v>925</v>
      </c>
      <c r="B818" s="3">
        <v>4</v>
      </c>
      <c r="C818" s="3" t="s">
        <v>932</v>
      </c>
      <c r="D818" s="8" t="s">
        <v>36</v>
      </c>
      <c r="E818" s="13" t="s">
        <v>933</v>
      </c>
      <c r="F818" s="9">
        <v>1.71</v>
      </c>
      <c r="G818" s="10">
        <v>100</v>
      </c>
      <c r="H818" s="11">
        <f t="shared" si="114"/>
        <v>171</v>
      </c>
      <c r="I818" s="3"/>
      <c r="J818" s="53"/>
      <c r="K818" s="57">
        <f t="shared" ref="K818:S818" si="117">50</f>
        <v>50</v>
      </c>
      <c r="L818" s="53">
        <f>F818*K818</f>
        <v>85.5</v>
      </c>
      <c r="M818" s="57"/>
      <c r="N818" s="53"/>
      <c r="O818" s="59"/>
      <c r="P818" s="53"/>
      <c r="Q818" s="69"/>
      <c r="R818" s="53"/>
      <c r="S818" s="57">
        <f t="shared" si="117"/>
        <v>50</v>
      </c>
      <c r="T818" s="66">
        <f>F818*S818</f>
        <v>85.5</v>
      </c>
      <c r="U818" s="77"/>
      <c r="V818" s="66"/>
      <c r="W818" s="69"/>
      <c r="X818" s="66"/>
      <c r="Y818" s="36">
        <f t="shared" si="116"/>
        <v>100</v>
      </c>
      <c r="Z818" s="37">
        <f t="shared" si="116"/>
        <v>171</v>
      </c>
    </row>
    <row r="819" spans="1:26" ht="49" x14ac:dyDescent="0.2">
      <c r="A819" s="3" t="s">
        <v>925</v>
      </c>
      <c r="B819" s="3">
        <v>5</v>
      </c>
      <c r="C819" s="3" t="s">
        <v>764</v>
      </c>
      <c r="D819" s="8" t="s">
        <v>36</v>
      </c>
      <c r="E819" s="13" t="s">
        <v>765</v>
      </c>
      <c r="F819" s="9">
        <v>2.95</v>
      </c>
      <c r="G819" s="10">
        <v>50</v>
      </c>
      <c r="H819" s="11">
        <f t="shared" si="114"/>
        <v>147.5</v>
      </c>
      <c r="I819" s="3"/>
      <c r="J819" s="53"/>
      <c r="K819" s="57">
        <f t="shared" ref="K819:S819" si="118">25</f>
        <v>25</v>
      </c>
      <c r="L819" s="53">
        <f>F819*K819</f>
        <v>73.75</v>
      </c>
      <c r="M819" s="57"/>
      <c r="N819" s="53"/>
      <c r="O819" s="59"/>
      <c r="P819" s="53"/>
      <c r="Q819" s="69"/>
      <c r="R819" s="53"/>
      <c r="S819" s="57">
        <f t="shared" si="118"/>
        <v>25</v>
      </c>
      <c r="T819" s="66">
        <f>F819*S819</f>
        <v>73.75</v>
      </c>
      <c r="U819" s="77"/>
      <c r="V819" s="66"/>
      <c r="W819" s="69"/>
      <c r="X819" s="66"/>
      <c r="Y819" s="36">
        <f t="shared" si="116"/>
        <v>50</v>
      </c>
      <c r="Z819" s="37">
        <f t="shared" si="116"/>
        <v>147.5</v>
      </c>
    </row>
    <row r="820" spans="1:26" ht="49" x14ac:dyDescent="0.2">
      <c r="A820" s="3" t="s">
        <v>925</v>
      </c>
      <c r="B820" s="3">
        <v>6</v>
      </c>
      <c r="C820" s="3" t="s">
        <v>780</v>
      </c>
      <c r="D820" s="8" t="s">
        <v>36</v>
      </c>
      <c r="E820" s="13" t="s">
        <v>781</v>
      </c>
      <c r="F820" s="9">
        <v>2.63</v>
      </c>
      <c r="G820" s="10">
        <v>52.5</v>
      </c>
      <c r="H820" s="11">
        <f t="shared" si="114"/>
        <v>138.08000000000001</v>
      </c>
      <c r="I820" s="3"/>
      <c r="J820" s="53"/>
      <c r="K820" s="57">
        <f>26.5</f>
        <v>26.5</v>
      </c>
      <c r="L820" s="53">
        <f>F820*K820</f>
        <v>69.694999999999993</v>
      </c>
      <c r="M820" s="57"/>
      <c r="N820" s="53"/>
      <c r="O820" s="59"/>
      <c r="P820" s="53"/>
      <c r="Q820" s="69"/>
      <c r="R820" s="53"/>
      <c r="S820" s="57">
        <f t="shared" ref="S820" si="119">26</f>
        <v>26</v>
      </c>
      <c r="T820" s="66">
        <f>F820*S820</f>
        <v>68.38</v>
      </c>
      <c r="U820" s="77"/>
      <c r="V820" s="66"/>
      <c r="W820" s="69"/>
      <c r="X820" s="66"/>
      <c r="Y820" s="36">
        <f t="shared" si="116"/>
        <v>52.5</v>
      </c>
      <c r="Z820" s="37">
        <f t="shared" si="116"/>
        <v>138.07499999999999</v>
      </c>
    </row>
    <row r="821" spans="1:26" ht="49" x14ac:dyDescent="0.2">
      <c r="A821" s="3" t="s">
        <v>925</v>
      </c>
      <c r="B821" s="3">
        <v>7</v>
      </c>
      <c r="C821" s="3" t="s">
        <v>784</v>
      </c>
      <c r="D821" s="8" t="s">
        <v>36</v>
      </c>
      <c r="E821" s="13" t="s">
        <v>785</v>
      </c>
      <c r="F821" s="9">
        <v>2.2599999999999998</v>
      </c>
      <c r="G821" s="10">
        <v>31.5</v>
      </c>
      <c r="H821" s="11">
        <f t="shared" si="114"/>
        <v>71.19</v>
      </c>
      <c r="I821" s="3"/>
      <c r="J821" s="53"/>
      <c r="K821" s="57">
        <f>16.5</f>
        <v>16.5</v>
      </c>
      <c r="L821" s="53">
        <f>F821*K821</f>
        <v>37.29</v>
      </c>
      <c r="M821" s="57"/>
      <c r="N821" s="53"/>
      <c r="O821" s="59"/>
      <c r="P821" s="53"/>
      <c r="Q821" s="69"/>
      <c r="R821" s="53"/>
      <c r="S821" s="57">
        <f>15</f>
        <v>15</v>
      </c>
      <c r="T821" s="66">
        <f>F821*S821</f>
        <v>33.9</v>
      </c>
      <c r="U821" s="77"/>
      <c r="V821" s="66"/>
      <c r="W821" s="69"/>
      <c r="X821" s="66"/>
      <c r="Y821" s="36">
        <f t="shared" si="116"/>
        <v>31.5</v>
      </c>
      <c r="Z821" s="37">
        <f t="shared" si="116"/>
        <v>71.19</v>
      </c>
    </row>
    <row r="822" spans="1:26" x14ac:dyDescent="0.2">
      <c r="E822" s="81" t="s">
        <v>25</v>
      </c>
      <c r="F822" s="6"/>
      <c r="G822" s="6"/>
      <c r="H822" s="12">
        <f>SUM(H815:H821)</f>
        <v>5262.6499999999987</v>
      </c>
      <c r="I822" s="3"/>
      <c r="J822" s="53"/>
      <c r="K822" s="77"/>
      <c r="L822" s="54">
        <f>L817+L818+L819+L820+L821</f>
        <v>780.26499999999987</v>
      </c>
      <c r="M822" s="78"/>
      <c r="N822" s="54">
        <f>N815+N817+N818+N819+N820+N821</f>
        <v>0</v>
      </c>
      <c r="O822" s="60"/>
      <c r="P822" s="71">
        <f>SUM(P809:P821)</f>
        <v>0</v>
      </c>
      <c r="Q822" s="69"/>
      <c r="R822" s="53"/>
      <c r="S822" s="78"/>
      <c r="T822" s="67">
        <f>T815+T817+T818+T819+T820+T821</f>
        <v>2802.84</v>
      </c>
      <c r="U822" s="78"/>
      <c r="V822" s="67">
        <f>V816</f>
        <v>1679.54</v>
      </c>
      <c r="W822" s="69"/>
      <c r="X822" s="66"/>
      <c r="Y822" s="3"/>
      <c r="Z822" s="37">
        <f>J822+L822+T822+V822+R822</f>
        <v>5262.6450000000004</v>
      </c>
    </row>
    <row r="823" spans="1:26" x14ac:dyDescent="0.2">
      <c r="J823" s="53"/>
      <c r="K823" s="57"/>
      <c r="L823" s="53"/>
      <c r="M823" s="57"/>
      <c r="N823" s="53"/>
      <c r="O823" s="59"/>
      <c r="P823" s="53"/>
      <c r="Q823" s="69"/>
      <c r="R823" s="53"/>
      <c r="S823" s="57"/>
      <c r="T823" s="66"/>
      <c r="U823" s="57"/>
      <c r="V823" s="66"/>
      <c r="W823" s="69"/>
      <c r="X823" s="66"/>
    </row>
    <row r="824" spans="1:26" x14ac:dyDescent="0.2">
      <c r="C824" s="6" t="s">
        <v>6</v>
      </c>
      <c r="D824" s="7" t="s">
        <v>7</v>
      </c>
      <c r="E824" s="81" t="s">
        <v>8</v>
      </c>
      <c r="J824" s="53"/>
      <c r="K824" s="57"/>
      <c r="L824" s="53"/>
      <c r="M824" s="57"/>
      <c r="N824" s="53"/>
      <c r="O824" s="59"/>
      <c r="P824" s="53"/>
      <c r="Q824" s="69"/>
      <c r="R824" s="53"/>
      <c r="S824" s="57"/>
      <c r="T824" s="66"/>
      <c r="U824" s="57"/>
      <c r="V824" s="66"/>
      <c r="W824" s="69"/>
      <c r="X824" s="66"/>
    </row>
    <row r="825" spans="1:26" x14ac:dyDescent="0.2">
      <c r="C825" s="6" t="s">
        <v>9</v>
      </c>
      <c r="D825" s="7" t="s">
        <v>385</v>
      </c>
      <c r="E825" s="81" t="s">
        <v>588</v>
      </c>
      <c r="J825" s="53"/>
      <c r="K825" s="57"/>
      <c r="L825" s="53"/>
      <c r="M825" s="57"/>
      <c r="N825" s="53"/>
      <c r="O825" s="59"/>
      <c r="P825" s="53"/>
      <c r="Q825" s="69"/>
      <c r="R825" s="53"/>
      <c r="S825" s="57"/>
      <c r="T825" s="66"/>
      <c r="U825" s="57"/>
      <c r="V825" s="66"/>
      <c r="W825" s="69"/>
      <c r="X825" s="66"/>
    </row>
    <row r="826" spans="1:26" x14ac:dyDescent="0.2">
      <c r="C826" s="6" t="s">
        <v>11</v>
      </c>
      <c r="D826" s="7" t="s">
        <v>922</v>
      </c>
      <c r="E826" s="81" t="s">
        <v>923</v>
      </c>
      <c r="J826" s="53"/>
      <c r="K826" s="57"/>
      <c r="L826" s="53"/>
      <c r="M826" s="57"/>
      <c r="N826" s="53"/>
      <c r="O826" s="59"/>
      <c r="P826" s="53"/>
      <c r="Q826" s="69"/>
      <c r="R826" s="53"/>
      <c r="S826" s="57"/>
      <c r="T826" s="66"/>
      <c r="U826" s="57"/>
      <c r="V826" s="66"/>
      <c r="W826" s="69"/>
      <c r="X826" s="66"/>
    </row>
    <row r="827" spans="1:26" x14ac:dyDescent="0.2">
      <c r="C827" s="6" t="s">
        <v>91</v>
      </c>
      <c r="D827" s="7" t="s">
        <v>26</v>
      </c>
      <c r="E827" s="81" t="s">
        <v>934</v>
      </c>
      <c r="J827" s="53"/>
      <c r="K827" s="57"/>
      <c r="L827" s="53"/>
      <c r="M827" s="57"/>
      <c r="N827" s="53"/>
      <c r="O827" s="59"/>
      <c r="P827" s="53"/>
      <c r="Q827" s="69"/>
      <c r="R827" s="53"/>
      <c r="S827" s="57"/>
      <c r="T827" s="66"/>
      <c r="U827" s="57"/>
      <c r="V827" s="66"/>
      <c r="W827" s="69"/>
      <c r="X827" s="66"/>
    </row>
    <row r="828" spans="1:26" x14ac:dyDescent="0.2">
      <c r="J828" s="53"/>
      <c r="K828" s="57"/>
      <c r="L828" s="53"/>
      <c r="M828" s="57"/>
      <c r="N828" s="53"/>
      <c r="O828" s="59"/>
      <c r="P828" s="53"/>
      <c r="Q828" s="69"/>
      <c r="R828" s="53"/>
      <c r="S828" s="57"/>
      <c r="T828" s="66"/>
      <c r="U828" s="57"/>
      <c r="V828" s="66"/>
      <c r="W828" s="69"/>
      <c r="X828" s="66"/>
    </row>
    <row r="829" spans="1:26" ht="145" x14ac:dyDescent="0.2">
      <c r="A829" s="3" t="s">
        <v>935</v>
      </c>
      <c r="B829" s="3">
        <v>1</v>
      </c>
      <c r="C829" s="3" t="s">
        <v>936</v>
      </c>
      <c r="D829" s="8" t="s">
        <v>625</v>
      </c>
      <c r="E829" s="13" t="s">
        <v>937</v>
      </c>
      <c r="F829" s="9">
        <v>872.97</v>
      </c>
      <c r="G829" s="10">
        <v>1</v>
      </c>
      <c r="H829" s="11">
        <f t="shared" ref="H829:H835" si="120">ROUND(ROUND(F829,2)*ROUND(G829,3),2)</f>
        <v>872.97</v>
      </c>
      <c r="I829" s="3"/>
      <c r="J829" s="53"/>
      <c r="K829" s="57">
        <f>G829</f>
        <v>1</v>
      </c>
      <c r="L829" s="53">
        <f>F829*K829</f>
        <v>872.97</v>
      </c>
      <c r="M829" s="77"/>
      <c r="N829" s="53"/>
      <c r="O829" s="59"/>
      <c r="P829" s="53"/>
      <c r="Q829" s="69"/>
      <c r="R829" s="53"/>
      <c r="S829" s="77"/>
      <c r="T829" s="66"/>
      <c r="U829" s="77"/>
      <c r="V829" s="66"/>
      <c r="W829" s="69"/>
      <c r="X829" s="66"/>
      <c r="Y829" s="3"/>
    </row>
    <row r="830" spans="1:26" ht="97" x14ac:dyDescent="0.2">
      <c r="A830" s="3" t="s">
        <v>935</v>
      </c>
      <c r="B830" s="3">
        <v>2</v>
      </c>
      <c r="C830" s="3" t="s">
        <v>938</v>
      </c>
      <c r="D830" s="8" t="s">
        <v>625</v>
      </c>
      <c r="E830" s="13" t="s">
        <v>939</v>
      </c>
      <c r="F830" s="9">
        <v>55.25</v>
      </c>
      <c r="G830" s="10">
        <v>5</v>
      </c>
      <c r="H830" s="11">
        <f t="shared" si="120"/>
        <v>276.25</v>
      </c>
      <c r="I830" s="3"/>
      <c r="J830" s="53"/>
      <c r="K830" s="57">
        <f>2</f>
        <v>2</v>
      </c>
      <c r="L830" s="53">
        <f>F830*K830</f>
        <v>110.5</v>
      </c>
      <c r="M830" s="57"/>
      <c r="N830" s="53"/>
      <c r="O830" s="59"/>
      <c r="P830" s="53"/>
      <c r="Q830" s="69"/>
      <c r="R830" s="53"/>
      <c r="S830" s="57">
        <f t="shared" ref="Q830:U831" si="121">2</f>
        <v>2</v>
      </c>
      <c r="T830" s="66">
        <f>F830*S830</f>
        <v>110.5</v>
      </c>
      <c r="U830" s="57">
        <f t="shared" ref="U830" si="122">1</f>
        <v>1</v>
      </c>
      <c r="V830" s="66">
        <f>F830*U830</f>
        <v>55.25</v>
      </c>
      <c r="W830" s="69"/>
      <c r="X830" s="66"/>
      <c r="Y830" s="36">
        <f>I830+K830+S830+U830+Q830</f>
        <v>5</v>
      </c>
      <c r="Z830" s="37">
        <f>J830+L830+T830+V830+R830</f>
        <v>276.25</v>
      </c>
    </row>
    <row r="831" spans="1:26" ht="121" x14ac:dyDescent="0.2">
      <c r="A831" s="3" t="s">
        <v>935</v>
      </c>
      <c r="B831" s="3">
        <v>3</v>
      </c>
      <c r="C831" s="3" t="s">
        <v>940</v>
      </c>
      <c r="D831" s="8" t="s">
        <v>625</v>
      </c>
      <c r="E831" s="13" t="s">
        <v>941</v>
      </c>
      <c r="F831" s="9">
        <v>97.89</v>
      </c>
      <c r="G831" s="10">
        <v>11</v>
      </c>
      <c r="H831" s="11">
        <f t="shared" si="120"/>
        <v>1076.79</v>
      </c>
      <c r="I831" s="3"/>
      <c r="J831" s="53"/>
      <c r="K831" s="57">
        <f>5</f>
        <v>5</v>
      </c>
      <c r="L831" s="53">
        <f>F831*K831</f>
        <v>489.45</v>
      </c>
      <c r="M831" s="57"/>
      <c r="N831" s="53"/>
      <c r="O831" s="59"/>
      <c r="P831" s="53"/>
      <c r="Q831" s="69">
        <f t="shared" si="121"/>
        <v>2</v>
      </c>
      <c r="R831" s="53">
        <f>F831*Q831</f>
        <v>195.78</v>
      </c>
      <c r="S831" s="57">
        <f t="shared" si="121"/>
        <v>2</v>
      </c>
      <c r="T831" s="66">
        <f>F831*S831</f>
        <v>195.78</v>
      </c>
      <c r="U831" s="57">
        <f t="shared" si="121"/>
        <v>2</v>
      </c>
      <c r="V831" s="66">
        <f>F831*U831</f>
        <v>195.78</v>
      </c>
      <c r="W831" s="69"/>
      <c r="X831" s="66"/>
      <c r="Y831" s="36">
        <f>I831+K831+S831+U831+Q831</f>
        <v>11</v>
      </c>
      <c r="Z831" s="37">
        <f>J831+L831+T831+V831+R831</f>
        <v>1076.79</v>
      </c>
    </row>
    <row r="832" spans="1:26" ht="85" x14ac:dyDescent="0.2">
      <c r="A832" s="3" t="s">
        <v>935</v>
      </c>
      <c r="B832" s="3">
        <v>4</v>
      </c>
      <c r="C832" s="3" t="s">
        <v>942</v>
      </c>
      <c r="D832" s="8" t="s">
        <v>625</v>
      </c>
      <c r="E832" s="13" t="s">
        <v>943</v>
      </c>
      <c r="F832" s="9">
        <v>597.79</v>
      </c>
      <c r="G832" s="10">
        <v>1</v>
      </c>
      <c r="H832" s="11">
        <f t="shared" si="120"/>
        <v>597.79</v>
      </c>
      <c r="I832" s="36">
        <f>G832</f>
        <v>1</v>
      </c>
      <c r="J832" s="53">
        <f>F832*I832</f>
        <v>597.79</v>
      </c>
      <c r="K832" s="77"/>
      <c r="L832" s="53"/>
      <c r="M832" s="77"/>
      <c r="N832" s="53"/>
      <c r="O832" s="59"/>
      <c r="P832" s="53"/>
      <c r="Q832" s="69"/>
      <c r="R832" s="53"/>
      <c r="S832" s="77"/>
      <c r="T832" s="66"/>
      <c r="U832" s="77"/>
      <c r="V832" s="66"/>
      <c r="W832" s="69"/>
      <c r="X832" s="66"/>
      <c r="Y832" s="3"/>
    </row>
    <row r="833" spans="1:27" ht="49" x14ac:dyDescent="0.2">
      <c r="A833" s="3" t="s">
        <v>935</v>
      </c>
      <c r="B833" s="3">
        <v>5</v>
      </c>
      <c r="C833" s="3" t="s">
        <v>764</v>
      </c>
      <c r="D833" s="8" t="s">
        <v>36</v>
      </c>
      <c r="E833" s="13" t="s">
        <v>765</v>
      </c>
      <c r="F833" s="9">
        <v>2.95</v>
      </c>
      <c r="G833" s="10">
        <v>320</v>
      </c>
      <c r="H833" s="11">
        <f t="shared" si="120"/>
        <v>944</v>
      </c>
      <c r="I833" s="3"/>
      <c r="J833" s="53"/>
      <c r="K833" s="57">
        <f>G833*40%</f>
        <v>128</v>
      </c>
      <c r="L833" s="53">
        <f>F833*K833</f>
        <v>377.6</v>
      </c>
      <c r="M833" s="57"/>
      <c r="N833" s="53"/>
      <c r="O833" s="59"/>
      <c r="P833" s="53"/>
      <c r="Q833" s="69"/>
      <c r="R833" s="53"/>
      <c r="S833" s="57">
        <f>G833*30%</f>
        <v>96</v>
      </c>
      <c r="T833" s="66">
        <f>F833*S833</f>
        <v>283.20000000000005</v>
      </c>
      <c r="U833" s="57">
        <f>G833*30%</f>
        <v>96</v>
      </c>
      <c r="V833" s="66">
        <f>F833*U833</f>
        <v>283.20000000000005</v>
      </c>
      <c r="W833" s="69"/>
      <c r="X833" s="66"/>
      <c r="Y833" s="36">
        <f t="shared" ref="Y833:Z835" si="123">I833+K833+S833+U833+Q833</f>
        <v>320</v>
      </c>
      <c r="Z833" s="37">
        <f t="shared" si="123"/>
        <v>944.00000000000011</v>
      </c>
    </row>
    <row r="834" spans="1:27" ht="49" x14ac:dyDescent="0.2">
      <c r="A834" s="3" t="s">
        <v>935</v>
      </c>
      <c r="B834" s="3">
        <v>6</v>
      </c>
      <c r="C834" s="3" t="s">
        <v>780</v>
      </c>
      <c r="D834" s="8" t="s">
        <v>36</v>
      </c>
      <c r="E834" s="13" t="s">
        <v>781</v>
      </c>
      <c r="F834" s="9">
        <v>2.63</v>
      </c>
      <c r="G834" s="10">
        <v>38.85</v>
      </c>
      <c r="H834" s="11">
        <f t="shared" si="120"/>
        <v>102.18</v>
      </c>
      <c r="I834" s="3"/>
      <c r="J834" s="53"/>
      <c r="K834" s="57">
        <f>G834*40%</f>
        <v>15.540000000000001</v>
      </c>
      <c r="L834" s="53">
        <f>F834*K834</f>
        <v>40.870200000000004</v>
      </c>
      <c r="M834" s="57"/>
      <c r="N834" s="53"/>
      <c r="O834" s="59"/>
      <c r="P834" s="53"/>
      <c r="Q834" s="69"/>
      <c r="R834" s="53"/>
      <c r="S834" s="57">
        <f>G834*30%</f>
        <v>11.654999999999999</v>
      </c>
      <c r="T834" s="66">
        <f>F834*S834</f>
        <v>30.652649999999998</v>
      </c>
      <c r="U834" s="57">
        <f>G834*30%</f>
        <v>11.654999999999999</v>
      </c>
      <c r="V834" s="66">
        <f>F834*U834</f>
        <v>30.652649999999998</v>
      </c>
      <c r="W834" s="69"/>
      <c r="X834" s="66"/>
      <c r="Y834" s="36">
        <f t="shared" si="123"/>
        <v>38.85</v>
      </c>
      <c r="Z834" s="37">
        <f t="shared" si="123"/>
        <v>102.1755</v>
      </c>
    </row>
    <row r="835" spans="1:27" ht="49" x14ac:dyDescent="0.2">
      <c r="A835" s="3" t="s">
        <v>935</v>
      </c>
      <c r="B835" s="3">
        <v>7</v>
      </c>
      <c r="C835" s="3" t="s">
        <v>784</v>
      </c>
      <c r="D835" s="8" t="s">
        <v>36</v>
      </c>
      <c r="E835" s="13" t="s">
        <v>785</v>
      </c>
      <c r="F835" s="9">
        <v>2.2599999999999998</v>
      </c>
      <c r="G835" s="10">
        <v>31.5</v>
      </c>
      <c r="H835" s="11">
        <f t="shared" si="120"/>
        <v>71.19</v>
      </c>
      <c r="I835" s="3"/>
      <c r="J835" s="53"/>
      <c r="K835" s="57">
        <f>G835*40%</f>
        <v>12.600000000000001</v>
      </c>
      <c r="L835" s="53">
        <f>F835*K835</f>
        <v>28.475999999999999</v>
      </c>
      <c r="M835" s="57"/>
      <c r="N835" s="53"/>
      <c r="O835" s="59"/>
      <c r="P835" s="53"/>
      <c r="Q835" s="69"/>
      <c r="R835" s="53"/>
      <c r="S835" s="57">
        <f>G835*30%</f>
        <v>9.4499999999999993</v>
      </c>
      <c r="T835" s="66">
        <f>F835*S835</f>
        <v>21.356999999999996</v>
      </c>
      <c r="U835" s="57">
        <f>G835*30%</f>
        <v>9.4499999999999993</v>
      </c>
      <c r="V835" s="66">
        <f>F835*U835</f>
        <v>21.356999999999996</v>
      </c>
      <c r="W835" s="69"/>
      <c r="X835" s="66"/>
      <c r="Y835" s="36">
        <f t="shared" si="123"/>
        <v>31.5</v>
      </c>
      <c r="Z835" s="37">
        <f t="shared" si="123"/>
        <v>71.19</v>
      </c>
    </row>
    <row r="836" spans="1:27" x14ac:dyDescent="0.2">
      <c r="E836" s="81" t="s">
        <v>25</v>
      </c>
      <c r="F836" s="6"/>
      <c r="G836" s="6"/>
      <c r="H836" s="12">
        <f>SUM(H829:H835)</f>
        <v>3941.17</v>
      </c>
      <c r="I836" s="3"/>
      <c r="J836" s="54">
        <f>J832</f>
        <v>597.79</v>
      </c>
      <c r="K836" s="77"/>
      <c r="L836" s="54">
        <f>L829+L830+L831+L833+L834+L835</f>
        <v>1919.8661999999999</v>
      </c>
      <c r="M836" s="78"/>
      <c r="N836" s="54">
        <f>N830+N831+N833+N834+N835</f>
        <v>0</v>
      </c>
      <c r="O836" s="60"/>
      <c r="P836" s="71">
        <f>SUM(P823:P835)</f>
        <v>0</v>
      </c>
      <c r="Q836" s="79"/>
      <c r="R836" s="54">
        <f>R831</f>
        <v>195.78</v>
      </c>
      <c r="S836" s="78"/>
      <c r="T836" s="67">
        <f>T830+T831+T833+T834+T835</f>
        <v>641.48964999999998</v>
      </c>
      <c r="U836" s="78"/>
      <c r="V836" s="67">
        <f>V830+V831+V833+V834+V835</f>
        <v>586.23964999999998</v>
      </c>
      <c r="W836" s="69"/>
      <c r="X836" s="66"/>
      <c r="Y836" s="3"/>
      <c r="Z836" s="37">
        <f>J836+L836+T836+V836+R836</f>
        <v>3941.1655000000001</v>
      </c>
      <c r="AA836" s="41"/>
    </row>
    <row r="837" spans="1:27" x14ac:dyDescent="0.2">
      <c r="J837" s="53"/>
      <c r="K837" s="57"/>
      <c r="L837" s="53"/>
      <c r="M837" s="57"/>
      <c r="N837" s="53"/>
      <c r="O837" s="59"/>
      <c r="P837" s="53"/>
      <c r="Q837" s="69"/>
      <c r="R837" s="53"/>
      <c r="S837" s="57"/>
      <c r="T837" s="66"/>
      <c r="U837" s="57"/>
      <c r="V837" s="66"/>
      <c r="W837" s="69"/>
      <c r="X837" s="66"/>
    </row>
    <row r="838" spans="1:27" x14ac:dyDescent="0.2">
      <c r="C838" s="6" t="s">
        <v>6</v>
      </c>
      <c r="D838" s="7" t="s">
        <v>7</v>
      </c>
      <c r="E838" s="81" t="s">
        <v>8</v>
      </c>
      <c r="J838" s="53"/>
      <c r="K838" s="57"/>
      <c r="L838" s="53"/>
      <c r="M838" s="57"/>
      <c r="N838" s="53"/>
      <c r="O838" s="59"/>
      <c r="P838" s="53"/>
      <c r="Q838" s="69"/>
      <c r="R838" s="53"/>
      <c r="S838" s="57"/>
      <c r="T838" s="66"/>
      <c r="U838" s="57"/>
      <c r="V838" s="66"/>
      <c r="W838" s="69"/>
      <c r="X838" s="66"/>
    </row>
    <row r="839" spans="1:27" x14ac:dyDescent="0.2">
      <c r="C839" s="6" t="s">
        <v>9</v>
      </c>
      <c r="D839" s="7" t="s">
        <v>385</v>
      </c>
      <c r="E839" s="81" t="s">
        <v>588</v>
      </c>
      <c r="J839" s="53"/>
      <c r="K839" s="57"/>
      <c r="L839" s="53"/>
      <c r="M839" s="57"/>
      <c r="N839" s="53"/>
      <c r="O839" s="59"/>
      <c r="P839" s="53"/>
      <c r="Q839" s="69"/>
      <c r="R839" s="53"/>
      <c r="S839" s="57"/>
      <c r="T839" s="66"/>
      <c r="U839" s="57"/>
      <c r="V839" s="66"/>
      <c r="W839" s="69"/>
      <c r="X839" s="66"/>
    </row>
    <row r="840" spans="1:27" x14ac:dyDescent="0.2">
      <c r="C840" s="6" t="s">
        <v>11</v>
      </c>
      <c r="D840" s="7" t="s">
        <v>944</v>
      </c>
      <c r="E840" s="81" t="s">
        <v>945</v>
      </c>
      <c r="J840" s="53"/>
      <c r="K840" s="57"/>
      <c r="L840" s="53"/>
      <c r="M840" s="57"/>
      <c r="N840" s="53"/>
      <c r="O840" s="59"/>
      <c r="P840" s="53"/>
      <c r="Q840" s="69"/>
      <c r="R840" s="53"/>
      <c r="S840" s="57"/>
      <c r="T840" s="66"/>
      <c r="U840" s="57"/>
      <c r="V840" s="66"/>
      <c r="W840" s="69"/>
      <c r="X840" s="66"/>
    </row>
    <row r="841" spans="1:27" x14ac:dyDescent="0.2">
      <c r="C841" s="6" t="s">
        <v>91</v>
      </c>
      <c r="D841" s="7" t="s">
        <v>7</v>
      </c>
      <c r="E841" s="81" t="s">
        <v>686</v>
      </c>
      <c r="J841" s="53"/>
      <c r="K841" s="57"/>
      <c r="L841" s="53"/>
      <c r="M841" s="57"/>
      <c r="N841" s="53"/>
      <c r="O841" s="59"/>
      <c r="P841" s="53"/>
      <c r="Q841" s="69"/>
      <c r="R841" s="53"/>
      <c r="S841" s="57"/>
      <c r="T841" s="66"/>
      <c r="U841" s="57"/>
      <c r="V841" s="66"/>
      <c r="W841" s="69"/>
      <c r="X841" s="66"/>
    </row>
    <row r="842" spans="1:27" x14ac:dyDescent="0.2">
      <c r="J842" s="53"/>
      <c r="K842" s="57"/>
      <c r="L842" s="53"/>
      <c r="M842" s="57"/>
      <c r="N842" s="53"/>
      <c r="O842" s="59"/>
      <c r="P842" s="53"/>
      <c r="Q842" s="69"/>
      <c r="R842" s="53"/>
      <c r="S842" s="57"/>
      <c r="T842" s="66"/>
      <c r="U842" s="57"/>
      <c r="V842" s="66"/>
      <c r="W842" s="69"/>
      <c r="X842" s="66"/>
    </row>
    <row r="843" spans="1:27" ht="121" x14ac:dyDescent="0.2">
      <c r="A843" s="3" t="s">
        <v>946</v>
      </c>
      <c r="B843" s="3">
        <v>1</v>
      </c>
      <c r="C843" s="3" t="s">
        <v>947</v>
      </c>
      <c r="D843" s="8" t="s">
        <v>23</v>
      </c>
      <c r="E843" s="13" t="s">
        <v>948</v>
      </c>
      <c r="F843" s="9">
        <v>30.77</v>
      </c>
      <c r="G843" s="10">
        <v>32</v>
      </c>
      <c r="H843" s="11">
        <f>ROUND(ROUND(F843,2)*ROUND(G843,3),2)</f>
        <v>984.64</v>
      </c>
      <c r="I843" s="3"/>
      <c r="J843" s="53"/>
      <c r="K843" s="57">
        <f>16</f>
        <v>16</v>
      </c>
      <c r="L843" s="53">
        <f>F843*K843</f>
        <v>492.32</v>
      </c>
      <c r="M843" s="57"/>
      <c r="N843" s="53"/>
      <c r="O843" s="59"/>
      <c r="P843" s="53"/>
      <c r="Q843" s="69"/>
      <c r="R843" s="53"/>
      <c r="S843" s="57">
        <f>8</f>
        <v>8</v>
      </c>
      <c r="T843" s="66">
        <f>F843*S843</f>
        <v>246.16</v>
      </c>
      <c r="U843" s="57">
        <f t="shared" ref="U843" si="124">8</f>
        <v>8</v>
      </c>
      <c r="V843" s="66">
        <f>F843*U843</f>
        <v>246.16</v>
      </c>
      <c r="W843" s="69"/>
      <c r="X843" s="66"/>
      <c r="Y843" s="36">
        <f t="shared" ref="Y843:Z846" si="125">I843+K843+S843+U843+Q843</f>
        <v>32</v>
      </c>
      <c r="Z843" s="37">
        <f t="shared" si="125"/>
        <v>984.64</v>
      </c>
    </row>
    <row r="844" spans="1:27" ht="121" x14ac:dyDescent="0.2">
      <c r="A844" s="3" t="s">
        <v>946</v>
      </c>
      <c r="B844" s="3">
        <v>2</v>
      </c>
      <c r="C844" s="3" t="s">
        <v>949</v>
      </c>
      <c r="D844" s="8" t="s">
        <v>23</v>
      </c>
      <c r="E844" s="13" t="s">
        <v>950</v>
      </c>
      <c r="F844" s="9">
        <v>150.75</v>
      </c>
      <c r="G844" s="10">
        <v>7</v>
      </c>
      <c r="H844" s="11">
        <f>ROUND(ROUND(F844,2)*ROUND(G844,3),2)</f>
        <v>1055.25</v>
      </c>
      <c r="I844" s="3"/>
      <c r="J844" s="53"/>
      <c r="K844" s="57">
        <f>1</f>
        <v>1</v>
      </c>
      <c r="L844" s="53">
        <f>F844*K844</f>
        <v>150.75</v>
      </c>
      <c r="M844" s="57"/>
      <c r="N844" s="53"/>
      <c r="O844" s="59"/>
      <c r="P844" s="53"/>
      <c r="Q844" s="69"/>
      <c r="R844" s="53"/>
      <c r="S844" s="57">
        <f t="shared" ref="S844" si="126">2</f>
        <v>2</v>
      </c>
      <c r="T844" s="66">
        <f>F844*S844</f>
        <v>301.5</v>
      </c>
      <c r="U844" s="57">
        <f>4</f>
        <v>4</v>
      </c>
      <c r="V844" s="66">
        <f>F844*U844</f>
        <v>603</v>
      </c>
      <c r="W844" s="69"/>
      <c r="X844" s="66"/>
      <c r="Y844" s="36">
        <f t="shared" si="125"/>
        <v>7</v>
      </c>
      <c r="Z844" s="37">
        <f t="shared" si="125"/>
        <v>1055.25</v>
      </c>
    </row>
    <row r="845" spans="1:27" ht="229" x14ac:dyDescent="0.2">
      <c r="A845" s="3" t="s">
        <v>946</v>
      </c>
      <c r="B845" s="3">
        <v>3</v>
      </c>
      <c r="C845" s="3" t="s">
        <v>951</v>
      </c>
      <c r="D845" s="8" t="s">
        <v>23</v>
      </c>
      <c r="E845" s="13" t="s">
        <v>952</v>
      </c>
      <c r="F845" s="9">
        <v>490.09</v>
      </c>
      <c r="G845" s="10">
        <v>4</v>
      </c>
      <c r="H845" s="11">
        <f>ROUND(ROUND(F845,2)*ROUND(G845,3),2)</f>
        <v>1960.36</v>
      </c>
      <c r="I845" s="3"/>
      <c r="J845" s="53"/>
      <c r="K845" s="57">
        <f>2</f>
        <v>2</v>
      </c>
      <c r="L845" s="53">
        <f>F845*K845</f>
        <v>980.18</v>
      </c>
      <c r="M845" s="57"/>
      <c r="N845" s="53"/>
      <c r="O845" s="59"/>
      <c r="P845" s="53"/>
      <c r="Q845" s="69"/>
      <c r="R845" s="53"/>
      <c r="S845" s="57">
        <f>1</f>
        <v>1</v>
      </c>
      <c r="T845" s="66">
        <f>F845*S845</f>
        <v>490.09</v>
      </c>
      <c r="U845" s="57">
        <f t="shared" ref="U845" si="127">1</f>
        <v>1</v>
      </c>
      <c r="V845" s="66">
        <f>F845*U845</f>
        <v>490.09</v>
      </c>
      <c r="W845" s="69"/>
      <c r="X845" s="66"/>
      <c r="Y845" s="36">
        <f t="shared" si="125"/>
        <v>4</v>
      </c>
      <c r="Z845" s="37">
        <f t="shared" si="125"/>
        <v>1960.36</v>
      </c>
    </row>
    <row r="846" spans="1:27" ht="25" x14ac:dyDescent="0.2">
      <c r="A846" s="3" t="s">
        <v>946</v>
      </c>
      <c r="B846" s="3">
        <v>4</v>
      </c>
      <c r="C846" s="3" t="s">
        <v>932</v>
      </c>
      <c r="D846" s="8" t="s">
        <v>36</v>
      </c>
      <c r="E846" s="13" t="s">
        <v>933</v>
      </c>
      <c r="F846" s="9">
        <v>1.71</v>
      </c>
      <c r="G846" s="10">
        <v>640</v>
      </c>
      <c r="H846" s="11">
        <f>ROUND(ROUND(F846,2)*ROUND(G846,3),2)</f>
        <v>1094.4000000000001</v>
      </c>
      <c r="I846" s="3"/>
      <c r="J846" s="53"/>
      <c r="K846" s="57">
        <f>G846*40%</f>
        <v>256</v>
      </c>
      <c r="L846" s="53">
        <f>F846*K846</f>
        <v>437.76</v>
      </c>
      <c r="M846" s="57"/>
      <c r="N846" s="53"/>
      <c r="O846" s="59"/>
      <c r="P846" s="53"/>
      <c r="Q846" s="69"/>
      <c r="R846" s="53"/>
      <c r="S846" s="57">
        <f>G846*30%</f>
        <v>192</v>
      </c>
      <c r="T846" s="66">
        <f>F846*S846</f>
        <v>328.32</v>
      </c>
      <c r="U846" s="57">
        <f>G846*30%</f>
        <v>192</v>
      </c>
      <c r="V846" s="66">
        <f>F846*U846</f>
        <v>328.32</v>
      </c>
      <c r="W846" s="69"/>
      <c r="X846" s="66"/>
      <c r="Y846" s="36">
        <f t="shared" si="125"/>
        <v>640</v>
      </c>
      <c r="Z846" s="37">
        <f t="shared" si="125"/>
        <v>1094.3999999999999</v>
      </c>
    </row>
    <row r="847" spans="1:27" x14ac:dyDescent="0.2">
      <c r="E847" s="81" t="s">
        <v>25</v>
      </c>
      <c r="F847" s="6"/>
      <c r="G847" s="6"/>
      <c r="H847" s="12">
        <f>SUM(H843:H846)</f>
        <v>5094.6499999999996</v>
      </c>
      <c r="I847" s="3"/>
      <c r="J847" s="53"/>
      <c r="K847" s="77"/>
      <c r="L847" s="54">
        <f>L843+L844+L845+L846</f>
        <v>2061.0100000000002</v>
      </c>
      <c r="M847" s="78"/>
      <c r="N847" s="54">
        <f>N843+N844+N845+N846</f>
        <v>0</v>
      </c>
      <c r="O847" s="60"/>
      <c r="P847" s="71">
        <f>SUM(P834:P846)</f>
        <v>0</v>
      </c>
      <c r="Q847" s="69"/>
      <c r="R847" s="53"/>
      <c r="S847" s="78"/>
      <c r="T847" s="67">
        <f>T843+T844+T845+T846</f>
        <v>1366.07</v>
      </c>
      <c r="U847" s="78"/>
      <c r="V847" s="67">
        <f>V843+V844+V845+V846</f>
        <v>1667.57</v>
      </c>
      <c r="W847" s="69"/>
      <c r="X847" s="66"/>
      <c r="Y847" s="3"/>
      <c r="Z847" s="37">
        <f>J847+L847+T847+V847+R847</f>
        <v>5094.6499999999996</v>
      </c>
    </row>
    <row r="848" spans="1:27" x14ac:dyDescent="0.2">
      <c r="J848" s="53"/>
      <c r="K848" s="57"/>
      <c r="L848" s="53"/>
      <c r="M848" s="57"/>
      <c r="N848" s="53"/>
      <c r="O848" s="59"/>
      <c r="P848" s="53"/>
      <c r="Q848" s="69"/>
      <c r="R848" s="53"/>
      <c r="S848" s="57"/>
      <c r="T848" s="66"/>
      <c r="U848" s="57"/>
      <c r="V848" s="66"/>
      <c r="W848" s="69"/>
      <c r="X848" s="66"/>
    </row>
    <row r="849" spans="1:27" x14ac:dyDescent="0.2">
      <c r="C849" s="6" t="s">
        <v>6</v>
      </c>
      <c r="D849" s="7" t="s">
        <v>7</v>
      </c>
      <c r="E849" s="81" t="s">
        <v>8</v>
      </c>
      <c r="J849" s="53"/>
      <c r="K849" s="57"/>
      <c r="L849" s="53"/>
      <c r="M849" s="57"/>
      <c r="N849" s="53"/>
      <c r="O849" s="59"/>
      <c r="P849" s="53"/>
      <c r="Q849" s="69"/>
      <c r="R849" s="53"/>
      <c r="S849" s="57"/>
      <c r="T849" s="66"/>
      <c r="U849" s="57"/>
      <c r="V849" s="66"/>
      <c r="W849" s="69"/>
      <c r="X849" s="66"/>
    </row>
    <row r="850" spans="1:27" x14ac:dyDescent="0.2">
      <c r="C850" s="6" t="s">
        <v>9</v>
      </c>
      <c r="D850" s="7" t="s">
        <v>385</v>
      </c>
      <c r="E850" s="81" t="s">
        <v>588</v>
      </c>
      <c r="J850" s="53"/>
      <c r="K850" s="57"/>
      <c r="L850" s="53"/>
      <c r="M850" s="57"/>
      <c r="N850" s="53"/>
      <c r="O850" s="59"/>
      <c r="P850" s="53"/>
      <c r="Q850" s="69"/>
      <c r="R850" s="53"/>
      <c r="S850" s="57"/>
      <c r="T850" s="66"/>
      <c r="U850" s="57"/>
      <c r="V850" s="66"/>
      <c r="W850" s="69"/>
      <c r="X850" s="66"/>
    </row>
    <row r="851" spans="1:27" x14ac:dyDescent="0.2">
      <c r="C851" s="6" t="s">
        <v>11</v>
      </c>
      <c r="D851" s="7" t="s">
        <v>944</v>
      </c>
      <c r="E851" s="81" t="s">
        <v>945</v>
      </c>
      <c r="J851" s="53"/>
      <c r="K851" s="57"/>
      <c r="L851" s="53"/>
      <c r="M851" s="57"/>
      <c r="N851" s="53"/>
      <c r="O851" s="59"/>
      <c r="P851" s="53"/>
      <c r="Q851" s="69"/>
      <c r="R851" s="53"/>
      <c r="S851" s="57"/>
      <c r="T851" s="66"/>
      <c r="U851" s="57"/>
      <c r="V851" s="66"/>
      <c r="W851" s="69"/>
      <c r="X851" s="66"/>
    </row>
    <row r="852" spans="1:27" x14ac:dyDescent="0.2">
      <c r="C852" s="6" t="s">
        <v>91</v>
      </c>
      <c r="D852" s="7" t="s">
        <v>26</v>
      </c>
      <c r="E852" s="81" t="s">
        <v>953</v>
      </c>
      <c r="J852" s="53"/>
      <c r="K852" s="57"/>
      <c r="L852" s="53"/>
      <c r="M852" s="57"/>
      <c r="N852" s="53"/>
      <c r="O852" s="59"/>
      <c r="P852" s="53"/>
      <c r="Q852" s="69"/>
      <c r="R852" s="53"/>
      <c r="S852" s="57"/>
      <c r="T852" s="66"/>
      <c r="U852" s="57"/>
      <c r="V852" s="66"/>
      <c r="W852" s="69"/>
      <c r="X852" s="66"/>
    </row>
    <row r="853" spans="1:27" x14ac:dyDescent="0.2">
      <c r="J853" s="53"/>
      <c r="K853" s="57"/>
      <c r="L853" s="53"/>
      <c r="M853" s="57"/>
      <c r="N853" s="53"/>
      <c r="O853" s="59"/>
      <c r="P853" s="53"/>
      <c r="Q853" s="69"/>
      <c r="R853" s="53"/>
      <c r="S853" s="57"/>
      <c r="T853" s="66"/>
      <c r="U853" s="57"/>
      <c r="V853" s="66"/>
      <c r="W853" s="69"/>
      <c r="X853" s="66"/>
    </row>
    <row r="854" spans="1:27" ht="25" x14ac:dyDescent="0.2">
      <c r="A854" s="3" t="s">
        <v>954</v>
      </c>
      <c r="B854" s="3">
        <v>1</v>
      </c>
      <c r="C854" s="3" t="s">
        <v>955</v>
      </c>
      <c r="D854" s="8" t="s">
        <v>23</v>
      </c>
      <c r="E854" s="13" t="s">
        <v>956</v>
      </c>
      <c r="F854" s="9">
        <v>105.88</v>
      </c>
      <c r="G854" s="10">
        <v>4</v>
      </c>
      <c r="H854" s="11">
        <f>ROUND(ROUND(F854,2)*ROUND(G854,3),2)</f>
        <v>423.52</v>
      </c>
      <c r="I854" s="3"/>
      <c r="J854" s="53"/>
      <c r="K854" s="57">
        <f>G854</f>
        <v>4</v>
      </c>
      <c r="L854" s="53">
        <f>F854*K854</f>
        <v>423.52</v>
      </c>
      <c r="M854" s="77"/>
      <c r="N854" s="53"/>
      <c r="O854" s="59"/>
      <c r="P854" s="53"/>
      <c r="Q854" s="69"/>
      <c r="R854" s="53"/>
      <c r="S854" s="77"/>
      <c r="T854" s="66"/>
      <c r="U854" s="77"/>
      <c r="V854" s="66"/>
      <c r="W854" s="69"/>
      <c r="X854" s="66"/>
      <c r="Y854" s="3"/>
    </row>
    <row r="855" spans="1:27" ht="25" x14ac:dyDescent="0.2">
      <c r="A855" s="3" t="s">
        <v>954</v>
      </c>
      <c r="B855" s="3">
        <v>2</v>
      </c>
      <c r="C855" s="3" t="s">
        <v>957</v>
      </c>
      <c r="D855" s="8" t="s">
        <v>23</v>
      </c>
      <c r="E855" s="13" t="s">
        <v>958</v>
      </c>
      <c r="F855" s="9">
        <v>181.81</v>
      </c>
      <c r="G855" s="10">
        <v>5</v>
      </c>
      <c r="H855" s="11">
        <f>ROUND(ROUND(F855,2)*ROUND(G855,3),2)</f>
        <v>909.05</v>
      </c>
      <c r="I855" s="3"/>
      <c r="J855" s="53"/>
      <c r="K855" s="77"/>
      <c r="L855" s="53"/>
      <c r="M855" s="77"/>
      <c r="N855" s="53"/>
      <c r="O855" s="59"/>
      <c r="P855" s="53"/>
      <c r="Q855" s="69">
        <f>G855</f>
        <v>5</v>
      </c>
      <c r="R855" s="53">
        <f>F855*Q855</f>
        <v>909.05</v>
      </c>
      <c r="S855" s="77"/>
      <c r="T855" s="66"/>
      <c r="U855" s="77"/>
      <c r="V855" s="66"/>
      <c r="W855" s="69"/>
      <c r="X855" s="66"/>
    </row>
    <row r="856" spans="1:27" ht="25" x14ac:dyDescent="0.2">
      <c r="A856" s="3" t="s">
        <v>954</v>
      </c>
      <c r="B856" s="3">
        <v>3</v>
      </c>
      <c r="C856" s="3" t="s">
        <v>932</v>
      </c>
      <c r="D856" s="8" t="s">
        <v>36</v>
      </c>
      <c r="E856" s="13" t="s">
        <v>933</v>
      </c>
      <c r="F856" s="9">
        <v>1.71</v>
      </c>
      <c r="G856" s="10">
        <v>1452</v>
      </c>
      <c r="H856" s="11">
        <f>ROUND(ROUND(F856,2)*ROUND(G856,3),2)</f>
        <v>2482.92</v>
      </c>
      <c r="I856" s="3"/>
      <c r="J856" s="53"/>
      <c r="K856" s="57">
        <f>G856*40%</f>
        <v>580.80000000000007</v>
      </c>
      <c r="L856" s="53">
        <f>F856*K856</f>
        <v>993.16800000000012</v>
      </c>
      <c r="M856" s="77"/>
      <c r="N856" s="53"/>
      <c r="O856" s="59"/>
      <c r="P856" s="53"/>
      <c r="Q856" s="69">
        <f>G856*60%</f>
        <v>871.19999999999993</v>
      </c>
      <c r="R856" s="53">
        <f>F856*Q856</f>
        <v>1489.752</v>
      </c>
      <c r="S856" s="77"/>
      <c r="T856" s="66"/>
      <c r="U856" s="77"/>
      <c r="V856" s="66"/>
      <c r="W856" s="69"/>
      <c r="X856" s="66"/>
      <c r="Y856" s="36">
        <f>I856+K856+S856+U856+Q856</f>
        <v>1452</v>
      </c>
      <c r="Z856" s="37">
        <f>J856+L856+T856+V856+R856</f>
        <v>2482.92</v>
      </c>
    </row>
    <row r="857" spans="1:27" x14ac:dyDescent="0.2">
      <c r="E857" s="81" t="s">
        <v>25</v>
      </c>
      <c r="F857" s="6"/>
      <c r="G857" s="6"/>
      <c r="H857" s="12">
        <f>SUM(H854:H856)</f>
        <v>3815.49</v>
      </c>
      <c r="I857" s="3"/>
      <c r="J857" s="53"/>
      <c r="K857" s="77"/>
      <c r="L857" s="54">
        <f>L854+L856</f>
        <v>1416.6880000000001</v>
      </c>
      <c r="M857" s="78"/>
      <c r="N857" s="54"/>
      <c r="O857" s="60"/>
      <c r="P857" s="54"/>
      <c r="Q857" s="79"/>
      <c r="R857" s="54">
        <f>R855+R856</f>
        <v>2398.8019999999997</v>
      </c>
      <c r="S857" s="78"/>
      <c r="T857" s="67"/>
      <c r="U857" s="78"/>
      <c r="V857" s="67"/>
      <c r="W857" s="69"/>
      <c r="X857" s="66"/>
      <c r="Y857" s="3"/>
      <c r="Z857" s="37">
        <f>J857+L857+T857+V857+R857</f>
        <v>3815.49</v>
      </c>
      <c r="AA857" s="41"/>
    </row>
    <row r="858" spans="1:27" x14ac:dyDescent="0.2">
      <c r="J858" s="53"/>
      <c r="K858" s="57"/>
      <c r="L858" s="53"/>
      <c r="M858" s="57"/>
      <c r="N858" s="53"/>
      <c r="O858" s="59"/>
      <c r="P858" s="53"/>
      <c r="Q858" s="69"/>
      <c r="R858" s="53"/>
      <c r="S858" s="57"/>
      <c r="T858" s="66"/>
      <c r="U858" s="57"/>
      <c r="V858" s="66"/>
      <c r="W858" s="69"/>
      <c r="X858" s="66"/>
    </row>
    <row r="859" spans="1:27" x14ac:dyDescent="0.2">
      <c r="C859" s="6" t="s">
        <v>6</v>
      </c>
      <c r="D859" s="7" t="s">
        <v>7</v>
      </c>
      <c r="E859" s="81" t="s">
        <v>8</v>
      </c>
      <c r="J859" s="53"/>
      <c r="K859" s="57"/>
      <c r="L859" s="53"/>
      <c r="M859" s="57"/>
      <c r="N859" s="53"/>
      <c r="O859" s="59"/>
      <c r="P859" s="53"/>
      <c r="Q859" s="69"/>
      <c r="R859" s="53"/>
      <c r="S859" s="57"/>
      <c r="T859" s="66"/>
      <c r="U859" s="57"/>
      <c r="V859" s="66"/>
      <c r="W859" s="69"/>
      <c r="X859" s="66"/>
    </row>
    <row r="860" spans="1:27" x14ac:dyDescent="0.2">
      <c r="C860" s="6" t="s">
        <v>9</v>
      </c>
      <c r="D860" s="7" t="s">
        <v>400</v>
      </c>
      <c r="E860" s="81" t="s">
        <v>959</v>
      </c>
      <c r="J860" s="53"/>
      <c r="K860" s="57"/>
      <c r="L860" s="53"/>
      <c r="M860" s="57"/>
      <c r="N860" s="53"/>
      <c r="O860" s="59"/>
      <c r="P860" s="53"/>
      <c r="Q860" s="69"/>
      <c r="R860" s="53"/>
      <c r="S860" s="57"/>
      <c r="T860" s="66"/>
      <c r="U860" s="57"/>
      <c r="V860" s="66"/>
      <c r="W860" s="69"/>
      <c r="X860" s="66"/>
    </row>
    <row r="861" spans="1:27" x14ac:dyDescent="0.2">
      <c r="C861" s="6" t="s">
        <v>11</v>
      </c>
      <c r="D861" s="7" t="s">
        <v>7</v>
      </c>
      <c r="E861" s="81" t="s">
        <v>960</v>
      </c>
      <c r="J861" s="53"/>
      <c r="K861" s="57"/>
      <c r="L861" s="53"/>
      <c r="M861" s="57"/>
      <c r="N861" s="53"/>
      <c r="O861" s="59"/>
      <c r="P861" s="53"/>
      <c r="Q861" s="69"/>
      <c r="R861" s="53"/>
      <c r="S861" s="57"/>
      <c r="T861" s="66"/>
      <c r="U861" s="57"/>
      <c r="V861" s="66"/>
      <c r="W861" s="69"/>
      <c r="X861" s="66"/>
    </row>
    <row r="862" spans="1:27" x14ac:dyDescent="0.2">
      <c r="J862" s="53"/>
      <c r="K862" s="57"/>
      <c r="L862" s="53"/>
      <c r="M862" s="57"/>
      <c r="N862" s="53"/>
      <c r="O862" s="59"/>
      <c r="P862" s="53"/>
      <c r="Q862" s="69"/>
      <c r="R862" s="53"/>
      <c r="S862" s="57"/>
      <c r="T862" s="66"/>
      <c r="U862" s="57"/>
      <c r="V862" s="66"/>
      <c r="W862" s="69"/>
      <c r="X862" s="66"/>
    </row>
    <row r="863" spans="1:27" ht="85" x14ac:dyDescent="0.2">
      <c r="A863" s="3" t="s">
        <v>961</v>
      </c>
      <c r="B863" s="3">
        <v>1</v>
      </c>
      <c r="C863" s="3" t="s">
        <v>962</v>
      </c>
      <c r="D863" s="8" t="s">
        <v>23</v>
      </c>
      <c r="E863" s="13" t="s">
        <v>3947</v>
      </c>
      <c r="F863" s="9">
        <v>10260</v>
      </c>
      <c r="G863" s="10">
        <v>1</v>
      </c>
      <c r="H863" s="11">
        <f t="shared" ref="H863:H873" si="128">ROUND(ROUND(F863,2)*ROUND(G863,3),2)</f>
        <v>10260</v>
      </c>
      <c r="J863" s="53"/>
      <c r="K863" s="57">
        <f>1</f>
        <v>1</v>
      </c>
      <c r="L863" s="53">
        <f>F863*K863</f>
        <v>10260</v>
      </c>
      <c r="M863" s="57"/>
      <c r="N863" s="53"/>
      <c r="O863" s="59"/>
      <c r="P863" s="53"/>
      <c r="Q863" s="69"/>
      <c r="R863" s="53"/>
      <c r="S863" s="57"/>
      <c r="T863" s="66"/>
      <c r="U863" s="57"/>
      <c r="V863" s="66"/>
      <c r="W863" s="69"/>
      <c r="X863" s="66"/>
    </row>
    <row r="864" spans="1:27" ht="109" x14ac:dyDescent="0.2">
      <c r="A864" s="3" t="s">
        <v>961</v>
      </c>
      <c r="B864" s="3">
        <v>2</v>
      </c>
      <c r="C864" s="3" t="s">
        <v>963</v>
      </c>
      <c r="D864" s="8" t="s">
        <v>23</v>
      </c>
      <c r="E864" s="13" t="s">
        <v>3948</v>
      </c>
      <c r="F864" s="9">
        <v>5724</v>
      </c>
      <c r="G864" s="10">
        <v>1</v>
      </c>
      <c r="H864" s="11">
        <f t="shared" si="128"/>
        <v>5724</v>
      </c>
      <c r="J864" s="53"/>
      <c r="K864" s="57"/>
      <c r="L864" s="53"/>
      <c r="M864" s="57"/>
      <c r="N864" s="53"/>
      <c r="O864" s="59"/>
      <c r="P864" s="53"/>
      <c r="Q864" s="69"/>
      <c r="R864" s="53"/>
      <c r="S864" s="57">
        <f>1</f>
        <v>1</v>
      </c>
      <c r="T864" s="66">
        <f>F864*S864</f>
        <v>5724</v>
      </c>
      <c r="U864" s="57"/>
      <c r="V864" s="66"/>
      <c r="W864" s="69"/>
      <c r="X864" s="66"/>
    </row>
    <row r="865" spans="1:26" ht="73" x14ac:dyDescent="0.2">
      <c r="A865" s="3" t="s">
        <v>961</v>
      </c>
      <c r="B865" s="3">
        <v>3</v>
      </c>
      <c r="C865" s="3" t="s">
        <v>964</v>
      </c>
      <c r="D865" s="8" t="s">
        <v>23</v>
      </c>
      <c r="E865" s="13" t="s">
        <v>3949</v>
      </c>
      <c r="F865" s="9">
        <v>810</v>
      </c>
      <c r="G865" s="10">
        <v>1</v>
      </c>
      <c r="H865" s="11">
        <f t="shared" si="128"/>
        <v>810</v>
      </c>
      <c r="J865" s="53"/>
      <c r="K865" s="57"/>
      <c r="L865" s="53"/>
      <c r="M865" s="57"/>
      <c r="N865" s="53"/>
      <c r="O865" s="59"/>
      <c r="P865" s="53"/>
      <c r="Q865" s="69"/>
      <c r="R865" s="53"/>
      <c r="S865" s="57"/>
      <c r="T865" s="66"/>
      <c r="U865" s="57">
        <f>1</f>
        <v>1</v>
      </c>
      <c r="V865" s="66">
        <f>F865*U865</f>
        <v>810</v>
      </c>
      <c r="W865" s="69"/>
      <c r="X865" s="66"/>
    </row>
    <row r="866" spans="1:26" ht="73" x14ac:dyDescent="0.2">
      <c r="A866" s="3" t="s">
        <v>961</v>
      </c>
      <c r="B866" s="3">
        <v>4</v>
      </c>
      <c r="C866" s="3" t="s">
        <v>965</v>
      </c>
      <c r="D866" s="8" t="s">
        <v>23</v>
      </c>
      <c r="E866" s="13" t="s">
        <v>3950</v>
      </c>
      <c r="F866" s="9">
        <v>864</v>
      </c>
      <c r="G866" s="10">
        <v>1</v>
      </c>
      <c r="H866" s="11">
        <f t="shared" si="128"/>
        <v>864</v>
      </c>
      <c r="J866" s="53"/>
      <c r="K866" s="57"/>
      <c r="L866" s="53"/>
      <c r="M866" s="57"/>
      <c r="N866" s="53"/>
      <c r="O866" s="59"/>
      <c r="P866" s="53"/>
      <c r="Q866" s="69"/>
      <c r="R866" s="53"/>
      <c r="S866" s="57"/>
      <c r="T866" s="66"/>
      <c r="U866" s="57">
        <f>1</f>
        <v>1</v>
      </c>
      <c r="V866" s="66">
        <f>F866*U866</f>
        <v>864</v>
      </c>
      <c r="W866" s="69"/>
      <c r="X866" s="66"/>
    </row>
    <row r="867" spans="1:26" ht="73" x14ac:dyDescent="0.2">
      <c r="A867" s="3" t="s">
        <v>961</v>
      </c>
      <c r="B867" s="3">
        <v>5</v>
      </c>
      <c r="C867" s="3" t="s">
        <v>966</v>
      </c>
      <c r="D867" s="8" t="s">
        <v>23</v>
      </c>
      <c r="E867" s="13" t="s">
        <v>3951</v>
      </c>
      <c r="F867" s="9">
        <v>4860</v>
      </c>
      <c r="G867" s="10">
        <v>1</v>
      </c>
      <c r="H867" s="11">
        <f t="shared" si="128"/>
        <v>4860</v>
      </c>
      <c r="J867" s="53"/>
      <c r="K867" s="57"/>
      <c r="L867" s="53"/>
      <c r="M867" s="57"/>
      <c r="N867" s="53"/>
      <c r="O867" s="59"/>
      <c r="P867" s="53"/>
      <c r="Q867" s="69"/>
      <c r="R867" s="53"/>
      <c r="S867" s="57"/>
      <c r="T867" s="66"/>
      <c r="U867" s="57">
        <f>1</f>
        <v>1</v>
      </c>
      <c r="V867" s="66">
        <f>F867*U867</f>
        <v>4860</v>
      </c>
      <c r="W867" s="69"/>
      <c r="X867" s="66"/>
    </row>
    <row r="868" spans="1:26" ht="97" x14ac:dyDescent="0.2">
      <c r="A868" s="3" t="s">
        <v>961</v>
      </c>
      <c r="B868" s="3">
        <v>6</v>
      </c>
      <c r="C868" s="3" t="s">
        <v>967</v>
      </c>
      <c r="D868" s="8" t="s">
        <v>23</v>
      </c>
      <c r="E868" s="13" t="s">
        <v>3952</v>
      </c>
      <c r="F868" s="9">
        <v>1620</v>
      </c>
      <c r="G868" s="10">
        <v>1</v>
      </c>
      <c r="H868" s="11">
        <f t="shared" si="128"/>
        <v>1620</v>
      </c>
      <c r="J868" s="53"/>
      <c r="K868" s="57"/>
      <c r="L868" s="53"/>
      <c r="M868" s="57"/>
      <c r="N868" s="53"/>
      <c r="O868" s="59"/>
      <c r="P868" s="53"/>
      <c r="Q868" s="69"/>
      <c r="R868" s="53"/>
      <c r="S868" s="57">
        <f>1</f>
        <v>1</v>
      </c>
      <c r="T868" s="66">
        <f>F868*S868</f>
        <v>1620</v>
      </c>
      <c r="U868" s="57"/>
      <c r="V868" s="66"/>
      <c r="W868" s="69"/>
      <c r="X868" s="66"/>
    </row>
    <row r="869" spans="1:26" ht="121" x14ac:dyDescent="0.2">
      <c r="A869" s="3" t="s">
        <v>961</v>
      </c>
      <c r="B869" s="3">
        <v>7</v>
      </c>
      <c r="C869" s="3" t="s">
        <v>968</v>
      </c>
      <c r="D869" s="8" t="s">
        <v>23</v>
      </c>
      <c r="E869" s="13" t="s">
        <v>3953</v>
      </c>
      <c r="F869" s="9">
        <v>2052</v>
      </c>
      <c r="G869" s="10">
        <v>1</v>
      </c>
      <c r="H869" s="11">
        <f t="shared" si="128"/>
        <v>2052</v>
      </c>
      <c r="J869" s="53"/>
      <c r="K869" s="57"/>
      <c r="L869" s="53"/>
      <c r="M869" s="57"/>
      <c r="N869" s="53"/>
      <c r="O869" s="59"/>
      <c r="P869" s="53"/>
      <c r="Q869" s="69"/>
      <c r="R869" s="53"/>
      <c r="S869" s="57">
        <f>1</f>
        <v>1</v>
      </c>
      <c r="T869" s="66">
        <f>F869*S869</f>
        <v>2052</v>
      </c>
      <c r="U869" s="57"/>
      <c r="V869" s="66"/>
      <c r="W869" s="69"/>
      <c r="X869" s="66"/>
    </row>
    <row r="870" spans="1:26" ht="85" x14ac:dyDescent="0.2">
      <c r="A870" s="3" t="s">
        <v>961</v>
      </c>
      <c r="B870" s="3">
        <v>8</v>
      </c>
      <c r="C870" s="3" t="s">
        <v>4002</v>
      </c>
      <c r="D870" s="8" t="s">
        <v>23</v>
      </c>
      <c r="E870" s="13" t="s">
        <v>4003</v>
      </c>
      <c r="F870" s="9">
        <v>2600</v>
      </c>
      <c r="G870" s="10">
        <v>1</v>
      </c>
      <c r="H870" s="11">
        <f t="shared" si="128"/>
        <v>2600</v>
      </c>
      <c r="J870" s="53"/>
      <c r="K870" s="57"/>
      <c r="L870" s="53"/>
      <c r="M870" s="57"/>
      <c r="N870" s="53"/>
      <c r="O870" s="59"/>
      <c r="P870" s="53"/>
      <c r="Q870" s="69"/>
      <c r="R870" s="53"/>
      <c r="S870" s="57"/>
      <c r="T870" s="66"/>
      <c r="U870" s="57">
        <f>1</f>
        <v>1</v>
      </c>
      <c r="V870" s="66">
        <f>F870*U870</f>
        <v>2600</v>
      </c>
      <c r="W870" s="69"/>
      <c r="X870" s="66"/>
    </row>
    <row r="871" spans="1:26" ht="61" x14ac:dyDescent="0.2">
      <c r="A871" s="3" t="s">
        <v>961</v>
      </c>
      <c r="B871" s="3">
        <v>9</v>
      </c>
      <c r="C871" s="3" t="s">
        <v>969</v>
      </c>
      <c r="D871" s="8" t="s">
        <v>23</v>
      </c>
      <c r="E871" s="13" t="s">
        <v>4004</v>
      </c>
      <c r="F871" s="9">
        <v>1300</v>
      </c>
      <c r="G871" s="10">
        <v>1</v>
      </c>
      <c r="H871" s="11">
        <f t="shared" si="128"/>
        <v>1300</v>
      </c>
      <c r="J871" s="53"/>
      <c r="K871" s="57"/>
      <c r="L871" s="53"/>
      <c r="M871" s="57"/>
      <c r="N871" s="53"/>
      <c r="O871" s="59"/>
      <c r="P871" s="53"/>
      <c r="Q871" s="69"/>
      <c r="R871" s="53"/>
      <c r="S871" s="57">
        <f>1</f>
        <v>1</v>
      </c>
      <c r="T871" s="66">
        <f>F871*S871</f>
        <v>1300</v>
      </c>
      <c r="U871" s="57"/>
      <c r="V871" s="66"/>
      <c r="W871" s="69"/>
      <c r="X871" s="66"/>
    </row>
    <row r="872" spans="1:26" ht="61" x14ac:dyDescent="0.2">
      <c r="A872" s="3" t="s">
        <v>961</v>
      </c>
      <c r="B872" s="3">
        <v>10</v>
      </c>
      <c r="C872" s="3" t="s">
        <v>4005</v>
      </c>
      <c r="D872" s="8" t="s">
        <v>23</v>
      </c>
      <c r="E872" s="13" t="s">
        <v>4006</v>
      </c>
      <c r="F872" s="9">
        <v>1650</v>
      </c>
      <c r="G872" s="10">
        <v>1</v>
      </c>
      <c r="H872" s="11">
        <f t="shared" si="128"/>
        <v>1650</v>
      </c>
      <c r="J872" s="53"/>
      <c r="K872" s="57"/>
      <c r="L872" s="53"/>
      <c r="M872" s="57"/>
      <c r="N872" s="53"/>
      <c r="O872" s="59"/>
      <c r="P872" s="53"/>
      <c r="Q872" s="69"/>
      <c r="R872" s="53"/>
      <c r="S872" s="57">
        <f>1</f>
        <v>1</v>
      </c>
      <c r="T872" s="66">
        <f>F872*S872</f>
        <v>1650</v>
      </c>
      <c r="U872" s="57"/>
      <c r="V872" s="66"/>
      <c r="W872" s="69"/>
      <c r="X872" s="66"/>
    </row>
    <row r="873" spans="1:26" ht="61" x14ac:dyDescent="0.2">
      <c r="A873" s="3" t="s">
        <v>961</v>
      </c>
      <c r="B873" s="3">
        <v>11</v>
      </c>
      <c r="C873" s="3" t="s">
        <v>4007</v>
      </c>
      <c r="D873" s="8" t="s">
        <v>23</v>
      </c>
      <c r="E873" s="13" t="s">
        <v>4008</v>
      </c>
      <c r="F873" s="9">
        <v>4800</v>
      </c>
      <c r="G873" s="10">
        <v>1</v>
      </c>
      <c r="H873" s="11">
        <f t="shared" si="128"/>
        <v>4800</v>
      </c>
      <c r="J873" s="53"/>
      <c r="K873" s="57"/>
      <c r="L873" s="53"/>
      <c r="M873" s="57"/>
      <c r="N873" s="53"/>
      <c r="O873" s="59"/>
      <c r="P873" s="53"/>
      <c r="Q873" s="69"/>
      <c r="R873" s="53"/>
      <c r="S873" s="57">
        <f>1</f>
        <v>1</v>
      </c>
      <c r="T873" s="66">
        <f>F873*S873</f>
        <v>4800</v>
      </c>
      <c r="U873" s="57"/>
      <c r="V873" s="66"/>
      <c r="W873" s="69"/>
      <c r="X873" s="66"/>
    </row>
    <row r="874" spans="1:26" x14ac:dyDescent="0.2">
      <c r="A874" s="3"/>
      <c r="B874" s="3"/>
      <c r="C874" s="3"/>
      <c r="D874" s="8"/>
      <c r="E874" s="13"/>
      <c r="F874" s="9"/>
      <c r="G874" s="10"/>
      <c r="H874" s="11"/>
      <c r="J874" s="53"/>
      <c r="K874" s="57"/>
      <c r="L874" s="53"/>
      <c r="M874" s="57"/>
      <c r="N874" s="53"/>
      <c r="O874" s="59"/>
      <c r="P874" s="53"/>
      <c r="Q874" s="69"/>
      <c r="R874" s="53"/>
      <c r="S874" s="57"/>
      <c r="T874" s="66"/>
      <c r="U874" s="57"/>
      <c r="V874" s="66"/>
      <c r="W874" s="69"/>
      <c r="X874" s="66"/>
    </row>
    <row r="875" spans="1:26" x14ac:dyDescent="0.2">
      <c r="E875" s="81" t="s">
        <v>25</v>
      </c>
      <c r="F875" s="6"/>
      <c r="G875" s="6"/>
      <c r="H875" s="12">
        <f>SUM(H863:H873)</f>
        <v>36540</v>
      </c>
      <c r="J875" s="53"/>
      <c r="K875" s="57"/>
      <c r="L875" s="71">
        <f>SUM(L863:L873)</f>
        <v>10260</v>
      </c>
      <c r="M875" s="58"/>
      <c r="N875" s="71">
        <f>SUM(N863:N870)</f>
        <v>0</v>
      </c>
      <c r="O875" s="75"/>
      <c r="P875" s="71">
        <f>SUM(P858:P870)</f>
        <v>0</v>
      </c>
      <c r="Q875" s="69"/>
      <c r="R875" s="53"/>
      <c r="S875" s="57"/>
      <c r="T875" s="72">
        <f>SUM(T863:T873)</f>
        <v>17146</v>
      </c>
      <c r="U875" s="57"/>
      <c r="V875" s="67">
        <f>SUM(V863:V873)</f>
        <v>9134</v>
      </c>
      <c r="W875" s="69"/>
      <c r="X875" s="66"/>
      <c r="Z875" s="37">
        <f>J875+L875+T875+V875+R875</f>
        <v>36540</v>
      </c>
    </row>
    <row r="876" spans="1:26" x14ac:dyDescent="0.2">
      <c r="J876" s="53"/>
      <c r="K876" s="57"/>
      <c r="L876" s="53"/>
      <c r="M876" s="57"/>
      <c r="N876" s="53"/>
      <c r="O876" s="59"/>
      <c r="P876" s="53"/>
      <c r="Q876" s="69"/>
      <c r="R876" s="53"/>
      <c r="S876" s="57"/>
      <c r="T876" s="66"/>
      <c r="U876" s="57"/>
      <c r="V876" s="66"/>
      <c r="W876" s="69"/>
      <c r="X876" s="66"/>
    </row>
    <row r="877" spans="1:26" x14ac:dyDescent="0.2">
      <c r="C877" s="6" t="s">
        <v>6</v>
      </c>
      <c r="D877" s="7" t="s">
        <v>7</v>
      </c>
      <c r="E877" s="81" t="s">
        <v>8</v>
      </c>
      <c r="J877" s="53"/>
      <c r="K877" s="57"/>
      <c r="L877" s="53"/>
      <c r="M877" s="57"/>
      <c r="N877" s="53"/>
      <c r="O877" s="59"/>
      <c r="P877" s="53"/>
      <c r="Q877" s="69"/>
      <c r="R877" s="53"/>
      <c r="S877" s="57"/>
      <c r="T877" s="66"/>
      <c r="U877" s="57"/>
      <c r="V877" s="66"/>
      <c r="W877" s="69"/>
      <c r="X877" s="66"/>
    </row>
    <row r="878" spans="1:26" x14ac:dyDescent="0.2">
      <c r="C878" s="6" t="s">
        <v>9</v>
      </c>
      <c r="D878" s="7" t="s">
        <v>400</v>
      </c>
      <c r="E878" s="81" t="s">
        <v>959</v>
      </c>
      <c r="J878" s="53"/>
      <c r="K878" s="57"/>
      <c r="L878" s="53"/>
      <c r="M878" s="57"/>
      <c r="N878" s="53"/>
      <c r="O878" s="59"/>
      <c r="P878" s="53"/>
      <c r="Q878" s="69"/>
      <c r="R878" s="53"/>
      <c r="S878" s="57"/>
      <c r="T878" s="66"/>
      <c r="U878" s="57"/>
      <c r="V878" s="66"/>
      <c r="W878" s="69"/>
      <c r="X878" s="66"/>
    </row>
    <row r="879" spans="1:26" x14ac:dyDescent="0.2">
      <c r="C879" s="6" t="s">
        <v>11</v>
      </c>
      <c r="D879" s="7" t="s">
        <v>26</v>
      </c>
      <c r="E879" s="81" t="s">
        <v>3954</v>
      </c>
      <c r="J879" s="53"/>
      <c r="K879" s="57"/>
      <c r="L879" s="53"/>
      <c r="M879" s="57"/>
      <c r="N879" s="53"/>
      <c r="O879" s="59"/>
      <c r="P879" s="53"/>
      <c r="Q879" s="69"/>
      <c r="R879" s="53"/>
      <c r="S879" s="57"/>
      <c r="T879" s="66"/>
      <c r="U879" s="57"/>
      <c r="V879" s="66"/>
      <c r="W879" s="69"/>
      <c r="X879" s="66"/>
    </row>
    <row r="880" spans="1:26" x14ac:dyDescent="0.2">
      <c r="J880" s="53"/>
      <c r="K880" s="57"/>
      <c r="L880" s="53"/>
      <c r="M880" s="57"/>
      <c r="N880" s="53"/>
      <c r="O880" s="59"/>
      <c r="P880" s="53"/>
      <c r="Q880" s="69"/>
      <c r="R880" s="53"/>
      <c r="S880" s="57"/>
      <c r="T880" s="66"/>
      <c r="U880" s="57"/>
      <c r="V880" s="66"/>
      <c r="W880" s="69"/>
      <c r="X880" s="66"/>
    </row>
    <row r="881" spans="1:26" ht="25" x14ac:dyDescent="0.2">
      <c r="A881" s="3" t="s">
        <v>3955</v>
      </c>
      <c r="B881" s="3">
        <v>1</v>
      </c>
      <c r="C881" s="3" t="s">
        <v>3956</v>
      </c>
      <c r="D881" s="8" t="s">
        <v>23</v>
      </c>
      <c r="E881" s="13" t="s">
        <v>3957</v>
      </c>
      <c r="F881" s="9">
        <v>44.25</v>
      </c>
      <c r="G881" s="10">
        <v>7</v>
      </c>
      <c r="H881" s="11">
        <f t="shared" ref="H881:H893" si="129">ROUND(ROUND(F881,2)*ROUND(G881,3),2)</f>
        <v>309.75</v>
      </c>
      <c r="J881" s="53"/>
      <c r="K881" s="57">
        <f>2</f>
        <v>2</v>
      </c>
      <c r="L881" s="53">
        <f>F881*K881</f>
        <v>88.5</v>
      </c>
      <c r="M881" s="57"/>
      <c r="N881" s="53"/>
      <c r="O881" s="59"/>
      <c r="P881" s="53"/>
      <c r="Q881" s="69"/>
      <c r="R881" s="53"/>
      <c r="S881" s="57">
        <f>2</f>
        <v>2</v>
      </c>
      <c r="T881" s="66">
        <f>F881*S881</f>
        <v>88.5</v>
      </c>
      <c r="U881" s="57">
        <f>3</f>
        <v>3</v>
      </c>
      <c r="V881" s="66">
        <f>F881*U881</f>
        <v>132.75</v>
      </c>
      <c r="W881" s="69"/>
      <c r="X881" s="66"/>
      <c r="Y881" s="36">
        <f t="shared" ref="Y881:Z883" si="130">I881+K881+S881+U881+Q881</f>
        <v>7</v>
      </c>
      <c r="Z881" s="37">
        <f t="shared" si="130"/>
        <v>309.75</v>
      </c>
    </row>
    <row r="882" spans="1:26" ht="37" x14ac:dyDescent="0.2">
      <c r="A882" s="3" t="s">
        <v>3955</v>
      </c>
      <c r="B882" s="3">
        <v>2</v>
      </c>
      <c r="C882" s="3" t="s">
        <v>3958</v>
      </c>
      <c r="D882" s="8" t="s">
        <v>23</v>
      </c>
      <c r="E882" s="13" t="s">
        <v>3959</v>
      </c>
      <c r="F882" s="9">
        <v>315.94</v>
      </c>
      <c r="G882" s="10">
        <v>3</v>
      </c>
      <c r="H882" s="11">
        <f t="shared" si="129"/>
        <v>947.82</v>
      </c>
      <c r="J882" s="53"/>
      <c r="K882" s="57">
        <f>2</f>
        <v>2</v>
      </c>
      <c r="L882" s="53">
        <f>F882*K882</f>
        <v>631.88</v>
      </c>
      <c r="M882" s="57"/>
      <c r="N882" s="53"/>
      <c r="O882" s="59"/>
      <c r="P882" s="53"/>
      <c r="Q882" s="69"/>
      <c r="R882" s="53"/>
      <c r="S882" s="57">
        <f>1</f>
        <v>1</v>
      </c>
      <c r="T882" s="66">
        <f>F882*S882</f>
        <v>315.94</v>
      </c>
      <c r="U882" s="57"/>
      <c r="V882" s="66"/>
      <c r="W882" s="69"/>
      <c r="X882" s="66"/>
      <c r="Y882" s="36">
        <f t="shared" si="130"/>
        <v>3</v>
      </c>
      <c r="Z882" s="37">
        <f t="shared" si="130"/>
        <v>947.81999999999994</v>
      </c>
    </row>
    <row r="883" spans="1:26" x14ac:dyDescent="0.2">
      <c r="A883" s="3" t="s">
        <v>3955</v>
      </c>
      <c r="B883" s="3">
        <v>3</v>
      </c>
      <c r="C883" s="3" t="s">
        <v>3960</v>
      </c>
      <c r="D883" s="8" t="s">
        <v>23</v>
      </c>
      <c r="E883" s="13" t="s">
        <v>3961</v>
      </c>
      <c r="F883" s="9">
        <v>35.79</v>
      </c>
      <c r="G883" s="10">
        <v>3</v>
      </c>
      <c r="H883" s="11">
        <f t="shared" si="129"/>
        <v>107.37</v>
      </c>
      <c r="J883" s="53"/>
      <c r="K883" s="57">
        <f>2</f>
        <v>2</v>
      </c>
      <c r="L883" s="53">
        <f>F883*K883</f>
        <v>71.58</v>
      </c>
      <c r="M883" s="57"/>
      <c r="N883" s="53"/>
      <c r="O883" s="59"/>
      <c r="P883" s="53"/>
      <c r="Q883" s="69"/>
      <c r="R883" s="53"/>
      <c r="S883" s="57">
        <f>1</f>
        <v>1</v>
      </c>
      <c r="T883" s="66">
        <f>F883*S883</f>
        <v>35.79</v>
      </c>
      <c r="U883" s="57"/>
      <c r="V883" s="66"/>
      <c r="W883" s="69"/>
      <c r="X883" s="66"/>
      <c r="Y883" s="36">
        <f t="shared" si="130"/>
        <v>3</v>
      </c>
      <c r="Z883" s="37">
        <f t="shared" si="130"/>
        <v>107.37</v>
      </c>
    </row>
    <row r="884" spans="1:26" ht="37" x14ac:dyDescent="0.2">
      <c r="A884" s="3" t="s">
        <v>3955</v>
      </c>
      <c r="B884" s="3">
        <v>4</v>
      </c>
      <c r="C884" s="3" t="s">
        <v>3962</v>
      </c>
      <c r="D884" s="8" t="s">
        <v>23</v>
      </c>
      <c r="E884" s="13" t="s">
        <v>3963</v>
      </c>
      <c r="F884" s="9">
        <v>86.36</v>
      </c>
      <c r="G884" s="10">
        <v>3</v>
      </c>
      <c r="H884" s="11">
        <f t="shared" si="129"/>
        <v>259.08</v>
      </c>
      <c r="J884" s="53"/>
      <c r="K884" s="57"/>
      <c r="L884" s="53"/>
      <c r="M884" s="57"/>
      <c r="N884" s="53"/>
      <c r="O884" s="59"/>
      <c r="P884" s="53"/>
      <c r="Q884" s="69"/>
      <c r="R884" s="53"/>
      <c r="S884" s="57"/>
      <c r="T884" s="66"/>
      <c r="U884" s="57">
        <f>3</f>
        <v>3</v>
      </c>
      <c r="V884" s="66">
        <f t="shared" ref="V884:V893" si="131">F884*U884</f>
        <v>259.08</v>
      </c>
      <c r="W884" s="69"/>
      <c r="X884" s="66"/>
    </row>
    <row r="885" spans="1:26" ht="37" x14ac:dyDescent="0.2">
      <c r="A885" s="3" t="s">
        <v>3955</v>
      </c>
      <c r="B885" s="3">
        <v>5</v>
      </c>
      <c r="C885" s="3" t="s">
        <v>3964</v>
      </c>
      <c r="D885" s="8" t="s">
        <v>23</v>
      </c>
      <c r="E885" s="13" t="s">
        <v>3965</v>
      </c>
      <c r="F885" s="9">
        <v>141.97999999999999</v>
      </c>
      <c r="G885" s="10">
        <v>6</v>
      </c>
      <c r="H885" s="11">
        <f t="shared" si="129"/>
        <v>851.88</v>
      </c>
      <c r="J885" s="53"/>
      <c r="K885" s="57">
        <f>2</f>
        <v>2</v>
      </c>
      <c r="L885" s="53">
        <f>F885*K885</f>
        <v>283.95999999999998</v>
      </c>
      <c r="M885" s="57"/>
      <c r="N885" s="53"/>
      <c r="O885" s="59"/>
      <c r="P885" s="53"/>
      <c r="Q885" s="69"/>
      <c r="R885" s="53"/>
      <c r="S885" s="57">
        <f>1</f>
        <v>1</v>
      </c>
      <c r="T885" s="66">
        <f>F885*S885</f>
        <v>141.97999999999999</v>
      </c>
      <c r="U885" s="57">
        <f>3</f>
        <v>3</v>
      </c>
      <c r="V885" s="66">
        <f t="shared" si="131"/>
        <v>425.93999999999994</v>
      </c>
      <c r="W885" s="69"/>
      <c r="X885" s="66"/>
      <c r="Y885" s="36">
        <f>I885+K885+S885+U885+Q885</f>
        <v>6</v>
      </c>
      <c r="Z885" s="37">
        <f>J885+L885+T885+V885+R885</f>
        <v>851.87999999999988</v>
      </c>
    </row>
    <row r="886" spans="1:26" ht="37" x14ac:dyDescent="0.2">
      <c r="A886" s="3" t="s">
        <v>3955</v>
      </c>
      <c r="B886" s="3">
        <v>6</v>
      </c>
      <c r="C886" s="3" t="s">
        <v>3966</v>
      </c>
      <c r="D886" s="8" t="s">
        <v>23</v>
      </c>
      <c r="E886" s="13" t="s">
        <v>3967</v>
      </c>
      <c r="F886" s="9">
        <v>221.25</v>
      </c>
      <c r="G886" s="10">
        <v>4</v>
      </c>
      <c r="H886" s="11">
        <f t="shared" si="129"/>
        <v>885</v>
      </c>
      <c r="J886" s="53"/>
      <c r="K886" s="57">
        <f>2</f>
        <v>2</v>
      </c>
      <c r="L886" s="53">
        <f>F886*K886</f>
        <v>442.5</v>
      </c>
      <c r="M886" s="57"/>
      <c r="N886" s="53"/>
      <c r="O886" s="59"/>
      <c r="P886" s="53"/>
      <c r="Q886" s="69"/>
      <c r="R886" s="53"/>
      <c r="S886" s="57"/>
      <c r="T886" s="66"/>
      <c r="U886" s="57">
        <f>2</f>
        <v>2</v>
      </c>
      <c r="V886" s="66">
        <f t="shared" si="131"/>
        <v>442.5</v>
      </c>
      <c r="W886" s="69"/>
      <c r="X886" s="66"/>
      <c r="Y886" s="36">
        <f>I886+K886+S886+U886+Q886</f>
        <v>4</v>
      </c>
      <c r="Z886" s="37">
        <f>J886+L886+T886+V886+R886</f>
        <v>885</v>
      </c>
    </row>
    <row r="887" spans="1:26" ht="37" x14ac:dyDescent="0.2">
      <c r="A887" s="3" t="s">
        <v>3955</v>
      </c>
      <c r="B887" s="3">
        <v>7</v>
      </c>
      <c r="C887" s="3" t="s">
        <v>3968</v>
      </c>
      <c r="D887" s="8" t="s">
        <v>23</v>
      </c>
      <c r="E887" s="13" t="s">
        <v>3969</v>
      </c>
      <c r="F887" s="9">
        <v>72.540000000000006</v>
      </c>
      <c r="G887" s="10">
        <v>1</v>
      </c>
      <c r="H887" s="11">
        <f t="shared" si="129"/>
        <v>72.540000000000006</v>
      </c>
      <c r="J887" s="53"/>
      <c r="K887" s="57"/>
      <c r="L887" s="53"/>
      <c r="M887" s="57"/>
      <c r="N887" s="53"/>
      <c r="O887" s="59"/>
      <c r="P887" s="53"/>
      <c r="Q887" s="69"/>
      <c r="R887" s="53"/>
      <c r="S887" s="57"/>
      <c r="T887" s="66"/>
      <c r="U887" s="57">
        <f>1</f>
        <v>1</v>
      </c>
      <c r="V887" s="66">
        <f t="shared" si="131"/>
        <v>72.540000000000006</v>
      </c>
      <c r="W887" s="69"/>
      <c r="X887" s="66"/>
    </row>
    <row r="888" spans="1:26" ht="37" x14ac:dyDescent="0.2">
      <c r="A888" s="3" t="s">
        <v>3955</v>
      </c>
      <c r="B888" s="3">
        <v>8</v>
      </c>
      <c r="C888" s="3" t="s">
        <v>3970</v>
      </c>
      <c r="D888" s="8" t="s">
        <v>23</v>
      </c>
      <c r="E888" s="13" t="s">
        <v>3971</v>
      </c>
      <c r="F888" s="9">
        <v>158.16999999999999</v>
      </c>
      <c r="G888" s="10">
        <v>1</v>
      </c>
      <c r="H888" s="11">
        <f t="shared" si="129"/>
        <v>158.16999999999999</v>
      </c>
      <c r="J888" s="53"/>
      <c r="K888" s="57"/>
      <c r="L888" s="53"/>
      <c r="M888" s="57"/>
      <c r="N888" s="53"/>
      <c r="O888" s="59"/>
      <c r="P888" s="53"/>
      <c r="Q888" s="69"/>
      <c r="R888" s="53"/>
      <c r="S888" s="57"/>
      <c r="T888" s="66"/>
      <c r="U888" s="57">
        <f>1</f>
        <v>1</v>
      </c>
      <c r="V888" s="66">
        <f t="shared" si="131"/>
        <v>158.16999999999999</v>
      </c>
      <c r="W888" s="69"/>
      <c r="X888" s="66"/>
    </row>
    <row r="889" spans="1:26" ht="37" x14ac:dyDescent="0.2">
      <c r="A889" s="3" t="s">
        <v>3955</v>
      </c>
      <c r="B889" s="3">
        <v>9</v>
      </c>
      <c r="C889" s="3" t="s">
        <v>3972</v>
      </c>
      <c r="D889" s="8" t="s">
        <v>23</v>
      </c>
      <c r="E889" s="13" t="s">
        <v>3973</v>
      </c>
      <c r="F889" s="9">
        <v>401.61</v>
      </c>
      <c r="G889" s="10">
        <v>1</v>
      </c>
      <c r="H889" s="11">
        <f t="shared" si="129"/>
        <v>401.61</v>
      </c>
      <c r="J889" s="53"/>
      <c r="K889" s="57"/>
      <c r="L889" s="53"/>
      <c r="M889" s="57"/>
      <c r="N889" s="53"/>
      <c r="O889" s="59"/>
      <c r="P889" s="53"/>
      <c r="Q889" s="69"/>
      <c r="R889" s="53"/>
      <c r="S889" s="57"/>
      <c r="T889" s="66"/>
      <c r="U889" s="57">
        <f>1</f>
        <v>1</v>
      </c>
      <c r="V889" s="66">
        <f t="shared" si="131"/>
        <v>401.61</v>
      </c>
      <c r="W889" s="69"/>
      <c r="X889" s="66"/>
    </row>
    <row r="890" spans="1:26" ht="25" x14ac:dyDescent="0.2">
      <c r="A890" s="3" t="s">
        <v>3955</v>
      </c>
      <c r="B890" s="3">
        <v>10</v>
      </c>
      <c r="C890" s="3" t="s">
        <v>3974</v>
      </c>
      <c r="D890" s="8" t="s">
        <v>23</v>
      </c>
      <c r="E890" s="13" t="s">
        <v>3975</v>
      </c>
      <c r="F890" s="9">
        <v>33.15</v>
      </c>
      <c r="G890" s="10">
        <v>7</v>
      </c>
      <c r="H890" s="11">
        <f t="shared" si="129"/>
        <v>232.05</v>
      </c>
      <c r="J890" s="53"/>
      <c r="K890" s="57">
        <f>2</f>
        <v>2</v>
      </c>
      <c r="L890" s="53">
        <f>F890*K890</f>
        <v>66.3</v>
      </c>
      <c r="M890" s="57"/>
      <c r="N890" s="53"/>
      <c r="O890" s="59"/>
      <c r="P890" s="53"/>
      <c r="Q890" s="69"/>
      <c r="R890" s="53"/>
      <c r="S890" s="57">
        <f>2</f>
        <v>2</v>
      </c>
      <c r="T890" s="66">
        <f>F890*S890</f>
        <v>66.3</v>
      </c>
      <c r="U890" s="57">
        <f>3</f>
        <v>3</v>
      </c>
      <c r="V890" s="66">
        <f t="shared" si="131"/>
        <v>99.449999999999989</v>
      </c>
      <c r="W890" s="69"/>
      <c r="X890" s="66"/>
      <c r="Y890" s="36">
        <f>I890+K890+S890+U890+Q890</f>
        <v>7</v>
      </c>
      <c r="Z890" s="37">
        <f>J890+L890+T890+V890+R890</f>
        <v>232.04999999999998</v>
      </c>
    </row>
    <row r="891" spans="1:26" ht="25" x14ac:dyDescent="0.2">
      <c r="A891" s="3" t="s">
        <v>3955</v>
      </c>
      <c r="B891" s="3">
        <v>11</v>
      </c>
      <c r="C891" s="3" t="s">
        <v>3976</v>
      </c>
      <c r="D891" s="8" t="s">
        <v>23</v>
      </c>
      <c r="E891" s="13" t="s">
        <v>3977</v>
      </c>
      <c r="F891" s="9">
        <v>75.59</v>
      </c>
      <c r="G891" s="10">
        <v>7</v>
      </c>
      <c r="H891" s="11">
        <f t="shared" si="129"/>
        <v>529.13</v>
      </c>
      <c r="J891" s="53"/>
      <c r="K891" s="57">
        <f>2</f>
        <v>2</v>
      </c>
      <c r="L891" s="53">
        <f>F891*K891</f>
        <v>151.18</v>
      </c>
      <c r="M891" s="57"/>
      <c r="N891" s="53"/>
      <c r="O891" s="59"/>
      <c r="P891" s="53"/>
      <c r="Q891" s="69"/>
      <c r="R891" s="53"/>
      <c r="S891" s="57">
        <f>2</f>
        <v>2</v>
      </c>
      <c r="T891" s="66">
        <f>F891*S891</f>
        <v>151.18</v>
      </c>
      <c r="U891" s="57">
        <f>3</f>
        <v>3</v>
      </c>
      <c r="V891" s="66">
        <f t="shared" si="131"/>
        <v>226.77</v>
      </c>
      <c r="W891" s="69"/>
      <c r="X891" s="66"/>
      <c r="Y891" s="36">
        <f>I891+K891+S891+U891+Q891</f>
        <v>7</v>
      </c>
      <c r="Z891" s="37">
        <f>J891+L891+T891+V891+R891</f>
        <v>529.13</v>
      </c>
    </row>
    <row r="892" spans="1:26" x14ac:dyDescent="0.2">
      <c r="A892" s="3" t="s">
        <v>3955</v>
      </c>
      <c r="B892" s="3">
        <v>12</v>
      </c>
      <c r="C892" s="3" t="s">
        <v>3978</v>
      </c>
      <c r="D892" s="8" t="s">
        <v>23</v>
      </c>
      <c r="E892" s="13" t="s">
        <v>3979</v>
      </c>
      <c r="F892" s="9">
        <v>54.37</v>
      </c>
      <c r="G892" s="10">
        <v>6</v>
      </c>
      <c r="H892" s="11">
        <f t="shared" si="129"/>
        <v>326.22000000000003</v>
      </c>
      <c r="J892" s="53"/>
      <c r="K892" s="57">
        <f>2</f>
        <v>2</v>
      </c>
      <c r="L892" s="53">
        <f>F892*K892</f>
        <v>108.74</v>
      </c>
      <c r="M892" s="57"/>
      <c r="N892" s="53"/>
      <c r="O892" s="59"/>
      <c r="P892" s="53"/>
      <c r="Q892" s="69"/>
      <c r="R892" s="53"/>
      <c r="S892" s="57">
        <f>1</f>
        <v>1</v>
      </c>
      <c r="T892" s="66">
        <f>F892*S892</f>
        <v>54.37</v>
      </c>
      <c r="U892" s="57">
        <f>3</f>
        <v>3</v>
      </c>
      <c r="V892" s="66">
        <f t="shared" si="131"/>
        <v>163.10999999999999</v>
      </c>
      <c r="W892" s="69"/>
      <c r="X892" s="66"/>
      <c r="Z892" s="37">
        <f>J892+L892+T892+V892+R892</f>
        <v>326.21999999999997</v>
      </c>
    </row>
    <row r="893" spans="1:26" ht="25" x14ac:dyDescent="0.2">
      <c r="A893" s="3" t="s">
        <v>3955</v>
      </c>
      <c r="B893" s="3">
        <v>13</v>
      </c>
      <c r="C893" s="3" t="s">
        <v>3980</v>
      </c>
      <c r="D893" s="8" t="s">
        <v>18</v>
      </c>
      <c r="E893" s="13" t="s">
        <v>3981</v>
      </c>
      <c r="F893" s="9">
        <v>98.68</v>
      </c>
      <c r="G893" s="10">
        <v>1.62</v>
      </c>
      <c r="H893" s="11">
        <f t="shared" si="129"/>
        <v>159.86000000000001</v>
      </c>
      <c r="J893" s="53"/>
      <c r="K893" s="57">
        <f>0.54</f>
        <v>0.54</v>
      </c>
      <c r="L893" s="53">
        <f>F893*K893</f>
        <v>53.287200000000006</v>
      </c>
      <c r="M893" s="57"/>
      <c r="N893" s="53"/>
      <c r="O893" s="59"/>
      <c r="P893" s="53"/>
      <c r="Q893" s="69"/>
      <c r="R893" s="53"/>
      <c r="S893" s="57">
        <f>0.27</f>
        <v>0.27</v>
      </c>
      <c r="T893" s="66">
        <f>F893*S893</f>
        <v>26.643600000000003</v>
      </c>
      <c r="U893" s="57">
        <f>0.81</f>
        <v>0.81</v>
      </c>
      <c r="V893" s="66">
        <f t="shared" si="131"/>
        <v>79.930800000000005</v>
      </c>
      <c r="W893" s="69"/>
      <c r="X893" s="66"/>
      <c r="Y893" s="36">
        <f>I893+K893+S893+U893+Q893</f>
        <v>1.62</v>
      </c>
      <c r="Z893" s="37">
        <f>J893+L893+T893+V893+R893</f>
        <v>159.86160000000001</v>
      </c>
    </row>
    <row r="894" spans="1:26" x14ac:dyDescent="0.2">
      <c r="E894" s="81" t="s">
        <v>25</v>
      </c>
      <c r="F894" s="6"/>
      <c r="G894" s="6"/>
      <c r="H894" s="12">
        <f>SUM(H881:H893)</f>
        <v>5240.4800000000005</v>
      </c>
      <c r="J894" s="53"/>
      <c r="K894" s="57"/>
      <c r="L894" s="71">
        <f>SUM(L881:L893)</f>
        <v>1897.9272000000001</v>
      </c>
      <c r="M894" s="58"/>
      <c r="N894" s="71">
        <f>SUM(N881:N893)</f>
        <v>0</v>
      </c>
      <c r="O894" s="75"/>
      <c r="P894" s="71">
        <f>SUM(P881:P893)</f>
        <v>0</v>
      </c>
      <c r="Q894" s="69"/>
      <c r="R894" s="53"/>
      <c r="S894" s="57"/>
      <c r="T894" s="72">
        <f>SUM(T881:T893)</f>
        <v>880.70360000000005</v>
      </c>
      <c r="U894" s="57"/>
      <c r="V894" s="67">
        <f>SUM(V881:V893)</f>
        <v>2461.8508000000006</v>
      </c>
      <c r="W894" s="69"/>
      <c r="X894" s="66"/>
      <c r="Z894" s="37">
        <f>J894+L894+T894+V894+R894</f>
        <v>5240.481600000001</v>
      </c>
    </row>
    <row r="895" spans="1:26" x14ac:dyDescent="0.2">
      <c r="J895" s="53"/>
      <c r="K895" s="57"/>
      <c r="L895" s="53"/>
      <c r="M895" s="57"/>
      <c r="N895" s="53"/>
      <c r="O895" s="59"/>
      <c r="P895" s="53"/>
      <c r="Q895" s="69"/>
      <c r="R895" s="53"/>
      <c r="S895" s="57"/>
      <c r="T895" s="66"/>
      <c r="U895" s="57"/>
      <c r="V895" s="66"/>
      <c r="W895" s="69"/>
      <c r="X895" s="66"/>
    </row>
    <row r="896" spans="1:26" x14ac:dyDescent="0.2">
      <c r="C896" s="6" t="s">
        <v>6</v>
      </c>
      <c r="D896" s="7" t="s">
        <v>7</v>
      </c>
      <c r="E896" s="81" t="s">
        <v>8</v>
      </c>
      <c r="J896" s="53"/>
      <c r="K896" s="57"/>
      <c r="L896" s="53"/>
      <c r="M896" s="57"/>
      <c r="N896" s="53"/>
      <c r="O896" s="59"/>
      <c r="P896" s="53"/>
      <c r="Q896" s="69"/>
      <c r="R896" s="53"/>
      <c r="S896" s="57"/>
      <c r="T896" s="66"/>
      <c r="U896" s="57"/>
      <c r="V896" s="66"/>
      <c r="W896" s="69"/>
      <c r="X896" s="66"/>
    </row>
    <row r="897" spans="1:24" x14ac:dyDescent="0.2">
      <c r="C897" s="6" t="s">
        <v>9</v>
      </c>
      <c r="D897" s="7" t="s">
        <v>851</v>
      </c>
      <c r="E897" s="81" t="s">
        <v>970</v>
      </c>
      <c r="J897" s="53"/>
      <c r="K897" s="57"/>
      <c r="L897" s="53"/>
      <c r="M897" s="57"/>
      <c r="N897" s="53"/>
      <c r="O897" s="59"/>
      <c r="P897" s="53"/>
      <c r="Q897" s="69"/>
      <c r="R897" s="53"/>
      <c r="S897" s="57"/>
      <c r="T897" s="66"/>
      <c r="U897" s="57"/>
      <c r="V897" s="66"/>
      <c r="W897" s="69"/>
      <c r="X897" s="66"/>
    </row>
    <row r="898" spans="1:24" x14ac:dyDescent="0.2">
      <c r="C898" s="6" t="s">
        <v>11</v>
      </c>
      <c r="D898" s="7" t="s">
        <v>7</v>
      </c>
      <c r="E898" s="81" t="s">
        <v>971</v>
      </c>
      <c r="J898" s="53"/>
      <c r="K898" s="57"/>
      <c r="L898" s="53"/>
      <c r="M898" s="57"/>
      <c r="N898" s="53"/>
      <c r="O898" s="59"/>
      <c r="P898" s="53"/>
      <c r="Q898" s="69"/>
      <c r="R898" s="53"/>
      <c r="S898" s="57"/>
      <c r="T898" s="66"/>
      <c r="U898" s="57"/>
      <c r="V898" s="66"/>
      <c r="W898" s="69"/>
      <c r="X898" s="66"/>
    </row>
    <row r="899" spans="1:24" x14ac:dyDescent="0.2">
      <c r="J899" s="53"/>
      <c r="K899" s="57"/>
      <c r="L899" s="53"/>
      <c r="M899" s="57"/>
      <c r="N899" s="53"/>
      <c r="O899" s="59"/>
      <c r="P899" s="53"/>
      <c r="Q899" s="69"/>
      <c r="R899" s="53"/>
      <c r="S899" s="57"/>
      <c r="T899" s="66"/>
      <c r="U899" s="57"/>
      <c r="V899" s="66"/>
      <c r="W899" s="69"/>
      <c r="X899" s="66"/>
    </row>
    <row r="900" spans="1:24" ht="49" x14ac:dyDescent="0.2">
      <c r="A900" s="3" t="s">
        <v>972</v>
      </c>
      <c r="B900" s="3">
        <v>1</v>
      </c>
      <c r="C900" s="3" t="s">
        <v>973</v>
      </c>
      <c r="D900" s="8" t="s">
        <v>23</v>
      </c>
      <c r="E900" s="13" t="s">
        <v>4009</v>
      </c>
      <c r="F900" s="9">
        <v>2700</v>
      </c>
      <c r="G900" s="10">
        <v>1</v>
      </c>
      <c r="H900" s="11">
        <f>ROUND(ROUND(F900,2)*ROUND(G900,3),2)</f>
        <v>2700</v>
      </c>
      <c r="J900" s="53"/>
      <c r="K900" s="57"/>
      <c r="L900" s="53"/>
      <c r="M900" s="57"/>
      <c r="N900" s="53"/>
      <c r="O900" s="59"/>
      <c r="P900" s="53"/>
      <c r="Q900" s="69">
        <f>1</f>
        <v>1</v>
      </c>
      <c r="R900" s="53">
        <f>F900*Q900</f>
        <v>2700</v>
      </c>
      <c r="S900" s="57"/>
      <c r="T900" s="66"/>
      <c r="U900" s="57"/>
      <c r="V900" s="66"/>
      <c r="W900" s="69"/>
      <c r="X900" s="66"/>
    </row>
    <row r="901" spans="1:24" x14ac:dyDescent="0.2">
      <c r="E901" s="81" t="s">
        <v>25</v>
      </c>
      <c r="F901" s="6"/>
      <c r="G901" s="6"/>
      <c r="H901" s="12">
        <f>SUM(H900:H900)</f>
        <v>2700</v>
      </c>
      <c r="J901" s="53"/>
      <c r="K901" s="57"/>
      <c r="L901" s="53"/>
      <c r="M901" s="57"/>
      <c r="N901" s="53"/>
      <c r="O901" s="59"/>
      <c r="P901" s="53"/>
      <c r="Q901" s="69"/>
      <c r="R901" s="71">
        <f>SUM(R900:R900)</f>
        <v>2700</v>
      </c>
      <c r="S901" s="57"/>
      <c r="T901" s="66"/>
      <c r="U901" s="57"/>
      <c r="V901" s="66"/>
      <c r="W901" s="69"/>
      <c r="X901" s="66"/>
    </row>
    <row r="902" spans="1:24" x14ac:dyDescent="0.2">
      <c r="J902" s="53"/>
      <c r="K902" s="57"/>
      <c r="L902" s="53"/>
      <c r="M902" s="57"/>
      <c r="N902" s="53"/>
      <c r="O902" s="59"/>
      <c r="P902" s="53"/>
      <c r="Q902" s="69"/>
      <c r="R902" s="53"/>
      <c r="S902" s="57"/>
      <c r="T902" s="66"/>
      <c r="U902" s="57"/>
      <c r="V902" s="66"/>
      <c r="W902" s="69"/>
      <c r="X902" s="66"/>
    </row>
    <row r="903" spans="1:24" x14ac:dyDescent="0.2">
      <c r="C903" s="6" t="s">
        <v>6</v>
      </c>
      <c r="D903" s="7" t="s">
        <v>7</v>
      </c>
      <c r="E903" s="81" t="s">
        <v>8</v>
      </c>
      <c r="J903" s="53"/>
      <c r="K903" s="57"/>
      <c r="L903" s="53"/>
      <c r="M903" s="57"/>
      <c r="N903" s="53"/>
      <c r="O903" s="59"/>
      <c r="P903" s="53"/>
      <c r="Q903" s="69"/>
      <c r="R903" s="53"/>
      <c r="S903" s="57"/>
      <c r="T903" s="66"/>
      <c r="U903" s="57"/>
      <c r="V903" s="66"/>
      <c r="W903" s="69"/>
      <c r="X903" s="66"/>
    </row>
    <row r="904" spans="1:24" x14ac:dyDescent="0.2">
      <c r="C904" s="6" t="s">
        <v>9</v>
      </c>
      <c r="D904" s="7" t="s">
        <v>851</v>
      </c>
      <c r="E904" s="81" t="s">
        <v>970</v>
      </c>
      <c r="J904" s="53"/>
      <c r="K904" s="57"/>
      <c r="L904" s="53"/>
      <c r="M904" s="57"/>
      <c r="N904" s="53"/>
      <c r="O904" s="59"/>
      <c r="P904" s="53"/>
      <c r="Q904" s="69"/>
      <c r="R904" s="53"/>
      <c r="S904" s="57"/>
      <c r="T904" s="66"/>
      <c r="U904" s="57"/>
      <c r="V904" s="66"/>
      <c r="W904" s="69"/>
      <c r="X904" s="66"/>
    </row>
    <row r="905" spans="1:24" x14ac:dyDescent="0.2">
      <c r="C905" s="6" t="s">
        <v>11</v>
      </c>
      <c r="D905" s="7" t="s">
        <v>26</v>
      </c>
      <c r="E905" s="81" t="s">
        <v>974</v>
      </c>
      <c r="J905" s="53"/>
      <c r="K905" s="57"/>
      <c r="L905" s="53"/>
      <c r="M905" s="57"/>
      <c r="N905" s="53"/>
      <c r="O905" s="59"/>
      <c r="P905" s="53"/>
      <c r="Q905" s="69"/>
      <c r="R905" s="53"/>
      <c r="S905" s="57"/>
      <c r="T905" s="66"/>
      <c r="U905" s="57"/>
      <c r="V905" s="66"/>
      <c r="W905" s="69"/>
      <c r="X905" s="66"/>
    </row>
    <row r="906" spans="1:24" x14ac:dyDescent="0.2">
      <c r="J906" s="53"/>
      <c r="K906" s="57"/>
      <c r="L906" s="53"/>
      <c r="M906" s="57"/>
      <c r="N906" s="53"/>
      <c r="O906" s="59"/>
      <c r="P906" s="53"/>
      <c r="Q906" s="69"/>
      <c r="R906" s="53"/>
      <c r="S906" s="57"/>
      <c r="T906" s="66"/>
      <c r="U906" s="57"/>
      <c r="V906" s="66"/>
      <c r="W906" s="69"/>
      <c r="X906" s="66"/>
    </row>
    <row r="907" spans="1:24" ht="61" x14ac:dyDescent="0.2">
      <c r="A907" s="3" t="s">
        <v>975</v>
      </c>
      <c r="B907" s="3">
        <v>1</v>
      </c>
      <c r="C907" s="3" t="s">
        <v>150</v>
      </c>
      <c r="D907" s="8" t="s">
        <v>15</v>
      </c>
      <c r="E907" s="13" t="s">
        <v>4010</v>
      </c>
      <c r="F907" s="9">
        <v>706.12</v>
      </c>
      <c r="G907" s="10">
        <v>31.542000000000002</v>
      </c>
      <c r="H907" s="11">
        <f>ROUND(ROUND(F907,2)*ROUND(G907,3),2)</f>
        <v>22272.44</v>
      </c>
      <c r="J907" s="53"/>
      <c r="K907" s="57"/>
      <c r="L907" s="53"/>
      <c r="M907" s="57"/>
      <c r="N907" s="53"/>
      <c r="O907" s="59"/>
      <c r="P907" s="53"/>
      <c r="Q907" s="69">
        <f>31.542</f>
        <v>31.542000000000002</v>
      </c>
      <c r="R907" s="53">
        <f>F907*Q907</f>
        <v>22272.437040000001</v>
      </c>
      <c r="S907" s="57"/>
      <c r="T907" s="66"/>
      <c r="U907" s="57"/>
      <c r="V907" s="66"/>
      <c r="W907" s="69"/>
      <c r="X907" s="66"/>
    </row>
    <row r="908" spans="1:24" ht="37" x14ac:dyDescent="0.2">
      <c r="A908" s="3" t="s">
        <v>975</v>
      </c>
      <c r="B908" s="3">
        <v>2</v>
      </c>
      <c r="C908" s="3" t="s">
        <v>151</v>
      </c>
      <c r="D908" s="8" t="s">
        <v>36</v>
      </c>
      <c r="E908" s="13" t="s">
        <v>152</v>
      </c>
      <c r="F908" s="9">
        <v>2.37</v>
      </c>
      <c r="G908" s="10">
        <v>947.1</v>
      </c>
      <c r="H908" s="11">
        <f>ROUND(ROUND(F908,2)*ROUND(G908,3),2)</f>
        <v>2244.63</v>
      </c>
      <c r="J908" s="53"/>
      <c r="K908" s="57"/>
      <c r="L908" s="53"/>
      <c r="M908" s="57"/>
      <c r="N908" s="53"/>
      <c r="O908" s="59"/>
      <c r="P908" s="53"/>
      <c r="Q908" s="69">
        <f>947.1</f>
        <v>947.1</v>
      </c>
      <c r="R908" s="53">
        <f>F908*Q908</f>
        <v>2244.627</v>
      </c>
      <c r="S908" s="57"/>
      <c r="T908" s="66"/>
      <c r="U908" s="57"/>
      <c r="V908" s="66"/>
      <c r="W908" s="69"/>
      <c r="X908" s="66"/>
    </row>
    <row r="909" spans="1:24" x14ac:dyDescent="0.2">
      <c r="E909" s="81" t="s">
        <v>25</v>
      </c>
      <c r="F909" s="6"/>
      <c r="G909" s="6"/>
      <c r="H909" s="12">
        <f>SUM(H907:H908)</f>
        <v>24517.07</v>
      </c>
      <c r="J909" s="53"/>
      <c r="K909" s="57"/>
      <c r="L909" s="53"/>
      <c r="M909" s="57"/>
      <c r="N909" s="53"/>
      <c r="O909" s="59"/>
      <c r="P909" s="53"/>
      <c r="Q909" s="69"/>
      <c r="R909" s="71">
        <f>SUM(R907:R908)</f>
        <v>24517.064040000001</v>
      </c>
      <c r="S909" s="57"/>
      <c r="T909" s="66"/>
      <c r="U909" s="57"/>
      <c r="V909" s="66"/>
      <c r="W909" s="69"/>
      <c r="X909" s="66"/>
    </row>
    <row r="910" spans="1:24" x14ac:dyDescent="0.2">
      <c r="J910" s="53"/>
      <c r="K910" s="57"/>
      <c r="L910" s="53"/>
      <c r="M910" s="57"/>
      <c r="N910" s="53"/>
      <c r="O910" s="59"/>
      <c r="P910" s="53"/>
      <c r="Q910" s="69"/>
      <c r="R910" s="53"/>
      <c r="S910" s="57"/>
      <c r="T910" s="66"/>
      <c r="U910" s="57"/>
      <c r="V910" s="66"/>
      <c r="W910" s="69"/>
      <c r="X910" s="66"/>
    </row>
    <row r="911" spans="1:24" x14ac:dyDescent="0.2">
      <c r="C911" s="6" t="s">
        <v>6</v>
      </c>
      <c r="D911" s="7" t="s">
        <v>7</v>
      </c>
      <c r="E911" s="81" t="s">
        <v>8</v>
      </c>
      <c r="J911" s="53"/>
      <c r="K911" s="57"/>
      <c r="L911" s="53"/>
      <c r="M911" s="57"/>
      <c r="N911" s="53"/>
      <c r="O911" s="59"/>
      <c r="P911" s="53"/>
      <c r="Q911" s="69"/>
      <c r="R911" s="53"/>
      <c r="S911" s="57"/>
      <c r="T911" s="66"/>
      <c r="U911" s="57"/>
      <c r="V911" s="66"/>
      <c r="W911" s="69"/>
      <c r="X911" s="66"/>
    </row>
    <row r="912" spans="1:24" x14ac:dyDescent="0.2">
      <c r="C912" s="6" t="s">
        <v>9</v>
      </c>
      <c r="D912" s="7" t="s">
        <v>851</v>
      </c>
      <c r="E912" s="81" t="s">
        <v>970</v>
      </c>
      <c r="J912" s="53"/>
      <c r="K912" s="57"/>
      <c r="L912" s="53"/>
      <c r="M912" s="57"/>
      <c r="N912" s="53"/>
      <c r="O912" s="59"/>
      <c r="P912" s="53"/>
      <c r="Q912" s="69"/>
      <c r="R912" s="53"/>
      <c r="S912" s="57"/>
      <c r="T912" s="66"/>
      <c r="U912" s="57"/>
      <c r="V912" s="66"/>
      <c r="W912" s="69"/>
      <c r="X912" s="66"/>
    </row>
    <row r="913" spans="1:24" x14ac:dyDescent="0.2">
      <c r="C913" s="6" t="s">
        <v>11</v>
      </c>
      <c r="D913" s="7" t="s">
        <v>72</v>
      </c>
      <c r="E913" s="81" t="s">
        <v>976</v>
      </c>
      <c r="J913" s="53"/>
      <c r="K913" s="57"/>
      <c r="L913" s="53"/>
      <c r="M913" s="57"/>
      <c r="N913" s="53"/>
      <c r="O913" s="59"/>
      <c r="P913" s="53"/>
      <c r="Q913" s="69"/>
      <c r="R913" s="53"/>
      <c r="S913" s="57"/>
      <c r="T913" s="66"/>
      <c r="U913" s="57"/>
      <c r="V913" s="66"/>
      <c r="W913" s="69"/>
      <c r="X913" s="66"/>
    </row>
    <row r="914" spans="1:24" x14ac:dyDescent="0.2">
      <c r="J914" s="53"/>
      <c r="K914" s="57"/>
      <c r="L914" s="53"/>
      <c r="M914" s="57"/>
      <c r="N914" s="53"/>
      <c r="O914" s="59"/>
      <c r="P914" s="53"/>
      <c r="Q914" s="69"/>
      <c r="R914" s="53"/>
      <c r="S914" s="57"/>
      <c r="T914" s="66"/>
      <c r="U914" s="57"/>
      <c r="V914" s="66"/>
      <c r="W914" s="69"/>
      <c r="X914" s="66"/>
    </row>
    <row r="915" spans="1:24" ht="25" x14ac:dyDescent="0.2">
      <c r="A915" s="3" t="s">
        <v>977</v>
      </c>
      <c r="B915" s="3">
        <v>1</v>
      </c>
      <c r="C915" s="3" t="s">
        <v>4011</v>
      </c>
      <c r="D915" s="8" t="s">
        <v>36</v>
      </c>
      <c r="E915" s="13" t="s">
        <v>4012</v>
      </c>
      <c r="F915" s="9">
        <v>23.17</v>
      </c>
      <c r="G915" s="10">
        <v>52</v>
      </c>
      <c r="H915" s="11">
        <f>ROUND(ROUND(F915,2)*ROUND(G915,3),2)</f>
        <v>1204.8399999999999</v>
      </c>
      <c r="J915" s="53"/>
      <c r="K915" s="57"/>
      <c r="L915" s="53"/>
      <c r="M915" s="57"/>
      <c r="N915" s="53"/>
      <c r="O915" s="59"/>
      <c r="P915" s="53"/>
      <c r="Q915" s="69">
        <f>52</f>
        <v>52</v>
      </c>
      <c r="R915" s="53">
        <f>F915*Q915</f>
        <v>1204.8400000000001</v>
      </c>
      <c r="S915" s="57"/>
      <c r="T915" s="66"/>
      <c r="U915" s="57"/>
      <c r="V915" s="66"/>
      <c r="W915" s="69"/>
      <c r="X915" s="66"/>
    </row>
    <row r="916" spans="1:24" ht="25" x14ac:dyDescent="0.2">
      <c r="A916" s="3" t="s">
        <v>977</v>
      </c>
      <c r="B916" s="3">
        <v>2</v>
      </c>
      <c r="C916" s="3" t="s">
        <v>4013</v>
      </c>
      <c r="D916" s="8" t="s">
        <v>36</v>
      </c>
      <c r="E916" s="13" t="s">
        <v>4014</v>
      </c>
      <c r="F916" s="9">
        <v>9.85</v>
      </c>
      <c r="G916" s="10">
        <v>52</v>
      </c>
      <c r="H916" s="11">
        <f>ROUND(ROUND(F916,2)*ROUND(G916,3),2)</f>
        <v>512.20000000000005</v>
      </c>
      <c r="J916" s="53"/>
      <c r="K916" s="57"/>
      <c r="L916" s="53"/>
      <c r="M916" s="57"/>
      <c r="N916" s="53"/>
      <c r="O916" s="59"/>
      <c r="P916" s="53"/>
      <c r="Q916" s="69">
        <f>52</f>
        <v>52</v>
      </c>
      <c r="R916" s="53">
        <f>F916*Q916</f>
        <v>512.19999999999993</v>
      </c>
      <c r="S916" s="57"/>
      <c r="T916" s="66"/>
      <c r="U916" s="57"/>
      <c r="V916" s="66"/>
      <c r="W916" s="69"/>
      <c r="X916" s="66"/>
    </row>
    <row r="917" spans="1:24" x14ac:dyDescent="0.2">
      <c r="E917" s="81" t="s">
        <v>25</v>
      </c>
      <c r="F917" s="6"/>
      <c r="G917" s="6"/>
      <c r="H917" s="12">
        <f>SUM(H915:H916)</f>
        <v>1717.04</v>
      </c>
      <c r="J917" s="53"/>
      <c r="K917" s="57"/>
      <c r="L917" s="53"/>
      <c r="M917" s="57"/>
      <c r="N917" s="53"/>
      <c r="O917" s="59"/>
      <c r="P917" s="53"/>
      <c r="Q917" s="69"/>
      <c r="R917" s="54">
        <f>R915+R916</f>
        <v>1717.04</v>
      </c>
      <c r="S917" s="57"/>
      <c r="T917" s="66"/>
      <c r="U917" s="57"/>
      <c r="V917" s="66"/>
      <c r="W917" s="69"/>
      <c r="X917" s="66"/>
    </row>
    <row r="918" spans="1:24" x14ac:dyDescent="0.2">
      <c r="J918" s="53"/>
      <c r="K918" s="57"/>
      <c r="L918" s="53"/>
      <c r="M918" s="57"/>
      <c r="N918" s="53"/>
      <c r="O918" s="59"/>
      <c r="P918" s="53"/>
      <c r="Q918" s="69"/>
      <c r="R918" s="53"/>
      <c r="S918" s="57"/>
      <c r="T918" s="66"/>
      <c r="U918" s="57"/>
      <c r="V918" s="66"/>
      <c r="W918" s="69"/>
      <c r="X918" s="66"/>
    </row>
    <row r="919" spans="1:24" x14ac:dyDescent="0.2">
      <c r="C919" s="6" t="s">
        <v>6</v>
      </c>
      <c r="D919" s="7" t="s">
        <v>7</v>
      </c>
      <c r="E919" s="81" t="s">
        <v>8</v>
      </c>
      <c r="J919" s="53"/>
      <c r="K919" s="57"/>
      <c r="L919" s="53"/>
      <c r="M919" s="57"/>
      <c r="N919" s="53"/>
      <c r="O919" s="59"/>
      <c r="P919" s="53"/>
      <c r="Q919" s="69"/>
      <c r="R919" s="53"/>
      <c r="S919" s="57"/>
      <c r="T919" s="66"/>
      <c r="U919" s="57"/>
      <c r="V919" s="66"/>
      <c r="W919" s="69"/>
      <c r="X919" s="66"/>
    </row>
    <row r="920" spans="1:24" x14ac:dyDescent="0.2">
      <c r="C920" s="6" t="s">
        <v>9</v>
      </c>
      <c r="D920" s="7" t="s">
        <v>851</v>
      </c>
      <c r="E920" s="81" t="s">
        <v>970</v>
      </c>
      <c r="J920" s="53"/>
      <c r="K920" s="57"/>
      <c r="L920" s="53"/>
      <c r="M920" s="57"/>
      <c r="N920" s="53"/>
      <c r="O920" s="59"/>
      <c r="P920" s="53"/>
      <c r="Q920" s="69"/>
      <c r="R920" s="53"/>
      <c r="S920" s="57"/>
      <c r="T920" s="66"/>
      <c r="U920" s="57"/>
      <c r="V920" s="66"/>
      <c r="W920" s="69"/>
      <c r="X920" s="66"/>
    </row>
    <row r="921" spans="1:24" x14ac:dyDescent="0.2">
      <c r="C921" s="6" t="s">
        <v>11</v>
      </c>
      <c r="D921" s="7" t="s">
        <v>153</v>
      </c>
      <c r="E921" s="81" t="s">
        <v>558</v>
      </c>
      <c r="J921" s="53"/>
      <c r="K921" s="57"/>
      <c r="L921" s="53"/>
      <c r="M921" s="57"/>
      <c r="N921" s="53"/>
      <c r="O921" s="59"/>
      <c r="P921" s="53"/>
      <c r="Q921" s="69"/>
      <c r="R921" s="53"/>
      <c r="S921" s="57"/>
      <c r="T921" s="66"/>
      <c r="U921" s="57"/>
      <c r="V921" s="66"/>
      <c r="W921" s="69"/>
      <c r="X921" s="66"/>
    </row>
    <row r="922" spans="1:24" x14ac:dyDescent="0.2">
      <c r="J922" s="53"/>
      <c r="K922" s="57"/>
      <c r="L922" s="53"/>
      <c r="M922" s="57"/>
      <c r="N922" s="53"/>
      <c r="O922" s="59"/>
      <c r="P922" s="53"/>
      <c r="Q922" s="69"/>
      <c r="R922" s="53"/>
      <c r="S922" s="57"/>
      <c r="T922" s="66"/>
      <c r="U922" s="57"/>
      <c r="V922" s="66"/>
      <c r="W922" s="69"/>
      <c r="X922" s="66"/>
    </row>
    <row r="923" spans="1:24" ht="37" x14ac:dyDescent="0.2">
      <c r="A923" s="3" t="s">
        <v>978</v>
      </c>
      <c r="B923" s="3">
        <v>1</v>
      </c>
      <c r="C923" s="3" t="s">
        <v>979</v>
      </c>
      <c r="D923" s="8" t="s">
        <v>18</v>
      </c>
      <c r="E923" s="13" t="s">
        <v>3996</v>
      </c>
      <c r="F923" s="9">
        <v>128.38999999999999</v>
      </c>
      <c r="G923" s="10">
        <v>95</v>
      </c>
      <c r="H923" s="11">
        <f>ROUND(ROUND(F923,2)*ROUND(G923,3),2)</f>
        <v>12197.05</v>
      </c>
      <c r="J923" s="53"/>
      <c r="K923" s="57"/>
      <c r="L923" s="53"/>
      <c r="M923" s="57"/>
      <c r="N923" s="53"/>
      <c r="O923" s="59"/>
      <c r="P923" s="53"/>
      <c r="Q923" s="69">
        <f>95</f>
        <v>95</v>
      </c>
      <c r="R923" s="53">
        <f>F923*Q923</f>
        <v>12197.05</v>
      </c>
      <c r="S923" s="57"/>
      <c r="T923" s="66"/>
      <c r="U923" s="57"/>
      <c r="V923" s="66"/>
      <c r="W923" s="69"/>
      <c r="X923" s="66"/>
    </row>
    <row r="924" spans="1:24" x14ac:dyDescent="0.2">
      <c r="A924" s="3" t="s">
        <v>978</v>
      </c>
      <c r="B924" s="3">
        <v>2</v>
      </c>
      <c r="C924" s="3" t="s">
        <v>4015</v>
      </c>
      <c r="D924" s="8" t="s">
        <v>18</v>
      </c>
      <c r="E924" s="13" t="s">
        <v>4016</v>
      </c>
      <c r="F924" s="9">
        <v>4.1900000000000004</v>
      </c>
      <c r="G924" s="10">
        <v>128</v>
      </c>
      <c r="H924" s="11">
        <f>ROUND(ROUND(F924,2)*ROUND(G924,3),2)</f>
        <v>536.32000000000005</v>
      </c>
      <c r="J924" s="53"/>
      <c r="K924" s="57"/>
      <c r="L924" s="53"/>
      <c r="M924" s="57"/>
      <c r="N924" s="53"/>
      <c r="O924" s="59"/>
      <c r="P924" s="53"/>
      <c r="Q924" s="69">
        <f>128</f>
        <v>128</v>
      </c>
      <c r="R924" s="53">
        <f>F924*Q924</f>
        <v>536.32000000000005</v>
      </c>
      <c r="S924" s="57"/>
      <c r="T924" s="66"/>
      <c r="U924" s="57"/>
      <c r="V924" s="66"/>
      <c r="W924" s="69"/>
      <c r="X924" s="66"/>
    </row>
    <row r="925" spans="1:24" ht="73" x14ac:dyDescent="0.2">
      <c r="A925" s="3" t="s">
        <v>978</v>
      </c>
      <c r="B925" s="3">
        <v>3</v>
      </c>
      <c r="C925" s="3" t="s">
        <v>980</v>
      </c>
      <c r="D925" s="8" t="s">
        <v>18</v>
      </c>
      <c r="E925" s="13" t="s">
        <v>4017</v>
      </c>
      <c r="F925" s="9">
        <v>162</v>
      </c>
      <c r="G925" s="10">
        <v>128</v>
      </c>
      <c r="H925" s="11">
        <f>ROUND(ROUND(F925,2)*ROUND(G925,3),2)</f>
        <v>20736</v>
      </c>
      <c r="J925" s="53"/>
      <c r="K925" s="57"/>
      <c r="L925" s="53"/>
      <c r="M925" s="57"/>
      <c r="N925" s="53"/>
      <c r="O925" s="59"/>
      <c r="P925" s="53"/>
      <c r="Q925" s="69">
        <f>128</f>
        <v>128</v>
      </c>
      <c r="R925" s="53">
        <f>F925*Q925</f>
        <v>20736</v>
      </c>
      <c r="S925" s="57"/>
      <c r="T925" s="66"/>
      <c r="U925" s="57"/>
      <c r="V925" s="66"/>
      <c r="W925" s="69"/>
      <c r="X925" s="66"/>
    </row>
    <row r="926" spans="1:24" x14ac:dyDescent="0.2">
      <c r="E926" s="81" t="s">
        <v>25</v>
      </c>
      <c r="F926" s="6"/>
      <c r="G926" s="6"/>
      <c r="H926" s="12">
        <f>SUM(H923:H925)</f>
        <v>33469.369999999995</v>
      </c>
      <c r="J926" s="53"/>
      <c r="K926" s="57"/>
      <c r="L926" s="53"/>
      <c r="M926" s="57"/>
      <c r="N926" s="53"/>
      <c r="O926" s="59"/>
      <c r="P926" s="53"/>
      <c r="Q926" s="69"/>
      <c r="R926" s="71">
        <f>SUM(R923:R925)</f>
        <v>33469.369999999995</v>
      </c>
      <c r="S926" s="57"/>
      <c r="T926" s="66"/>
      <c r="U926" s="57"/>
      <c r="V926" s="66"/>
      <c r="W926" s="69"/>
      <c r="X926" s="66"/>
    </row>
    <row r="927" spans="1:24" x14ac:dyDescent="0.2">
      <c r="J927" s="53"/>
      <c r="K927" s="57"/>
      <c r="L927" s="53"/>
      <c r="M927" s="57"/>
      <c r="N927" s="53"/>
      <c r="O927" s="59"/>
      <c r="P927" s="53"/>
      <c r="Q927" s="69"/>
      <c r="R927" s="53"/>
      <c r="S927" s="57"/>
      <c r="T927" s="66"/>
      <c r="U927" s="57"/>
      <c r="V927" s="66"/>
      <c r="W927" s="69"/>
      <c r="X927" s="66"/>
    </row>
    <row r="928" spans="1:24" x14ac:dyDescent="0.2">
      <c r="C928" s="6" t="s">
        <v>6</v>
      </c>
      <c r="D928" s="7" t="s">
        <v>7</v>
      </c>
      <c r="E928" s="81" t="s">
        <v>8</v>
      </c>
      <c r="J928" s="53"/>
      <c r="K928" s="57"/>
      <c r="L928" s="53"/>
      <c r="M928" s="57"/>
      <c r="N928" s="53"/>
      <c r="O928" s="59"/>
      <c r="P928" s="53"/>
      <c r="Q928" s="69"/>
      <c r="R928" s="53"/>
      <c r="S928" s="57"/>
      <c r="T928" s="66"/>
      <c r="U928" s="57"/>
      <c r="V928" s="66"/>
      <c r="W928" s="69"/>
      <c r="X928" s="66"/>
    </row>
    <row r="929" spans="1:24" x14ac:dyDescent="0.2">
      <c r="C929" s="6" t="s">
        <v>9</v>
      </c>
      <c r="D929" s="7" t="s">
        <v>851</v>
      </c>
      <c r="E929" s="81" t="s">
        <v>970</v>
      </c>
      <c r="J929" s="53"/>
      <c r="K929" s="57"/>
      <c r="L929" s="53"/>
      <c r="M929" s="57"/>
      <c r="N929" s="53"/>
      <c r="O929" s="59"/>
      <c r="P929" s="53"/>
      <c r="Q929" s="69"/>
      <c r="R929" s="53"/>
      <c r="S929" s="57"/>
      <c r="T929" s="66"/>
      <c r="U929" s="57"/>
      <c r="V929" s="66"/>
      <c r="W929" s="69"/>
      <c r="X929" s="66"/>
    </row>
    <row r="930" spans="1:24" x14ac:dyDescent="0.2">
      <c r="C930" s="6" t="s">
        <v>11</v>
      </c>
      <c r="D930" s="7" t="s">
        <v>158</v>
      </c>
      <c r="E930" s="81" t="s">
        <v>981</v>
      </c>
      <c r="J930" s="53"/>
      <c r="K930" s="57"/>
      <c r="L930" s="53"/>
      <c r="M930" s="57"/>
      <c r="N930" s="53"/>
      <c r="O930" s="59"/>
      <c r="P930" s="53"/>
      <c r="Q930" s="69"/>
      <c r="R930" s="53"/>
      <c r="S930" s="57"/>
      <c r="T930" s="66"/>
      <c r="U930" s="57"/>
      <c r="V930" s="66"/>
      <c r="W930" s="69"/>
      <c r="X930" s="66"/>
    </row>
    <row r="931" spans="1:24" x14ac:dyDescent="0.2">
      <c r="J931" s="53"/>
      <c r="K931" s="57"/>
      <c r="L931" s="53"/>
      <c r="M931" s="57"/>
      <c r="N931" s="53"/>
      <c r="O931" s="59"/>
      <c r="P931" s="53"/>
      <c r="Q931" s="69"/>
      <c r="R931" s="53"/>
      <c r="S931" s="57"/>
      <c r="T931" s="66"/>
      <c r="U931" s="57"/>
      <c r="V931" s="66"/>
      <c r="W931" s="69"/>
      <c r="X931" s="66"/>
    </row>
    <row r="932" spans="1:24" ht="49" x14ac:dyDescent="0.2">
      <c r="A932" s="3" t="s">
        <v>982</v>
      </c>
      <c r="B932" s="3">
        <v>1</v>
      </c>
      <c r="C932" s="3" t="s">
        <v>983</v>
      </c>
      <c r="D932" s="8" t="s">
        <v>23</v>
      </c>
      <c r="E932" s="13" t="s">
        <v>984</v>
      </c>
      <c r="F932" s="9">
        <v>194.49</v>
      </c>
      <c r="G932" s="10">
        <v>1</v>
      </c>
      <c r="H932" s="11">
        <f t="shared" ref="H932:H938" si="132">ROUND(ROUND(F932,2)*ROUND(G932,3),2)</f>
        <v>194.49</v>
      </c>
      <c r="J932" s="53"/>
      <c r="K932" s="57"/>
      <c r="L932" s="53"/>
      <c r="M932" s="57"/>
      <c r="N932" s="53"/>
      <c r="O932" s="59"/>
      <c r="P932" s="53"/>
      <c r="Q932" s="69">
        <f>1</f>
        <v>1</v>
      </c>
      <c r="R932" s="53">
        <f t="shared" ref="R932:R938" si="133">F932*Q932</f>
        <v>194.49</v>
      </c>
      <c r="S932" s="57"/>
      <c r="T932" s="66"/>
      <c r="U932" s="57"/>
      <c r="V932" s="66"/>
      <c r="W932" s="69"/>
      <c r="X932" s="66"/>
    </row>
    <row r="933" spans="1:24" ht="37" x14ac:dyDescent="0.2">
      <c r="A933" s="3" t="s">
        <v>982</v>
      </c>
      <c r="B933" s="3">
        <v>2</v>
      </c>
      <c r="C933" s="3" t="s">
        <v>985</v>
      </c>
      <c r="D933" s="8" t="s">
        <v>23</v>
      </c>
      <c r="E933" s="13" t="s">
        <v>986</v>
      </c>
      <c r="F933" s="9">
        <v>86.55</v>
      </c>
      <c r="G933" s="10">
        <v>1</v>
      </c>
      <c r="H933" s="11">
        <f t="shared" si="132"/>
        <v>86.55</v>
      </c>
      <c r="J933" s="53"/>
      <c r="K933" s="57"/>
      <c r="L933" s="53"/>
      <c r="M933" s="57"/>
      <c r="N933" s="53"/>
      <c r="O933" s="59"/>
      <c r="P933" s="53"/>
      <c r="Q933" s="69">
        <f>1</f>
        <v>1</v>
      </c>
      <c r="R933" s="53">
        <f t="shared" si="133"/>
        <v>86.55</v>
      </c>
      <c r="S933" s="57"/>
      <c r="T933" s="66"/>
      <c r="U933" s="57"/>
      <c r="V933" s="66"/>
      <c r="W933" s="69"/>
      <c r="X933" s="66"/>
    </row>
    <row r="934" spans="1:24" ht="37" x14ac:dyDescent="0.2">
      <c r="A934" s="3" t="s">
        <v>982</v>
      </c>
      <c r="B934" s="3">
        <v>3</v>
      </c>
      <c r="C934" s="3" t="s">
        <v>987</v>
      </c>
      <c r="D934" s="8" t="s">
        <v>23</v>
      </c>
      <c r="E934" s="13" t="s">
        <v>988</v>
      </c>
      <c r="F934" s="9">
        <v>71.64</v>
      </c>
      <c r="G934" s="10">
        <v>4</v>
      </c>
      <c r="H934" s="11">
        <f t="shared" si="132"/>
        <v>286.56</v>
      </c>
      <c r="J934" s="53"/>
      <c r="K934" s="57"/>
      <c r="L934" s="53"/>
      <c r="M934" s="57"/>
      <c r="N934" s="53"/>
      <c r="O934" s="59"/>
      <c r="P934" s="53"/>
      <c r="Q934" s="69">
        <f>4</f>
        <v>4</v>
      </c>
      <c r="R934" s="53">
        <f t="shared" si="133"/>
        <v>286.56</v>
      </c>
      <c r="S934" s="57"/>
      <c r="T934" s="66"/>
      <c r="U934" s="57"/>
      <c r="V934" s="66"/>
      <c r="W934" s="69"/>
      <c r="X934" s="66"/>
    </row>
    <row r="935" spans="1:24" ht="37" x14ac:dyDescent="0.2">
      <c r="A935" s="3" t="s">
        <v>982</v>
      </c>
      <c r="B935" s="3">
        <v>4</v>
      </c>
      <c r="C935" s="3" t="s">
        <v>989</v>
      </c>
      <c r="D935" s="8" t="s">
        <v>23</v>
      </c>
      <c r="E935" s="13" t="s">
        <v>990</v>
      </c>
      <c r="F935" s="9">
        <v>50.8</v>
      </c>
      <c r="G935" s="10">
        <v>1</v>
      </c>
      <c r="H935" s="11">
        <f t="shared" si="132"/>
        <v>50.8</v>
      </c>
      <c r="J935" s="53"/>
      <c r="K935" s="57"/>
      <c r="L935" s="53"/>
      <c r="M935" s="57"/>
      <c r="N935" s="53"/>
      <c r="O935" s="59"/>
      <c r="P935" s="53"/>
      <c r="Q935" s="69">
        <f>1</f>
        <v>1</v>
      </c>
      <c r="R935" s="53">
        <f t="shared" si="133"/>
        <v>50.8</v>
      </c>
      <c r="S935" s="57"/>
      <c r="T935" s="66"/>
      <c r="U935" s="57"/>
      <c r="V935" s="66"/>
      <c r="W935" s="69"/>
      <c r="X935" s="66"/>
    </row>
    <row r="936" spans="1:24" ht="37" x14ac:dyDescent="0.2">
      <c r="A936" s="3" t="s">
        <v>982</v>
      </c>
      <c r="B936" s="3">
        <v>5</v>
      </c>
      <c r="C936" s="3" t="s">
        <v>991</v>
      </c>
      <c r="D936" s="8" t="s">
        <v>36</v>
      </c>
      <c r="E936" s="13" t="s">
        <v>992</v>
      </c>
      <c r="F936" s="9">
        <v>4.07</v>
      </c>
      <c r="G936" s="10">
        <v>60</v>
      </c>
      <c r="H936" s="11">
        <f t="shared" si="132"/>
        <v>244.2</v>
      </c>
      <c r="J936" s="53"/>
      <c r="K936" s="57"/>
      <c r="L936" s="53"/>
      <c r="M936" s="57"/>
      <c r="N936" s="53"/>
      <c r="O936" s="59"/>
      <c r="P936" s="53"/>
      <c r="Q936" s="69">
        <f>60</f>
        <v>60</v>
      </c>
      <c r="R936" s="53">
        <f t="shared" si="133"/>
        <v>244.20000000000002</v>
      </c>
      <c r="S936" s="57"/>
      <c r="T936" s="66"/>
      <c r="U936" s="57"/>
      <c r="V936" s="66"/>
      <c r="W936" s="69"/>
      <c r="X936" s="66"/>
    </row>
    <row r="937" spans="1:24" ht="49" x14ac:dyDescent="0.2">
      <c r="A937" s="3" t="s">
        <v>982</v>
      </c>
      <c r="B937" s="3">
        <v>6</v>
      </c>
      <c r="C937" s="3" t="s">
        <v>602</v>
      </c>
      <c r="D937" s="8" t="s">
        <v>36</v>
      </c>
      <c r="E937" s="13" t="s">
        <v>603</v>
      </c>
      <c r="F937" s="9">
        <v>3.3</v>
      </c>
      <c r="G937" s="10">
        <v>26.25</v>
      </c>
      <c r="H937" s="11">
        <f t="shared" si="132"/>
        <v>86.63</v>
      </c>
      <c r="J937" s="53"/>
      <c r="K937" s="57"/>
      <c r="L937" s="53"/>
      <c r="M937" s="57"/>
      <c r="N937" s="53"/>
      <c r="O937" s="59"/>
      <c r="P937" s="53"/>
      <c r="Q937" s="69">
        <f>26.25</f>
        <v>26.25</v>
      </c>
      <c r="R937" s="53">
        <f t="shared" si="133"/>
        <v>86.625</v>
      </c>
      <c r="S937" s="57"/>
      <c r="T937" s="66"/>
      <c r="U937" s="57"/>
      <c r="V937" s="66"/>
      <c r="W937" s="69"/>
      <c r="X937" s="66"/>
    </row>
    <row r="938" spans="1:24" ht="85" x14ac:dyDescent="0.2">
      <c r="A938" s="3" t="s">
        <v>982</v>
      </c>
      <c r="B938" s="3">
        <v>7</v>
      </c>
      <c r="C938" s="3" t="s">
        <v>993</v>
      </c>
      <c r="D938" s="8" t="s">
        <v>23</v>
      </c>
      <c r="E938" s="13" t="s">
        <v>994</v>
      </c>
      <c r="F938" s="9">
        <v>450.73</v>
      </c>
      <c r="G938" s="10">
        <v>1</v>
      </c>
      <c r="H938" s="11">
        <f t="shared" si="132"/>
        <v>450.73</v>
      </c>
      <c r="J938" s="53"/>
      <c r="K938" s="57"/>
      <c r="L938" s="53"/>
      <c r="M938" s="57"/>
      <c r="N938" s="53"/>
      <c r="O938" s="59"/>
      <c r="P938" s="53"/>
      <c r="Q938" s="69">
        <f>1</f>
        <v>1</v>
      </c>
      <c r="R938" s="53">
        <f t="shared" si="133"/>
        <v>450.73</v>
      </c>
      <c r="S938" s="57"/>
      <c r="T938" s="66"/>
      <c r="U938" s="57"/>
      <c r="V938" s="66"/>
      <c r="W938" s="69"/>
      <c r="X938" s="66"/>
    </row>
    <row r="939" spans="1:24" x14ac:dyDescent="0.2">
      <c r="E939" s="81" t="s">
        <v>25</v>
      </c>
      <c r="F939" s="6"/>
      <c r="G939" s="6"/>
      <c r="H939" s="12">
        <f>SUM(H932:H938)</f>
        <v>1399.96</v>
      </c>
      <c r="J939" s="53"/>
      <c r="K939" s="57"/>
      <c r="L939" s="53"/>
      <c r="M939" s="57"/>
      <c r="N939" s="53"/>
      <c r="O939" s="59"/>
      <c r="P939" s="53"/>
      <c r="Q939" s="69"/>
      <c r="R939" s="71">
        <f>SUM(R932:R938)</f>
        <v>1399.9549999999999</v>
      </c>
      <c r="S939" s="57"/>
      <c r="T939" s="66"/>
      <c r="U939" s="57"/>
      <c r="V939" s="66"/>
      <c r="W939" s="69"/>
      <c r="X939" s="66"/>
    </row>
    <row r="940" spans="1:24" x14ac:dyDescent="0.2">
      <c r="J940" s="53"/>
      <c r="K940" s="57"/>
      <c r="L940" s="53"/>
      <c r="M940" s="57"/>
      <c r="N940" s="53"/>
      <c r="O940" s="59"/>
      <c r="P940" s="53"/>
      <c r="Q940" s="69"/>
      <c r="R940" s="53"/>
      <c r="S940" s="57"/>
      <c r="T940" s="66"/>
      <c r="U940" s="57"/>
      <c r="V940" s="66"/>
      <c r="W940" s="69"/>
      <c r="X940" s="66"/>
    </row>
    <row r="941" spans="1:24" x14ac:dyDescent="0.2">
      <c r="C941" s="6" t="s">
        <v>6</v>
      </c>
      <c r="D941" s="7" t="s">
        <v>7</v>
      </c>
      <c r="E941" s="81" t="s">
        <v>8</v>
      </c>
      <c r="J941" s="53"/>
      <c r="K941" s="57"/>
      <c r="L941" s="53"/>
      <c r="M941" s="57"/>
      <c r="N941" s="53"/>
      <c r="O941" s="59"/>
      <c r="P941" s="53"/>
      <c r="Q941" s="69"/>
      <c r="R941" s="53"/>
      <c r="S941" s="57"/>
      <c r="T941" s="66"/>
      <c r="U941" s="57"/>
      <c r="V941" s="66"/>
      <c r="W941" s="69"/>
      <c r="X941" s="66"/>
    </row>
    <row r="942" spans="1:24" x14ac:dyDescent="0.2">
      <c r="C942" s="6" t="s">
        <v>9</v>
      </c>
      <c r="D942" s="7" t="s">
        <v>851</v>
      </c>
      <c r="E942" s="81" t="s">
        <v>970</v>
      </c>
      <c r="J942" s="53"/>
      <c r="K942" s="57"/>
      <c r="L942" s="53"/>
      <c r="M942" s="57"/>
      <c r="N942" s="53"/>
      <c r="O942" s="59"/>
      <c r="P942" s="53"/>
      <c r="Q942" s="69"/>
      <c r="R942" s="53"/>
      <c r="S942" s="57"/>
      <c r="T942" s="66"/>
      <c r="U942" s="57"/>
      <c r="V942" s="66"/>
      <c r="W942" s="69"/>
      <c r="X942" s="66"/>
    </row>
    <row r="943" spans="1:24" x14ac:dyDescent="0.2">
      <c r="C943" s="6" t="s">
        <v>11</v>
      </c>
      <c r="D943" s="7" t="s">
        <v>385</v>
      </c>
      <c r="E943" s="81" t="s">
        <v>995</v>
      </c>
      <c r="J943" s="53"/>
      <c r="K943" s="57"/>
      <c r="L943" s="53"/>
      <c r="M943" s="57"/>
      <c r="N943" s="53"/>
      <c r="O943" s="59"/>
      <c r="P943" s="53"/>
      <c r="Q943" s="69"/>
      <c r="R943" s="53"/>
      <c r="S943" s="57"/>
      <c r="T943" s="66"/>
      <c r="U943" s="57"/>
      <c r="V943" s="66"/>
      <c r="W943" s="69"/>
      <c r="X943" s="66"/>
    </row>
    <row r="944" spans="1:24" x14ac:dyDescent="0.2">
      <c r="J944" s="53"/>
      <c r="K944" s="57"/>
      <c r="L944" s="53"/>
      <c r="M944" s="57"/>
      <c r="N944" s="53"/>
      <c r="O944" s="59"/>
      <c r="P944" s="53"/>
      <c r="Q944" s="69"/>
      <c r="R944" s="53"/>
      <c r="S944" s="57"/>
      <c r="T944" s="66"/>
      <c r="U944" s="57"/>
      <c r="V944" s="66"/>
      <c r="W944" s="69"/>
      <c r="X944" s="66"/>
    </row>
    <row r="945" spans="1:26" ht="145" x14ac:dyDescent="0.2">
      <c r="A945" s="3" t="s">
        <v>996</v>
      </c>
      <c r="B945" s="3">
        <v>1</v>
      </c>
      <c r="C945" s="3" t="s">
        <v>997</v>
      </c>
      <c r="D945" s="8" t="s">
        <v>18</v>
      </c>
      <c r="E945" s="13" t="s">
        <v>4018</v>
      </c>
      <c r="F945" s="9">
        <v>1863</v>
      </c>
      <c r="G945" s="10">
        <v>1</v>
      </c>
      <c r="H945" s="11">
        <f>ROUND(ROUND(F945,2)*ROUND(G945,3),2)</f>
        <v>1863</v>
      </c>
      <c r="J945" s="53"/>
      <c r="K945" s="57"/>
      <c r="L945" s="53"/>
      <c r="M945" s="57"/>
      <c r="N945" s="53"/>
      <c r="O945" s="59"/>
      <c r="P945" s="53"/>
      <c r="Q945" s="69">
        <f>1</f>
        <v>1</v>
      </c>
      <c r="R945" s="53">
        <f>F945*Q945</f>
        <v>1863</v>
      </c>
      <c r="S945" s="57"/>
      <c r="T945" s="66"/>
      <c r="U945" s="57"/>
      <c r="V945" s="66"/>
      <c r="W945" s="69"/>
      <c r="X945" s="66"/>
    </row>
    <row r="946" spans="1:26" x14ac:dyDescent="0.2">
      <c r="E946" s="81" t="s">
        <v>25</v>
      </c>
      <c r="F946" s="6"/>
      <c r="G946" s="6"/>
      <c r="H946" s="12">
        <f>SUM(H945:H945)</f>
        <v>1863</v>
      </c>
      <c r="J946" s="53"/>
      <c r="K946" s="57"/>
      <c r="L946" s="53"/>
      <c r="M946" s="57"/>
      <c r="N946" s="53"/>
      <c r="O946" s="59"/>
      <c r="P946" s="53"/>
      <c r="Q946" s="69"/>
      <c r="R946" s="71">
        <f>SUM(R945:R945)</f>
        <v>1863</v>
      </c>
      <c r="S946" s="57"/>
      <c r="T946" s="66"/>
      <c r="U946" s="57"/>
      <c r="V946" s="66"/>
      <c r="W946" s="69"/>
      <c r="X946" s="66"/>
    </row>
    <row r="947" spans="1:26" x14ac:dyDescent="0.2">
      <c r="J947" s="53"/>
      <c r="K947" s="57"/>
      <c r="L947" s="53"/>
      <c r="M947" s="57"/>
      <c r="N947" s="53"/>
      <c r="O947" s="59"/>
      <c r="P947" s="53"/>
      <c r="Q947" s="69"/>
      <c r="R947" s="53"/>
      <c r="S947" s="57"/>
      <c r="T947" s="66"/>
      <c r="U947" s="57"/>
      <c r="V947" s="66"/>
      <c r="W947" s="69"/>
      <c r="X947" s="66"/>
    </row>
    <row r="948" spans="1:26" x14ac:dyDescent="0.2">
      <c r="C948" s="6" t="s">
        <v>6</v>
      </c>
      <c r="D948" s="7" t="s">
        <v>7</v>
      </c>
      <c r="E948" s="81" t="s">
        <v>8</v>
      </c>
      <c r="J948" s="53"/>
      <c r="K948" s="57"/>
      <c r="L948" s="53"/>
      <c r="M948" s="57"/>
      <c r="N948" s="53"/>
      <c r="O948" s="59"/>
      <c r="P948" s="53"/>
      <c r="Q948" s="69"/>
      <c r="R948" s="53"/>
      <c r="S948" s="57"/>
      <c r="T948" s="66"/>
      <c r="U948" s="57"/>
      <c r="V948" s="66"/>
      <c r="W948" s="69"/>
      <c r="X948" s="66"/>
    </row>
    <row r="949" spans="1:26" x14ac:dyDescent="0.2">
      <c r="C949" s="6" t="s">
        <v>9</v>
      </c>
      <c r="D949" s="7" t="s">
        <v>851</v>
      </c>
      <c r="E949" s="81" t="s">
        <v>970</v>
      </c>
      <c r="J949" s="53"/>
      <c r="K949" s="57"/>
      <c r="L949" s="53"/>
      <c r="M949" s="57"/>
      <c r="N949" s="53"/>
      <c r="O949" s="59"/>
      <c r="P949" s="53"/>
      <c r="Q949" s="69"/>
      <c r="R949" s="53"/>
      <c r="S949" s="57"/>
      <c r="T949" s="66"/>
      <c r="U949" s="57"/>
      <c r="V949" s="66"/>
      <c r="W949" s="69"/>
      <c r="X949" s="66"/>
    </row>
    <row r="950" spans="1:26" x14ac:dyDescent="0.2">
      <c r="C950" s="6" t="s">
        <v>11</v>
      </c>
      <c r="D950" s="7" t="s">
        <v>400</v>
      </c>
      <c r="E950" s="81" t="s">
        <v>998</v>
      </c>
      <c r="J950" s="53"/>
      <c r="K950" s="57"/>
      <c r="L950" s="53"/>
      <c r="M950" s="57"/>
      <c r="N950" s="53"/>
      <c r="O950" s="59"/>
      <c r="P950" s="53"/>
      <c r="Q950" s="69"/>
      <c r="R950" s="53"/>
      <c r="S950" s="57"/>
      <c r="T950" s="66"/>
      <c r="U950" s="57"/>
      <c r="V950" s="66"/>
      <c r="W950" s="69"/>
      <c r="X950" s="66"/>
    </row>
    <row r="951" spans="1:26" x14ac:dyDescent="0.2">
      <c r="J951" s="53"/>
      <c r="K951" s="57"/>
      <c r="L951" s="53"/>
      <c r="M951" s="57"/>
      <c r="N951" s="53"/>
      <c r="O951" s="59"/>
      <c r="P951" s="53"/>
      <c r="Q951" s="69"/>
      <c r="R951" s="53"/>
      <c r="S951" s="57"/>
      <c r="T951" s="66"/>
      <c r="U951" s="57"/>
      <c r="V951" s="66"/>
      <c r="W951" s="69"/>
      <c r="X951" s="66"/>
    </row>
    <row r="952" spans="1:26" ht="25" x14ac:dyDescent="0.2">
      <c r="A952" s="3" t="s">
        <v>999</v>
      </c>
      <c r="B952" s="3">
        <v>1</v>
      </c>
      <c r="C952" s="3" t="s">
        <v>4019</v>
      </c>
      <c r="D952" s="8" t="s">
        <v>23</v>
      </c>
      <c r="E952" s="13" t="s">
        <v>4020</v>
      </c>
      <c r="F952" s="9">
        <v>385.7</v>
      </c>
      <c r="G952" s="10">
        <v>3</v>
      </c>
      <c r="H952" s="11">
        <f>ROUND(ROUND(F952,2)*ROUND(G952,3),2)</f>
        <v>1157.0999999999999</v>
      </c>
      <c r="J952" s="53"/>
      <c r="K952" s="57"/>
      <c r="L952" s="53"/>
      <c r="M952" s="57"/>
      <c r="N952" s="53"/>
      <c r="O952" s="59"/>
      <c r="P952" s="53"/>
      <c r="Q952" s="69">
        <f>3</f>
        <v>3</v>
      </c>
      <c r="R952" s="53">
        <f>F952*Q952</f>
        <v>1157.0999999999999</v>
      </c>
      <c r="S952" s="57"/>
      <c r="T952" s="66"/>
      <c r="U952" s="57"/>
      <c r="V952" s="66"/>
      <c r="W952" s="69"/>
      <c r="X952" s="66"/>
    </row>
    <row r="953" spans="1:26" x14ac:dyDescent="0.2">
      <c r="E953" s="81" t="s">
        <v>25</v>
      </c>
      <c r="F953" s="6"/>
      <c r="G953" s="6"/>
      <c r="H953" s="12">
        <f>SUM(H952:H952)</f>
        <v>1157.0999999999999</v>
      </c>
      <c r="J953" s="53"/>
      <c r="K953" s="57"/>
      <c r="L953" s="53"/>
      <c r="M953" s="57"/>
      <c r="N953" s="53"/>
      <c r="O953" s="59"/>
      <c r="P953" s="53"/>
      <c r="Q953" s="69"/>
      <c r="R953" s="71">
        <f>SUM(R952:R952)</f>
        <v>1157.0999999999999</v>
      </c>
      <c r="S953" s="57"/>
      <c r="T953" s="66"/>
      <c r="U953" s="57"/>
      <c r="V953" s="66"/>
      <c r="W953" s="69"/>
      <c r="X953" s="66"/>
    </row>
    <row r="954" spans="1:26" x14ac:dyDescent="0.2">
      <c r="J954" s="53"/>
      <c r="K954" s="57"/>
      <c r="L954" s="53"/>
      <c r="M954" s="57"/>
      <c r="N954" s="53"/>
      <c r="O954" s="59"/>
      <c r="P954" s="53"/>
      <c r="Q954" s="69"/>
      <c r="R954" s="53"/>
      <c r="S954" s="57"/>
      <c r="T954" s="66"/>
      <c r="U954" s="57"/>
      <c r="V954" s="66"/>
      <c r="W954" s="69"/>
      <c r="X954" s="66"/>
    </row>
    <row r="955" spans="1:26" x14ac:dyDescent="0.2">
      <c r="C955" s="6" t="s">
        <v>6</v>
      </c>
      <c r="D955" s="7" t="s">
        <v>7</v>
      </c>
      <c r="E955" s="81" t="s">
        <v>8</v>
      </c>
      <c r="J955" s="53"/>
      <c r="K955" s="57"/>
      <c r="L955" s="53"/>
      <c r="M955" s="57"/>
      <c r="N955" s="53"/>
      <c r="O955" s="59"/>
      <c r="P955" s="53"/>
      <c r="Q955" s="69"/>
      <c r="R955" s="53"/>
      <c r="S955" s="57"/>
      <c r="T955" s="66"/>
      <c r="U955" s="57"/>
      <c r="V955" s="66"/>
      <c r="W955" s="69"/>
      <c r="X955" s="66"/>
    </row>
    <row r="956" spans="1:26" x14ac:dyDescent="0.2">
      <c r="C956" s="6" t="s">
        <v>9</v>
      </c>
      <c r="D956" s="7" t="s">
        <v>877</v>
      </c>
      <c r="E956" s="81" t="s">
        <v>1000</v>
      </c>
      <c r="J956" s="53"/>
      <c r="K956" s="57"/>
      <c r="L956" s="53"/>
      <c r="M956" s="57"/>
      <c r="N956" s="53"/>
      <c r="O956" s="59"/>
      <c r="P956" s="53"/>
      <c r="Q956" s="69"/>
      <c r="R956" s="53"/>
      <c r="S956" s="57"/>
      <c r="T956" s="66"/>
      <c r="U956" s="57"/>
      <c r="V956" s="66"/>
      <c r="W956" s="69"/>
      <c r="X956" s="66"/>
    </row>
    <row r="957" spans="1:26" x14ac:dyDescent="0.2">
      <c r="C957" s="6" t="s">
        <v>11</v>
      </c>
      <c r="D957" s="7" t="s">
        <v>7</v>
      </c>
      <c r="E957" s="81" t="s">
        <v>1001</v>
      </c>
      <c r="J957" s="53"/>
      <c r="K957" s="57"/>
      <c r="L957" s="53"/>
      <c r="M957" s="57"/>
      <c r="N957" s="53"/>
      <c r="O957" s="59"/>
      <c r="P957" s="53"/>
      <c r="Q957" s="69"/>
      <c r="R957" s="53"/>
      <c r="S957" s="57"/>
      <c r="T957" s="66"/>
      <c r="U957" s="57"/>
      <c r="V957" s="66"/>
      <c r="W957" s="69"/>
      <c r="X957" s="66"/>
    </row>
    <row r="958" spans="1:26" x14ac:dyDescent="0.2">
      <c r="J958" s="53"/>
      <c r="K958" s="57"/>
      <c r="L958" s="53"/>
      <c r="M958" s="57"/>
      <c r="N958" s="53"/>
      <c r="O958" s="59"/>
      <c r="P958" s="53"/>
      <c r="Q958" s="69"/>
      <c r="R958" s="53"/>
      <c r="S958" s="57"/>
      <c r="T958" s="66"/>
      <c r="U958" s="57"/>
      <c r="V958" s="66"/>
      <c r="W958" s="69"/>
      <c r="X958" s="66"/>
    </row>
    <row r="959" spans="1:26" ht="25" x14ac:dyDescent="0.2">
      <c r="A959" s="3" t="s">
        <v>1002</v>
      </c>
      <c r="B959" s="3">
        <v>1</v>
      </c>
      <c r="C959" s="3" t="s">
        <v>1003</v>
      </c>
      <c r="D959" s="8" t="s">
        <v>23</v>
      </c>
      <c r="E959" s="13" t="s">
        <v>1004</v>
      </c>
      <c r="F959" s="9">
        <v>477.96</v>
      </c>
      <c r="G959" s="10">
        <v>1</v>
      </c>
      <c r="H959" s="11">
        <f>ROUND(ROUND(F959,2)*ROUND(G959,3),2)</f>
        <v>477.96</v>
      </c>
      <c r="I959" s="36">
        <f>1</f>
        <v>1</v>
      </c>
      <c r="J959" s="53">
        <f>F959*I959</f>
        <v>477.96</v>
      </c>
      <c r="K959" s="57"/>
      <c r="L959" s="53"/>
      <c r="M959" s="57"/>
      <c r="N959" s="53"/>
      <c r="O959" s="59"/>
      <c r="P959" s="53"/>
      <c r="Q959" s="69"/>
      <c r="R959" s="53"/>
      <c r="S959" s="57"/>
      <c r="T959" s="66"/>
      <c r="U959" s="57"/>
      <c r="V959" s="66"/>
      <c r="W959" s="69"/>
      <c r="X959" s="66"/>
      <c r="Z959" s="37">
        <f>J959</f>
        <v>477.96</v>
      </c>
    </row>
    <row r="960" spans="1:26" ht="263" x14ac:dyDescent="0.2">
      <c r="A960" s="3" t="s">
        <v>1002</v>
      </c>
      <c r="B960" s="3">
        <v>2</v>
      </c>
      <c r="C960" s="3" t="s">
        <v>1005</v>
      </c>
      <c r="D960" s="8" t="s">
        <v>23</v>
      </c>
      <c r="E960" s="13" t="s">
        <v>1006</v>
      </c>
      <c r="F960" s="9">
        <v>1620</v>
      </c>
      <c r="G960" s="10">
        <v>1</v>
      </c>
      <c r="H960" s="11">
        <f>ROUND(ROUND(F960,2)*ROUND(G960,3),2)</f>
        <v>1620</v>
      </c>
      <c r="I960" s="36">
        <f>J467/Z467</f>
        <v>0.1470768755122312</v>
      </c>
      <c r="J960" s="53">
        <f>F960*I960</f>
        <v>238.26453832981454</v>
      </c>
      <c r="K960" s="57">
        <f>L467/Z467</f>
        <v>0.28057819105913345</v>
      </c>
      <c r="L960" s="53">
        <f>F960*K960</f>
        <v>454.53666951579618</v>
      </c>
      <c r="M960" s="57"/>
      <c r="N960" s="53"/>
      <c r="O960" s="59"/>
      <c r="P960" s="53"/>
      <c r="Q960" s="69">
        <f>R467/Z467</f>
        <v>0.10762833143759185</v>
      </c>
      <c r="R960" s="53">
        <f>F960*Q960</f>
        <v>174.35789692889878</v>
      </c>
      <c r="S960" s="57">
        <f>T467/Z467</f>
        <v>0.25639247428876655</v>
      </c>
      <c r="T960" s="66">
        <f>F960*S960</f>
        <v>415.35580834780183</v>
      </c>
      <c r="U960" s="57">
        <f>V467/Z467</f>
        <v>0.20832412770227701</v>
      </c>
      <c r="V960" s="66">
        <f>F960*U960</f>
        <v>337.48508687768879</v>
      </c>
      <c r="W960" s="69"/>
      <c r="X960" s="66"/>
      <c r="Y960" s="36">
        <f t="shared" ref="Y960:Z962" si="134">I960+K960+S960+U960+Q960</f>
        <v>1</v>
      </c>
      <c r="Z960" s="37">
        <f t="shared" si="134"/>
        <v>1620</v>
      </c>
    </row>
    <row r="961" spans="1:27" ht="217" x14ac:dyDescent="0.2">
      <c r="A961" s="3" t="s">
        <v>1002</v>
      </c>
      <c r="B961" s="3">
        <v>3</v>
      </c>
      <c r="C961" s="3" t="s">
        <v>1007</v>
      </c>
      <c r="D961" s="8" t="s">
        <v>23</v>
      </c>
      <c r="E961" s="13" t="s">
        <v>1008</v>
      </c>
      <c r="F961" s="9">
        <v>7732.8</v>
      </c>
      <c r="G961" s="10">
        <v>1</v>
      </c>
      <c r="H961" s="11">
        <f>ROUND(ROUND(F961,2)*ROUND(G961,3),2)</f>
        <v>7732.8</v>
      </c>
      <c r="I961" s="36">
        <f>J467/Z467</f>
        <v>0.1470768755122312</v>
      </c>
      <c r="J961" s="53">
        <f>F961*I961</f>
        <v>1137.3160629609815</v>
      </c>
      <c r="K961" s="57">
        <f>L467/Z467</f>
        <v>0.28057819105913345</v>
      </c>
      <c r="L961" s="53">
        <f>F961*K961</f>
        <v>2169.655035822067</v>
      </c>
      <c r="M961" s="57"/>
      <c r="N961" s="53"/>
      <c r="O961" s="59"/>
      <c r="P961" s="53"/>
      <c r="Q961" s="69">
        <f>R467/Z467</f>
        <v>0.10762833143759185</v>
      </c>
      <c r="R961" s="53">
        <f>F961*Q961</f>
        <v>832.26836134061023</v>
      </c>
      <c r="S961" s="57">
        <f>T467/Z467</f>
        <v>0.25639247428876655</v>
      </c>
      <c r="T961" s="66">
        <f>F961*S961</f>
        <v>1982.631725180174</v>
      </c>
      <c r="U961" s="57">
        <f>V467/Z467</f>
        <v>0.20832412770227701</v>
      </c>
      <c r="V961" s="66">
        <f>F961*U961</f>
        <v>1610.9288146961678</v>
      </c>
      <c r="W961" s="69"/>
      <c r="X961" s="66"/>
      <c r="Y961" s="36">
        <f t="shared" si="134"/>
        <v>1</v>
      </c>
      <c r="Z961" s="37">
        <f t="shared" si="134"/>
        <v>7732.8000000000011</v>
      </c>
    </row>
    <row r="962" spans="1:27" ht="49" x14ac:dyDescent="0.2">
      <c r="A962" s="3" t="s">
        <v>1002</v>
      </c>
      <c r="B962" s="3">
        <v>4</v>
      </c>
      <c r="C962" s="3" t="s">
        <v>1009</v>
      </c>
      <c r="D962" s="8" t="s">
        <v>23</v>
      </c>
      <c r="E962" s="13" t="s">
        <v>1010</v>
      </c>
      <c r="F962" s="9">
        <v>2027.59</v>
      </c>
      <c r="G962" s="10">
        <v>1</v>
      </c>
      <c r="H962" s="11">
        <f>ROUND(ROUND(F962,2)*ROUND(G962,3),2)</f>
        <v>2027.59</v>
      </c>
      <c r="I962" s="36">
        <f>J59/H59</f>
        <v>0.46679547676228861</v>
      </c>
      <c r="J962" s="53">
        <f>F962*I962</f>
        <v>946.46984072844873</v>
      </c>
      <c r="K962" s="57">
        <f>L59/H59</f>
        <v>0.21972942638877152</v>
      </c>
      <c r="L962" s="53">
        <f>F962*K962</f>
        <v>445.52118765160924</v>
      </c>
      <c r="M962" s="57"/>
      <c r="N962" s="53"/>
      <c r="O962" s="59"/>
      <c r="P962" s="53"/>
      <c r="Q962" s="69">
        <f>R59/H59</f>
        <v>0.14884626362221065</v>
      </c>
      <c r="R962" s="53">
        <f>F962*Q962</f>
        <v>301.7991956577581</v>
      </c>
      <c r="S962" s="57">
        <f>T59/H59</f>
        <v>0.11062321236770012</v>
      </c>
      <c r="T962" s="66">
        <f>F962*S962</f>
        <v>224.29851916462508</v>
      </c>
      <c r="U962" s="57">
        <f>V59/H59</f>
        <v>5.4006106612278386E-2</v>
      </c>
      <c r="V962" s="66">
        <f>F962*U962</f>
        <v>109.50224170598953</v>
      </c>
      <c r="W962" s="69"/>
      <c r="X962" s="66"/>
      <c r="Y962" s="36">
        <f t="shared" si="134"/>
        <v>1.0000004857532492</v>
      </c>
      <c r="Z962" s="37">
        <f t="shared" si="134"/>
        <v>2027.5909849084305</v>
      </c>
    </row>
    <row r="963" spans="1:27" x14ac:dyDescent="0.2">
      <c r="E963" s="81" t="s">
        <v>25</v>
      </c>
      <c r="F963" s="6"/>
      <c r="G963" s="6"/>
      <c r="H963" s="12">
        <f>SUM(H959:H962)</f>
        <v>11858.35</v>
      </c>
      <c r="J963" s="71">
        <f>J959+J960+J961+J962</f>
        <v>2800.0104420192447</v>
      </c>
      <c r="K963" s="57"/>
      <c r="L963" s="71">
        <f>L960+L961+L962</f>
        <v>3069.7128929894725</v>
      </c>
      <c r="M963" s="58"/>
      <c r="N963" s="71">
        <f>N960+N961+N962</f>
        <v>0</v>
      </c>
      <c r="O963" s="75"/>
      <c r="P963" s="71"/>
      <c r="Q963" s="69"/>
      <c r="R963" s="54">
        <f>R960+R961+R962</f>
        <v>1308.425453927267</v>
      </c>
      <c r="S963" s="57"/>
      <c r="T963" s="72">
        <f>T960+T961+T962</f>
        <v>2622.2860526926006</v>
      </c>
      <c r="U963" s="57"/>
      <c r="V963" s="67">
        <f>V960+V961+V962</f>
        <v>2057.916143279846</v>
      </c>
      <c r="W963" s="69"/>
      <c r="X963" s="66"/>
      <c r="Z963" s="37">
        <f>J963+L963+T963+V963+R963</f>
        <v>11858.350984908429</v>
      </c>
      <c r="AA963" s="41"/>
    </row>
    <row r="964" spans="1:27" x14ac:dyDescent="0.2">
      <c r="J964" s="53"/>
      <c r="K964" s="57"/>
      <c r="L964" s="53"/>
      <c r="M964" s="57"/>
      <c r="N964" s="53"/>
      <c r="O964" s="59"/>
      <c r="P964" s="53"/>
      <c r="Q964" s="69"/>
      <c r="R964" s="53"/>
      <c r="S964" s="57"/>
      <c r="T964" s="66"/>
      <c r="U964" s="57"/>
      <c r="V964" s="66"/>
      <c r="W964" s="69"/>
      <c r="X964" s="66"/>
    </row>
    <row r="965" spans="1:27" x14ac:dyDescent="0.2">
      <c r="C965" s="6" t="s">
        <v>6</v>
      </c>
      <c r="D965" s="7" t="s">
        <v>7</v>
      </c>
      <c r="E965" s="81" t="s">
        <v>8</v>
      </c>
      <c r="J965" s="53"/>
      <c r="K965" s="57"/>
      <c r="L965" s="53"/>
      <c r="M965" s="57"/>
      <c r="N965" s="53"/>
      <c r="O965" s="59"/>
      <c r="P965" s="53"/>
      <c r="Q965" s="69"/>
      <c r="R965" s="53"/>
      <c r="S965" s="57"/>
      <c r="T965" s="66"/>
      <c r="U965" s="57"/>
      <c r="V965" s="66"/>
      <c r="W965" s="69"/>
      <c r="X965" s="66"/>
    </row>
    <row r="966" spans="1:27" x14ac:dyDescent="0.2">
      <c r="C966" s="6" t="s">
        <v>9</v>
      </c>
      <c r="D966" s="7" t="s">
        <v>1011</v>
      </c>
      <c r="E966" s="81" t="s">
        <v>1012</v>
      </c>
      <c r="J966" s="53"/>
      <c r="K966" s="57"/>
      <c r="L966" s="53"/>
      <c r="M966" s="57"/>
      <c r="N966" s="53"/>
      <c r="O966" s="59"/>
      <c r="P966" s="53"/>
      <c r="Q966" s="69"/>
      <c r="R966" s="53"/>
      <c r="S966" s="57"/>
      <c r="T966" s="66"/>
      <c r="U966" s="57"/>
      <c r="V966" s="66"/>
      <c r="W966" s="69"/>
      <c r="X966" s="66"/>
    </row>
    <row r="967" spans="1:27" x14ac:dyDescent="0.2">
      <c r="C967" s="6" t="s">
        <v>11</v>
      </c>
      <c r="D967" s="7" t="s">
        <v>7</v>
      </c>
      <c r="E967" s="81" t="s">
        <v>1013</v>
      </c>
      <c r="J967" s="53"/>
      <c r="K967" s="57"/>
      <c r="L967" s="53"/>
      <c r="M967" s="57"/>
      <c r="N967" s="53"/>
      <c r="O967" s="59"/>
      <c r="P967" s="53"/>
      <c r="Q967" s="69"/>
      <c r="R967" s="53"/>
      <c r="S967" s="57"/>
      <c r="T967" s="66"/>
      <c r="U967" s="57"/>
      <c r="V967" s="66"/>
      <c r="W967" s="69"/>
      <c r="X967" s="66"/>
    </row>
    <row r="968" spans="1:27" x14ac:dyDescent="0.2">
      <c r="J968" s="53"/>
      <c r="K968" s="57"/>
      <c r="L968" s="53"/>
      <c r="M968" s="57"/>
      <c r="N968" s="53"/>
      <c r="O968" s="59"/>
      <c r="P968" s="53"/>
      <c r="Q968" s="69"/>
      <c r="R968" s="53"/>
      <c r="S968" s="57"/>
      <c r="T968" s="66"/>
      <c r="U968" s="57"/>
      <c r="V968" s="66"/>
      <c r="W968" s="69"/>
      <c r="X968" s="66"/>
    </row>
    <row r="969" spans="1:27" ht="25" x14ac:dyDescent="0.2">
      <c r="A969" s="3" t="s">
        <v>1014</v>
      </c>
      <c r="B969" s="3">
        <v>1</v>
      </c>
      <c r="C969" s="3" t="s">
        <v>1015</v>
      </c>
      <c r="D969" s="8" t="s">
        <v>15</v>
      </c>
      <c r="E969" s="13" t="s">
        <v>1016</v>
      </c>
      <c r="F969" s="9">
        <v>26.91</v>
      </c>
      <c r="G969" s="10">
        <v>66.61</v>
      </c>
      <c r="H969" s="11">
        <f t="shared" ref="H969:H975" si="135">ROUND(ROUND(F969,2)*ROUND(G969,3),2)</f>
        <v>1792.48</v>
      </c>
      <c r="J969" s="53"/>
      <c r="K969" s="57">
        <f>K973+K974</f>
        <v>38.39265000000001</v>
      </c>
      <c r="L969" s="53">
        <f>F969*K969</f>
        <v>1033.1462115000004</v>
      </c>
      <c r="M969" s="57">
        <f>M973+M974</f>
        <v>27.866700000000002</v>
      </c>
      <c r="N969" s="53">
        <f>F969*M969</f>
        <v>749.89289700000006</v>
      </c>
      <c r="O969" s="57">
        <f>O973+O974</f>
        <v>0.35100000000000003</v>
      </c>
      <c r="P969" s="53">
        <f>F969*O969</f>
        <v>9.4454100000000007</v>
      </c>
      <c r="Q969" s="69"/>
      <c r="R969" s="53"/>
      <c r="S969" s="57"/>
      <c r="T969" s="66"/>
      <c r="U969" s="57"/>
      <c r="V969" s="66"/>
      <c r="W969" s="69"/>
      <c r="X969" s="66"/>
      <c r="Y969" s="36">
        <f>I969+K969+M969+O969+Q969</f>
        <v>66.610350000000011</v>
      </c>
      <c r="Z969" s="37">
        <f>J969+L969+N969+P969+R969</f>
        <v>1792.4845185000006</v>
      </c>
    </row>
    <row r="970" spans="1:27" ht="37" x14ac:dyDescent="0.2">
      <c r="A970" s="3" t="s">
        <v>1014</v>
      </c>
      <c r="B970" s="3">
        <v>2</v>
      </c>
      <c r="C970" s="3" t="s">
        <v>1017</v>
      </c>
      <c r="D970" s="8" t="s">
        <v>15</v>
      </c>
      <c r="E970" s="13" t="s">
        <v>1018</v>
      </c>
      <c r="F970" s="9">
        <v>11.36</v>
      </c>
      <c r="G970" s="10">
        <v>571.63699999999994</v>
      </c>
      <c r="H970" s="11">
        <f t="shared" si="135"/>
        <v>6493.8</v>
      </c>
      <c r="I970" s="36">
        <f>I971+I972+I975</f>
        <v>356.35300000000007</v>
      </c>
      <c r="J970" s="53">
        <f>F970*I970</f>
        <v>4048.1700800000003</v>
      </c>
      <c r="K970" s="57">
        <f>K971+K972+K973+K974</f>
        <v>116.40078</v>
      </c>
      <c r="L970" s="53">
        <f>F970*K970</f>
        <v>1322.3128608</v>
      </c>
      <c r="M970" s="57">
        <f>M971+M972+M973+M974</f>
        <v>64.492200000000011</v>
      </c>
      <c r="N970" s="53">
        <f>F970*M970</f>
        <v>732.63139200000012</v>
      </c>
      <c r="O970" s="57">
        <f>O971+O972+O973+O974+O975</f>
        <v>13.513500000000001</v>
      </c>
      <c r="P970" s="53">
        <f>F970*O970</f>
        <v>153.51336000000001</v>
      </c>
      <c r="Q970" s="69">
        <f>Q972</f>
        <v>20.877749999999999</v>
      </c>
      <c r="R970" s="53">
        <f>F970*Q970</f>
        <v>237.17123999999998</v>
      </c>
      <c r="S970" s="57"/>
      <c r="T970" s="66"/>
      <c r="U970" s="57"/>
      <c r="V970" s="66"/>
      <c r="W970" s="69"/>
      <c r="X970" s="66"/>
      <c r="Y970" s="36">
        <f>I970+K970+M970+O970+Q970</f>
        <v>571.63723000000005</v>
      </c>
      <c r="Z970" s="37">
        <f>J970+L970+N970+P970+R970</f>
        <v>6493.7989328000003</v>
      </c>
    </row>
    <row r="971" spans="1:27" ht="37" x14ac:dyDescent="0.2">
      <c r="A971" s="3" t="s">
        <v>1014</v>
      </c>
      <c r="B971" s="3">
        <v>3</v>
      </c>
      <c r="C971" s="3" t="s">
        <v>1019</v>
      </c>
      <c r="D971" s="8" t="s">
        <v>15</v>
      </c>
      <c r="E971" s="13" t="s">
        <v>1020</v>
      </c>
      <c r="F971" s="9">
        <v>10.37</v>
      </c>
      <c r="G971" s="10">
        <v>180.553</v>
      </c>
      <c r="H971" s="11">
        <f t="shared" si="135"/>
        <v>1872.33</v>
      </c>
      <c r="I971" s="36">
        <f>(244.36*0.4)*1.35+2.842</f>
        <v>134.79640000000003</v>
      </c>
      <c r="J971" s="53">
        <f>F971*I971</f>
        <v>1397.8386680000003</v>
      </c>
      <c r="K971" s="57">
        <f>(127.938*0.1)*1.35+(67*0.05*1.35)</f>
        <v>21.794130000000003</v>
      </c>
      <c r="L971" s="53">
        <f>F971*K971</f>
        <v>226.00512810000001</v>
      </c>
      <c r="M971" s="57">
        <f>(32*0.5)*1.35</f>
        <v>21.6</v>
      </c>
      <c r="N971" s="53">
        <f>F971*M971</f>
        <v>223.99199999999999</v>
      </c>
      <c r="O971" s="57">
        <f>(17.5*0.1)*1.35</f>
        <v>2.3625000000000003</v>
      </c>
      <c r="P971" s="53">
        <f>F971*O971</f>
        <v>24.499124999999999</v>
      </c>
      <c r="Q971" s="69"/>
      <c r="R971" s="53"/>
      <c r="S971" s="57"/>
      <c r="T971" s="66"/>
      <c r="U971" s="57"/>
      <c r="V971" s="66"/>
      <c r="W971" s="69"/>
      <c r="X971" s="66"/>
      <c r="Y971" s="36">
        <v>180.553</v>
      </c>
      <c r="Z971" s="37">
        <f>J971+L971+N971+P971+R971</f>
        <v>1872.3349211000004</v>
      </c>
      <c r="AA971" s="43"/>
    </row>
    <row r="972" spans="1:27" ht="37" x14ac:dyDescent="0.2">
      <c r="A972" s="3" t="s">
        <v>1014</v>
      </c>
      <c r="B972" s="3">
        <v>4</v>
      </c>
      <c r="C972" s="3" t="s">
        <v>1021</v>
      </c>
      <c r="D972" s="8" t="s">
        <v>15</v>
      </c>
      <c r="E972" s="13" t="s">
        <v>1022</v>
      </c>
      <c r="F972" s="9">
        <v>14.88</v>
      </c>
      <c r="G972" s="10">
        <v>232.172</v>
      </c>
      <c r="H972" s="11">
        <f t="shared" si="135"/>
        <v>3454.72</v>
      </c>
      <c r="I972" s="36">
        <f>(97.744)*1.35</f>
        <v>131.95440000000002</v>
      </c>
      <c r="J972" s="53">
        <f>F972*I972</f>
        <v>1963.4814720000004</v>
      </c>
      <c r="K972" s="57">
        <f>(238*0.15)*1.35+ 5.94*1.35</f>
        <v>56.213999999999999</v>
      </c>
      <c r="L972" s="53">
        <f>F972*K972</f>
        <v>836.46432000000004</v>
      </c>
      <c r="M972" s="57">
        <f>(59*0.15)*1.35+2.28*1.35</f>
        <v>15.025499999999999</v>
      </c>
      <c r="N972" s="53">
        <f>F972*M972</f>
        <v>223.57944000000001</v>
      </c>
      <c r="O972" s="57">
        <f>(40*0.15)*1.35</f>
        <v>8.1000000000000014</v>
      </c>
      <c r="P972" s="53">
        <f>F972*O972</f>
        <v>120.52800000000003</v>
      </c>
      <c r="Q972" s="69">
        <f>(0.608)*1.35+(62*0.15)*1.35+5.557*1.35</f>
        <v>20.877749999999999</v>
      </c>
      <c r="R972" s="53">
        <f>F972*Q972</f>
        <v>310.66091999999998</v>
      </c>
      <c r="S972" s="57"/>
      <c r="T972" s="66"/>
      <c r="U972" s="57"/>
      <c r="V972" s="66"/>
      <c r="W972" s="69"/>
      <c r="X972" s="66"/>
      <c r="Y972" s="36">
        <f>I972+K972+M972+O972+Q972</f>
        <v>232.17165</v>
      </c>
      <c r="Z972" s="37">
        <f>J972+L972+N972+P972+R972</f>
        <v>3454.7141520000005</v>
      </c>
    </row>
    <row r="973" spans="1:27" ht="37" x14ac:dyDescent="0.2">
      <c r="A973" s="3" t="s">
        <v>1014</v>
      </c>
      <c r="B973" s="3">
        <v>5</v>
      </c>
      <c r="C973" s="3" t="s">
        <v>1023</v>
      </c>
      <c r="D973" s="8" t="s">
        <v>15</v>
      </c>
      <c r="E973" s="13" t="s">
        <v>1024</v>
      </c>
      <c r="F973" s="9">
        <v>15.6</v>
      </c>
      <c r="G973" s="10">
        <v>65.965999999999994</v>
      </c>
      <c r="H973" s="11">
        <f t="shared" si="135"/>
        <v>1029.07</v>
      </c>
      <c r="J973" s="53"/>
      <c r="K973" s="57">
        <f>(0.04+2+9*0.3)*1.35+(100*0.2+67*0.05)*1.35</f>
        <v>37.921500000000009</v>
      </c>
      <c r="L973" s="53">
        <f>F973*K973</f>
        <v>591.57540000000017</v>
      </c>
      <c r="M973" s="57">
        <f>(0.059+0.029+0.234+0.419+0.297+0.156+3.375+32*0.5)*1.35</f>
        <v>27.768150000000002</v>
      </c>
      <c r="N973" s="53">
        <f>F973*M973</f>
        <v>433.18314000000004</v>
      </c>
      <c r="O973" s="57">
        <f>(0.034+0.056+0.115)*1.35</f>
        <v>0.27675000000000005</v>
      </c>
      <c r="P973" s="53">
        <f>F973*O973</f>
        <v>4.3173000000000004</v>
      </c>
      <c r="Q973" s="69"/>
      <c r="R973" s="53"/>
      <c r="S973" s="57"/>
      <c r="T973" s="66"/>
      <c r="U973" s="57"/>
      <c r="V973" s="66"/>
      <c r="W973" s="69"/>
      <c r="X973" s="66"/>
      <c r="Y973" s="36">
        <f>I973+K973+M973+O973+Q973</f>
        <v>65.966400000000021</v>
      </c>
      <c r="Z973" s="37">
        <f>J973+L973+N973+P973+R973</f>
        <v>1029.0758400000002</v>
      </c>
    </row>
    <row r="974" spans="1:27" ht="37" x14ac:dyDescent="0.2">
      <c r="A974" s="3" t="s">
        <v>1014</v>
      </c>
      <c r="B974" s="3">
        <v>6</v>
      </c>
      <c r="C974" s="3" t="s">
        <v>1025</v>
      </c>
      <c r="D974" s="8" t="s">
        <v>15</v>
      </c>
      <c r="E974" s="13" t="s">
        <v>1026</v>
      </c>
      <c r="F974" s="9">
        <v>0</v>
      </c>
      <c r="G974" s="10">
        <v>0.64400000000000002</v>
      </c>
      <c r="H974" s="11">
        <f t="shared" si="135"/>
        <v>0</v>
      </c>
      <c r="J974" s="53"/>
      <c r="K974" s="57">
        <f>(0.008+0.316+0.025)*1.35</f>
        <v>0.47115000000000007</v>
      </c>
      <c r="L974" s="53"/>
      <c r="M974" s="57">
        <f>(0.012+0.006+0.047+0.008)*1.35</f>
        <v>9.8550000000000013E-2</v>
      </c>
      <c r="N974" s="53"/>
      <c r="O974" s="57">
        <f>(0.007+0.011+0.023+0.014)*1.35</f>
        <v>7.4249999999999997E-2</v>
      </c>
      <c r="P974" s="53"/>
      <c r="Q974" s="69"/>
      <c r="R974" s="53"/>
      <c r="S974" s="57"/>
      <c r="T974" s="66"/>
      <c r="U974" s="57"/>
      <c r="V974" s="66"/>
      <c r="W974" s="69"/>
      <c r="X974" s="66"/>
      <c r="Y974" s="36">
        <f>K974+M974+O974</f>
        <v>0.64395000000000013</v>
      </c>
    </row>
    <row r="975" spans="1:27" ht="49" x14ac:dyDescent="0.2">
      <c r="A975" s="3" t="s">
        <v>1014</v>
      </c>
      <c r="B975" s="3">
        <v>7</v>
      </c>
      <c r="C975" s="3" t="s">
        <v>1027</v>
      </c>
      <c r="D975" s="8" t="s">
        <v>15</v>
      </c>
      <c r="E975" s="13" t="s">
        <v>1028</v>
      </c>
      <c r="F975" s="9">
        <v>27.23</v>
      </c>
      <c r="G975" s="10">
        <v>92.302000000000007</v>
      </c>
      <c r="H975" s="11">
        <f t="shared" si="135"/>
        <v>2513.38</v>
      </c>
      <c r="I975" s="36">
        <f>(15+48.872+2.5)*1.35</f>
        <v>89.602200000000011</v>
      </c>
      <c r="J975" s="53">
        <f>F975*I975</f>
        <v>2439.8679060000004</v>
      </c>
      <c r="K975" s="57"/>
      <c r="L975" s="53"/>
      <c r="M975" s="57"/>
      <c r="N975" s="53"/>
      <c r="O975" s="57">
        <f>2*1.35</f>
        <v>2.7</v>
      </c>
      <c r="P975" s="53">
        <f>F975*O975</f>
        <v>73.521000000000001</v>
      </c>
      <c r="Q975" s="69"/>
      <c r="R975" s="53"/>
      <c r="S975" s="57"/>
      <c r="T975" s="66"/>
      <c r="U975" s="57"/>
      <c r="V975" s="66"/>
      <c r="W975" s="69"/>
      <c r="X975" s="66"/>
      <c r="Y975" s="36">
        <f>I975+K975+M975+O975+Q975</f>
        <v>92.302200000000013</v>
      </c>
      <c r="Z975" s="37">
        <f>J975+L975+N975+P975+R975</f>
        <v>2513.3889060000006</v>
      </c>
    </row>
    <row r="976" spans="1:27" x14ac:dyDescent="0.2">
      <c r="E976" s="81" t="s">
        <v>25</v>
      </c>
      <c r="F976" s="6"/>
      <c r="G976" s="6"/>
      <c r="H976" s="12">
        <f>SUM(H969:H975)</f>
        <v>17155.78</v>
      </c>
      <c r="J976" s="71">
        <f>SUM(J969:J975)</f>
        <v>9849.358126000001</v>
      </c>
      <c r="K976" s="57"/>
      <c r="L976" s="71">
        <f>SUM(L969:L975)</f>
        <v>4009.5039204000004</v>
      </c>
      <c r="M976" s="57"/>
      <c r="N976" s="71">
        <f>SUM(N969:N975)</f>
        <v>2363.2788690000002</v>
      </c>
      <c r="O976" s="57"/>
      <c r="P976" s="71">
        <f>SUM(P969:P975)</f>
        <v>385.82419500000003</v>
      </c>
      <c r="Q976" s="69"/>
      <c r="R976" s="71">
        <f>SUM(R969:R975)</f>
        <v>547.83215999999993</v>
      </c>
      <c r="S976" s="57"/>
      <c r="T976" s="66"/>
      <c r="U976" s="57"/>
      <c r="V976" s="66"/>
      <c r="W976" s="69"/>
      <c r="X976" s="66"/>
      <c r="Z976" s="37">
        <f>J976+L976+N976+P976+R976</f>
        <v>17155.797270399999</v>
      </c>
    </row>
    <row r="977" spans="1:27" x14ac:dyDescent="0.2">
      <c r="J977" s="53"/>
      <c r="K977" s="57"/>
      <c r="L977" s="53"/>
      <c r="M977" s="57"/>
      <c r="N977" s="53"/>
      <c r="O977" s="59"/>
      <c r="P977" s="53"/>
      <c r="Q977" s="69"/>
      <c r="R977" s="53"/>
      <c r="S977" s="57"/>
      <c r="T977" s="66"/>
      <c r="U977" s="57"/>
      <c r="V977" s="66"/>
      <c r="W977" s="69"/>
      <c r="X977" s="66"/>
    </row>
    <row r="978" spans="1:27" x14ac:dyDescent="0.2">
      <c r="C978" s="6" t="s">
        <v>6</v>
      </c>
      <c r="D978" s="7" t="s">
        <v>7</v>
      </c>
      <c r="E978" s="81" t="s">
        <v>8</v>
      </c>
      <c r="J978" s="53"/>
      <c r="K978" s="57"/>
      <c r="L978" s="53"/>
      <c r="M978" s="57"/>
      <c r="N978" s="53"/>
      <c r="O978" s="59"/>
      <c r="P978" s="53"/>
      <c r="Q978" s="69"/>
      <c r="R978" s="53"/>
      <c r="S978" s="57"/>
      <c r="T978" s="66"/>
      <c r="U978" s="57"/>
      <c r="V978" s="66"/>
      <c r="W978" s="69"/>
      <c r="X978" s="66"/>
    </row>
    <row r="979" spans="1:27" x14ac:dyDescent="0.2">
      <c r="C979" s="6" t="s">
        <v>9</v>
      </c>
      <c r="D979" s="7" t="s">
        <v>1011</v>
      </c>
      <c r="E979" s="81" t="s">
        <v>1012</v>
      </c>
      <c r="J979" s="53"/>
      <c r="K979" s="57"/>
      <c r="L979" s="53"/>
      <c r="M979" s="57"/>
      <c r="N979" s="53"/>
      <c r="O979" s="59"/>
      <c r="P979" s="53"/>
      <c r="Q979" s="69"/>
      <c r="R979" s="53"/>
      <c r="S979" s="57"/>
      <c r="T979" s="66"/>
      <c r="U979" s="57"/>
      <c r="V979" s="66"/>
      <c r="W979" s="69"/>
      <c r="X979" s="66"/>
    </row>
    <row r="980" spans="1:27" x14ac:dyDescent="0.2">
      <c r="C980" s="6" t="s">
        <v>11</v>
      </c>
      <c r="D980" s="7" t="s">
        <v>26</v>
      </c>
      <c r="E980" s="81" t="s">
        <v>1029</v>
      </c>
      <c r="J980" s="53"/>
      <c r="K980" s="57"/>
      <c r="L980" s="53"/>
      <c r="M980" s="57"/>
      <c r="N980" s="53"/>
      <c r="O980" s="59"/>
      <c r="P980" s="53"/>
      <c r="Q980" s="69"/>
      <c r="R980" s="53"/>
      <c r="S980" s="57"/>
      <c r="T980" s="66"/>
      <c r="U980" s="57"/>
      <c r="V980" s="66"/>
      <c r="W980" s="69"/>
      <c r="X980" s="66"/>
    </row>
    <row r="981" spans="1:27" x14ac:dyDescent="0.2">
      <c r="J981" s="53"/>
      <c r="K981" s="57"/>
      <c r="L981" s="53"/>
      <c r="M981" s="57"/>
      <c r="N981" s="53"/>
      <c r="O981" s="59"/>
      <c r="P981" s="53"/>
      <c r="Q981" s="69"/>
      <c r="R981" s="53"/>
      <c r="S981" s="57"/>
      <c r="T981" s="66"/>
      <c r="U981" s="57"/>
      <c r="V981" s="66"/>
      <c r="W981" s="69"/>
      <c r="X981" s="66"/>
    </row>
    <row r="982" spans="1:27" ht="37" x14ac:dyDescent="0.2">
      <c r="A982" s="3" t="s">
        <v>1030</v>
      </c>
      <c r="B982" s="3">
        <v>1</v>
      </c>
      <c r="C982" s="3" t="s">
        <v>1031</v>
      </c>
      <c r="D982" s="8" t="s">
        <v>15</v>
      </c>
      <c r="E982" s="13" t="s">
        <v>1032</v>
      </c>
      <c r="F982" s="9">
        <v>9.5299999999999994</v>
      </c>
      <c r="G982" s="10">
        <v>515.31500000000005</v>
      </c>
      <c r="H982" s="11">
        <f>ROUND(ROUND(F982,2)*ROUND(G982,3),2)</f>
        <v>4910.95</v>
      </c>
      <c r="I982" s="36">
        <f>(111.2-91.92)*1.25+(65.835+116+2)*1.25+13.25</f>
        <v>267.14374999999995</v>
      </c>
      <c r="J982" s="53">
        <f>F982*I982</f>
        <v>2545.8799374999994</v>
      </c>
      <c r="K982" s="57">
        <f>(59.5+238*0.1)*1.25</f>
        <v>104.125</v>
      </c>
      <c r="L982" s="53">
        <f>F982*K982</f>
        <v>992.31124999999997</v>
      </c>
      <c r="M982" s="57"/>
      <c r="N982" s="53"/>
      <c r="O982" s="59"/>
      <c r="P982" s="53"/>
      <c r="Q982" s="69">
        <f>(9.3+62*0.1+31.886+11.65*0.1)*1.25</f>
        <v>60.688749999999992</v>
      </c>
      <c r="R982" s="53">
        <f>F982*Q982</f>
        <v>578.36378749999983</v>
      </c>
      <c r="S982" s="57">
        <f>(14.75+59*0.1+15.912+40.964*0.1+20.275*0.1)*1.25</f>
        <v>53.357375000000005</v>
      </c>
      <c r="T982" s="66">
        <f>F982*S982</f>
        <v>508.49578374999999</v>
      </c>
      <c r="U982" s="57">
        <f>(20+40*0.1)*1.25</f>
        <v>30</v>
      </c>
      <c r="V982" s="66">
        <f>F982*U982</f>
        <v>285.89999999999998</v>
      </c>
      <c r="W982" s="69"/>
      <c r="X982" s="66"/>
      <c r="Y982" s="36">
        <f>I982+K982+S982+U982+Q982</f>
        <v>515.31487499999992</v>
      </c>
      <c r="Z982" s="37">
        <f>J982+L982+T982+V982+R982</f>
        <v>4910.9507587499993</v>
      </c>
      <c r="AA982" s="43"/>
    </row>
    <row r="983" spans="1:27" ht="49" x14ac:dyDescent="0.2">
      <c r="A983" s="3" t="s">
        <v>1030</v>
      </c>
      <c r="B983" s="3">
        <v>2</v>
      </c>
      <c r="C983" s="3" t="s">
        <v>1033</v>
      </c>
      <c r="D983" s="8" t="s">
        <v>15</v>
      </c>
      <c r="E983" s="13" t="s">
        <v>1034</v>
      </c>
      <c r="F983" s="9">
        <v>9.61</v>
      </c>
      <c r="G983" s="10">
        <v>229.79400000000001</v>
      </c>
      <c r="H983" s="11">
        <f>ROUND(ROUND(F983,2)*ROUND(G983,3),2)</f>
        <v>2208.3200000000002</v>
      </c>
      <c r="I983" s="36">
        <f>G983</f>
        <v>229.79400000000001</v>
      </c>
      <c r="J983" s="53">
        <f>F983*I983</f>
        <v>2208.3203399999998</v>
      </c>
      <c r="K983" s="57"/>
      <c r="L983" s="53"/>
      <c r="M983" s="57"/>
      <c r="N983" s="53"/>
      <c r="O983" s="59"/>
      <c r="P983" s="53"/>
      <c r="Q983" s="69"/>
      <c r="R983" s="53"/>
      <c r="S983" s="57"/>
      <c r="T983" s="66"/>
      <c r="U983" s="57"/>
      <c r="V983" s="66"/>
      <c r="W983" s="69"/>
      <c r="X983" s="66"/>
    </row>
    <row r="984" spans="1:27" ht="25" x14ac:dyDescent="0.2">
      <c r="A984" s="3" t="s">
        <v>1030</v>
      </c>
      <c r="B984" s="3">
        <v>3</v>
      </c>
      <c r="C984" s="3" t="s">
        <v>1035</v>
      </c>
      <c r="D984" s="8" t="s">
        <v>15</v>
      </c>
      <c r="E984" s="13" t="s">
        <v>1036</v>
      </c>
      <c r="F984" s="9">
        <v>9.18</v>
      </c>
      <c r="G984" s="10">
        <v>285.52100000000002</v>
      </c>
      <c r="H984" s="11">
        <f>ROUND(ROUND(F984,2)*ROUND(G984,3),2)</f>
        <v>2621.08</v>
      </c>
      <c r="I984" s="36">
        <f>(111.2-91.92)*1.25+13.25</f>
        <v>37.35</v>
      </c>
      <c r="J984" s="53">
        <f>F984*I984</f>
        <v>342.87299999999999</v>
      </c>
      <c r="K984" s="57">
        <f>(59.5+238*0.1)*1.25</f>
        <v>104.125</v>
      </c>
      <c r="L984" s="53">
        <f>F984*K984</f>
        <v>955.86749999999995</v>
      </c>
      <c r="M984" s="57"/>
      <c r="N984" s="53"/>
      <c r="O984" s="59"/>
      <c r="P984" s="53"/>
      <c r="Q984" s="69">
        <f>(9.3+62*0.1+31.886+11.65*0.1)*1.25</f>
        <v>60.688749999999992</v>
      </c>
      <c r="R984" s="53">
        <f>F984*Q984</f>
        <v>557.12272499999995</v>
      </c>
      <c r="S984" s="57">
        <f>(14.75+59*0.1+15.912+40.964*0.1+20.275*0.1)*1.25</f>
        <v>53.357375000000005</v>
      </c>
      <c r="T984" s="66">
        <f>F984*S984</f>
        <v>489.82070250000004</v>
      </c>
      <c r="U984" s="57">
        <f>(20+40*0.1)*1.25</f>
        <v>30</v>
      </c>
      <c r="V984" s="66">
        <f>F984*U984</f>
        <v>275.39999999999998</v>
      </c>
      <c r="W984" s="69"/>
      <c r="X984" s="66"/>
      <c r="Y984" s="36">
        <f>I984+K984+S984+U984+Q984</f>
        <v>285.52112499999998</v>
      </c>
      <c r="Z984" s="37">
        <f>J984+L984+T984+V984+R984</f>
        <v>2621.0839274999998</v>
      </c>
      <c r="AA984" s="43"/>
    </row>
    <row r="985" spans="1:27" x14ac:dyDescent="0.2">
      <c r="E985" s="81" t="s">
        <v>25</v>
      </c>
      <c r="F985" s="6"/>
      <c r="G985" s="6"/>
      <c r="H985" s="12">
        <f>SUM(H982:H984)</f>
        <v>9740.35</v>
      </c>
      <c r="J985" s="71">
        <f>SUM(J982:J984)</f>
        <v>5097.0732774999988</v>
      </c>
      <c r="K985" s="57"/>
      <c r="L985" s="71">
        <f>SUM(L982:L984)</f>
        <v>1948.17875</v>
      </c>
      <c r="M985" s="58"/>
      <c r="N985" s="71">
        <f>SUM(N982:N984)</f>
        <v>0</v>
      </c>
      <c r="O985" s="75"/>
      <c r="P985" s="71"/>
      <c r="Q985" s="69"/>
      <c r="R985" s="54">
        <f>R982+R984-0.01</f>
        <v>1135.4765124999997</v>
      </c>
      <c r="S985" s="57"/>
      <c r="T985" s="72">
        <f>SUM(T982:T984)</f>
        <v>998.31648625000003</v>
      </c>
      <c r="U985" s="57"/>
      <c r="V985" s="67">
        <f>SUM(V982:V984)</f>
        <v>561.29999999999995</v>
      </c>
      <c r="W985" s="69"/>
      <c r="X985" s="66"/>
      <c r="Z985" s="37">
        <f>J985+L985+T985+V985+R985</f>
        <v>9740.3450262499973</v>
      </c>
    </row>
    <row r="986" spans="1:27" x14ac:dyDescent="0.2">
      <c r="J986" s="53"/>
      <c r="K986" s="57"/>
      <c r="L986" s="53"/>
      <c r="M986" s="57"/>
      <c r="N986" s="53"/>
      <c r="O986" s="59"/>
      <c r="P986" s="53"/>
      <c r="Q986" s="69"/>
      <c r="R986" s="53"/>
      <c r="S986" s="57"/>
      <c r="T986" s="66"/>
      <c r="U986" s="57"/>
      <c r="V986" s="66"/>
      <c r="W986" s="69"/>
      <c r="X986" s="66"/>
    </row>
    <row r="987" spans="1:27" x14ac:dyDescent="0.2">
      <c r="C987" s="6" t="s">
        <v>6</v>
      </c>
      <c r="D987" s="7" t="s">
        <v>7</v>
      </c>
      <c r="E987" s="81" t="s">
        <v>8</v>
      </c>
      <c r="J987" s="53"/>
      <c r="K987" s="57"/>
      <c r="L987" s="53"/>
      <c r="M987" s="57"/>
      <c r="N987" s="53"/>
      <c r="O987" s="59"/>
      <c r="P987" s="53"/>
      <c r="Q987" s="69"/>
      <c r="R987" s="53"/>
      <c r="S987" s="57"/>
      <c r="T987" s="66"/>
      <c r="U987" s="57"/>
      <c r="V987" s="66"/>
      <c r="W987" s="69"/>
      <c r="X987" s="66"/>
    </row>
    <row r="988" spans="1:27" x14ac:dyDescent="0.2">
      <c r="C988" s="6" t="s">
        <v>9</v>
      </c>
      <c r="D988" s="7" t="s">
        <v>1011</v>
      </c>
      <c r="E988" s="81" t="s">
        <v>1012</v>
      </c>
      <c r="J988" s="53"/>
      <c r="K988" s="57"/>
      <c r="L988" s="53"/>
      <c r="M988" s="57"/>
      <c r="N988" s="53"/>
      <c r="O988" s="59"/>
      <c r="P988" s="53"/>
      <c r="Q988" s="69"/>
      <c r="R988" s="53"/>
      <c r="S988" s="57"/>
      <c r="T988" s="66"/>
      <c r="U988" s="57"/>
      <c r="V988" s="66"/>
      <c r="W988" s="69"/>
      <c r="X988" s="66"/>
    </row>
    <row r="989" spans="1:27" x14ac:dyDescent="0.2">
      <c r="C989" s="6" t="s">
        <v>11</v>
      </c>
      <c r="D989" s="7" t="s">
        <v>72</v>
      </c>
      <c r="E989" s="81" t="s">
        <v>1037</v>
      </c>
      <c r="J989" s="53"/>
      <c r="K989" s="57"/>
      <c r="L989" s="53"/>
      <c r="M989" s="57"/>
      <c r="N989" s="53"/>
      <c r="O989" s="59"/>
      <c r="P989" s="53"/>
      <c r="Q989" s="69"/>
      <c r="R989" s="53"/>
      <c r="S989" s="57"/>
      <c r="T989" s="66"/>
      <c r="U989" s="57"/>
      <c r="V989" s="66"/>
      <c r="W989" s="69"/>
      <c r="X989" s="66"/>
    </row>
    <row r="990" spans="1:27" x14ac:dyDescent="0.2">
      <c r="J990" s="53"/>
      <c r="K990" s="57"/>
      <c r="L990" s="53"/>
      <c r="M990" s="57"/>
      <c r="N990" s="53"/>
      <c r="O990" s="59"/>
      <c r="P990" s="53"/>
      <c r="Q990" s="69"/>
      <c r="R990" s="53"/>
      <c r="S990" s="57"/>
      <c r="T990" s="66"/>
      <c r="U990" s="57"/>
      <c r="V990" s="66"/>
      <c r="W990" s="69"/>
      <c r="X990" s="66"/>
    </row>
    <row r="991" spans="1:27" ht="25" x14ac:dyDescent="0.2">
      <c r="A991" s="3" t="s">
        <v>1038</v>
      </c>
      <c r="B991" s="3">
        <v>1</v>
      </c>
      <c r="C991" s="3" t="s">
        <v>1015</v>
      </c>
      <c r="D991" s="8" t="s">
        <v>15</v>
      </c>
      <c r="E991" s="13" t="s">
        <v>1016</v>
      </c>
      <c r="F991" s="9">
        <v>26.91</v>
      </c>
      <c r="G991" s="10">
        <v>94.593000000000004</v>
      </c>
      <c r="H991" s="11">
        <f t="shared" ref="H991:H999" si="136">ROUND(ROUND(F991,2)*ROUND(G991,3),2)</f>
        <v>2545.5</v>
      </c>
      <c r="J991" s="53"/>
      <c r="K991" s="57">
        <f>K993+K994+K995+K996+K997+K998+K999</f>
        <v>39.72905999999999</v>
      </c>
      <c r="L991" s="53">
        <f t="shared" ref="L991:L997" si="137">F991*K991</f>
        <v>1069.1090045999997</v>
      </c>
      <c r="M991" s="57"/>
      <c r="N991" s="53"/>
      <c r="O991" s="59"/>
      <c r="P991" s="53"/>
      <c r="Q991" s="57">
        <f>Q993+Q994+Q995+Q996+Q997+Q998+Q999</f>
        <v>16.08081</v>
      </c>
      <c r="R991" s="53">
        <f t="shared" ref="R991:R996" si="138">F991*Q991</f>
        <v>432.73459709999997</v>
      </c>
      <c r="S991" s="57">
        <f>S993+S994+S995+S996+S997+S998+S999</f>
        <v>26.486039999999999</v>
      </c>
      <c r="T991" s="66">
        <f t="shared" ref="T991:T996" si="139">F991*S991</f>
        <v>712.73933639999996</v>
      </c>
      <c r="U991" s="57">
        <f>U993+U994+U995+U996+U997+U998+U999</f>
        <v>12.297090000000001</v>
      </c>
      <c r="V991" s="66">
        <f t="shared" ref="V991:V996" si="140">F991*U991</f>
        <v>330.91469190000004</v>
      </c>
      <c r="W991" s="69"/>
      <c r="X991" s="66"/>
      <c r="Y991" s="36">
        <f t="shared" ref="Y991:Y999" si="141">I991+K991+S991+U991+Q991</f>
        <v>94.592999999999989</v>
      </c>
    </row>
    <row r="992" spans="1:27" ht="37" x14ac:dyDescent="0.2">
      <c r="A992" s="3" t="s">
        <v>1038</v>
      </c>
      <c r="B992" s="3">
        <v>2</v>
      </c>
      <c r="C992" s="3" t="s">
        <v>1017</v>
      </c>
      <c r="D992" s="8" t="s">
        <v>15</v>
      </c>
      <c r="E992" s="13" t="s">
        <v>1018</v>
      </c>
      <c r="F992" s="9">
        <v>11.36</v>
      </c>
      <c r="G992" s="10">
        <v>94.593000000000004</v>
      </c>
      <c r="H992" s="11">
        <f t="shared" si="136"/>
        <v>1074.58</v>
      </c>
      <c r="J992" s="53"/>
      <c r="K992" s="57">
        <f t="shared" ref="K992:K999" si="142">G992*0.42</f>
        <v>39.729059999999997</v>
      </c>
      <c r="L992" s="53">
        <f t="shared" si="137"/>
        <v>451.32212159999995</v>
      </c>
      <c r="M992" s="57"/>
      <c r="N992" s="53"/>
      <c r="O992" s="59"/>
      <c r="P992" s="53"/>
      <c r="Q992" s="69">
        <f t="shared" ref="Q992:Q999" si="143">G992*0.17</f>
        <v>16.080810000000003</v>
      </c>
      <c r="R992" s="53">
        <f t="shared" si="138"/>
        <v>182.67800160000002</v>
      </c>
      <c r="S992" s="57">
        <f t="shared" ref="S992:S999" si="144">G992*0.28</f>
        <v>26.486040000000003</v>
      </c>
      <c r="T992" s="66">
        <f t="shared" si="139"/>
        <v>300.88141440000004</v>
      </c>
      <c r="U992" s="57">
        <f t="shared" ref="U992:U999" si="145">G992*0.13</f>
        <v>12.297090000000001</v>
      </c>
      <c r="V992" s="66">
        <f t="shared" si="140"/>
        <v>139.6949424</v>
      </c>
      <c r="W992" s="69"/>
      <c r="X992" s="66"/>
      <c r="Y992" s="36">
        <f t="shared" si="141"/>
        <v>94.593000000000004</v>
      </c>
    </row>
    <row r="993" spans="1:26" ht="37" x14ac:dyDescent="0.2">
      <c r="A993" s="3" t="s">
        <v>1038</v>
      </c>
      <c r="B993" s="3">
        <v>3</v>
      </c>
      <c r="C993" s="3" t="s">
        <v>1019</v>
      </c>
      <c r="D993" s="8" t="s">
        <v>15</v>
      </c>
      <c r="E993" s="13" t="s">
        <v>1020</v>
      </c>
      <c r="F993" s="9">
        <v>10.37</v>
      </c>
      <c r="G993" s="10">
        <v>32.597999999999999</v>
      </c>
      <c r="H993" s="11">
        <f t="shared" si="136"/>
        <v>338.04</v>
      </c>
      <c r="J993" s="53"/>
      <c r="K993" s="57">
        <f t="shared" si="142"/>
        <v>13.691159999999998</v>
      </c>
      <c r="L993" s="53">
        <f t="shared" si="137"/>
        <v>141.97732919999996</v>
      </c>
      <c r="M993" s="57"/>
      <c r="N993" s="53"/>
      <c r="O993" s="59"/>
      <c r="P993" s="53"/>
      <c r="Q993" s="69">
        <f t="shared" si="143"/>
        <v>5.5416600000000003</v>
      </c>
      <c r="R993" s="53">
        <f t="shared" si="138"/>
        <v>57.467014200000001</v>
      </c>
      <c r="S993" s="57">
        <f t="shared" si="144"/>
        <v>9.12744</v>
      </c>
      <c r="T993" s="66">
        <f t="shared" si="139"/>
        <v>94.65155279999999</v>
      </c>
      <c r="U993" s="57">
        <f t="shared" si="145"/>
        <v>4.2377399999999996</v>
      </c>
      <c r="V993" s="66">
        <f t="shared" si="140"/>
        <v>43.945363799999996</v>
      </c>
      <c r="W993" s="69"/>
      <c r="X993" s="66"/>
      <c r="Y993" s="36">
        <f t="shared" si="141"/>
        <v>32.597999999999999</v>
      </c>
      <c r="Z993" s="37">
        <f>J993+L993+T993+V993+R993</f>
        <v>338.04125999999997</v>
      </c>
    </row>
    <row r="994" spans="1:26" ht="37" x14ac:dyDescent="0.2">
      <c r="A994" s="3" t="s">
        <v>1038</v>
      </c>
      <c r="B994" s="3">
        <v>4</v>
      </c>
      <c r="C994" s="3" t="s">
        <v>1021</v>
      </c>
      <c r="D994" s="8" t="s">
        <v>15</v>
      </c>
      <c r="E994" s="13" t="s">
        <v>1022</v>
      </c>
      <c r="F994" s="9">
        <v>14.88</v>
      </c>
      <c r="G994" s="10">
        <v>30.317</v>
      </c>
      <c r="H994" s="11">
        <f t="shared" si="136"/>
        <v>451.12</v>
      </c>
      <c r="J994" s="53"/>
      <c r="K994" s="57">
        <f t="shared" si="142"/>
        <v>12.733139999999999</v>
      </c>
      <c r="L994" s="53">
        <f t="shared" si="137"/>
        <v>189.46912319999998</v>
      </c>
      <c r="M994" s="57"/>
      <c r="N994" s="53"/>
      <c r="O994" s="59"/>
      <c r="P994" s="53"/>
      <c r="Q994" s="69">
        <f t="shared" si="143"/>
        <v>5.1538900000000005</v>
      </c>
      <c r="R994" s="53">
        <f t="shared" si="138"/>
        <v>76.689883200000011</v>
      </c>
      <c r="S994" s="57">
        <f t="shared" si="144"/>
        <v>8.488760000000001</v>
      </c>
      <c r="T994" s="66">
        <f t="shared" si="139"/>
        <v>126.31274880000002</v>
      </c>
      <c r="U994" s="57">
        <f t="shared" si="145"/>
        <v>3.9412100000000003</v>
      </c>
      <c r="V994" s="66">
        <f t="shared" si="140"/>
        <v>58.645204800000009</v>
      </c>
      <c r="W994" s="69"/>
      <c r="X994" s="66"/>
      <c r="Y994" s="36">
        <f t="shared" si="141"/>
        <v>30.317</v>
      </c>
      <c r="Z994" s="37">
        <f>J994+L994+T994+V994+R994</f>
        <v>451.11696000000001</v>
      </c>
    </row>
    <row r="995" spans="1:26" ht="49" x14ac:dyDescent="0.2">
      <c r="A995" s="3" t="s">
        <v>1038</v>
      </c>
      <c r="B995" s="3">
        <v>5</v>
      </c>
      <c r="C995" s="3" t="s">
        <v>1027</v>
      </c>
      <c r="D995" s="8" t="s">
        <v>15</v>
      </c>
      <c r="E995" s="13" t="s">
        <v>1028</v>
      </c>
      <c r="F995" s="9">
        <v>27.23</v>
      </c>
      <c r="G995" s="10">
        <v>8.8260000000000005</v>
      </c>
      <c r="H995" s="11">
        <f t="shared" si="136"/>
        <v>240.33</v>
      </c>
      <c r="J995" s="53"/>
      <c r="K995" s="57">
        <f t="shared" si="142"/>
        <v>3.7069200000000002</v>
      </c>
      <c r="L995" s="53">
        <f t="shared" si="137"/>
        <v>100.93943160000001</v>
      </c>
      <c r="M995" s="57"/>
      <c r="N995" s="53"/>
      <c r="O995" s="59"/>
      <c r="P995" s="53"/>
      <c r="Q995" s="69">
        <f t="shared" si="143"/>
        <v>1.5004200000000001</v>
      </c>
      <c r="R995" s="53">
        <f t="shared" si="138"/>
        <v>40.856436600000002</v>
      </c>
      <c r="S995" s="57">
        <f t="shared" si="144"/>
        <v>2.4712800000000006</v>
      </c>
      <c r="T995" s="66">
        <f t="shared" si="139"/>
        <v>67.292954400000013</v>
      </c>
      <c r="U995" s="57">
        <f t="shared" si="145"/>
        <v>1.1473800000000001</v>
      </c>
      <c r="V995" s="66">
        <f t="shared" si="140"/>
        <v>31.243157400000001</v>
      </c>
      <c r="W995" s="69"/>
      <c r="X995" s="66"/>
      <c r="Y995" s="36">
        <f t="shared" si="141"/>
        <v>8.8260000000000005</v>
      </c>
      <c r="Z995" s="37">
        <f>J995+L995+T995+V995+R995</f>
        <v>240.33198000000002</v>
      </c>
    </row>
    <row r="996" spans="1:26" ht="37" x14ac:dyDescent="0.2">
      <c r="A996" s="3" t="s">
        <v>1038</v>
      </c>
      <c r="B996" s="3">
        <v>6</v>
      </c>
      <c r="C996" s="3" t="s">
        <v>1023</v>
      </c>
      <c r="D996" s="8" t="s">
        <v>15</v>
      </c>
      <c r="E996" s="13" t="s">
        <v>1024</v>
      </c>
      <c r="F996" s="9">
        <v>15.6</v>
      </c>
      <c r="G996" s="10">
        <v>3.605</v>
      </c>
      <c r="H996" s="11">
        <f t="shared" si="136"/>
        <v>56.24</v>
      </c>
      <c r="J996" s="53"/>
      <c r="K996" s="57">
        <f t="shared" si="142"/>
        <v>1.5141</v>
      </c>
      <c r="L996" s="53">
        <f t="shared" si="137"/>
        <v>23.619959999999999</v>
      </c>
      <c r="M996" s="57"/>
      <c r="N996" s="53"/>
      <c r="O996" s="59"/>
      <c r="P996" s="53"/>
      <c r="Q996" s="69">
        <f t="shared" si="143"/>
        <v>0.61285000000000001</v>
      </c>
      <c r="R996" s="53">
        <f t="shared" si="138"/>
        <v>9.5604599999999991</v>
      </c>
      <c r="S996" s="57">
        <f t="shared" si="144"/>
        <v>1.0094000000000001</v>
      </c>
      <c r="T996" s="66">
        <f t="shared" si="139"/>
        <v>15.746640000000001</v>
      </c>
      <c r="U996" s="57">
        <f t="shared" si="145"/>
        <v>0.46865000000000001</v>
      </c>
      <c r="V996" s="66">
        <f t="shared" si="140"/>
        <v>7.3109400000000004</v>
      </c>
      <c r="W996" s="69"/>
      <c r="X996" s="66"/>
      <c r="Y996" s="36">
        <f t="shared" si="141"/>
        <v>3.6050000000000004</v>
      </c>
      <c r="Z996" s="37">
        <f>J996+L996+T996+V996+R996</f>
        <v>56.238</v>
      </c>
    </row>
    <row r="997" spans="1:26" ht="37" x14ac:dyDescent="0.2">
      <c r="A997" s="3" t="s">
        <v>1038</v>
      </c>
      <c r="B997" s="3">
        <v>7</v>
      </c>
      <c r="C997" s="3" t="s">
        <v>1039</v>
      </c>
      <c r="D997" s="8" t="s">
        <v>15</v>
      </c>
      <c r="E997" s="13" t="s">
        <v>1040</v>
      </c>
      <c r="F997" s="9">
        <v>0</v>
      </c>
      <c r="G997" s="10">
        <v>8.2899999999999991</v>
      </c>
      <c r="H997" s="11">
        <f t="shared" si="136"/>
        <v>0</v>
      </c>
      <c r="J997" s="53"/>
      <c r="K997" s="57">
        <f t="shared" si="142"/>
        <v>3.4817999999999993</v>
      </c>
      <c r="L997" s="53">
        <f t="shared" si="137"/>
        <v>0</v>
      </c>
      <c r="M997" s="57"/>
      <c r="N997" s="53"/>
      <c r="O997" s="59"/>
      <c r="P997" s="53"/>
      <c r="Q997" s="69">
        <f t="shared" si="143"/>
        <v>1.4093</v>
      </c>
      <c r="R997" s="53"/>
      <c r="S997" s="57">
        <f t="shared" si="144"/>
        <v>2.3212000000000002</v>
      </c>
      <c r="T997" s="66"/>
      <c r="U997" s="57">
        <f t="shared" si="145"/>
        <v>1.0776999999999999</v>
      </c>
      <c r="V997" s="66"/>
      <c r="W997" s="69"/>
      <c r="X997" s="66"/>
      <c r="Y997" s="36">
        <f t="shared" si="141"/>
        <v>8.2899999999999991</v>
      </c>
    </row>
    <row r="998" spans="1:26" ht="37" x14ac:dyDescent="0.2">
      <c r="A998" s="3" t="s">
        <v>1038</v>
      </c>
      <c r="B998" s="3">
        <v>8</v>
      </c>
      <c r="C998" s="3" t="s">
        <v>1041</v>
      </c>
      <c r="D998" s="8" t="s">
        <v>15</v>
      </c>
      <c r="E998" s="13" t="s">
        <v>1042</v>
      </c>
      <c r="F998" s="9">
        <v>0</v>
      </c>
      <c r="G998" s="10">
        <v>9.5150000000000006</v>
      </c>
      <c r="H998" s="11">
        <f t="shared" si="136"/>
        <v>0</v>
      </c>
      <c r="J998" s="53"/>
      <c r="K998" s="57">
        <f t="shared" si="142"/>
        <v>3.9963000000000002</v>
      </c>
      <c r="L998" s="53"/>
      <c r="M998" s="57"/>
      <c r="N998" s="53"/>
      <c r="O998" s="59"/>
      <c r="P998" s="53"/>
      <c r="Q998" s="69">
        <f t="shared" si="143"/>
        <v>1.6175500000000003</v>
      </c>
      <c r="R998" s="53"/>
      <c r="S998" s="57">
        <f t="shared" si="144"/>
        <v>2.6642000000000006</v>
      </c>
      <c r="T998" s="66"/>
      <c r="U998" s="57">
        <f t="shared" si="145"/>
        <v>1.2369500000000002</v>
      </c>
      <c r="V998" s="66"/>
      <c r="W998" s="69"/>
      <c r="X998" s="66"/>
      <c r="Y998" s="36">
        <f t="shared" si="141"/>
        <v>9.5150000000000006</v>
      </c>
    </row>
    <row r="999" spans="1:26" ht="37" x14ac:dyDescent="0.2">
      <c r="A999" s="3" t="s">
        <v>1038</v>
      </c>
      <c r="B999" s="3">
        <v>9</v>
      </c>
      <c r="C999" s="3" t="s">
        <v>1043</v>
      </c>
      <c r="D999" s="8" t="s">
        <v>15</v>
      </c>
      <c r="E999" s="13" t="s">
        <v>1044</v>
      </c>
      <c r="F999" s="9">
        <v>-43.2</v>
      </c>
      <c r="G999" s="10">
        <v>1.4419999999999999</v>
      </c>
      <c r="H999" s="11">
        <f t="shared" si="136"/>
        <v>-62.29</v>
      </c>
      <c r="J999" s="53"/>
      <c r="K999" s="57">
        <f t="shared" si="142"/>
        <v>0.60563999999999996</v>
      </c>
      <c r="L999" s="53">
        <f>F999*K999</f>
        <v>-26.163647999999998</v>
      </c>
      <c r="M999" s="57"/>
      <c r="N999" s="53"/>
      <c r="O999" s="59"/>
      <c r="P999" s="53"/>
      <c r="Q999" s="69">
        <f t="shared" si="143"/>
        <v>0.24514</v>
      </c>
      <c r="R999" s="53">
        <f>F999*Q999</f>
        <v>-10.590048000000001</v>
      </c>
      <c r="S999" s="57">
        <f t="shared" si="144"/>
        <v>0.40376000000000001</v>
      </c>
      <c r="T999" s="66">
        <f>F999*S999</f>
        <v>-17.442432</v>
      </c>
      <c r="U999" s="57">
        <f t="shared" si="145"/>
        <v>0.18745999999999999</v>
      </c>
      <c r="V999" s="66">
        <f>F999*U999</f>
        <v>-8.0982719999999997</v>
      </c>
      <c r="W999" s="69"/>
      <c r="X999" s="66"/>
      <c r="Y999" s="36">
        <f t="shared" si="141"/>
        <v>1.4419999999999997</v>
      </c>
      <c r="Z999" s="37">
        <f>J999+L999+T999+V999+R999</f>
        <v>-62.294400000000003</v>
      </c>
    </row>
    <row r="1000" spans="1:26" x14ac:dyDescent="0.2">
      <c r="E1000" s="81" t="s">
        <v>25</v>
      </c>
      <c r="F1000" s="6"/>
      <c r="G1000" s="6"/>
      <c r="H1000" s="12">
        <f>SUM(H991:H999)</f>
        <v>4643.5199999999995</v>
      </c>
      <c r="J1000" s="53"/>
      <c r="K1000" s="57"/>
      <c r="L1000" s="71">
        <f>SUM(L991:L999)</f>
        <v>1950.2733221999997</v>
      </c>
      <c r="M1000" s="58"/>
      <c r="N1000" s="71">
        <f>SUM(N991:N999)</f>
        <v>0</v>
      </c>
      <c r="O1000" s="75"/>
      <c r="P1000" s="71"/>
      <c r="Q1000" s="69"/>
      <c r="R1000" s="71">
        <f>SUM(R991:R999)</f>
        <v>789.3963447000001</v>
      </c>
      <c r="S1000" s="57"/>
      <c r="T1000" s="72">
        <f>SUM(T991:T999)</f>
        <v>1300.1822148000001</v>
      </c>
      <c r="U1000" s="57"/>
      <c r="V1000" s="67">
        <f>SUM(V991:V999)</f>
        <v>603.6560283</v>
      </c>
      <c r="W1000" s="69"/>
      <c r="X1000" s="66"/>
      <c r="Z1000" s="37">
        <f>J1000+L1000+T1000+V1000+R1000</f>
        <v>4643.5079100000003</v>
      </c>
    </row>
    <row r="1001" spans="1:26" x14ac:dyDescent="0.2">
      <c r="J1001" s="53"/>
      <c r="K1001" s="57"/>
      <c r="L1001" s="53"/>
      <c r="M1001" s="57"/>
      <c r="N1001" s="53"/>
      <c r="O1001" s="59"/>
      <c r="P1001" s="53"/>
      <c r="Q1001" s="69"/>
      <c r="R1001" s="53"/>
      <c r="S1001" s="57"/>
      <c r="T1001" s="66"/>
      <c r="U1001" s="57"/>
      <c r="V1001" s="66"/>
      <c r="W1001" s="69"/>
      <c r="X1001" s="66"/>
    </row>
    <row r="1002" spans="1:26" x14ac:dyDescent="0.2">
      <c r="C1002" s="6" t="s">
        <v>6</v>
      </c>
      <c r="D1002" s="7" t="s">
        <v>7</v>
      </c>
      <c r="E1002" s="81" t="s">
        <v>8</v>
      </c>
      <c r="J1002" s="53"/>
      <c r="K1002" s="57"/>
      <c r="L1002" s="53"/>
      <c r="M1002" s="57"/>
      <c r="N1002" s="53"/>
      <c r="O1002" s="59"/>
      <c r="P1002" s="53"/>
      <c r="Q1002" s="69"/>
      <c r="R1002" s="53"/>
      <c r="S1002" s="57"/>
      <c r="T1002" s="66"/>
      <c r="U1002" s="57"/>
      <c r="V1002" s="66"/>
      <c r="W1002" s="69"/>
      <c r="X1002" s="66"/>
    </row>
    <row r="1003" spans="1:26" x14ac:dyDescent="0.2">
      <c r="C1003" s="6" t="s">
        <v>9</v>
      </c>
      <c r="D1003" s="7" t="s">
        <v>1011</v>
      </c>
      <c r="E1003" s="81" t="s">
        <v>1012</v>
      </c>
      <c r="J1003" s="53"/>
      <c r="K1003" s="57"/>
      <c r="L1003" s="53"/>
      <c r="M1003" s="57"/>
      <c r="N1003" s="53"/>
      <c r="O1003" s="59"/>
      <c r="P1003" s="53"/>
      <c r="Q1003" s="69"/>
      <c r="R1003" s="53"/>
      <c r="S1003" s="57"/>
      <c r="T1003" s="66"/>
      <c r="U1003" s="57"/>
      <c r="V1003" s="66"/>
      <c r="W1003" s="69"/>
      <c r="X1003" s="66"/>
    </row>
    <row r="1004" spans="1:26" x14ac:dyDescent="0.2">
      <c r="C1004" s="6" t="s">
        <v>11</v>
      </c>
      <c r="D1004" s="7" t="s">
        <v>153</v>
      </c>
      <c r="E1004" s="81" t="s">
        <v>1045</v>
      </c>
      <c r="J1004" s="53"/>
      <c r="K1004" s="57"/>
      <c r="L1004" s="53"/>
      <c r="M1004" s="57"/>
      <c r="N1004" s="53"/>
      <c r="O1004" s="59"/>
      <c r="P1004" s="53"/>
      <c r="Q1004" s="69"/>
      <c r="R1004" s="53"/>
      <c r="S1004" s="57"/>
      <c r="T1004" s="66"/>
      <c r="U1004" s="57"/>
      <c r="V1004" s="66"/>
      <c r="W1004" s="69"/>
      <c r="X1004" s="66"/>
    </row>
    <row r="1005" spans="1:26" x14ac:dyDescent="0.2">
      <c r="J1005" s="53"/>
      <c r="K1005" s="57"/>
      <c r="L1005" s="53"/>
      <c r="M1005" s="57"/>
      <c r="N1005" s="53"/>
      <c r="O1005" s="59"/>
      <c r="P1005" s="53"/>
      <c r="Q1005" s="69"/>
      <c r="R1005" s="53"/>
      <c r="S1005" s="57"/>
      <c r="T1005" s="66"/>
      <c r="U1005" s="57"/>
      <c r="V1005" s="66"/>
      <c r="W1005" s="69"/>
      <c r="X1005" s="66"/>
    </row>
    <row r="1006" spans="1:26" ht="25" x14ac:dyDescent="0.2">
      <c r="A1006" s="3" t="s">
        <v>1046</v>
      </c>
      <c r="B1006" s="3">
        <v>1</v>
      </c>
      <c r="C1006" s="3" t="s">
        <v>1047</v>
      </c>
      <c r="D1006" s="8" t="s">
        <v>15</v>
      </c>
      <c r="E1006" s="13" t="s">
        <v>1048</v>
      </c>
      <c r="F1006" s="9">
        <v>92.45</v>
      </c>
      <c r="G1006" s="10">
        <v>8.0269999999999992</v>
      </c>
      <c r="H1006" s="11">
        <f>ROUND(ROUND(F1006,2)*ROUND(G1006,3),2)</f>
        <v>742.1</v>
      </c>
      <c r="I1006" s="36">
        <f>G1006</f>
        <v>8.0269999999999992</v>
      </c>
      <c r="J1006" s="53">
        <f>F1006*I1006</f>
        <v>742.09614999999997</v>
      </c>
      <c r="K1006" s="57"/>
      <c r="L1006" s="53"/>
      <c r="M1006" s="57"/>
      <c r="N1006" s="53"/>
      <c r="O1006" s="59"/>
      <c r="P1006" s="53"/>
      <c r="Q1006" s="69"/>
      <c r="R1006" s="53"/>
      <c r="S1006" s="57"/>
      <c r="T1006" s="66"/>
      <c r="U1006" s="57"/>
      <c r="V1006" s="66"/>
      <c r="W1006" s="69"/>
      <c r="X1006" s="66"/>
    </row>
    <row r="1007" spans="1:26" ht="49" x14ac:dyDescent="0.2">
      <c r="A1007" s="3" t="s">
        <v>1046</v>
      </c>
      <c r="B1007" s="3">
        <v>2</v>
      </c>
      <c r="C1007" s="3" t="s">
        <v>1049</v>
      </c>
      <c r="D1007" s="8" t="s">
        <v>103</v>
      </c>
      <c r="E1007" s="13" t="s">
        <v>1050</v>
      </c>
      <c r="F1007" s="9">
        <v>0.27</v>
      </c>
      <c r="G1007" s="10">
        <v>2150</v>
      </c>
      <c r="H1007" s="11">
        <f>ROUND(ROUND(F1007,2)*ROUND(G1007,3),2)</f>
        <v>580.5</v>
      </c>
      <c r="I1007" s="36">
        <f>G1007</f>
        <v>2150</v>
      </c>
      <c r="J1007" s="53">
        <f>F1007*I1007</f>
        <v>580.5</v>
      </c>
      <c r="K1007" s="57"/>
      <c r="L1007" s="53"/>
      <c r="M1007" s="57"/>
      <c r="N1007" s="53"/>
      <c r="O1007" s="59"/>
      <c r="P1007" s="53"/>
      <c r="Q1007" s="69"/>
      <c r="R1007" s="53"/>
      <c r="S1007" s="57"/>
      <c r="T1007" s="66"/>
      <c r="U1007" s="57"/>
      <c r="V1007" s="66"/>
      <c r="W1007" s="69"/>
      <c r="X1007" s="66"/>
    </row>
    <row r="1008" spans="1:26" x14ac:dyDescent="0.2">
      <c r="E1008" s="81" t="s">
        <v>25</v>
      </c>
      <c r="F1008" s="6"/>
      <c r="G1008" s="6"/>
      <c r="H1008" s="12">
        <f>SUM(H1006:H1007)</f>
        <v>1322.6</v>
      </c>
      <c r="J1008" s="71">
        <f>SUM(J1006:J1007)</f>
        <v>1322.5961499999999</v>
      </c>
      <c r="K1008" s="57"/>
      <c r="L1008" s="53"/>
      <c r="M1008" s="57"/>
      <c r="N1008" s="53"/>
      <c r="O1008" s="59"/>
      <c r="P1008" s="53"/>
      <c r="Q1008" s="69"/>
      <c r="R1008" s="53"/>
      <c r="S1008" s="57"/>
      <c r="T1008" s="66"/>
      <c r="U1008" s="57"/>
      <c r="V1008" s="66"/>
      <c r="W1008" s="69"/>
      <c r="X1008" s="66"/>
    </row>
    <row r="1009" spans="1:26" x14ac:dyDescent="0.2">
      <c r="J1009" s="53"/>
      <c r="K1009" s="57"/>
      <c r="L1009" s="53"/>
      <c r="M1009" s="57"/>
      <c r="N1009" s="53"/>
      <c r="O1009" s="59"/>
      <c r="P1009" s="53"/>
      <c r="Q1009" s="69"/>
      <c r="R1009" s="53"/>
      <c r="S1009" s="57"/>
      <c r="T1009" s="66"/>
      <c r="U1009" s="57"/>
      <c r="V1009" s="66"/>
      <c r="W1009" s="69"/>
      <c r="X1009" s="66"/>
    </row>
    <row r="1010" spans="1:26" x14ac:dyDescent="0.2">
      <c r="C1010" s="6" t="s">
        <v>6</v>
      </c>
      <c r="D1010" s="7" t="s">
        <v>7</v>
      </c>
      <c r="E1010" s="81" t="s">
        <v>8</v>
      </c>
      <c r="J1010" s="53"/>
      <c r="K1010" s="57"/>
      <c r="L1010" s="53"/>
      <c r="M1010" s="57"/>
      <c r="N1010" s="53"/>
      <c r="O1010" s="59"/>
      <c r="P1010" s="53"/>
      <c r="Q1010" s="69"/>
      <c r="R1010" s="53"/>
      <c r="S1010" s="57"/>
      <c r="T1010" s="66"/>
      <c r="U1010" s="57"/>
      <c r="V1010" s="66"/>
      <c r="W1010" s="69"/>
      <c r="X1010" s="66"/>
    </row>
    <row r="1011" spans="1:26" x14ac:dyDescent="0.2">
      <c r="C1011" s="6" t="s">
        <v>9</v>
      </c>
      <c r="D1011" s="7" t="s">
        <v>1051</v>
      </c>
      <c r="E1011" s="81" t="s">
        <v>1052</v>
      </c>
      <c r="J1011" s="53"/>
      <c r="K1011" s="57"/>
      <c r="L1011" s="53"/>
      <c r="M1011" s="57"/>
      <c r="N1011" s="53"/>
      <c r="O1011" s="59"/>
      <c r="P1011" s="53"/>
      <c r="Q1011" s="69"/>
      <c r="R1011" s="53"/>
      <c r="S1011" s="57"/>
      <c r="T1011" s="66"/>
      <c r="U1011" s="57"/>
      <c r="V1011" s="66"/>
      <c r="W1011" s="69"/>
      <c r="X1011" s="66"/>
    </row>
    <row r="1012" spans="1:26" x14ac:dyDescent="0.2">
      <c r="C1012" s="6" t="s">
        <v>11</v>
      </c>
      <c r="D1012" s="7" t="s">
        <v>7</v>
      </c>
      <c r="E1012" s="81" t="s">
        <v>1052</v>
      </c>
      <c r="J1012" s="53"/>
      <c r="K1012" s="57"/>
      <c r="L1012" s="53"/>
      <c r="M1012" s="57"/>
      <c r="N1012" s="53"/>
      <c r="O1012" s="59"/>
      <c r="P1012" s="53"/>
      <c r="Q1012" s="69"/>
      <c r="R1012" s="53"/>
      <c r="S1012" s="57"/>
      <c r="T1012" s="66"/>
      <c r="U1012" s="57"/>
      <c r="V1012" s="66"/>
      <c r="W1012" s="69"/>
      <c r="X1012" s="66"/>
    </row>
    <row r="1013" spans="1:26" x14ac:dyDescent="0.2">
      <c r="J1013" s="53"/>
      <c r="K1013" s="57"/>
      <c r="L1013" s="53"/>
      <c r="M1013" s="57"/>
      <c r="N1013" s="53"/>
      <c r="O1013" s="59"/>
      <c r="P1013" s="53"/>
      <c r="Q1013" s="69"/>
      <c r="R1013" s="53"/>
      <c r="S1013" s="57"/>
      <c r="T1013" s="66"/>
      <c r="U1013" s="57"/>
      <c r="V1013" s="66"/>
      <c r="W1013" s="69"/>
      <c r="X1013" s="66"/>
    </row>
    <row r="1014" spans="1:26" ht="25" x14ac:dyDescent="0.2">
      <c r="A1014" s="3" t="s">
        <v>1053</v>
      </c>
      <c r="B1014" s="3">
        <v>1</v>
      </c>
      <c r="C1014" s="3" t="s">
        <v>1054</v>
      </c>
      <c r="D1014" s="8" t="s">
        <v>1055</v>
      </c>
      <c r="E1014" s="13" t="s">
        <v>1056</v>
      </c>
      <c r="F1014" s="9">
        <v>16710.93</v>
      </c>
      <c r="G1014" s="10">
        <v>1</v>
      </c>
      <c r="H1014" s="11">
        <f>ROUND(ROUND(F1014,2)*ROUND(G1014,3),2)</f>
        <v>16710.93</v>
      </c>
      <c r="J1014" s="53"/>
      <c r="K1014" s="57">
        <f>0.42</f>
        <v>0.42</v>
      </c>
      <c r="L1014" s="53">
        <f>H1014*K1014</f>
        <v>7018.5905999999995</v>
      </c>
      <c r="M1014" s="57"/>
      <c r="N1014" s="53">
        <f>F1014*M1014</f>
        <v>0</v>
      </c>
      <c r="O1014" s="59"/>
      <c r="P1014" s="53">
        <f>0</f>
        <v>0</v>
      </c>
      <c r="Q1014" s="69">
        <f>0.17</f>
        <v>0.17</v>
      </c>
      <c r="R1014" s="53">
        <f>H1014*Q1014</f>
        <v>2840.8581000000004</v>
      </c>
      <c r="S1014" s="57">
        <f>0.28</f>
        <v>0.28000000000000003</v>
      </c>
      <c r="T1014" s="66">
        <f>H1014*S1014</f>
        <v>4679.0604000000003</v>
      </c>
      <c r="U1014" s="57">
        <f>0.13</f>
        <v>0.13</v>
      </c>
      <c r="V1014" s="66">
        <f>H1014*U1014</f>
        <v>2172.4209000000001</v>
      </c>
      <c r="W1014" s="69"/>
      <c r="X1014" s="66"/>
      <c r="Y1014" s="36">
        <f>I1014+K1014+S1014+U1014+Q1014</f>
        <v>1</v>
      </c>
      <c r="Z1014" s="37">
        <f>J1014+L1014+T1014+V1014+R1014</f>
        <v>16710.93</v>
      </c>
    </row>
    <row r="1015" spans="1:26" x14ac:dyDescent="0.2">
      <c r="E1015" s="81" t="s">
        <v>25</v>
      </c>
      <c r="F1015" s="6"/>
      <c r="G1015" s="6"/>
      <c r="H1015" s="12">
        <f>SUM(H1014:H1014)</f>
        <v>16710.93</v>
      </c>
      <c r="J1015" s="53"/>
      <c r="K1015" s="57"/>
      <c r="L1015" s="71">
        <f>SUM(L1014:L1014)</f>
        <v>7018.5905999999995</v>
      </c>
      <c r="M1015" s="58"/>
      <c r="N1015" s="71">
        <f>SUM(N1014:N1014)</f>
        <v>0</v>
      </c>
      <c r="O1015" s="75"/>
      <c r="P1015" s="71">
        <f>P1014</f>
        <v>0</v>
      </c>
      <c r="Q1015" s="69"/>
      <c r="R1015" s="71">
        <f>SUM(R1014:R1014)</f>
        <v>2840.8581000000004</v>
      </c>
      <c r="S1015" s="57"/>
      <c r="T1015" s="72">
        <f>SUM(T1014:T1014)</f>
        <v>4679.0604000000003</v>
      </c>
      <c r="U1015" s="57"/>
      <c r="V1015" s="67">
        <f>SUM(V1014:V1014)</f>
        <v>2172.4209000000001</v>
      </c>
      <c r="W1015" s="69"/>
      <c r="X1015" s="66"/>
    </row>
    <row r="1017" spans="1:26" x14ac:dyDescent="0.2">
      <c r="E1017" s="82" t="s">
        <v>4021</v>
      </c>
      <c r="H1017" s="63">
        <f>SUM(H10:H1016)/2</f>
        <v>1164697.01</v>
      </c>
      <c r="J1017" s="64">
        <f>J19+J46+J59+J150+J318+J499+J511+J566+J580+J656+J675+J705+J714+J740+J836+J963+J976+J985+J1008</f>
        <v>90901.115765519236</v>
      </c>
      <c r="K1017" s="65"/>
      <c r="L1017" s="64">
        <f>L46+L59+L113+L124+L133+L141+L161+L188+L242+L307+L318+L339+L361+L384+L409+L425+L448+L464+L499+L511+L535+L554+L566+L599+L611+L626+L637+L675+L692+L729+L776+L789+L801+L822+L836+L847+L857+L875+L894+L963+L976+L985+L1000+L1015</f>
        <v>419279.66966058954</v>
      </c>
      <c r="M1017" s="64"/>
      <c r="N1017" s="64">
        <f>N46+N976</f>
        <v>8503.8649889999997</v>
      </c>
      <c r="O1017" s="64"/>
      <c r="P1017" s="64">
        <f>P46+P976</f>
        <v>3757.244475</v>
      </c>
      <c r="Q1017" s="64"/>
      <c r="R1017" s="64">
        <f>R46+R59+R67+R77+R271+R318+R396+R580+R675+R692+R729+R776+R801+R836+R857+R901+R909+R917+R946+R926+R939+R953+R963+R976+R985+R1000+R1015</f>
        <v>134844.61134612729</v>
      </c>
      <c r="S1017" s="65"/>
      <c r="T1017" s="64">
        <f>T46+T59+T77+T87+T97+T113+T124+T133+T141+T150+T161+T242+T318+T339+T361+T384+T409+T425+T448+T464+T471+T499+T511+T535+T554+T566+T599+T611+T626+T637+T675+T692+T705+T729+T754+T776+T789+T801+T808+T822+T836+T847+T875+T894+T963+T985+T1000+T1015</f>
        <v>316834.17263374268</v>
      </c>
      <c r="U1017" s="65"/>
      <c r="V1017" s="64">
        <f>V46+V59+V113+V133+V150+V161+V242+V259+V294+V318+V339+V361+V384+V409+V425+V448+V464+V499+V511+V535+V554+V566+V599+V611+V626+V637+V675+V692+V705+V729+V740+V776+V789+V801+V822+V836+V847+V875+V894+V963+V985+V1000+V1015</f>
        <v>190576.3037315798</v>
      </c>
      <c r="Y1017" s="3"/>
      <c r="Z1017" s="37">
        <f>J1017+L1017+N1017+P1017+R1017+T1017+V1017+0.03</f>
        <v>1164697.0126015586</v>
      </c>
    </row>
    <row r="1018" spans="1:26" x14ac:dyDescent="0.2">
      <c r="J1018" s="44"/>
      <c r="K1018" s="3"/>
      <c r="L1018" s="44"/>
      <c r="M1018" s="44"/>
      <c r="N1018" s="44"/>
      <c r="O1018" s="44"/>
      <c r="P1018" s="44"/>
      <c r="Q1018" s="44"/>
      <c r="R1018" s="48"/>
      <c r="T1018" s="44"/>
      <c r="Y1018" s="48"/>
    </row>
    <row r="1019" spans="1:26" x14ac:dyDescent="0.2">
      <c r="E1019" s="82" t="s">
        <v>4022</v>
      </c>
      <c r="F1019" s="86" t="s">
        <v>4026</v>
      </c>
      <c r="G1019" s="86"/>
      <c r="H1019" s="86"/>
      <c r="I1019" s="3"/>
      <c r="J1019" s="93">
        <f>J1017+L1017+N1017+P1017+R1017+0.03</f>
        <v>657286.5362362361</v>
      </c>
      <c r="K1019" s="95"/>
      <c r="L1019" s="95"/>
      <c r="M1019" s="95"/>
      <c r="N1019" s="95"/>
      <c r="O1019" s="95"/>
      <c r="P1019" s="95"/>
      <c r="Q1019" s="95"/>
      <c r="R1019" s="95"/>
    </row>
    <row r="1020" spans="1:26" x14ac:dyDescent="0.2">
      <c r="E1020" s="82" t="s">
        <v>4023</v>
      </c>
      <c r="F1020" s="86" t="s">
        <v>4024</v>
      </c>
      <c r="G1020" s="86"/>
      <c r="H1020" s="86"/>
      <c r="K1020" s="45"/>
      <c r="L1020" s="3"/>
      <c r="M1020" s="3"/>
      <c r="N1020" s="3"/>
      <c r="O1020" s="3"/>
      <c r="P1020" s="3"/>
      <c r="Q1020" s="3"/>
      <c r="R1020" s="3"/>
      <c r="S1020" s="93">
        <f>T1017+V1017</f>
        <v>507410.47636532248</v>
      </c>
      <c r="T1020" s="93"/>
      <c r="U1020" s="93"/>
      <c r="V1020" s="93"/>
      <c r="Z1020" s="37">
        <f>J1019+S1020</f>
        <v>1164697.0126015586</v>
      </c>
    </row>
    <row r="1021" spans="1:26" x14ac:dyDescent="0.2">
      <c r="J1021" s="94"/>
      <c r="K1021" s="94"/>
      <c r="L1021" s="94"/>
      <c r="M1021" s="45"/>
      <c r="N1021" s="45"/>
      <c r="O1021" s="45"/>
      <c r="P1021" s="45"/>
      <c r="Q1021" s="45"/>
      <c r="R1021" s="45"/>
    </row>
    <row r="1022" spans="1:26" x14ac:dyDescent="0.2">
      <c r="J1022" s="50"/>
      <c r="K1022" s="50"/>
      <c r="L1022" s="50"/>
      <c r="M1022" s="50"/>
      <c r="N1022" s="50"/>
      <c r="O1022" s="50"/>
      <c r="P1022" s="50"/>
      <c r="Q1022" s="50"/>
      <c r="R1022" s="50"/>
    </row>
    <row r="1023" spans="1:26" x14ac:dyDescent="0.2">
      <c r="E1023" s="82"/>
      <c r="F1023" s="87"/>
      <c r="G1023" s="87"/>
      <c r="H1023" s="87"/>
      <c r="J1023" s="93"/>
      <c r="K1023" s="93"/>
      <c r="L1023" s="93"/>
      <c r="M1023" s="93"/>
      <c r="N1023" s="93"/>
      <c r="O1023" s="93"/>
      <c r="P1023" s="93"/>
      <c r="Q1023" s="93"/>
      <c r="R1023" s="93"/>
    </row>
    <row r="1024" spans="1:26" x14ac:dyDescent="0.2">
      <c r="E1024" s="82"/>
      <c r="F1024" s="87"/>
      <c r="G1024" s="87"/>
      <c r="H1024" s="87"/>
      <c r="J1024" s="45"/>
      <c r="K1024" s="45"/>
      <c r="L1024" s="45"/>
      <c r="M1024" s="45"/>
      <c r="N1024" s="45"/>
      <c r="O1024" s="45"/>
      <c r="P1024" s="45"/>
      <c r="Q1024" s="45"/>
      <c r="R1024" s="45"/>
      <c r="S1024" s="92"/>
      <c r="T1024" s="92"/>
      <c r="U1024" s="92"/>
      <c r="V1024" s="92"/>
      <c r="W1024" s="45"/>
      <c r="X1024" s="45"/>
    </row>
    <row r="1025" spans="10:10" x14ac:dyDescent="0.2">
      <c r="J1025" s="45"/>
    </row>
  </sheetData>
  <mergeCells count="24">
    <mergeCell ref="S1024:V1024"/>
    <mergeCell ref="F1019:H1019"/>
    <mergeCell ref="F1020:H1020"/>
    <mergeCell ref="F1023:H1023"/>
    <mergeCell ref="F1024:H1024"/>
    <mergeCell ref="J1023:R1023"/>
    <mergeCell ref="J1021:L1021"/>
    <mergeCell ref="J1019:R1019"/>
    <mergeCell ref="S1020:V1020"/>
    <mergeCell ref="Y8:Z8"/>
    <mergeCell ref="I8:J8"/>
    <mergeCell ref="K8:L8"/>
    <mergeCell ref="S8:T8"/>
    <mergeCell ref="U8:V8"/>
    <mergeCell ref="W8:X8"/>
    <mergeCell ref="M8:N8"/>
    <mergeCell ref="O8:P8"/>
    <mergeCell ref="Q8:R8"/>
    <mergeCell ref="S7:X7"/>
    <mergeCell ref="E1:H1"/>
    <mergeCell ref="E2:H2"/>
    <mergeCell ref="E3:H3"/>
    <mergeCell ref="E4:H4"/>
    <mergeCell ref="J7:L7"/>
  </mergeCells>
  <pageMargins left="0.75" right="0.75" top="0.75" bottom="0.5" header="0.5" footer="0.75"/>
  <pageSetup paperSize="9" scale="41" fitToHeight="7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0753C-86FD-314A-9549-B93986B44557}">
  <dimension ref="A1:AA5440"/>
  <sheetViews>
    <sheetView workbookViewId="0">
      <selection sqref="A1:XFD1048576"/>
    </sheetView>
  </sheetViews>
  <sheetFormatPr baseColWidth="10" defaultColWidth="9.1640625" defaultRowHeight="15" x14ac:dyDescent="0.2"/>
  <cols>
    <col min="1" max="1" width="6.6640625" customWidth="1"/>
    <col min="2" max="2" width="14.6640625" customWidth="1"/>
    <col min="3" max="3" width="6.1640625" customWidth="1"/>
    <col min="4" max="4" width="30.6640625" customWidth="1"/>
    <col min="5" max="5" width="10.6640625" customWidth="1"/>
    <col min="6" max="6" width="3" customWidth="1"/>
    <col min="7" max="7" width="2.1640625" customWidth="1"/>
    <col min="8" max="8" width="10.6640625" customWidth="1"/>
    <col min="9" max="9" width="2.1640625" customWidth="1"/>
    <col min="10" max="11" width="10.6640625" customWidth="1"/>
    <col min="12" max="12" width="90.6640625" customWidth="1"/>
  </cols>
  <sheetData>
    <row r="1" spans="1:27" x14ac:dyDescent="0.2">
      <c r="A1" s="100" t="s">
        <v>0</v>
      </c>
      <c r="B1" s="100" t="s">
        <v>0</v>
      </c>
      <c r="C1" s="100" t="s">
        <v>0</v>
      </c>
      <c r="D1" s="100" t="s">
        <v>0</v>
      </c>
      <c r="E1" s="100" t="s">
        <v>0</v>
      </c>
      <c r="F1" s="100" t="s">
        <v>0</v>
      </c>
      <c r="G1" s="100" t="s">
        <v>0</v>
      </c>
      <c r="H1" s="100" t="s">
        <v>0</v>
      </c>
      <c r="I1" s="100" t="s">
        <v>0</v>
      </c>
      <c r="J1" s="100" t="s">
        <v>0</v>
      </c>
      <c r="K1" s="100" t="s">
        <v>0</v>
      </c>
    </row>
    <row r="2" spans="1:27" x14ac:dyDescent="0.2">
      <c r="A2" s="100" t="s">
        <v>1</v>
      </c>
      <c r="B2" s="100" t="s">
        <v>1</v>
      </c>
      <c r="C2" s="100" t="s">
        <v>1</v>
      </c>
      <c r="D2" s="100" t="s">
        <v>1</v>
      </c>
      <c r="E2" s="100" t="s">
        <v>1</v>
      </c>
      <c r="F2" s="100" t="s">
        <v>1</v>
      </c>
      <c r="G2" s="100" t="s">
        <v>1</v>
      </c>
      <c r="H2" s="100" t="s">
        <v>1</v>
      </c>
      <c r="I2" s="100" t="s">
        <v>1</v>
      </c>
      <c r="J2" s="100" t="s">
        <v>1</v>
      </c>
      <c r="K2" s="100" t="s">
        <v>1</v>
      </c>
    </row>
    <row r="3" spans="1:27" x14ac:dyDescent="0.2">
      <c r="A3" s="100"/>
      <c r="B3" s="100"/>
      <c r="C3" s="100"/>
      <c r="D3" s="100"/>
      <c r="E3" s="100"/>
      <c r="F3" s="100"/>
      <c r="G3" s="100"/>
      <c r="H3" s="100"/>
      <c r="I3" s="100"/>
      <c r="J3" s="100"/>
      <c r="K3" s="100"/>
    </row>
    <row r="4" spans="1:27" x14ac:dyDescent="0.2">
      <c r="A4" s="100"/>
      <c r="B4" s="100"/>
      <c r="C4" s="100"/>
      <c r="D4" s="100"/>
      <c r="E4" s="100"/>
      <c r="F4" s="100"/>
      <c r="G4" s="100"/>
      <c r="H4" s="100"/>
      <c r="I4" s="100"/>
      <c r="J4" s="100"/>
      <c r="K4" s="100"/>
    </row>
    <row r="6" spans="1:27" ht="19" x14ac:dyDescent="0.25">
      <c r="A6" s="101" t="s">
        <v>1057</v>
      </c>
      <c r="B6" s="101" t="s">
        <v>1057</v>
      </c>
      <c r="C6" s="101" t="s">
        <v>1057</v>
      </c>
      <c r="D6" s="101" t="s">
        <v>1057</v>
      </c>
      <c r="E6" s="101" t="s">
        <v>1057</v>
      </c>
      <c r="F6" s="101" t="s">
        <v>1057</v>
      </c>
      <c r="G6" s="101" t="s">
        <v>1057</v>
      </c>
      <c r="H6" s="101" t="s">
        <v>1057</v>
      </c>
      <c r="I6" s="101" t="s">
        <v>1057</v>
      </c>
      <c r="J6" s="101" t="s">
        <v>1057</v>
      </c>
      <c r="K6" s="101" t="s">
        <v>1057</v>
      </c>
    </row>
    <row r="8" spans="1:27" x14ac:dyDescent="0.2">
      <c r="A8" s="16" t="s">
        <v>1058</v>
      </c>
      <c r="B8" s="16" t="s">
        <v>1059</v>
      </c>
      <c r="C8" s="16" t="s">
        <v>1060</v>
      </c>
      <c r="D8" s="16" t="s">
        <v>1061</v>
      </c>
      <c r="E8" s="16"/>
      <c r="F8" s="16"/>
      <c r="G8" s="16"/>
      <c r="H8" s="16"/>
      <c r="I8" s="16"/>
      <c r="J8" s="16"/>
      <c r="K8" s="16" t="s">
        <v>3</v>
      </c>
      <c r="L8" s="16" t="s">
        <v>1062</v>
      </c>
    </row>
    <row r="10" spans="1:27" x14ac:dyDescent="0.2">
      <c r="A10" s="15" t="s">
        <v>1063</v>
      </c>
      <c r="B10" s="15"/>
    </row>
    <row r="11" spans="1:27" ht="45" customHeight="1" x14ac:dyDescent="0.2">
      <c r="A11" s="17"/>
      <c r="B11" s="17" t="s">
        <v>1064</v>
      </c>
      <c r="C11" s="1" t="s">
        <v>15</v>
      </c>
      <c r="D11" s="96" t="s">
        <v>1065</v>
      </c>
      <c r="E11" s="97"/>
      <c r="F11" s="97"/>
      <c r="G11" s="1"/>
      <c r="H11" s="18" t="s">
        <v>1066</v>
      </c>
      <c r="I11" s="98">
        <v>1</v>
      </c>
      <c r="J11" s="99"/>
      <c r="K11" s="19">
        <f>ROUND(K26,2)</f>
        <v>213.42</v>
      </c>
      <c r="L11" s="2" t="s">
        <v>1067</v>
      </c>
      <c r="M11" s="1"/>
      <c r="N11" s="1"/>
      <c r="O11" s="1"/>
      <c r="P11" s="1"/>
      <c r="Q11" s="1"/>
      <c r="R11" s="1"/>
      <c r="S11" s="1"/>
      <c r="T11" s="1"/>
      <c r="U11" s="1"/>
      <c r="V11" s="1"/>
      <c r="W11" s="1"/>
      <c r="X11" s="1"/>
      <c r="Y11" s="1"/>
      <c r="Z11" s="1"/>
      <c r="AA11" s="1"/>
    </row>
    <row r="12" spans="1:27" x14ac:dyDescent="0.2">
      <c r="B12" s="14" t="s">
        <v>1068</v>
      </c>
    </row>
    <row r="13" spans="1:27" x14ac:dyDescent="0.2">
      <c r="B13" t="s">
        <v>1069</v>
      </c>
      <c r="C13" t="s">
        <v>1070</v>
      </c>
      <c r="D13" t="s">
        <v>1071</v>
      </c>
      <c r="E13" s="20">
        <v>1</v>
      </c>
      <c r="F13" t="s">
        <v>1072</v>
      </c>
      <c r="G13" t="s">
        <v>1073</v>
      </c>
      <c r="H13" s="21">
        <v>25.38</v>
      </c>
      <c r="I13" t="s">
        <v>1074</v>
      </c>
      <c r="J13" s="22">
        <f>ROUND(E13/I11* H13,5)</f>
        <v>25.38</v>
      </c>
      <c r="K13" s="23"/>
    </row>
    <row r="14" spans="1:27" x14ac:dyDescent="0.2">
      <c r="D14" s="24" t="s">
        <v>1075</v>
      </c>
      <c r="E14" s="23"/>
      <c r="H14" s="23"/>
      <c r="K14" s="21">
        <f>SUM(J13:J13)</f>
        <v>25.38</v>
      </c>
    </row>
    <row r="15" spans="1:27" x14ac:dyDescent="0.2">
      <c r="B15" s="14" t="s">
        <v>1076</v>
      </c>
      <c r="E15" s="23"/>
      <c r="H15" s="23"/>
      <c r="K15" s="23"/>
    </row>
    <row r="16" spans="1:27" x14ac:dyDescent="0.2">
      <c r="B16" t="s">
        <v>1077</v>
      </c>
      <c r="C16" t="s">
        <v>1070</v>
      </c>
      <c r="D16" t="s">
        <v>1078</v>
      </c>
      <c r="E16" s="20">
        <v>0.7</v>
      </c>
      <c r="F16" t="s">
        <v>1072</v>
      </c>
      <c r="G16" t="s">
        <v>1073</v>
      </c>
      <c r="H16" s="21">
        <v>2.0499999999999998</v>
      </c>
      <c r="I16" t="s">
        <v>1074</v>
      </c>
      <c r="J16" s="22">
        <f>ROUND(E16/I11* H16,5)</f>
        <v>1.4350000000000001</v>
      </c>
      <c r="K16" s="23"/>
    </row>
    <row r="17" spans="1:27" x14ac:dyDescent="0.2">
      <c r="D17" s="24" t="s">
        <v>1079</v>
      </c>
      <c r="E17" s="23"/>
      <c r="H17" s="23"/>
      <c r="K17" s="21">
        <f>SUM(J16:J16)</f>
        <v>1.4350000000000001</v>
      </c>
    </row>
    <row r="18" spans="1:27" x14ac:dyDescent="0.2">
      <c r="B18" s="14" t="s">
        <v>1080</v>
      </c>
      <c r="E18" s="23"/>
      <c r="H18" s="23"/>
      <c r="K18" s="23"/>
    </row>
    <row r="19" spans="1:27" x14ac:dyDescent="0.2">
      <c r="B19" t="s">
        <v>1083</v>
      </c>
      <c r="C19" t="s">
        <v>1084</v>
      </c>
      <c r="D19" t="s">
        <v>1085</v>
      </c>
      <c r="E19" s="20">
        <v>0.82</v>
      </c>
      <c r="G19" t="s">
        <v>1073</v>
      </c>
      <c r="H19" s="21">
        <v>19.350000000000001</v>
      </c>
      <c r="I19" t="s">
        <v>1074</v>
      </c>
      <c r="J19" s="22">
        <f>ROUND(E19* H19,5)</f>
        <v>15.867000000000001</v>
      </c>
      <c r="K19" s="23"/>
    </row>
    <row r="20" spans="1:27" x14ac:dyDescent="0.2">
      <c r="B20" t="s">
        <v>1086</v>
      </c>
      <c r="C20" t="s">
        <v>1084</v>
      </c>
      <c r="D20" t="s">
        <v>1087</v>
      </c>
      <c r="E20" s="20">
        <v>0.7</v>
      </c>
      <c r="G20" t="s">
        <v>1073</v>
      </c>
      <c r="H20" s="21">
        <v>20.350000000000001</v>
      </c>
      <c r="I20" t="s">
        <v>1074</v>
      </c>
      <c r="J20" s="22">
        <f>ROUND(E20* H20,5)</f>
        <v>14.244999999999999</v>
      </c>
      <c r="K20" s="23"/>
    </row>
    <row r="21" spans="1:27" x14ac:dyDescent="0.2">
      <c r="B21" t="s">
        <v>1088</v>
      </c>
      <c r="C21" t="s">
        <v>103</v>
      </c>
      <c r="D21" t="s">
        <v>1089</v>
      </c>
      <c r="E21" s="20">
        <v>380</v>
      </c>
      <c r="G21" t="s">
        <v>1073</v>
      </c>
      <c r="H21" s="21">
        <v>0.41</v>
      </c>
      <c r="I21" t="s">
        <v>1074</v>
      </c>
      <c r="J21" s="22">
        <f>ROUND(E21* H21,5)</f>
        <v>155.80000000000001</v>
      </c>
      <c r="K21" s="23"/>
    </row>
    <row r="22" spans="1:27" x14ac:dyDescent="0.2">
      <c r="B22" t="s">
        <v>1081</v>
      </c>
      <c r="C22" t="s">
        <v>15</v>
      </c>
      <c r="D22" t="s">
        <v>1082</v>
      </c>
      <c r="E22" s="20">
        <v>0.2</v>
      </c>
      <c r="G22" t="s">
        <v>1073</v>
      </c>
      <c r="H22" s="21">
        <v>2.1800000000000002</v>
      </c>
      <c r="I22" t="s">
        <v>1074</v>
      </c>
      <c r="J22" s="22">
        <f>ROUND(E22* H22,5)</f>
        <v>0.436</v>
      </c>
      <c r="K22" s="23"/>
    </row>
    <row r="23" spans="1:27" x14ac:dyDescent="0.2">
      <c r="D23" s="24" t="s">
        <v>1090</v>
      </c>
      <c r="E23" s="23"/>
      <c r="H23" s="23"/>
      <c r="K23" s="21">
        <f>SUM(J19:J22)</f>
        <v>186.34800000000001</v>
      </c>
    </row>
    <row r="24" spans="1:27" x14ac:dyDescent="0.2">
      <c r="D24" s="24" t="s">
        <v>1091</v>
      </c>
      <c r="E24" s="23"/>
      <c r="H24" s="23"/>
      <c r="K24" s="25">
        <f>SUM(J12:J23)</f>
        <v>213.16300000000001</v>
      </c>
    </row>
    <row r="25" spans="1:27" x14ac:dyDescent="0.2">
      <c r="D25" s="24" t="s">
        <v>1092</v>
      </c>
      <c r="E25" s="23"/>
      <c r="H25" s="23">
        <v>1</v>
      </c>
      <c r="I25" t="s">
        <v>1093</v>
      </c>
      <c r="K25" s="23">
        <f>ROUND(H25/100*K14,5)</f>
        <v>0.25380000000000003</v>
      </c>
    </row>
    <row r="26" spans="1:27" x14ac:dyDescent="0.2">
      <c r="D26" s="24" t="s">
        <v>1094</v>
      </c>
      <c r="E26" s="23"/>
      <c r="H26" s="23"/>
      <c r="K26" s="25">
        <f>SUM(K24:K25)</f>
        <v>213.41680000000002</v>
      </c>
    </row>
    <row r="28" spans="1:27" ht="45" customHeight="1" x14ac:dyDescent="0.2">
      <c r="A28" s="17"/>
      <c r="B28" s="17" t="s">
        <v>1095</v>
      </c>
      <c r="C28" s="1" t="s">
        <v>15</v>
      </c>
      <c r="D28" s="96" t="s">
        <v>1096</v>
      </c>
      <c r="E28" s="97"/>
      <c r="F28" s="97"/>
      <c r="G28" s="1"/>
      <c r="H28" s="18" t="s">
        <v>1066</v>
      </c>
      <c r="I28" s="98">
        <v>1</v>
      </c>
      <c r="J28" s="99"/>
      <c r="K28" s="19">
        <f>ROUND(K42,2)</f>
        <v>98.63</v>
      </c>
      <c r="L28" s="2" t="s">
        <v>1097</v>
      </c>
      <c r="M28" s="1"/>
      <c r="N28" s="1"/>
      <c r="O28" s="1"/>
      <c r="P28" s="1"/>
      <c r="Q28" s="1"/>
      <c r="R28" s="1"/>
      <c r="S28" s="1"/>
      <c r="T28" s="1"/>
      <c r="U28" s="1"/>
      <c r="V28" s="1"/>
      <c r="W28" s="1"/>
      <c r="X28" s="1"/>
      <c r="Y28" s="1"/>
      <c r="Z28" s="1"/>
      <c r="AA28" s="1"/>
    </row>
    <row r="29" spans="1:27" x14ac:dyDescent="0.2">
      <c r="B29" s="14" t="s">
        <v>1068</v>
      </c>
    </row>
    <row r="30" spans="1:27" x14ac:dyDescent="0.2">
      <c r="B30" t="s">
        <v>1069</v>
      </c>
      <c r="C30" t="s">
        <v>1070</v>
      </c>
      <c r="D30" t="s">
        <v>1071</v>
      </c>
      <c r="E30" s="20">
        <v>1</v>
      </c>
      <c r="F30" t="s">
        <v>1072</v>
      </c>
      <c r="G30" t="s">
        <v>1073</v>
      </c>
      <c r="H30" s="21">
        <v>25.38</v>
      </c>
      <c r="I30" t="s">
        <v>1074</v>
      </c>
      <c r="J30" s="22">
        <f>ROUND(E30/I28* H30,5)</f>
        <v>25.38</v>
      </c>
      <c r="K30" s="23"/>
    </row>
    <row r="31" spans="1:27" x14ac:dyDescent="0.2">
      <c r="D31" s="24" t="s">
        <v>1075</v>
      </c>
      <c r="E31" s="23"/>
      <c r="H31" s="23"/>
      <c r="K31" s="21">
        <f>SUM(J30:J30)</f>
        <v>25.38</v>
      </c>
    </row>
    <row r="32" spans="1:27" x14ac:dyDescent="0.2">
      <c r="B32" s="14" t="s">
        <v>1076</v>
      </c>
      <c r="E32" s="23"/>
      <c r="H32" s="23"/>
      <c r="K32" s="23"/>
    </row>
    <row r="33" spans="1:27" x14ac:dyDescent="0.2">
      <c r="B33" t="s">
        <v>1077</v>
      </c>
      <c r="C33" t="s">
        <v>1070</v>
      </c>
      <c r="D33" t="s">
        <v>1078</v>
      </c>
      <c r="E33" s="20">
        <v>0.7</v>
      </c>
      <c r="F33" t="s">
        <v>1072</v>
      </c>
      <c r="G33" t="s">
        <v>1073</v>
      </c>
      <c r="H33" s="21">
        <v>2.0499999999999998</v>
      </c>
      <c r="I33" t="s">
        <v>1074</v>
      </c>
      <c r="J33" s="22">
        <f>ROUND(E33/I28* H33,5)</f>
        <v>1.4350000000000001</v>
      </c>
      <c r="K33" s="23"/>
    </row>
    <row r="34" spans="1:27" x14ac:dyDescent="0.2">
      <c r="D34" s="24" t="s">
        <v>1079</v>
      </c>
      <c r="E34" s="23"/>
      <c r="H34" s="23"/>
      <c r="K34" s="21">
        <f>SUM(J33:J33)</f>
        <v>1.4350000000000001</v>
      </c>
    </row>
    <row r="35" spans="1:27" x14ac:dyDescent="0.2">
      <c r="B35" s="14" t="s">
        <v>1080</v>
      </c>
      <c r="E35" s="23"/>
      <c r="H35" s="23"/>
      <c r="K35" s="23"/>
    </row>
    <row r="36" spans="1:27" x14ac:dyDescent="0.2">
      <c r="B36" t="s">
        <v>1081</v>
      </c>
      <c r="C36" t="s">
        <v>15</v>
      </c>
      <c r="D36" t="s">
        <v>1082</v>
      </c>
      <c r="E36" s="20">
        <v>0.2</v>
      </c>
      <c r="G36" t="s">
        <v>1073</v>
      </c>
      <c r="H36" s="21">
        <v>2.1800000000000002</v>
      </c>
      <c r="I36" t="s">
        <v>1074</v>
      </c>
      <c r="J36" s="22">
        <f>ROUND(E36* H36,5)</f>
        <v>0.436</v>
      </c>
      <c r="K36" s="23"/>
    </row>
    <row r="37" spans="1:27" x14ac:dyDescent="0.2">
      <c r="B37" t="s">
        <v>1098</v>
      </c>
      <c r="C37" t="s">
        <v>1084</v>
      </c>
      <c r="D37" t="s">
        <v>1099</v>
      </c>
      <c r="E37" s="20">
        <v>1.63</v>
      </c>
      <c r="G37" t="s">
        <v>1073</v>
      </c>
      <c r="H37" s="21">
        <v>21.84</v>
      </c>
      <c r="I37" t="s">
        <v>1074</v>
      </c>
      <c r="J37" s="22">
        <f>ROUND(E37* H37,5)</f>
        <v>35.599200000000003</v>
      </c>
      <c r="K37" s="23"/>
    </row>
    <row r="38" spans="1:27" x14ac:dyDescent="0.2">
      <c r="B38" t="s">
        <v>1100</v>
      </c>
      <c r="C38" t="s">
        <v>1084</v>
      </c>
      <c r="D38" t="s">
        <v>1101</v>
      </c>
      <c r="E38" s="20">
        <v>0.25</v>
      </c>
      <c r="G38" t="s">
        <v>1073</v>
      </c>
      <c r="H38" s="21">
        <v>142.1</v>
      </c>
      <c r="I38" t="s">
        <v>1074</v>
      </c>
      <c r="J38" s="22">
        <f>ROUND(E38* H38,5)</f>
        <v>35.524999999999999</v>
      </c>
      <c r="K38" s="23"/>
    </row>
    <row r="39" spans="1:27" x14ac:dyDescent="0.2">
      <c r="D39" s="24" t="s">
        <v>1090</v>
      </c>
      <c r="E39" s="23"/>
      <c r="H39" s="23"/>
      <c r="K39" s="21">
        <f>SUM(J36:J38)</f>
        <v>71.560200000000009</v>
      </c>
    </row>
    <row r="40" spans="1:27" x14ac:dyDescent="0.2">
      <c r="D40" s="24" t="s">
        <v>1091</v>
      </c>
      <c r="E40" s="23"/>
      <c r="H40" s="23"/>
      <c r="K40" s="25">
        <f>SUM(J29:J39)</f>
        <v>98.375200000000007</v>
      </c>
    </row>
    <row r="41" spans="1:27" x14ac:dyDescent="0.2">
      <c r="D41" s="24" t="s">
        <v>1092</v>
      </c>
      <c r="E41" s="23"/>
      <c r="H41" s="23">
        <v>1</v>
      </c>
      <c r="I41" t="s">
        <v>1093</v>
      </c>
      <c r="K41" s="23">
        <f>ROUND(H41/100*K31,5)</f>
        <v>0.25380000000000003</v>
      </c>
    </row>
    <row r="42" spans="1:27" x14ac:dyDescent="0.2">
      <c r="D42" s="24" t="s">
        <v>1094</v>
      </c>
      <c r="E42" s="23"/>
      <c r="H42" s="23"/>
      <c r="K42" s="25">
        <f>SUM(K40:K41)</f>
        <v>98.629000000000005</v>
      </c>
    </row>
    <row r="44" spans="1:27" ht="45" customHeight="1" x14ac:dyDescent="0.2">
      <c r="A44" s="17"/>
      <c r="B44" s="17" t="s">
        <v>1102</v>
      </c>
      <c r="C44" s="1" t="s">
        <v>15</v>
      </c>
      <c r="D44" s="96" t="s">
        <v>1103</v>
      </c>
      <c r="E44" s="97"/>
      <c r="F44" s="97"/>
      <c r="G44" s="1"/>
      <c r="H44" s="18" t="s">
        <v>1066</v>
      </c>
      <c r="I44" s="98">
        <v>1</v>
      </c>
      <c r="J44" s="99"/>
      <c r="K44" s="19">
        <f>ROUND(K58,2)</f>
        <v>114.7</v>
      </c>
      <c r="L44" s="2" t="s">
        <v>1104</v>
      </c>
      <c r="M44" s="1"/>
      <c r="N44" s="1"/>
      <c r="O44" s="1"/>
      <c r="P44" s="1"/>
      <c r="Q44" s="1"/>
      <c r="R44" s="1"/>
      <c r="S44" s="1"/>
      <c r="T44" s="1"/>
      <c r="U44" s="1"/>
      <c r="V44" s="1"/>
      <c r="W44" s="1"/>
      <c r="X44" s="1"/>
      <c r="Y44" s="1"/>
      <c r="Z44" s="1"/>
      <c r="AA44" s="1"/>
    </row>
    <row r="45" spans="1:27" x14ac:dyDescent="0.2">
      <c r="B45" s="14" t="s">
        <v>1068</v>
      </c>
    </row>
    <row r="46" spans="1:27" x14ac:dyDescent="0.2">
      <c r="B46" t="s">
        <v>1069</v>
      </c>
      <c r="C46" t="s">
        <v>1070</v>
      </c>
      <c r="D46" t="s">
        <v>1071</v>
      </c>
      <c r="E46" s="20">
        <v>1</v>
      </c>
      <c r="F46" t="s">
        <v>1072</v>
      </c>
      <c r="G46" t="s">
        <v>1073</v>
      </c>
      <c r="H46" s="21">
        <v>25.38</v>
      </c>
      <c r="I46" t="s">
        <v>1074</v>
      </c>
      <c r="J46" s="22">
        <f>ROUND(E46/I44* H46,5)</f>
        <v>25.38</v>
      </c>
      <c r="K46" s="23"/>
    </row>
    <row r="47" spans="1:27" x14ac:dyDescent="0.2">
      <c r="D47" s="24" t="s">
        <v>1075</v>
      </c>
      <c r="E47" s="23"/>
      <c r="H47" s="23"/>
      <c r="K47" s="21">
        <f>SUM(J46:J46)</f>
        <v>25.38</v>
      </c>
    </row>
    <row r="48" spans="1:27" x14ac:dyDescent="0.2">
      <c r="B48" s="14" t="s">
        <v>1076</v>
      </c>
      <c r="E48" s="23"/>
      <c r="H48" s="23"/>
      <c r="K48" s="23"/>
    </row>
    <row r="49" spans="1:27" x14ac:dyDescent="0.2">
      <c r="B49" t="s">
        <v>1077</v>
      </c>
      <c r="C49" t="s">
        <v>1070</v>
      </c>
      <c r="D49" t="s">
        <v>1078</v>
      </c>
      <c r="E49" s="20">
        <v>0.7</v>
      </c>
      <c r="F49" t="s">
        <v>1072</v>
      </c>
      <c r="G49" t="s">
        <v>1073</v>
      </c>
      <c r="H49" s="21">
        <v>2.0499999999999998</v>
      </c>
      <c r="I49" t="s">
        <v>1074</v>
      </c>
      <c r="J49" s="22">
        <f>ROUND(E49/I44* H49,5)</f>
        <v>1.4350000000000001</v>
      </c>
      <c r="K49" s="23"/>
    </row>
    <row r="50" spans="1:27" x14ac:dyDescent="0.2">
      <c r="D50" s="24" t="s">
        <v>1079</v>
      </c>
      <c r="E50" s="23"/>
      <c r="H50" s="23"/>
      <c r="K50" s="21">
        <f>SUM(J49:J49)</f>
        <v>1.4350000000000001</v>
      </c>
    </row>
    <row r="51" spans="1:27" x14ac:dyDescent="0.2">
      <c r="B51" s="14" t="s">
        <v>1080</v>
      </c>
      <c r="E51" s="23"/>
      <c r="H51" s="23"/>
      <c r="K51" s="23"/>
    </row>
    <row r="52" spans="1:27" x14ac:dyDescent="0.2">
      <c r="B52" t="s">
        <v>1100</v>
      </c>
      <c r="C52" t="s">
        <v>1084</v>
      </c>
      <c r="D52" t="s">
        <v>1101</v>
      </c>
      <c r="E52" s="20">
        <v>0.38</v>
      </c>
      <c r="G52" t="s">
        <v>1073</v>
      </c>
      <c r="H52" s="21">
        <v>142.1</v>
      </c>
      <c r="I52" t="s">
        <v>1074</v>
      </c>
      <c r="J52" s="22">
        <f>ROUND(E52* H52,5)</f>
        <v>53.997999999999998</v>
      </c>
      <c r="K52" s="23"/>
    </row>
    <row r="53" spans="1:27" x14ac:dyDescent="0.2">
      <c r="B53" t="s">
        <v>1081</v>
      </c>
      <c r="C53" t="s">
        <v>15</v>
      </c>
      <c r="D53" t="s">
        <v>1082</v>
      </c>
      <c r="E53" s="20">
        <v>0.2</v>
      </c>
      <c r="G53" t="s">
        <v>1073</v>
      </c>
      <c r="H53" s="21">
        <v>2.1800000000000002</v>
      </c>
      <c r="I53" t="s">
        <v>1074</v>
      </c>
      <c r="J53" s="22">
        <f>ROUND(E53* H53,5)</f>
        <v>0.436</v>
      </c>
      <c r="K53" s="23"/>
    </row>
    <row r="54" spans="1:27" x14ac:dyDescent="0.2">
      <c r="B54" t="s">
        <v>1098</v>
      </c>
      <c r="C54" t="s">
        <v>1084</v>
      </c>
      <c r="D54" t="s">
        <v>1099</v>
      </c>
      <c r="E54" s="20">
        <v>1.52</v>
      </c>
      <c r="G54" t="s">
        <v>1073</v>
      </c>
      <c r="H54" s="21">
        <v>21.84</v>
      </c>
      <c r="I54" t="s">
        <v>1074</v>
      </c>
      <c r="J54" s="22">
        <f>ROUND(E54* H54,5)</f>
        <v>33.196800000000003</v>
      </c>
      <c r="K54" s="23"/>
    </row>
    <row r="55" spans="1:27" x14ac:dyDescent="0.2">
      <c r="D55" s="24" t="s">
        <v>1090</v>
      </c>
      <c r="E55" s="23"/>
      <c r="H55" s="23"/>
      <c r="K55" s="21">
        <f>SUM(J52:J54)</f>
        <v>87.630799999999994</v>
      </c>
    </row>
    <row r="56" spans="1:27" x14ac:dyDescent="0.2">
      <c r="D56" s="24" t="s">
        <v>1091</v>
      </c>
      <c r="E56" s="23"/>
      <c r="H56" s="23"/>
      <c r="K56" s="25">
        <f>SUM(J45:J55)</f>
        <v>114.44579999999999</v>
      </c>
    </row>
    <row r="57" spans="1:27" x14ac:dyDescent="0.2">
      <c r="D57" s="24" t="s">
        <v>1092</v>
      </c>
      <c r="E57" s="23"/>
      <c r="H57" s="23">
        <v>1</v>
      </c>
      <c r="I57" t="s">
        <v>1093</v>
      </c>
      <c r="K57" s="23">
        <f>ROUND(H57/100*K47,5)</f>
        <v>0.25380000000000003</v>
      </c>
    </row>
    <row r="58" spans="1:27" x14ac:dyDescent="0.2">
      <c r="D58" s="24" t="s">
        <v>1094</v>
      </c>
      <c r="E58" s="23"/>
      <c r="H58" s="23"/>
      <c r="K58" s="25">
        <f>SUM(K56:K57)</f>
        <v>114.69959999999999</v>
      </c>
    </row>
    <row r="60" spans="1:27" ht="45" customHeight="1" x14ac:dyDescent="0.2">
      <c r="A60" s="17"/>
      <c r="B60" s="17" t="s">
        <v>1105</v>
      </c>
      <c r="C60" s="1" t="s">
        <v>15</v>
      </c>
      <c r="D60" s="96" t="s">
        <v>1106</v>
      </c>
      <c r="E60" s="97"/>
      <c r="F60" s="97"/>
      <c r="G60" s="1"/>
      <c r="H60" s="18" t="s">
        <v>1066</v>
      </c>
      <c r="I60" s="98">
        <v>1</v>
      </c>
      <c r="J60" s="99"/>
      <c r="K60" s="19">
        <f>ROUND(K75,2)</f>
        <v>230.67</v>
      </c>
      <c r="L60" s="2" t="s">
        <v>1107</v>
      </c>
      <c r="M60" s="1"/>
      <c r="N60" s="1"/>
      <c r="O60" s="1"/>
      <c r="P60" s="1"/>
      <c r="Q60" s="1"/>
      <c r="R60" s="1"/>
      <c r="S60" s="1"/>
      <c r="T60" s="1"/>
      <c r="U60" s="1"/>
      <c r="V60" s="1"/>
      <c r="W60" s="1"/>
      <c r="X60" s="1"/>
      <c r="Y60" s="1"/>
      <c r="Z60" s="1"/>
      <c r="AA60" s="1"/>
    </row>
    <row r="61" spans="1:27" x14ac:dyDescent="0.2">
      <c r="B61" s="14" t="s">
        <v>1068</v>
      </c>
    </row>
    <row r="62" spans="1:27" x14ac:dyDescent="0.2">
      <c r="B62" t="s">
        <v>1069</v>
      </c>
      <c r="C62" t="s">
        <v>1070</v>
      </c>
      <c r="D62" t="s">
        <v>1071</v>
      </c>
      <c r="E62" s="20">
        <v>1.05</v>
      </c>
      <c r="F62" t="s">
        <v>1072</v>
      </c>
      <c r="G62" t="s">
        <v>1073</v>
      </c>
      <c r="H62" s="21">
        <v>25.38</v>
      </c>
      <c r="I62" t="s">
        <v>1074</v>
      </c>
      <c r="J62" s="22">
        <f>ROUND(E62/I60* H62,5)</f>
        <v>26.649000000000001</v>
      </c>
      <c r="K62" s="23"/>
    </row>
    <row r="63" spans="1:27" x14ac:dyDescent="0.2">
      <c r="D63" s="24" t="s">
        <v>1075</v>
      </c>
      <c r="E63" s="23"/>
      <c r="H63" s="23"/>
      <c r="K63" s="21">
        <f>SUM(J62:J62)</f>
        <v>26.649000000000001</v>
      </c>
    </row>
    <row r="64" spans="1:27" x14ac:dyDescent="0.2">
      <c r="B64" s="14" t="s">
        <v>1076</v>
      </c>
      <c r="E64" s="23"/>
      <c r="H64" s="23"/>
      <c r="K64" s="23"/>
    </row>
    <row r="65" spans="1:27" x14ac:dyDescent="0.2">
      <c r="B65" t="s">
        <v>1077</v>
      </c>
      <c r="C65" t="s">
        <v>1070</v>
      </c>
      <c r="D65" t="s">
        <v>1078</v>
      </c>
      <c r="E65" s="20">
        <v>0.72499999999999998</v>
      </c>
      <c r="F65" t="s">
        <v>1072</v>
      </c>
      <c r="G65" t="s">
        <v>1073</v>
      </c>
      <c r="H65" s="21">
        <v>2.0499999999999998</v>
      </c>
      <c r="I65" t="s">
        <v>1074</v>
      </c>
      <c r="J65" s="22">
        <f>ROUND(E65/I60* H65,5)</f>
        <v>1.4862500000000001</v>
      </c>
      <c r="K65" s="23"/>
    </row>
    <row r="66" spans="1:27" x14ac:dyDescent="0.2">
      <c r="D66" s="24" t="s">
        <v>1079</v>
      </c>
      <c r="E66" s="23"/>
      <c r="H66" s="23"/>
      <c r="K66" s="21">
        <f>SUM(J65:J65)</f>
        <v>1.4862500000000001</v>
      </c>
    </row>
    <row r="67" spans="1:27" x14ac:dyDescent="0.2">
      <c r="B67" s="14" t="s">
        <v>1080</v>
      </c>
      <c r="E67" s="23"/>
      <c r="H67" s="23"/>
      <c r="K67" s="23"/>
    </row>
    <row r="68" spans="1:27" x14ac:dyDescent="0.2">
      <c r="B68" t="s">
        <v>1081</v>
      </c>
      <c r="C68" t="s">
        <v>15</v>
      </c>
      <c r="D68" t="s">
        <v>1082</v>
      </c>
      <c r="E68" s="20">
        <v>0.2</v>
      </c>
      <c r="G68" t="s">
        <v>1073</v>
      </c>
      <c r="H68" s="21">
        <v>2.1800000000000002</v>
      </c>
      <c r="I68" t="s">
        <v>1074</v>
      </c>
      <c r="J68" s="22">
        <f>ROUND(E68* H68,5)</f>
        <v>0.436</v>
      </c>
      <c r="K68" s="23"/>
    </row>
    <row r="69" spans="1:27" x14ac:dyDescent="0.2">
      <c r="B69" t="s">
        <v>1098</v>
      </c>
      <c r="C69" t="s">
        <v>1084</v>
      </c>
      <c r="D69" t="s">
        <v>1099</v>
      </c>
      <c r="E69" s="20">
        <v>1.53</v>
      </c>
      <c r="G69" t="s">
        <v>1073</v>
      </c>
      <c r="H69" s="21">
        <v>21.84</v>
      </c>
      <c r="I69" t="s">
        <v>1074</v>
      </c>
      <c r="J69" s="22">
        <f>ROUND(E69* H69,5)</f>
        <v>33.415199999999999</v>
      </c>
      <c r="K69" s="23"/>
    </row>
    <row r="70" spans="1:27" x14ac:dyDescent="0.2">
      <c r="B70" t="s">
        <v>1108</v>
      </c>
      <c r="C70" t="s">
        <v>103</v>
      </c>
      <c r="D70" t="s">
        <v>1109</v>
      </c>
      <c r="E70" s="20">
        <v>400</v>
      </c>
      <c r="G70" t="s">
        <v>1073</v>
      </c>
      <c r="H70" s="21">
        <v>0.35</v>
      </c>
      <c r="I70" t="s">
        <v>1074</v>
      </c>
      <c r="J70" s="22">
        <f>ROUND(E70* H70,5)</f>
        <v>140</v>
      </c>
      <c r="K70" s="23"/>
    </row>
    <row r="71" spans="1:27" x14ac:dyDescent="0.2">
      <c r="B71" t="s">
        <v>1100</v>
      </c>
      <c r="C71" t="s">
        <v>1084</v>
      </c>
      <c r="D71" t="s">
        <v>1101</v>
      </c>
      <c r="E71" s="20">
        <v>0.2</v>
      </c>
      <c r="G71" t="s">
        <v>1073</v>
      </c>
      <c r="H71" s="21">
        <v>142.1</v>
      </c>
      <c r="I71" t="s">
        <v>1074</v>
      </c>
      <c r="J71" s="22">
        <f>ROUND(E71* H71,5)</f>
        <v>28.42</v>
      </c>
      <c r="K71" s="23"/>
    </row>
    <row r="72" spans="1:27" x14ac:dyDescent="0.2">
      <c r="D72" s="24" t="s">
        <v>1090</v>
      </c>
      <c r="E72" s="23"/>
      <c r="H72" s="23"/>
      <c r="K72" s="21">
        <f>SUM(J68:J71)</f>
        <v>202.27120000000002</v>
      </c>
    </row>
    <row r="73" spans="1:27" x14ac:dyDescent="0.2">
      <c r="D73" s="24" t="s">
        <v>1091</v>
      </c>
      <c r="E73" s="23"/>
      <c r="H73" s="23"/>
      <c r="K73" s="25">
        <f>SUM(J61:J72)</f>
        <v>230.40645000000001</v>
      </c>
    </row>
    <row r="74" spans="1:27" x14ac:dyDescent="0.2">
      <c r="D74" s="24" t="s">
        <v>1092</v>
      </c>
      <c r="E74" s="23"/>
      <c r="H74" s="23">
        <v>1</v>
      </c>
      <c r="I74" t="s">
        <v>1093</v>
      </c>
      <c r="K74" s="23">
        <f>ROUND(H74/100*K63,5)</f>
        <v>0.26649</v>
      </c>
    </row>
    <row r="75" spans="1:27" x14ac:dyDescent="0.2">
      <c r="D75" s="24" t="s">
        <v>1094</v>
      </c>
      <c r="E75" s="23"/>
      <c r="H75" s="23"/>
      <c r="K75" s="25">
        <f>SUM(K73:K74)</f>
        <v>230.67294000000001</v>
      </c>
    </row>
    <row r="77" spans="1:27" ht="45" customHeight="1" x14ac:dyDescent="0.2">
      <c r="A77" s="17"/>
      <c r="B77" s="17" t="s">
        <v>1110</v>
      </c>
      <c r="C77" s="1" t="s">
        <v>15</v>
      </c>
      <c r="D77" s="96" t="s">
        <v>1111</v>
      </c>
      <c r="E77" s="97"/>
      <c r="F77" s="97"/>
      <c r="G77" s="1"/>
      <c r="H77" s="18" t="s">
        <v>1066</v>
      </c>
      <c r="I77" s="98">
        <v>1</v>
      </c>
      <c r="J77" s="99"/>
      <c r="K77" s="19">
        <f>ROUND(K91,2)</f>
        <v>93.93</v>
      </c>
      <c r="L77" s="2" t="s">
        <v>1112</v>
      </c>
      <c r="M77" s="1"/>
      <c r="N77" s="1"/>
      <c r="O77" s="1"/>
      <c r="P77" s="1"/>
      <c r="Q77" s="1"/>
      <c r="R77" s="1"/>
      <c r="S77" s="1"/>
      <c r="T77" s="1"/>
      <c r="U77" s="1"/>
      <c r="V77" s="1"/>
      <c r="W77" s="1"/>
      <c r="X77" s="1"/>
      <c r="Y77" s="1"/>
      <c r="Z77" s="1"/>
      <c r="AA77" s="1"/>
    </row>
    <row r="78" spans="1:27" x14ac:dyDescent="0.2">
      <c r="B78" s="14" t="s">
        <v>1068</v>
      </c>
    </row>
    <row r="79" spans="1:27" x14ac:dyDescent="0.2">
      <c r="B79" t="s">
        <v>1069</v>
      </c>
      <c r="C79" t="s">
        <v>1070</v>
      </c>
      <c r="D79" t="s">
        <v>1071</v>
      </c>
      <c r="E79" s="20">
        <v>1</v>
      </c>
      <c r="F79" t="s">
        <v>1072</v>
      </c>
      <c r="G79" t="s">
        <v>1073</v>
      </c>
      <c r="H79" s="21">
        <v>25.38</v>
      </c>
      <c r="I79" t="s">
        <v>1074</v>
      </c>
      <c r="J79" s="22">
        <f>ROUND(E79/I77* H79,5)</f>
        <v>25.38</v>
      </c>
      <c r="K79" s="23"/>
    </row>
    <row r="80" spans="1:27" x14ac:dyDescent="0.2">
      <c r="D80" s="24" t="s">
        <v>1075</v>
      </c>
      <c r="E80" s="23"/>
      <c r="H80" s="23"/>
      <c r="K80" s="21">
        <f>SUM(J79:J79)</f>
        <v>25.38</v>
      </c>
    </row>
    <row r="81" spans="1:27" x14ac:dyDescent="0.2">
      <c r="B81" s="14" t="s">
        <v>1076</v>
      </c>
      <c r="E81" s="23"/>
      <c r="H81" s="23"/>
      <c r="K81" s="23"/>
    </row>
    <row r="82" spans="1:27" x14ac:dyDescent="0.2">
      <c r="B82" t="s">
        <v>1077</v>
      </c>
      <c r="C82" t="s">
        <v>1070</v>
      </c>
      <c r="D82" t="s">
        <v>1078</v>
      </c>
      <c r="E82" s="20">
        <v>0.7</v>
      </c>
      <c r="F82" t="s">
        <v>1072</v>
      </c>
      <c r="G82" t="s">
        <v>1073</v>
      </c>
      <c r="H82" s="21">
        <v>2.0499999999999998</v>
      </c>
      <c r="I82" t="s">
        <v>1074</v>
      </c>
      <c r="J82" s="22">
        <f>ROUND(E82/I77* H82,5)</f>
        <v>1.4350000000000001</v>
      </c>
      <c r="K82" s="23"/>
    </row>
    <row r="83" spans="1:27" x14ac:dyDescent="0.2">
      <c r="D83" s="24" t="s">
        <v>1079</v>
      </c>
      <c r="E83" s="23"/>
      <c r="H83" s="23"/>
      <c r="K83" s="21">
        <f>SUM(J82:J82)</f>
        <v>1.4350000000000001</v>
      </c>
    </row>
    <row r="84" spans="1:27" x14ac:dyDescent="0.2">
      <c r="B84" s="14" t="s">
        <v>1080</v>
      </c>
      <c r="E84" s="23"/>
      <c r="H84" s="23"/>
      <c r="K84" s="23"/>
    </row>
    <row r="85" spans="1:27" x14ac:dyDescent="0.2">
      <c r="B85" t="s">
        <v>1100</v>
      </c>
      <c r="C85" t="s">
        <v>1084</v>
      </c>
      <c r="D85" t="s">
        <v>1101</v>
      </c>
      <c r="E85" s="20">
        <v>0.2</v>
      </c>
      <c r="G85" t="s">
        <v>1073</v>
      </c>
      <c r="H85" s="21">
        <v>142.1</v>
      </c>
      <c r="I85" t="s">
        <v>1074</v>
      </c>
      <c r="J85" s="22">
        <f>ROUND(E85* H85,5)</f>
        <v>28.42</v>
      </c>
      <c r="K85" s="23"/>
    </row>
    <row r="86" spans="1:27" x14ac:dyDescent="0.2">
      <c r="B86" t="s">
        <v>1081</v>
      </c>
      <c r="C86" t="s">
        <v>15</v>
      </c>
      <c r="D86" t="s">
        <v>1082</v>
      </c>
      <c r="E86" s="20">
        <v>0.2</v>
      </c>
      <c r="G86" t="s">
        <v>1073</v>
      </c>
      <c r="H86" s="21">
        <v>2.1800000000000002</v>
      </c>
      <c r="I86" t="s">
        <v>1074</v>
      </c>
      <c r="J86" s="22">
        <f>ROUND(E86* H86,5)</f>
        <v>0.436</v>
      </c>
      <c r="K86" s="23"/>
    </row>
    <row r="87" spans="1:27" x14ac:dyDescent="0.2">
      <c r="B87" t="s">
        <v>1098</v>
      </c>
      <c r="C87" t="s">
        <v>1084</v>
      </c>
      <c r="D87" t="s">
        <v>1099</v>
      </c>
      <c r="E87" s="20">
        <v>1.74</v>
      </c>
      <c r="G87" t="s">
        <v>1073</v>
      </c>
      <c r="H87" s="21">
        <v>21.84</v>
      </c>
      <c r="I87" t="s">
        <v>1074</v>
      </c>
      <c r="J87" s="22">
        <f>ROUND(E87* H87,5)</f>
        <v>38.001600000000003</v>
      </c>
      <c r="K87" s="23"/>
    </row>
    <row r="88" spans="1:27" x14ac:dyDescent="0.2">
      <c r="D88" s="24" t="s">
        <v>1090</v>
      </c>
      <c r="E88" s="23"/>
      <c r="H88" s="23"/>
      <c r="K88" s="21">
        <f>SUM(J85:J87)</f>
        <v>66.857600000000005</v>
      </c>
    </row>
    <row r="89" spans="1:27" x14ac:dyDescent="0.2">
      <c r="D89" s="24" t="s">
        <v>1091</v>
      </c>
      <c r="E89" s="23"/>
      <c r="H89" s="23"/>
      <c r="K89" s="25">
        <f>SUM(J78:J88)</f>
        <v>93.672600000000003</v>
      </c>
    </row>
    <row r="90" spans="1:27" x14ac:dyDescent="0.2">
      <c r="D90" s="24" t="s">
        <v>1092</v>
      </c>
      <c r="E90" s="23"/>
      <c r="H90" s="23">
        <v>1</v>
      </c>
      <c r="I90" t="s">
        <v>1093</v>
      </c>
      <c r="K90" s="23">
        <f>ROUND(H90/100*K80,5)</f>
        <v>0.25380000000000003</v>
      </c>
    </row>
    <row r="91" spans="1:27" x14ac:dyDescent="0.2">
      <c r="D91" s="24" t="s">
        <v>1094</v>
      </c>
      <c r="E91" s="23"/>
      <c r="H91" s="23"/>
      <c r="K91" s="25">
        <f>SUM(K89:K90)</f>
        <v>93.926400000000001</v>
      </c>
    </row>
    <row r="93" spans="1:27" ht="45" customHeight="1" x14ac:dyDescent="0.2">
      <c r="A93" s="17"/>
      <c r="B93" s="17" t="s">
        <v>4027</v>
      </c>
      <c r="C93" s="1" t="s">
        <v>15</v>
      </c>
      <c r="D93" s="96" t="s">
        <v>4028</v>
      </c>
      <c r="E93" s="97"/>
      <c r="F93" s="97"/>
      <c r="G93" s="1"/>
      <c r="H93" s="18" t="s">
        <v>1066</v>
      </c>
      <c r="I93" s="98">
        <v>1</v>
      </c>
      <c r="J93" s="99"/>
      <c r="K93" s="19">
        <f>ROUND(K107,2)</f>
        <v>186.1</v>
      </c>
      <c r="L93" s="2" t="s">
        <v>4029</v>
      </c>
      <c r="M93" s="1"/>
      <c r="N93" s="1"/>
      <c r="O93" s="1"/>
      <c r="P93" s="1"/>
      <c r="Q93" s="1"/>
      <c r="R93" s="1"/>
      <c r="S93" s="1"/>
      <c r="T93" s="1"/>
      <c r="U93" s="1"/>
      <c r="V93" s="1"/>
      <c r="W93" s="1"/>
      <c r="X93" s="1"/>
      <c r="Y93" s="1"/>
      <c r="Z93" s="1"/>
      <c r="AA93" s="1"/>
    </row>
    <row r="94" spans="1:27" x14ac:dyDescent="0.2">
      <c r="B94" s="14" t="s">
        <v>1068</v>
      </c>
    </row>
    <row r="95" spans="1:27" x14ac:dyDescent="0.2">
      <c r="B95" t="s">
        <v>1069</v>
      </c>
      <c r="C95" t="s">
        <v>1070</v>
      </c>
      <c r="D95" t="s">
        <v>1071</v>
      </c>
      <c r="E95" s="20">
        <v>1</v>
      </c>
      <c r="F95" t="s">
        <v>1072</v>
      </c>
      <c r="G95" t="s">
        <v>1073</v>
      </c>
      <c r="H95" s="21">
        <v>25.38</v>
      </c>
      <c r="I95" t="s">
        <v>1074</v>
      </c>
      <c r="J95" s="22">
        <f>ROUND(E95/I93* H95,5)</f>
        <v>25.38</v>
      </c>
      <c r="K95" s="23"/>
    </row>
    <row r="96" spans="1:27" x14ac:dyDescent="0.2">
      <c r="D96" s="24" t="s">
        <v>1075</v>
      </c>
      <c r="E96" s="23"/>
      <c r="H96" s="23"/>
      <c r="K96" s="21">
        <f>SUM(J95:J95)</f>
        <v>25.38</v>
      </c>
    </row>
    <row r="97" spans="1:27" x14ac:dyDescent="0.2">
      <c r="B97" s="14" t="s">
        <v>1076</v>
      </c>
      <c r="E97" s="23"/>
      <c r="H97" s="23"/>
      <c r="K97" s="23"/>
    </row>
    <row r="98" spans="1:27" x14ac:dyDescent="0.2">
      <c r="B98" t="s">
        <v>1077</v>
      </c>
      <c r="C98" t="s">
        <v>1070</v>
      </c>
      <c r="D98" t="s">
        <v>1078</v>
      </c>
      <c r="E98" s="20">
        <v>0.7</v>
      </c>
      <c r="F98" t="s">
        <v>1072</v>
      </c>
      <c r="G98" t="s">
        <v>1073</v>
      </c>
      <c r="H98" s="21">
        <v>2.0499999999999998</v>
      </c>
      <c r="I98" t="s">
        <v>1074</v>
      </c>
      <c r="J98" s="22">
        <f>ROUND(E98/I93* H98,5)</f>
        <v>1.4350000000000001</v>
      </c>
      <c r="K98" s="23"/>
    </row>
    <row r="99" spans="1:27" x14ac:dyDescent="0.2">
      <c r="D99" s="24" t="s">
        <v>1079</v>
      </c>
      <c r="E99" s="23"/>
      <c r="H99" s="23"/>
      <c r="K99" s="21">
        <f>SUM(J98:J98)</f>
        <v>1.4350000000000001</v>
      </c>
    </row>
    <row r="100" spans="1:27" x14ac:dyDescent="0.2">
      <c r="B100" s="14" t="s">
        <v>1080</v>
      </c>
      <c r="E100" s="23"/>
      <c r="H100" s="23"/>
      <c r="K100" s="23"/>
    </row>
    <row r="101" spans="1:27" x14ac:dyDescent="0.2">
      <c r="B101" t="s">
        <v>1081</v>
      </c>
      <c r="C101" t="s">
        <v>15</v>
      </c>
      <c r="D101" t="s">
        <v>1082</v>
      </c>
      <c r="E101" s="20">
        <v>0.2</v>
      </c>
      <c r="G101" t="s">
        <v>1073</v>
      </c>
      <c r="H101" s="21">
        <v>2.1800000000000002</v>
      </c>
      <c r="I101" t="s">
        <v>1074</v>
      </c>
      <c r="J101" s="22">
        <f>ROUND(E101* H101,5)</f>
        <v>0.436</v>
      </c>
      <c r="K101" s="23"/>
    </row>
    <row r="102" spans="1:27" x14ac:dyDescent="0.2">
      <c r="B102" t="s">
        <v>1098</v>
      </c>
      <c r="C102" t="s">
        <v>1084</v>
      </c>
      <c r="D102" t="s">
        <v>1099</v>
      </c>
      <c r="E102" s="20">
        <v>1.52</v>
      </c>
      <c r="G102" t="s">
        <v>1073</v>
      </c>
      <c r="H102" s="21">
        <v>21.84</v>
      </c>
      <c r="I102" t="s">
        <v>1074</v>
      </c>
      <c r="J102" s="22">
        <f>ROUND(E102* H102,5)</f>
        <v>33.196800000000003</v>
      </c>
      <c r="K102" s="23"/>
    </row>
    <row r="103" spans="1:27" x14ac:dyDescent="0.2">
      <c r="B103" t="s">
        <v>4030</v>
      </c>
      <c r="C103" t="s">
        <v>103</v>
      </c>
      <c r="D103" t="s">
        <v>4031</v>
      </c>
      <c r="E103" s="20">
        <v>380</v>
      </c>
      <c r="G103" t="s">
        <v>1073</v>
      </c>
      <c r="H103" s="21">
        <v>0.33</v>
      </c>
      <c r="I103" t="s">
        <v>1074</v>
      </c>
      <c r="J103" s="22">
        <f>ROUND(E103* H103,5)</f>
        <v>125.4</v>
      </c>
      <c r="K103" s="23"/>
    </row>
    <row r="104" spans="1:27" x14ac:dyDescent="0.2">
      <c r="D104" s="24" t="s">
        <v>1090</v>
      </c>
      <c r="E104" s="23"/>
      <c r="H104" s="23"/>
      <c r="K104" s="21">
        <f>SUM(J101:J103)</f>
        <v>159.03280000000001</v>
      </c>
    </row>
    <row r="105" spans="1:27" x14ac:dyDescent="0.2">
      <c r="D105" s="24" t="s">
        <v>1091</v>
      </c>
      <c r="E105" s="23"/>
      <c r="H105" s="23"/>
      <c r="K105" s="25">
        <f>SUM(J94:J104)</f>
        <v>185.84780000000001</v>
      </c>
    </row>
    <row r="106" spans="1:27" x14ac:dyDescent="0.2">
      <c r="D106" s="24" t="s">
        <v>1092</v>
      </c>
      <c r="E106" s="23"/>
      <c r="H106" s="23">
        <v>1</v>
      </c>
      <c r="I106" t="s">
        <v>1093</v>
      </c>
      <c r="K106" s="23">
        <f>ROUND(H106/100*K96,5)</f>
        <v>0.25380000000000003</v>
      </c>
    </row>
    <row r="107" spans="1:27" x14ac:dyDescent="0.2">
      <c r="D107" s="24" t="s">
        <v>1094</v>
      </c>
      <c r="E107" s="23"/>
      <c r="H107" s="23"/>
      <c r="K107" s="25">
        <f>SUM(K105:K106)</f>
        <v>186.10160000000002</v>
      </c>
    </row>
    <row r="109" spans="1:27" ht="45" customHeight="1" x14ac:dyDescent="0.2">
      <c r="A109" s="17"/>
      <c r="B109" s="17" t="s">
        <v>1113</v>
      </c>
      <c r="C109" s="1" t="s">
        <v>15</v>
      </c>
      <c r="D109" s="96" t="s">
        <v>1114</v>
      </c>
      <c r="E109" s="97"/>
      <c r="F109" s="97"/>
      <c r="G109" s="1"/>
      <c r="H109" s="18" t="s">
        <v>1066</v>
      </c>
      <c r="I109" s="98">
        <v>1</v>
      </c>
      <c r="J109" s="99"/>
      <c r="K109" s="19">
        <f>ROUND(K124,2)</f>
        <v>117.75</v>
      </c>
      <c r="L109" s="2" t="s">
        <v>1115</v>
      </c>
      <c r="M109" s="1"/>
      <c r="N109" s="1"/>
      <c r="O109" s="1"/>
      <c r="P109" s="1"/>
      <c r="Q109" s="1"/>
      <c r="R109" s="1"/>
      <c r="S109" s="1"/>
      <c r="T109" s="1"/>
      <c r="U109" s="1"/>
      <c r="V109" s="1"/>
      <c r="W109" s="1"/>
      <c r="X109" s="1"/>
      <c r="Y109" s="1"/>
      <c r="Z109" s="1"/>
      <c r="AA109" s="1"/>
    </row>
    <row r="110" spans="1:27" x14ac:dyDescent="0.2">
      <c r="B110" s="14" t="s">
        <v>1068</v>
      </c>
    </row>
    <row r="111" spans="1:27" x14ac:dyDescent="0.2">
      <c r="B111" t="s">
        <v>1069</v>
      </c>
      <c r="C111" t="s">
        <v>1070</v>
      </c>
      <c r="D111" t="s">
        <v>1071</v>
      </c>
      <c r="E111" s="20">
        <v>1</v>
      </c>
      <c r="F111" t="s">
        <v>1072</v>
      </c>
      <c r="G111" t="s">
        <v>1073</v>
      </c>
      <c r="H111" s="21">
        <v>25.38</v>
      </c>
      <c r="I111" t="s">
        <v>1074</v>
      </c>
      <c r="J111" s="22">
        <f>ROUND(E111/I109* H111,5)</f>
        <v>25.38</v>
      </c>
      <c r="K111" s="23"/>
    </row>
    <row r="112" spans="1:27" x14ac:dyDescent="0.2">
      <c r="D112" s="24" t="s">
        <v>1075</v>
      </c>
      <c r="E112" s="23"/>
      <c r="H112" s="23"/>
      <c r="K112" s="21">
        <f>SUM(J111:J111)</f>
        <v>25.38</v>
      </c>
    </row>
    <row r="113" spans="1:27" x14ac:dyDescent="0.2">
      <c r="B113" s="14" t="s">
        <v>1076</v>
      </c>
      <c r="E113" s="23"/>
      <c r="H113" s="23"/>
      <c r="K113" s="23"/>
    </row>
    <row r="114" spans="1:27" x14ac:dyDescent="0.2">
      <c r="B114" t="s">
        <v>1077</v>
      </c>
      <c r="C114" t="s">
        <v>1070</v>
      </c>
      <c r="D114" t="s">
        <v>1078</v>
      </c>
      <c r="E114" s="20">
        <v>0.7</v>
      </c>
      <c r="F114" t="s">
        <v>1072</v>
      </c>
      <c r="G114" t="s">
        <v>1073</v>
      </c>
      <c r="H114" s="21">
        <v>2.0499999999999998</v>
      </c>
      <c r="I114" t="s">
        <v>1074</v>
      </c>
      <c r="J114" s="22">
        <f>ROUND(E114/I109* H114,5)</f>
        <v>1.4350000000000001</v>
      </c>
      <c r="K114" s="23"/>
    </row>
    <row r="115" spans="1:27" x14ac:dyDescent="0.2">
      <c r="D115" s="24" t="s">
        <v>1079</v>
      </c>
      <c r="E115" s="23"/>
      <c r="H115" s="23"/>
      <c r="K115" s="21">
        <f>SUM(J114:J114)</f>
        <v>1.4350000000000001</v>
      </c>
    </row>
    <row r="116" spans="1:27" x14ac:dyDescent="0.2">
      <c r="B116" s="14" t="s">
        <v>1080</v>
      </c>
      <c r="E116" s="23"/>
      <c r="H116" s="23"/>
      <c r="K116" s="23"/>
    </row>
    <row r="117" spans="1:27" x14ac:dyDescent="0.2">
      <c r="B117" t="s">
        <v>1118</v>
      </c>
      <c r="C117" t="s">
        <v>103</v>
      </c>
      <c r="D117" t="s">
        <v>1119</v>
      </c>
      <c r="E117" s="20">
        <v>0.76</v>
      </c>
      <c r="G117" t="s">
        <v>1073</v>
      </c>
      <c r="H117" s="21">
        <v>1.73</v>
      </c>
      <c r="I117" t="s">
        <v>1074</v>
      </c>
      <c r="J117" s="22">
        <f>ROUND(E117* H117,5)</f>
        <v>1.3148</v>
      </c>
      <c r="K117" s="23"/>
    </row>
    <row r="118" spans="1:27" x14ac:dyDescent="0.2">
      <c r="B118" t="s">
        <v>1116</v>
      </c>
      <c r="C118" t="s">
        <v>1084</v>
      </c>
      <c r="D118" t="s">
        <v>1117</v>
      </c>
      <c r="E118" s="20">
        <v>0.38</v>
      </c>
      <c r="G118" t="s">
        <v>1073</v>
      </c>
      <c r="H118" s="21">
        <v>146.66999999999999</v>
      </c>
      <c r="I118" t="s">
        <v>1074</v>
      </c>
      <c r="J118" s="22">
        <f>ROUND(E118* H118,5)</f>
        <v>55.7346</v>
      </c>
      <c r="K118" s="23"/>
    </row>
    <row r="119" spans="1:27" x14ac:dyDescent="0.2">
      <c r="B119" t="s">
        <v>1098</v>
      </c>
      <c r="C119" t="s">
        <v>1084</v>
      </c>
      <c r="D119" t="s">
        <v>1099</v>
      </c>
      <c r="E119" s="20">
        <v>1.52</v>
      </c>
      <c r="G119" t="s">
        <v>1073</v>
      </c>
      <c r="H119" s="21">
        <v>21.84</v>
      </c>
      <c r="I119" t="s">
        <v>1074</v>
      </c>
      <c r="J119" s="22">
        <f>ROUND(E119* H119,5)</f>
        <v>33.196800000000003</v>
      </c>
      <c r="K119" s="23"/>
    </row>
    <row r="120" spans="1:27" x14ac:dyDescent="0.2">
      <c r="B120" t="s">
        <v>1081</v>
      </c>
      <c r="C120" t="s">
        <v>15</v>
      </c>
      <c r="D120" t="s">
        <v>1082</v>
      </c>
      <c r="E120" s="20">
        <v>0.2</v>
      </c>
      <c r="G120" t="s">
        <v>1073</v>
      </c>
      <c r="H120" s="21">
        <v>2.1800000000000002</v>
      </c>
      <c r="I120" t="s">
        <v>1074</v>
      </c>
      <c r="J120" s="22">
        <f>ROUND(E120* H120,5)</f>
        <v>0.436</v>
      </c>
      <c r="K120" s="23"/>
    </row>
    <row r="121" spans="1:27" x14ac:dyDescent="0.2">
      <c r="D121" s="24" t="s">
        <v>1090</v>
      </c>
      <c r="E121" s="23"/>
      <c r="H121" s="23"/>
      <c r="K121" s="21">
        <f>SUM(J117:J120)</f>
        <v>90.682200000000009</v>
      </c>
    </row>
    <row r="122" spans="1:27" x14ac:dyDescent="0.2">
      <c r="D122" s="24" t="s">
        <v>1091</v>
      </c>
      <c r="E122" s="23"/>
      <c r="H122" s="23"/>
      <c r="K122" s="25">
        <f>SUM(J110:J121)</f>
        <v>117.49719999999999</v>
      </c>
    </row>
    <row r="123" spans="1:27" x14ac:dyDescent="0.2">
      <c r="D123" s="24" t="s">
        <v>1092</v>
      </c>
      <c r="E123" s="23"/>
      <c r="H123" s="23">
        <v>1</v>
      </c>
      <c r="I123" t="s">
        <v>1093</v>
      </c>
      <c r="K123" s="23">
        <f>ROUND(H123/100*K112,5)</f>
        <v>0.25380000000000003</v>
      </c>
    </row>
    <row r="124" spans="1:27" x14ac:dyDescent="0.2">
      <c r="D124" s="24" t="s">
        <v>1094</v>
      </c>
      <c r="E124" s="23"/>
      <c r="H124" s="23"/>
      <c r="K124" s="25">
        <f>SUM(K122:K123)</f>
        <v>117.75099999999999</v>
      </c>
    </row>
    <row r="126" spans="1:27" ht="45" customHeight="1" x14ac:dyDescent="0.2">
      <c r="A126" s="17"/>
      <c r="B126" s="17" t="s">
        <v>1120</v>
      </c>
      <c r="C126" s="1" t="s">
        <v>103</v>
      </c>
      <c r="D126" s="96" t="s">
        <v>1121</v>
      </c>
      <c r="E126" s="97"/>
      <c r="F126" s="97"/>
      <c r="G126" s="1"/>
      <c r="H126" s="18" t="s">
        <v>1066</v>
      </c>
      <c r="I126" s="98">
        <v>1</v>
      </c>
      <c r="J126" s="99"/>
      <c r="K126" s="19">
        <f>ROUND(K137,2)</f>
        <v>1.36</v>
      </c>
      <c r="L126" s="2" t="s">
        <v>1122</v>
      </c>
      <c r="M126" s="1"/>
      <c r="N126" s="1"/>
      <c r="O126" s="1"/>
      <c r="P126" s="1"/>
      <c r="Q126" s="1"/>
      <c r="R126" s="1"/>
      <c r="S126" s="1"/>
      <c r="T126" s="1"/>
      <c r="U126" s="1"/>
      <c r="V126" s="1"/>
      <c r="W126" s="1"/>
      <c r="X126" s="1"/>
      <c r="Y126" s="1"/>
      <c r="Z126" s="1"/>
      <c r="AA126" s="1"/>
    </row>
    <row r="127" spans="1:27" x14ac:dyDescent="0.2">
      <c r="B127" s="14" t="s">
        <v>1068</v>
      </c>
    </row>
    <row r="128" spans="1:27" x14ac:dyDescent="0.2">
      <c r="B128" t="s">
        <v>1123</v>
      </c>
      <c r="C128" t="s">
        <v>1070</v>
      </c>
      <c r="D128" t="s">
        <v>1124</v>
      </c>
      <c r="E128" s="20">
        <v>5.0000000000000001E-3</v>
      </c>
      <c r="F128" t="s">
        <v>1072</v>
      </c>
      <c r="G128" t="s">
        <v>1073</v>
      </c>
      <c r="H128" s="21">
        <v>29.42</v>
      </c>
      <c r="I128" t="s">
        <v>1074</v>
      </c>
      <c r="J128" s="22">
        <f>ROUND(E128/I126* H128,5)</f>
        <v>0.14710000000000001</v>
      </c>
      <c r="K128" s="23"/>
    </row>
    <row r="129" spans="1:27" x14ac:dyDescent="0.2">
      <c r="B129" t="s">
        <v>1125</v>
      </c>
      <c r="C129" t="s">
        <v>1070</v>
      </c>
      <c r="D129" t="s">
        <v>1126</v>
      </c>
      <c r="E129" s="20">
        <v>5.0000000000000001E-3</v>
      </c>
      <c r="F129" t="s">
        <v>1072</v>
      </c>
      <c r="G129" t="s">
        <v>1073</v>
      </c>
      <c r="H129" s="21">
        <v>26.12</v>
      </c>
      <c r="I129" t="s">
        <v>1074</v>
      </c>
      <c r="J129" s="22">
        <f>ROUND(E129/I126* H129,5)</f>
        <v>0.13059999999999999</v>
      </c>
      <c r="K129" s="23"/>
    </row>
    <row r="130" spans="1:27" x14ac:dyDescent="0.2">
      <c r="D130" s="24" t="s">
        <v>1075</v>
      </c>
      <c r="E130" s="23"/>
      <c r="H130" s="23"/>
      <c r="K130" s="21">
        <f>SUM(J128:J129)</f>
        <v>0.2777</v>
      </c>
    </row>
    <row r="131" spans="1:27" x14ac:dyDescent="0.2">
      <c r="B131" s="14" t="s">
        <v>1080</v>
      </c>
      <c r="E131" s="23"/>
      <c r="H131" s="23"/>
      <c r="K131" s="23"/>
    </row>
    <row r="132" spans="1:27" x14ac:dyDescent="0.2">
      <c r="B132" t="s">
        <v>1129</v>
      </c>
      <c r="C132" t="s">
        <v>103</v>
      </c>
      <c r="D132" t="s">
        <v>1130</v>
      </c>
      <c r="E132" s="20">
        <v>1.0200000000000001E-2</v>
      </c>
      <c r="G132" t="s">
        <v>1073</v>
      </c>
      <c r="H132" s="21">
        <v>1.87</v>
      </c>
      <c r="I132" t="s">
        <v>1074</v>
      </c>
      <c r="J132" s="22">
        <f>ROUND(E132* H132,5)</f>
        <v>1.907E-2</v>
      </c>
      <c r="K132" s="23"/>
    </row>
    <row r="133" spans="1:27" x14ac:dyDescent="0.2">
      <c r="B133" t="s">
        <v>1127</v>
      </c>
      <c r="C133" t="s">
        <v>103</v>
      </c>
      <c r="D133" t="s">
        <v>1128</v>
      </c>
      <c r="E133" s="20">
        <v>1.05</v>
      </c>
      <c r="G133" t="s">
        <v>1073</v>
      </c>
      <c r="H133" s="21">
        <v>1.01</v>
      </c>
      <c r="I133" t="s">
        <v>1074</v>
      </c>
      <c r="J133" s="22">
        <f>ROUND(E133* H133,5)</f>
        <v>1.0605</v>
      </c>
      <c r="K133" s="23"/>
    </row>
    <row r="134" spans="1:27" x14ac:dyDescent="0.2">
      <c r="D134" s="24" t="s">
        <v>1090</v>
      </c>
      <c r="E134" s="23"/>
      <c r="H134" s="23"/>
      <c r="K134" s="21">
        <f>SUM(J132:J133)</f>
        <v>1.0795699999999999</v>
      </c>
    </row>
    <row r="135" spans="1:27" x14ac:dyDescent="0.2">
      <c r="D135" s="24" t="s">
        <v>1091</v>
      </c>
      <c r="E135" s="23"/>
      <c r="H135" s="23"/>
      <c r="K135" s="25">
        <f>SUM(J127:J134)</f>
        <v>1.35727</v>
      </c>
    </row>
    <row r="136" spans="1:27" x14ac:dyDescent="0.2">
      <c r="D136" s="24" t="s">
        <v>1092</v>
      </c>
      <c r="E136" s="23"/>
      <c r="H136" s="23">
        <v>1</v>
      </c>
      <c r="I136" t="s">
        <v>1093</v>
      </c>
      <c r="K136" s="23">
        <f>ROUND(H136/100*K130,5)</f>
        <v>2.7799999999999999E-3</v>
      </c>
    </row>
    <row r="137" spans="1:27" x14ac:dyDescent="0.2">
      <c r="D137" s="24" t="s">
        <v>1094</v>
      </c>
      <c r="E137" s="23"/>
      <c r="H137" s="23"/>
      <c r="K137" s="25">
        <f>SUM(K135:K136)</f>
        <v>1.36005</v>
      </c>
    </row>
    <row r="139" spans="1:27" ht="45" customHeight="1" x14ac:dyDescent="0.2">
      <c r="A139" s="17"/>
      <c r="B139" s="17" t="s">
        <v>1131</v>
      </c>
      <c r="C139" s="1" t="s">
        <v>18</v>
      </c>
      <c r="D139" s="96" t="s">
        <v>428</v>
      </c>
      <c r="E139" s="97"/>
      <c r="F139" s="97"/>
      <c r="G139" s="1"/>
      <c r="H139" s="18" t="s">
        <v>1066</v>
      </c>
      <c r="I139" s="98">
        <v>1</v>
      </c>
      <c r="J139" s="99"/>
      <c r="K139" s="19">
        <f>ROUND(K141,2)</f>
        <v>0</v>
      </c>
      <c r="L139" s="2" t="s">
        <v>1132</v>
      </c>
      <c r="M139" s="1"/>
      <c r="N139" s="1"/>
      <c r="O139" s="1"/>
      <c r="P139" s="1"/>
      <c r="Q139" s="1"/>
      <c r="R139" s="1"/>
      <c r="S139" s="1"/>
      <c r="T139" s="1"/>
      <c r="U139" s="1"/>
      <c r="V139" s="1"/>
      <c r="W139" s="1"/>
      <c r="X139" s="1"/>
      <c r="Y139" s="1"/>
      <c r="Z139" s="1"/>
      <c r="AA139" s="1"/>
    </row>
    <row r="140" spans="1:27" x14ac:dyDescent="0.2">
      <c r="D140" s="24" t="s">
        <v>1091</v>
      </c>
      <c r="E140" s="23"/>
      <c r="H140" s="23"/>
      <c r="K140" s="25">
        <f>SUM(J139:J139)</f>
        <v>0</v>
      </c>
    </row>
    <row r="141" spans="1:27" x14ac:dyDescent="0.2">
      <c r="D141" s="24" t="s">
        <v>1094</v>
      </c>
      <c r="E141" s="23"/>
      <c r="H141" s="23"/>
      <c r="K141" s="25">
        <f>SUM(K140:K140)</f>
        <v>0</v>
      </c>
    </row>
    <row r="143" spans="1:27" x14ac:dyDescent="0.2">
      <c r="A143" s="15" t="s">
        <v>1133</v>
      </c>
      <c r="B143" s="15"/>
    </row>
    <row r="144" spans="1:27" ht="45" customHeight="1" x14ac:dyDescent="0.2">
      <c r="A144" s="17" t="s">
        <v>1134</v>
      </c>
      <c r="B144" s="17" t="s">
        <v>936</v>
      </c>
      <c r="C144" s="1" t="s">
        <v>625</v>
      </c>
      <c r="D144" s="96" t="s">
        <v>937</v>
      </c>
      <c r="E144" s="97"/>
      <c r="F144" s="97"/>
      <c r="G144" s="1"/>
      <c r="H144" s="18" t="s">
        <v>1066</v>
      </c>
      <c r="I144" s="98">
        <v>1</v>
      </c>
      <c r="J144" s="99"/>
      <c r="K144" s="19">
        <f>ROUND(K154,2)</f>
        <v>872.97</v>
      </c>
      <c r="L144" s="2" t="s">
        <v>1135</v>
      </c>
      <c r="M144" s="1"/>
      <c r="N144" s="1"/>
      <c r="O144" s="1"/>
      <c r="P144" s="1"/>
      <c r="Q144" s="1"/>
      <c r="R144" s="1"/>
      <c r="S144" s="1"/>
      <c r="T144" s="1"/>
      <c r="U144" s="1"/>
      <c r="V144" s="1"/>
      <c r="W144" s="1"/>
      <c r="X144" s="1"/>
      <c r="Y144" s="1"/>
      <c r="Z144" s="1"/>
      <c r="AA144" s="1"/>
    </row>
    <row r="145" spans="1:27" x14ac:dyDescent="0.2">
      <c r="B145" s="14" t="s">
        <v>1068</v>
      </c>
    </row>
    <row r="146" spans="1:27" x14ac:dyDescent="0.2">
      <c r="B146" t="s">
        <v>1138</v>
      </c>
      <c r="C146" t="s">
        <v>1070</v>
      </c>
      <c r="D146" t="s">
        <v>1139</v>
      </c>
      <c r="E146" s="20">
        <v>2.6</v>
      </c>
      <c r="F146" t="s">
        <v>1072</v>
      </c>
      <c r="G146" t="s">
        <v>1073</v>
      </c>
      <c r="H146" s="21">
        <v>26.12</v>
      </c>
      <c r="I146" t="s">
        <v>1074</v>
      </c>
      <c r="J146" s="22">
        <f>ROUND(E146/I144* H146,5)</f>
        <v>67.912000000000006</v>
      </c>
      <c r="K146" s="23"/>
    </row>
    <row r="147" spans="1:27" x14ac:dyDescent="0.2">
      <c r="B147" t="s">
        <v>1136</v>
      </c>
      <c r="C147" t="s">
        <v>1070</v>
      </c>
      <c r="D147" t="s">
        <v>1137</v>
      </c>
      <c r="E147" s="20">
        <v>2.6</v>
      </c>
      <c r="F147" t="s">
        <v>1072</v>
      </c>
      <c r="G147" t="s">
        <v>1073</v>
      </c>
      <c r="H147" s="21">
        <v>30.41</v>
      </c>
      <c r="I147" t="s">
        <v>1074</v>
      </c>
      <c r="J147" s="22">
        <f>ROUND(E147/I144* H147,5)</f>
        <v>79.066000000000003</v>
      </c>
      <c r="K147" s="23"/>
    </row>
    <row r="148" spans="1:27" x14ac:dyDescent="0.2">
      <c r="D148" s="24" t="s">
        <v>1075</v>
      </c>
      <c r="E148" s="23"/>
      <c r="H148" s="23"/>
      <c r="K148" s="21">
        <f>SUM(J146:J147)</f>
        <v>146.97800000000001</v>
      </c>
    </row>
    <row r="149" spans="1:27" x14ac:dyDescent="0.2">
      <c r="B149" s="14" t="s">
        <v>1080</v>
      </c>
      <c r="E149" s="23"/>
      <c r="H149" s="23"/>
      <c r="K149" s="23"/>
    </row>
    <row r="150" spans="1:27" x14ac:dyDescent="0.2">
      <c r="B150" t="s">
        <v>1140</v>
      </c>
      <c r="C150" t="s">
        <v>23</v>
      </c>
      <c r="D150" t="s">
        <v>1141</v>
      </c>
      <c r="E150" s="20">
        <v>1</v>
      </c>
      <c r="G150" t="s">
        <v>1073</v>
      </c>
      <c r="H150" s="21">
        <v>661.33</v>
      </c>
      <c r="I150" t="s">
        <v>1074</v>
      </c>
      <c r="J150" s="22">
        <f>ROUND(E150* H150,5)</f>
        <v>661.33</v>
      </c>
      <c r="K150" s="23"/>
    </row>
    <row r="151" spans="1:27" x14ac:dyDescent="0.2">
      <c r="D151" s="24" t="s">
        <v>1090</v>
      </c>
      <c r="E151" s="23"/>
      <c r="H151" s="23"/>
      <c r="K151" s="21">
        <f>SUM(J150:J150)</f>
        <v>661.33</v>
      </c>
    </row>
    <row r="152" spans="1:27" x14ac:dyDescent="0.2">
      <c r="D152" s="24" t="s">
        <v>1091</v>
      </c>
      <c r="E152" s="23"/>
      <c r="H152" s="23"/>
      <c r="K152" s="25">
        <f>SUM(J145:J151)</f>
        <v>808.30799999999999</v>
      </c>
    </row>
    <row r="153" spans="1:27" x14ac:dyDescent="0.2">
      <c r="D153" s="24" t="s">
        <v>1142</v>
      </c>
      <c r="E153" s="23"/>
      <c r="H153" s="23">
        <v>8</v>
      </c>
      <c r="I153" t="s">
        <v>1093</v>
      </c>
      <c r="K153" s="21">
        <f>ROUND(H153/100*K152,5)</f>
        <v>64.664640000000006</v>
      </c>
    </row>
    <row r="154" spans="1:27" x14ac:dyDescent="0.2">
      <c r="D154" s="24" t="s">
        <v>1094</v>
      </c>
      <c r="E154" s="23"/>
      <c r="H154" s="23"/>
      <c r="K154" s="25">
        <f>SUM(K152:K153)</f>
        <v>872.97263999999996</v>
      </c>
    </row>
    <row r="156" spans="1:27" ht="45" customHeight="1" x14ac:dyDescent="0.2">
      <c r="A156" s="17" t="s">
        <v>1143</v>
      </c>
      <c r="B156" s="17" t="s">
        <v>938</v>
      </c>
      <c r="C156" s="1" t="s">
        <v>625</v>
      </c>
      <c r="D156" s="96" t="s">
        <v>939</v>
      </c>
      <c r="E156" s="97"/>
      <c r="F156" s="97"/>
      <c r="G156" s="1"/>
      <c r="H156" s="18" t="s">
        <v>1066</v>
      </c>
      <c r="I156" s="98">
        <v>1</v>
      </c>
      <c r="J156" s="99"/>
      <c r="K156" s="19">
        <f>ROUND(K166,2)</f>
        <v>55.25</v>
      </c>
      <c r="L156" s="2" t="s">
        <v>1144</v>
      </c>
      <c r="M156" s="1"/>
      <c r="N156" s="1"/>
      <c r="O156" s="1"/>
      <c r="P156" s="1"/>
      <c r="Q156" s="1"/>
      <c r="R156" s="1"/>
      <c r="S156" s="1"/>
      <c r="T156" s="1"/>
      <c r="U156" s="1"/>
      <c r="V156" s="1"/>
      <c r="W156" s="1"/>
      <c r="X156" s="1"/>
      <c r="Y156" s="1"/>
      <c r="Z156" s="1"/>
      <c r="AA156" s="1"/>
    </row>
    <row r="157" spans="1:27" x14ac:dyDescent="0.2">
      <c r="B157" s="14" t="s">
        <v>1068</v>
      </c>
    </row>
    <row r="158" spans="1:27" x14ac:dyDescent="0.2">
      <c r="B158" t="s">
        <v>1136</v>
      </c>
      <c r="C158" t="s">
        <v>1070</v>
      </c>
      <c r="D158" t="s">
        <v>1137</v>
      </c>
      <c r="E158" s="20">
        <v>0.5</v>
      </c>
      <c r="F158" t="s">
        <v>1072</v>
      </c>
      <c r="G158" t="s">
        <v>1073</v>
      </c>
      <c r="H158" s="21">
        <v>30.41</v>
      </c>
      <c r="I158" t="s">
        <v>1074</v>
      </c>
      <c r="J158" s="22">
        <f>ROUND(E158/I156* H158,5)</f>
        <v>15.205</v>
      </c>
      <c r="K158" s="23"/>
    </row>
    <row r="159" spans="1:27" x14ac:dyDescent="0.2">
      <c r="B159" t="s">
        <v>1138</v>
      </c>
      <c r="C159" t="s">
        <v>1070</v>
      </c>
      <c r="D159" t="s">
        <v>1139</v>
      </c>
      <c r="E159" s="20">
        <v>0.5</v>
      </c>
      <c r="F159" t="s">
        <v>1072</v>
      </c>
      <c r="G159" t="s">
        <v>1073</v>
      </c>
      <c r="H159" s="21">
        <v>26.12</v>
      </c>
      <c r="I159" t="s">
        <v>1074</v>
      </c>
      <c r="J159" s="22">
        <f>ROUND(E159/I156* H159,5)</f>
        <v>13.06</v>
      </c>
      <c r="K159" s="23"/>
    </row>
    <row r="160" spans="1:27" x14ac:dyDescent="0.2">
      <c r="D160" s="24" t="s">
        <v>1075</v>
      </c>
      <c r="E160" s="23"/>
      <c r="H160" s="23"/>
      <c r="K160" s="21">
        <f>SUM(J158:J159)</f>
        <v>28.265000000000001</v>
      </c>
    </row>
    <row r="161" spans="1:27" x14ac:dyDescent="0.2">
      <c r="B161" s="14" t="s">
        <v>1080</v>
      </c>
      <c r="E161" s="23"/>
      <c r="H161" s="23"/>
      <c r="K161" s="23"/>
    </row>
    <row r="162" spans="1:27" x14ac:dyDescent="0.2">
      <c r="B162" t="s">
        <v>1145</v>
      </c>
      <c r="C162" t="s">
        <v>23</v>
      </c>
      <c r="D162" t="s">
        <v>1146</v>
      </c>
      <c r="E162" s="20">
        <v>1</v>
      </c>
      <c r="G162" t="s">
        <v>1073</v>
      </c>
      <c r="H162" s="21">
        <v>22.89</v>
      </c>
      <c r="I162" t="s">
        <v>1074</v>
      </c>
      <c r="J162" s="22">
        <f>ROUND(E162* H162,5)</f>
        <v>22.89</v>
      </c>
      <c r="K162" s="23"/>
    </row>
    <row r="163" spans="1:27" x14ac:dyDescent="0.2">
      <c r="D163" s="24" t="s">
        <v>1090</v>
      </c>
      <c r="E163" s="23"/>
      <c r="H163" s="23"/>
      <c r="K163" s="21">
        <f>SUM(J162:J162)</f>
        <v>22.89</v>
      </c>
    </row>
    <row r="164" spans="1:27" x14ac:dyDescent="0.2">
      <c r="D164" s="24" t="s">
        <v>1091</v>
      </c>
      <c r="E164" s="23"/>
      <c r="H164" s="23"/>
      <c r="K164" s="25">
        <f>SUM(J157:J163)</f>
        <v>51.155000000000001</v>
      </c>
    </row>
    <row r="165" spans="1:27" x14ac:dyDescent="0.2">
      <c r="D165" s="24" t="s">
        <v>1142</v>
      </c>
      <c r="E165" s="23"/>
      <c r="H165" s="23">
        <v>8</v>
      </c>
      <c r="I165" t="s">
        <v>1093</v>
      </c>
      <c r="K165" s="21">
        <f>ROUND(H165/100*K164,5)</f>
        <v>4.0923999999999996</v>
      </c>
    </row>
    <row r="166" spans="1:27" x14ac:dyDescent="0.2">
      <c r="D166" s="24" t="s">
        <v>1094</v>
      </c>
      <c r="E166" s="23"/>
      <c r="H166" s="23"/>
      <c r="K166" s="25">
        <f>SUM(K164:K165)</f>
        <v>55.247399999999999</v>
      </c>
    </row>
    <row r="168" spans="1:27" ht="45" customHeight="1" x14ac:dyDescent="0.2">
      <c r="A168" s="17" t="s">
        <v>1147</v>
      </c>
      <c r="B168" s="17" t="s">
        <v>940</v>
      </c>
      <c r="C168" s="1" t="s">
        <v>625</v>
      </c>
      <c r="D168" s="96" t="s">
        <v>941</v>
      </c>
      <c r="E168" s="97"/>
      <c r="F168" s="97"/>
      <c r="G168" s="1"/>
      <c r="H168" s="18" t="s">
        <v>1066</v>
      </c>
      <c r="I168" s="98">
        <v>1</v>
      </c>
      <c r="J168" s="99"/>
      <c r="K168" s="19">
        <f>ROUND(K178,2)</f>
        <v>97.89</v>
      </c>
      <c r="L168" s="2" t="s">
        <v>1148</v>
      </c>
      <c r="M168" s="1"/>
      <c r="N168" s="1"/>
      <c r="O168" s="1"/>
      <c r="P168" s="1"/>
      <c r="Q168" s="1"/>
      <c r="R168" s="1"/>
      <c r="S168" s="1"/>
      <c r="T168" s="1"/>
      <c r="U168" s="1"/>
      <c r="V168" s="1"/>
      <c r="W168" s="1"/>
      <c r="X168" s="1"/>
      <c r="Y168" s="1"/>
      <c r="Z168" s="1"/>
      <c r="AA168" s="1"/>
    </row>
    <row r="169" spans="1:27" x14ac:dyDescent="0.2">
      <c r="B169" s="14" t="s">
        <v>1068</v>
      </c>
    </row>
    <row r="170" spans="1:27" x14ac:dyDescent="0.2">
      <c r="B170" t="s">
        <v>1138</v>
      </c>
      <c r="C170" t="s">
        <v>1070</v>
      </c>
      <c r="D170" t="s">
        <v>1139</v>
      </c>
      <c r="E170" s="20">
        <v>0.5</v>
      </c>
      <c r="F170" t="s">
        <v>1072</v>
      </c>
      <c r="G170" t="s">
        <v>1073</v>
      </c>
      <c r="H170" s="21">
        <v>26.12</v>
      </c>
      <c r="I170" t="s">
        <v>1074</v>
      </c>
      <c r="J170" s="22">
        <f>ROUND(E170/I168* H170,5)</f>
        <v>13.06</v>
      </c>
      <c r="K170" s="23"/>
    </row>
    <row r="171" spans="1:27" x14ac:dyDescent="0.2">
      <c r="B171" t="s">
        <v>1136</v>
      </c>
      <c r="C171" t="s">
        <v>1070</v>
      </c>
      <c r="D171" t="s">
        <v>1137</v>
      </c>
      <c r="E171" s="20">
        <v>0.5</v>
      </c>
      <c r="F171" t="s">
        <v>1072</v>
      </c>
      <c r="G171" t="s">
        <v>1073</v>
      </c>
      <c r="H171" s="21">
        <v>30.41</v>
      </c>
      <c r="I171" t="s">
        <v>1074</v>
      </c>
      <c r="J171" s="22">
        <f>ROUND(E171/I168* H171,5)</f>
        <v>15.205</v>
      </c>
      <c r="K171" s="23"/>
    </row>
    <row r="172" spans="1:27" x14ac:dyDescent="0.2">
      <c r="D172" s="24" t="s">
        <v>1075</v>
      </c>
      <c r="E172" s="23"/>
      <c r="H172" s="23"/>
      <c r="K172" s="21">
        <f>SUM(J170:J171)</f>
        <v>28.265000000000001</v>
      </c>
    </row>
    <row r="173" spans="1:27" x14ac:dyDescent="0.2">
      <c r="B173" s="14" t="s">
        <v>1080</v>
      </c>
      <c r="E173" s="23"/>
      <c r="H173" s="23"/>
      <c r="K173" s="23"/>
    </row>
    <row r="174" spans="1:27" x14ac:dyDescent="0.2">
      <c r="B174" t="s">
        <v>1149</v>
      </c>
      <c r="C174" t="s">
        <v>23</v>
      </c>
      <c r="D174" t="s">
        <v>1150</v>
      </c>
      <c r="E174" s="20">
        <v>1</v>
      </c>
      <c r="G174" t="s">
        <v>1073</v>
      </c>
      <c r="H174" s="21">
        <v>62.37</v>
      </c>
      <c r="I174" t="s">
        <v>1074</v>
      </c>
      <c r="J174" s="22">
        <f>ROUND(E174* H174,5)</f>
        <v>62.37</v>
      </c>
      <c r="K174" s="23"/>
    </row>
    <row r="175" spans="1:27" x14ac:dyDescent="0.2">
      <c r="D175" s="24" t="s">
        <v>1090</v>
      </c>
      <c r="E175" s="23"/>
      <c r="H175" s="23"/>
      <c r="K175" s="21">
        <f>SUM(J174:J174)</f>
        <v>62.37</v>
      </c>
    </row>
    <row r="176" spans="1:27" x14ac:dyDescent="0.2">
      <c r="D176" s="24" t="s">
        <v>1091</v>
      </c>
      <c r="E176" s="23"/>
      <c r="H176" s="23"/>
      <c r="K176" s="25">
        <f>SUM(J169:J175)</f>
        <v>90.634999999999991</v>
      </c>
    </row>
    <row r="177" spans="1:27" x14ac:dyDescent="0.2">
      <c r="D177" s="24" t="s">
        <v>1142</v>
      </c>
      <c r="E177" s="23"/>
      <c r="H177" s="23">
        <v>8</v>
      </c>
      <c r="I177" t="s">
        <v>1093</v>
      </c>
      <c r="K177" s="21">
        <f>ROUND(H177/100*K176,5)</f>
        <v>7.2507999999999999</v>
      </c>
    </row>
    <row r="178" spans="1:27" x14ac:dyDescent="0.2">
      <c r="D178" s="24" t="s">
        <v>1094</v>
      </c>
      <c r="E178" s="23"/>
      <c r="H178" s="23"/>
      <c r="K178" s="25">
        <f>SUM(K176:K177)</f>
        <v>97.885799999999989</v>
      </c>
    </row>
    <row r="180" spans="1:27" ht="45" customHeight="1" x14ac:dyDescent="0.2">
      <c r="A180" s="17" t="s">
        <v>1151</v>
      </c>
      <c r="B180" s="17" t="s">
        <v>942</v>
      </c>
      <c r="C180" s="1" t="s">
        <v>625</v>
      </c>
      <c r="D180" s="96" t="s">
        <v>943</v>
      </c>
      <c r="E180" s="97"/>
      <c r="F180" s="97"/>
      <c r="G180" s="1"/>
      <c r="H180" s="18" t="s">
        <v>1066</v>
      </c>
      <c r="I180" s="98">
        <v>1</v>
      </c>
      <c r="J180" s="99"/>
      <c r="K180" s="19">
        <f>ROUND(K190,2)</f>
        <v>597.79</v>
      </c>
      <c r="L180" s="2" t="s">
        <v>1152</v>
      </c>
      <c r="M180" s="1"/>
      <c r="N180" s="1"/>
      <c r="O180" s="1"/>
      <c r="P180" s="1"/>
      <c r="Q180" s="1"/>
      <c r="R180" s="1"/>
      <c r="S180" s="1"/>
      <c r="T180" s="1"/>
      <c r="U180" s="1"/>
      <c r="V180" s="1"/>
      <c r="W180" s="1"/>
      <c r="X180" s="1"/>
      <c r="Y180" s="1"/>
      <c r="Z180" s="1"/>
      <c r="AA180" s="1"/>
    </row>
    <row r="181" spans="1:27" x14ac:dyDescent="0.2">
      <c r="B181" s="14" t="s">
        <v>1068</v>
      </c>
    </row>
    <row r="182" spans="1:27" x14ac:dyDescent="0.2">
      <c r="B182" t="s">
        <v>1138</v>
      </c>
      <c r="C182" t="s">
        <v>1070</v>
      </c>
      <c r="D182" t="s">
        <v>1139</v>
      </c>
      <c r="E182" s="20">
        <v>3.6</v>
      </c>
      <c r="F182" t="s">
        <v>1072</v>
      </c>
      <c r="G182" t="s">
        <v>1073</v>
      </c>
      <c r="H182" s="21">
        <v>26.12</v>
      </c>
      <c r="I182" t="s">
        <v>1074</v>
      </c>
      <c r="J182" s="22">
        <f>ROUND(E182/I180* H182,5)</f>
        <v>94.031999999999996</v>
      </c>
      <c r="K182" s="23"/>
    </row>
    <row r="183" spans="1:27" x14ac:dyDescent="0.2">
      <c r="B183" t="s">
        <v>1136</v>
      </c>
      <c r="C183" t="s">
        <v>1070</v>
      </c>
      <c r="D183" t="s">
        <v>1137</v>
      </c>
      <c r="E183" s="20">
        <v>3.6</v>
      </c>
      <c r="F183" t="s">
        <v>1072</v>
      </c>
      <c r="G183" t="s">
        <v>1073</v>
      </c>
      <c r="H183" s="21">
        <v>30.41</v>
      </c>
      <c r="I183" t="s">
        <v>1074</v>
      </c>
      <c r="J183" s="22">
        <f>ROUND(E183/I180* H183,5)</f>
        <v>109.476</v>
      </c>
      <c r="K183" s="23"/>
    </row>
    <row r="184" spans="1:27" x14ac:dyDescent="0.2">
      <c r="D184" s="24" t="s">
        <v>1075</v>
      </c>
      <c r="E184" s="23"/>
      <c r="H184" s="23"/>
      <c r="K184" s="21">
        <f>SUM(J182:J183)</f>
        <v>203.50799999999998</v>
      </c>
    </row>
    <row r="185" spans="1:27" x14ac:dyDescent="0.2">
      <c r="B185" s="14" t="s">
        <v>1080</v>
      </c>
      <c r="E185" s="23"/>
      <c r="H185" s="23"/>
      <c r="K185" s="23"/>
    </row>
    <row r="186" spans="1:27" x14ac:dyDescent="0.2">
      <c r="B186" t="s">
        <v>1153</v>
      </c>
      <c r="C186" t="s">
        <v>23</v>
      </c>
      <c r="D186" t="s">
        <v>1154</v>
      </c>
      <c r="E186" s="20">
        <v>1</v>
      </c>
      <c r="G186" t="s">
        <v>1073</v>
      </c>
      <c r="H186" s="21">
        <v>350</v>
      </c>
      <c r="I186" t="s">
        <v>1074</v>
      </c>
      <c r="J186" s="22">
        <f>ROUND(E186* H186,5)</f>
        <v>350</v>
      </c>
      <c r="K186" s="23"/>
    </row>
    <row r="187" spans="1:27" x14ac:dyDescent="0.2">
      <c r="D187" s="24" t="s">
        <v>1090</v>
      </c>
      <c r="E187" s="23"/>
      <c r="H187" s="23"/>
      <c r="K187" s="21">
        <f>SUM(J186:J186)</f>
        <v>350</v>
      </c>
    </row>
    <row r="188" spans="1:27" x14ac:dyDescent="0.2">
      <c r="D188" s="24" t="s">
        <v>1091</v>
      </c>
      <c r="E188" s="23"/>
      <c r="H188" s="23"/>
      <c r="K188" s="25">
        <f>SUM(J181:J187)</f>
        <v>553.50800000000004</v>
      </c>
    </row>
    <row r="189" spans="1:27" x14ac:dyDescent="0.2">
      <c r="D189" s="24" t="s">
        <v>1142</v>
      </c>
      <c r="E189" s="23"/>
      <c r="H189" s="23">
        <v>8</v>
      </c>
      <c r="I189" t="s">
        <v>1093</v>
      </c>
      <c r="K189" s="21">
        <f>ROUND(H189/100*K188,5)</f>
        <v>44.280639999999998</v>
      </c>
    </row>
    <row r="190" spans="1:27" x14ac:dyDescent="0.2">
      <c r="D190" s="24" t="s">
        <v>1094</v>
      </c>
      <c r="E190" s="23"/>
      <c r="H190" s="23"/>
      <c r="K190" s="25">
        <f>SUM(K188:K189)</f>
        <v>597.78863999999999</v>
      </c>
    </row>
    <row r="192" spans="1:27" ht="45" customHeight="1" x14ac:dyDescent="0.2">
      <c r="A192" s="17" t="s">
        <v>1155</v>
      </c>
      <c r="B192" s="17" t="s">
        <v>679</v>
      </c>
      <c r="C192" s="1" t="s">
        <v>23</v>
      </c>
      <c r="D192" s="96" t="s">
        <v>680</v>
      </c>
      <c r="E192" s="97"/>
      <c r="F192" s="97"/>
      <c r="G192" s="1"/>
      <c r="H192" s="18" t="s">
        <v>1066</v>
      </c>
      <c r="I192" s="98">
        <v>1</v>
      </c>
      <c r="J192" s="99"/>
      <c r="K192" s="19">
        <v>782.89</v>
      </c>
      <c r="L192" s="2" t="s">
        <v>1156</v>
      </c>
      <c r="M192" s="1"/>
      <c r="N192" s="1"/>
      <c r="O192" s="1"/>
      <c r="P192" s="1"/>
      <c r="Q192" s="1"/>
      <c r="R192" s="1"/>
      <c r="S192" s="1"/>
      <c r="T192" s="1"/>
      <c r="U192" s="1"/>
      <c r="V192" s="1"/>
      <c r="W192" s="1"/>
      <c r="X192" s="1"/>
      <c r="Y192" s="1"/>
      <c r="Z192" s="1"/>
      <c r="AA192" s="1"/>
    </row>
    <row r="193" spans="1:27" ht="45" customHeight="1" x14ac:dyDescent="0.2">
      <c r="A193" s="17" t="s">
        <v>1157</v>
      </c>
      <c r="B193" s="17" t="s">
        <v>865</v>
      </c>
      <c r="C193" s="1" t="s">
        <v>23</v>
      </c>
      <c r="D193" s="96" t="s">
        <v>866</v>
      </c>
      <c r="E193" s="97"/>
      <c r="F193" s="97"/>
      <c r="G193" s="1"/>
      <c r="H193" s="18" t="s">
        <v>1066</v>
      </c>
      <c r="I193" s="98">
        <v>1</v>
      </c>
      <c r="J193" s="99"/>
      <c r="K193" s="19">
        <f>ROUND(K206,2)</f>
        <v>632.20000000000005</v>
      </c>
      <c r="L193" s="2" t="s">
        <v>1158</v>
      </c>
      <c r="M193" s="1"/>
      <c r="N193" s="1"/>
      <c r="O193" s="1"/>
      <c r="P193" s="1"/>
      <c r="Q193" s="1"/>
      <c r="R193" s="1"/>
      <c r="S193" s="1"/>
      <c r="T193" s="1"/>
      <c r="U193" s="1"/>
      <c r="V193" s="1"/>
      <c r="W193" s="1"/>
      <c r="X193" s="1"/>
      <c r="Y193" s="1"/>
      <c r="Z193" s="1"/>
      <c r="AA193" s="1"/>
    </row>
    <row r="194" spans="1:27" x14ac:dyDescent="0.2">
      <c r="B194" s="14" t="s">
        <v>1068</v>
      </c>
    </row>
    <row r="195" spans="1:27" x14ac:dyDescent="0.2">
      <c r="B195" t="s">
        <v>1159</v>
      </c>
      <c r="C195" t="s">
        <v>1070</v>
      </c>
      <c r="D195" t="s">
        <v>1160</v>
      </c>
      <c r="E195" s="20">
        <v>2</v>
      </c>
      <c r="F195" t="s">
        <v>1072</v>
      </c>
      <c r="G195" t="s">
        <v>1073</v>
      </c>
      <c r="H195" s="21">
        <v>26.08</v>
      </c>
      <c r="I195" t="s">
        <v>1074</v>
      </c>
      <c r="J195" s="22">
        <f>ROUND(E195/I193* H195,5)</f>
        <v>52.16</v>
      </c>
      <c r="K195" s="23"/>
    </row>
    <row r="196" spans="1:27" x14ac:dyDescent="0.2">
      <c r="B196" t="s">
        <v>1161</v>
      </c>
      <c r="C196" t="s">
        <v>1070</v>
      </c>
      <c r="D196" t="s">
        <v>1162</v>
      </c>
      <c r="E196" s="20">
        <v>2</v>
      </c>
      <c r="F196" t="s">
        <v>1072</v>
      </c>
      <c r="G196" t="s">
        <v>1073</v>
      </c>
      <c r="H196" s="21">
        <v>30.41</v>
      </c>
      <c r="I196" t="s">
        <v>1074</v>
      </c>
      <c r="J196" s="22">
        <f>ROUND(E196/I193* H196,5)</f>
        <v>60.82</v>
      </c>
      <c r="K196" s="23"/>
    </row>
    <row r="197" spans="1:27" x14ac:dyDescent="0.2">
      <c r="D197" s="24" t="s">
        <v>1075</v>
      </c>
      <c r="E197" s="23"/>
      <c r="H197" s="23"/>
      <c r="K197" s="21">
        <f>SUM(J195:J196)</f>
        <v>112.97999999999999</v>
      </c>
    </row>
    <row r="198" spans="1:27" x14ac:dyDescent="0.2">
      <c r="B198" s="14" t="s">
        <v>1080</v>
      </c>
      <c r="E198" s="23"/>
      <c r="H198" s="23"/>
      <c r="K198" s="23"/>
    </row>
    <row r="199" spans="1:27" x14ac:dyDescent="0.2">
      <c r="B199" t="s">
        <v>1165</v>
      </c>
      <c r="C199" t="s">
        <v>23</v>
      </c>
      <c r="D199" t="s">
        <v>1166</v>
      </c>
      <c r="E199" s="20">
        <v>1</v>
      </c>
      <c r="G199" t="s">
        <v>1073</v>
      </c>
      <c r="H199" s="21">
        <v>9.1</v>
      </c>
      <c r="I199" t="s">
        <v>1074</v>
      </c>
      <c r="J199" s="22">
        <f>ROUND(E199* H199,5)</f>
        <v>9.1</v>
      </c>
      <c r="K199" s="23"/>
    </row>
    <row r="200" spans="1:27" x14ac:dyDescent="0.2">
      <c r="B200" t="s">
        <v>1163</v>
      </c>
      <c r="C200" t="s">
        <v>625</v>
      </c>
      <c r="D200" t="s">
        <v>1164</v>
      </c>
      <c r="E200" s="20">
        <v>0.8</v>
      </c>
      <c r="G200" t="s">
        <v>1073</v>
      </c>
      <c r="H200" s="21">
        <v>577</v>
      </c>
      <c r="I200" t="s">
        <v>1074</v>
      </c>
      <c r="J200" s="22">
        <f>ROUND(E200* H200,5)</f>
        <v>461.6</v>
      </c>
      <c r="K200" s="23"/>
    </row>
    <row r="201" spans="1:27" x14ac:dyDescent="0.2">
      <c r="D201" s="24" t="s">
        <v>1090</v>
      </c>
      <c r="E201" s="23"/>
      <c r="H201" s="23"/>
      <c r="K201" s="21">
        <f>SUM(J199:J200)</f>
        <v>470.70000000000005</v>
      </c>
    </row>
    <row r="202" spans="1:27" x14ac:dyDescent="0.2">
      <c r="E202" s="23"/>
      <c r="H202" s="23"/>
      <c r="K202" s="23"/>
    </row>
    <row r="203" spans="1:27" x14ac:dyDescent="0.2">
      <c r="D203" s="24" t="s">
        <v>1092</v>
      </c>
      <c r="E203" s="23"/>
      <c r="H203" s="23">
        <v>1.5</v>
      </c>
      <c r="I203" t="s">
        <v>1093</v>
      </c>
      <c r="J203">
        <f>ROUND(H203/100*K197,5)</f>
        <v>1.6947000000000001</v>
      </c>
      <c r="K203" s="23"/>
    </row>
    <row r="204" spans="1:27" x14ac:dyDescent="0.2">
      <c r="D204" s="24" t="s">
        <v>1091</v>
      </c>
      <c r="E204" s="23"/>
      <c r="H204" s="23"/>
      <c r="K204" s="25">
        <f>SUM(J194:J203)</f>
        <v>585.37470000000008</v>
      </c>
    </row>
    <row r="205" spans="1:27" x14ac:dyDescent="0.2">
      <c r="D205" s="24" t="s">
        <v>1142</v>
      </c>
      <c r="E205" s="23"/>
      <c r="H205" s="23">
        <v>8</v>
      </c>
      <c r="I205" t="s">
        <v>1093</v>
      </c>
      <c r="K205" s="21">
        <f>ROUND(H205/100*K204,5)</f>
        <v>46.829979999999999</v>
      </c>
    </row>
    <row r="206" spans="1:27" x14ac:dyDescent="0.2">
      <c r="D206" s="24" t="s">
        <v>1094</v>
      </c>
      <c r="E206" s="23"/>
      <c r="H206" s="23"/>
      <c r="K206" s="25">
        <f>SUM(K204:K205)</f>
        <v>632.20468000000005</v>
      </c>
    </row>
    <row r="208" spans="1:27" ht="45" customHeight="1" x14ac:dyDescent="0.2">
      <c r="A208" s="17" t="s">
        <v>1167</v>
      </c>
      <c r="B208" s="17" t="s">
        <v>873</v>
      </c>
      <c r="C208" s="1" t="s">
        <v>23</v>
      </c>
      <c r="D208" s="96" t="s">
        <v>874</v>
      </c>
      <c r="E208" s="97"/>
      <c r="F208" s="97"/>
      <c r="G208" s="1"/>
      <c r="H208" s="18" t="s">
        <v>1066</v>
      </c>
      <c r="I208" s="98">
        <v>1</v>
      </c>
      <c r="J208" s="99"/>
      <c r="K208" s="19">
        <f>ROUND(K220,2)</f>
        <v>623.09</v>
      </c>
      <c r="L208" s="2" t="s">
        <v>1168</v>
      </c>
      <c r="M208" s="1"/>
      <c r="N208" s="1"/>
      <c r="O208" s="1"/>
      <c r="P208" s="1"/>
      <c r="Q208" s="1"/>
      <c r="R208" s="1"/>
      <c r="S208" s="1"/>
      <c r="T208" s="1"/>
      <c r="U208" s="1"/>
      <c r="V208" s="1"/>
      <c r="W208" s="1"/>
      <c r="X208" s="1"/>
      <c r="Y208" s="1"/>
      <c r="Z208" s="1"/>
      <c r="AA208" s="1"/>
    </row>
    <row r="209" spans="1:27" x14ac:dyDescent="0.2">
      <c r="B209" s="14" t="s">
        <v>1068</v>
      </c>
    </row>
    <row r="210" spans="1:27" x14ac:dyDescent="0.2">
      <c r="B210" t="s">
        <v>1161</v>
      </c>
      <c r="C210" t="s">
        <v>1070</v>
      </c>
      <c r="D210" t="s">
        <v>1162</v>
      </c>
      <c r="E210" s="20">
        <v>0.92500000000000004</v>
      </c>
      <c r="F210" t="s">
        <v>1072</v>
      </c>
      <c r="G210" t="s">
        <v>1073</v>
      </c>
      <c r="H210" s="21">
        <v>30.41</v>
      </c>
      <c r="I210" t="s">
        <v>1074</v>
      </c>
      <c r="J210" s="22">
        <f>ROUND(E210/I208* H210,5)</f>
        <v>28.129249999999999</v>
      </c>
      <c r="K210" s="23"/>
    </row>
    <row r="211" spans="1:27" x14ac:dyDescent="0.2">
      <c r="B211" t="s">
        <v>1159</v>
      </c>
      <c r="C211" t="s">
        <v>1070</v>
      </c>
      <c r="D211" t="s">
        <v>1160</v>
      </c>
      <c r="E211" s="20">
        <v>0.92100000000000004</v>
      </c>
      <c r="F211" t="s">
        <v>1072</v>
      </c>
      <c r="G211" t="s">
        <v>1073</v>
      </c>
      <c r="H211" s="21">
        <v>26.08</v>
      </c>
      <c r="I211" t="s">
        <v>1074</v>
      </c>
      <c r="J211" s="22">
        <f>ROUND(E211/I208* H211,5)</f>
        <v>24.019680000000001</v>
      </c>
      <c r="K211" s="23"/>
    </row>
    <row r="212" spans="1:27" x14ac:dyDescent="0.2">
      <c r="D212" s="24" t="s">
        <v>1075</v>
      </c>
      <c r="E212" s="23"/>
      <c r="H212" s="23"/>
      <c r="K212" s="21">
        <f>SUM(J210:J211)</f>
        <v>52.14893</v>
      </c>
    </row>
    <row r="213" spans="1:27" x14ac:dyDescent="0.2">
      <c r="B213" s="14" t="s">
        <v>1080</v>
      </c>
      <c r="E213" s="23"/>
      <c r="H213" s="23"/>
      <c r="K213" s="23"/>
    </row>
    <row r="214" spans="1:27" x14ac:dyDescent="0.2">
      <c r="B214" t="s">
        <v>1169</v>
      </c>
      <c r="C214" t="s">
        <v>625</v>
      </c>
      <c r="D214" t="s">
        <v>1170</v>
      </c>
      <c r="E214" s="20">
        <v>1</v>
      </c>
      <c r="G214" t="s">
        <v>1073</v>
      </c>
      <c r="H214" s="21">
        <v>524</v>
      </c>
      <c r="I214" t="s">
        <v>1074</v>
      </c>
      <c r="J214" s="22">
        <f>ROUND(E214* H214,5)</f>
        <v>524</v>
      </c>
      <c r="K214" s="23"/>
    </row>
    <row r="215" spans="1:27" x14ac:dyDescent="0.2">
      <c r="D215" s="24" t="s">
        <v>1090</v>
      </c>
      <c r="E215" s="23"/>
      <c r="H215" s="23"/>
      <c r="K215" s="21">
        <f>SUM(J214:J214)</f>
        <v>524</v>
      </c>
    </row>
    <row r="216" spans="1:27" x14ac:dyDescent="0.2">
      <c r="E216" s="23"/>
      <c r="H216" s="23"/>
      <c r="K216" s="23"/>
    </row>
    <row r="217" spans="1:27" x14ac:dyDescent="0.2">
      <c r="D217" s="24" t="s">
        <v>1092</v>
      </c>
      <c r="E217" s="23"/>
      <c r="H217" s="23">
        <v>1.5</v>
      </c>
      <c r="I217" t="s">
        <v>1093</v>
      </c>
      <c r="J217">
        <f>ROUND(H217/100*K212,5)</f>
        <v>0.78222999999999998</v>
      </c>
      <c r="K217" s="23"/>
    </row>
    <row r="218" spans="1:27" x14ac:dyDescent="0.2">
      <c r="D218" s="24" t="s">
        <v>1091</v>
      </c>
      <c r="E218" s="23"/>
      <c r="H218" s="23"/>
      <c r="K218" s="25">
        <f>SUM(J209:J217)</f>
        <v>576.93115999999998</v>
      </c>
    </row>
    <row r="219" spans="1:27" x14ac:dyDescent="0.2">
      <c r="D219" s="24" t="s">
        <v>1142</v>
      </c>
      <c r="E219" s="23"/>
      <c r="H219" s="23">
        <v>8</v>
      </c>
      <c r="I219" t="s">
        <v>1093</v>
      </c>
      <c r="K219" s="21">
        <f>ROUND(H219/100*K218,5)</f>
        <v>46.154490000000003</v>
      </c>
    </row>
    <row r="220" spans="1:27" x14ac:dyDescent="0.2">
      <c r="D220" s="24" t="s">
        <v>1094</v>
      </c>
      <c r="E220" s="23"/>
      <c r="H220" s="23"/>
      <c r="K220" s="25">
        <f>SUM(K218:K219)</f>
        <v>623.08564999999999</v>
      </c>
    </row>
    <row r="222" spans="1:27" ht="45" customHeight="1" x14ac:dyDescent="0.2">
      <c r="A222" s="17" t="s">
        <v>1171</v>
      </c>
      <c r="B222" s="17" t="s">
        <v>871</v>
      </c>
      <c r="C222" s="1" t="s">
        <v>23</v>
      </c>
      <c r="D222" s="96" t="s">
        <v>872</v>
      </c>
      <c r="E222" s="97"/>
      <c r="F222" s="97"/>
      <c r="G222" s="1"/>
      <c r="H222" s="18" t="s">
        <v>1066</v>
      </c>
      <c r="I222" s="98">
        <v>1</v>
      </c>
      <c r="J222" s="99"/>
      <c r="K222" s="19">
        <f>ROUND(K234,2)</f>
        <v>269.33</v>
      </c>
      <c r="L222" s="2" t="s">
        <v>1172</v>
      </c>
      <c r="M222" s="1"/>
      <c r="N222" s="1"/>
      <c r="O222" s="1"/>
      <c r="P222" s="1"/>
      <c r="Q222" s="1"/>
      <c r="R222" s="1"/>
      <c r="S222" s="1"/>
      <c r="T222" s="1"/>
      <c r="U222" s="1"/>
      <c r="V222" s="1"/>
      <c r="W222" s="1"/>
      <c r="X222" s="1"/>
      <c r="Y222" s="1"/>
      <c r="Z222" s="1"/>
      <c r="AA222" s="1"/>
    </row>
    <row r="223" spans="1:27" x14ac:dyDescent="0.2">
      <c r="B223" s="14" t="s">
        <v>1068</v>
      </c>
    </row>
    <row r="224" spans="1:27" x14ac:dyDescent="0.2">
      <c r="B224" t="s">
        <v>1159</v>
      </c>
      <c r="C224" t="s">
        <v>1070</v>
      </c>
      <c r="D224" t="s">
        <v>1160</v>
      </c>
      <c r="E224" s="20">
        <v>1.41</v>
      </c>
      <c r="F224" t="s">
        <v>1072</v>
      </c>
      <c r="G224" t="s">
        <v>1073</v>
      </c>
      <c r="H224" s="21">
        <v>26.08</v>
      </c>
      <c r="I224" t="s">
        <v>1074</v>
      </c>
      <c r="J224" s="22">
        <f>ROUND(E224/I222* H224,5)</f>
        <v>36.772799999999997</v>
      </c>
      <c r="K224" s="23"/>
    </row>
    <row r="225" spans="1:27" x14ac:dyDescent="0.2">
      <c r="B225" t="s">
        <v>1161</v>
      </c>
      <c r="C225" t="s">
        <v>1070</v>
      </c>
      <c r="D225" t="s">
        <v>1162</v>
      </c>
      <c r="E225" s="20">
        <v>1.4119999999999999</v>
      </c>
      <c r="F225" t="s">
        <v>1072</v>
      </c>
      <c r="G225" t="s">
        <v>1073</v>
      </c>
      <c r="H225" s="21">
        <v>30.41</v>
      </c>
      <c r="I225" t="s">
        <v>1074</v>
      </c>
      <c r="J225" s="22">
        <f>ROUND(E225/I222* H225,5)</f>
        <v>42.938920000000003</v>
      </c>
      <c r="K225" s="23"/>
    </row>
    <row r="226" spans="1:27" x14ac:dyDescent="0.2">
      <c r="D226" s="24" t="s">
        <v>1075</v>
      </c>
      <c r="E226" s="23"/>
      <c r="H226" s="23"/>
      <c r="K226" s="21">
        <f>SUM(J224:J225)</f>
        <v>79.71172</v>
      </c>
    </row>
    <row r="227" spans="1:27" x14ac:dyDescent="0.2">
      <c r="B227" s="14" t="s">
        <v>1080</v>
      </c>
      <c r="E227" s="23"/>
      <c r="H227" s="23"/>
      <c r="K227" s="23"/>
    </row>
    <row r="228" spans="1:27" x14ac:dyDescent="0.2">
      <c r="B228" t="s">
        <v>1173</v>
      </c>
      <c r="C228" t="s">
        <v>625</v>
      </c>
      <c r="D228" t="s">
        <v>1174</v>
      </c>
      <c r="E228" s="20">
        <v>1</v>
      </c>
      <c r="G228" t="s">
        <v>1073</v>
      </c>
      <c r="H228" s="21">
        <v>168.47</v>
      </c>
      <c r="I228" t="s">
        <v>1074</v>
      </c>
      <c r="J228" s="22">
        <f>ROUND(E228* H228,5)</f>
        <v>168.47</v>
      </c>
      <c r="K228" s="23"/>
    </row>
    <row r="229" spans="1:27" x14ac:dyDescent="0.2">
      <c r="D229" s="24" t="s">
        <v>1090</v>
      </c>
      <c r="E229" s="23"/>
      <c r="H229" s="23"/>
      <c r="K229" s="21">
        <f>SUM(J228:J228)</f>
        <v>168.47</v>
      </c>
    </row>
    <row r="230" spans="1:27" x14ac:dyDescent="0.2">
      <c r="E230" s="23"/>
      <c r="H230" s="23"/>
      <c r="K230" s="23"/>
    </row>
    <row r="231" spans="1:27" x14ac:dyDescent="0.2">
      <c r="D231" s="24" t="s">
        <v>1092</v>
      </c>
      <c r="E231" s="23"/>
      <c r="H231" s="23">
        <v>1.5</v>
      </c>
      <c r="I231" t="s">
        <v>1093</v>
      </c>
      <c r="J231">
        <f>ROUND(H231/100*K226,5)</f>
        <v>1.1956800000000001</v>
      </c>
      <c r="K231" s="23"/>
    </row>
    <row r="232" spans="1:27" x14ac:dyDescent="0.2">
      <c r="D232" s="24" t="s">
        <v>1091</v>
      </c>
      <c r="E232" s="23"/>
      <c r="H232" s="23"/>
      <c r="K232" s="25">
        <f>SUM(J223:J231)</f>
        <v>249.37739999999999</v>
      </c>
    </row>
    <row r="233" spans="1:27" x14ac:dyDescent="0.2">
      <c r="D233" s="24" t="s">
        <v>1142</v>
      </c>
      <c r="E233" s="23"/>
      <c r="H233" s="23">
        <v>8</v>
      </c>
      <c r="I233" t="s">
        <v>1093</v>
      </c>
      <c r="K233" s="21">
        <f>ROUND(H233/100*K232,5)</f>
        <v>19.950189999999999</v>
      </c>
    </row>
    <row r="234" spans="1:27" x14ac:dyDescent="0.2">
      <c r="D234" s="24" t="s">
        <v>1094</v>
      </c>
      <c r="E234" s="23"/>
      <c r="H234" s="23"/>
      <c r="K234" s="25">
        <f>SUM(K232:K233)</f>
        <v>269.32758999999999</v>
      </c>
    </row>
    <row r="236" spans="1:27" ht="45" customHeight="1" x14ac:dyDescent="0.2">
      <c r="A236" s="17" t="s">
        <v>1175</v>
      </c>
      <c r="B236" s="17" t="s">
        <v>829</v>
      </c>
      <c r="C236" s="1" t="s">
        <v>625</v>
      </c>
      <c r="D236" s="96" t="s">
        <v>830</v>
      </c>
      <c r="E236" s="97"/>
      <c r="F236" s="97"/>
      <c r="G236" s="1"/>
      <c r="H236" s="18" t="s">
        <v>1066</v>
      </c>
      <c r="I236" s="98">
        <v>1</v>
      </c>
      <c r="J236" s="99"/>
      <c r="K236" s="19">
        <v>216</v>
      </c>
      <c r="L236" s="2" t="s">
        <v>1176</v>
      </c>
      <c r="M236" s="1"/>
      <c r="N236" s="1"/>
      <c r="O236" s="1"/>
      <c r="P236" s="1"/>
      <c r="Q236" s="1"/>
      <c r="R236" s="1"/>
      <c r="S236" s="1"/>
      <c r="T236" s="1"/>
      <c r="U236" s="1"/>
      <c r="V236" s="1"/>
      <c r="W236" s="1"/>
      <c r="X236" s="1"/>
      <c r="Y236" s="1"/>
      <c r="Z236" s="1"/>
      <c r="AA236" s="1"/>
    </row>
    <row r="237" spans="1:27" ht="45" customHeight="1" x14ac:dyDescent="0.2">
      <c r="A237" s="17" t="s">
        <v>1177</v>
      </c>
      <c r="B237" s="17" t="s">
        <v>624</v>
      </c>
      <c r="C237" s="1" t="s">
        <v>625</v>
      </c>
      <c r="D237" s="96" t="s">
        <v>626</v>
      </c>
      <c r="E237" s="97"/>
      <c r="F237" s="97"/>
      <c r="G237" s="1"/>
      <c r="H237" s="18" t="s">
        <v>1066</v>
      </c>
      <c r="I237" s="98">
        <v>1</v>
      </c>
      <c r="J237" s="99"/>
      <c r="K237" s="19">
        <v>1430.68</v>
      </c>
      <c r="L237" s="2" t="s">
        <v>1178</v>
      </c>
      <c r="M237" s="1"/>
      <c r="N237" s="1"/>
      <c r="O237" s="1"/>
      <c r="P237" s="1"/>
      <c r="Q237" s="1"/>
      <c r="R237" s="1"/>
      <c r="S237" s="1"/>
      <c r="T237" s="1"/>
      <c r="U237" s="1"/>
      <c r="V237" s="1"/>
      <c r="W237" s="1"/>
      <c r="X237" s="1"/>
      <c r="Y237" s="1"/>
      <c r="Z237" s="1"/>
      <c r="AA237" s="1"/>
    </row>
    <row r="238" spans="1:27" ht="45" customHeight="1" x14ac:dyDescent="0.2">
      <c r="A238" s="17" t="s">
        <v>1179</v>
      </c>
      <c r="B238" s="17" t="s">
        <v>627</v>
      </c>
      <c r="C238" s="1" t="s">
        <v>625</v>
      </c>
      <c r="D238" s="96" t="s">
        <v>628</v>
      </c>
      <c r="E238" s="97"/>
      <c r="F238" s="97"/>
      <c r="G238" s="1"/>
      <c r="H238" s="18" t="s">
        <v>1066</v>
      </c>
      <c r="I238" s="98">
        <v>1</v>
      </c>
      <c r="J238" s="99"/>
      <c r="K238" s="19">
        <v>216</v>
      </c>
      <c r="L238" s="2" t="s">
        <v>1180</v>
      </c>
      <c r="M238" s="1"/>
      <c r="N238" s="1"/>
      <c r="O238" s="1"/>
      <c r="P238" s="1"/>
      <c r="Q238" s="1"/>
      <c r="R238" s="1"/>
      <c r="S238" s="1"/>
      <c r="T238" s="1"/>
      <c r="U238" s="1"/>
      <c r="V238" s="1"/>
      <c r="W238" s="1"/>
      <c r="X238" s="1"/>
      <c r="Y238" s="1"/>
      <c r="Z238" s="1"/>
      <c r="AA238" s="1"/>
    </row>
    <row r="239" spans="1:27" ht="45" customHeight="1" x14ac:dyDescent="0.2">
      <c r="A239" s="17" t="s">
        <v>1181</v>
      </c>
      <c r="B239" s="17" t="s">
        <v>683</v>
      </c>
      <c r="C239" s="1" t="s">
        <v>625</v>
      </c>
      <c r="D239" s="96" t="s">
        <v>684</v>
      </c>
      <c r="E239" s="97"/>
      <c r="F239" s="97"/>
      <c r="G239" s="1"/>
      <c r="H239" s="18" t="s">
        <v>1066</v>
      </c>
      <c r="I239" s="98">
        <v>1</v>
      </c>
      <c r="J239" s="99"/>
      <c r="K239" s="19">
        <v>216</v>
      </c>
      <c r="L239" s="2" t="s">
        <v>1182</v>
      </c>
      <c r="M239" s="1"/>
      <c r="N239" s="1"/>
      <c r="O239" s="1"/>
      <c r="P239" s="1"/>
      <c r="Q239" s="1"/>
      <c r="R239" s="1"/>
      <c r="S239" s="1"/>
      <c r="T239" s="1"/>
      <c r="U239" s="1"/>
      <c r="V239" s="1"/>
      <c r="W239" s="1"/>
      <c r="X239" s="1"/>
      <c r="Y239" s="1"/>
      <c r="Z239" s="1"/>
      <c r="AA239" s="1"/>
    </row>
    <row r="240" spans="1:27" ht="45" customHeight="1" x14ac:dyDescent="0.2">
      <c r="A240" s="17" t="s">
        <v>1183</v>
      </c>
      <c r="B240" s="17" t="s">
        <v>897</v>
      </c>
      <c r="C240" s="1" t="s">
        <v>625</v>
      </c>
      <c r="D240" s="96" t="s">
        <v>898</v>
      </c>
      <c r="E240" s="97"/>
      <c r="F240" s="97"/>
      <c r="G240" s="1"/>
      <c r="H240" s="18" t="s">
        <v>1066</v>
      </c>
      <c r="I240" s="98">
        <v>1</v>
      </c>
      <c r="J240" s="99"/>
      <c r="K240" s="19">
        <f>ROUND(K246,2)</f>
        <v>16.420000000000002</v>
      </c>
      <c r="L240" s="2" t="s">
        <v>898</v>
      </c>
      <c r="M240" s="1"/>
      <c r="N240" s="1"/>
      <c r="O240" s="1"/>
      <c r="P240" s="1"/>
      <c r="Q240" s="1"/>
      <c r="R240" s="1"/>
      <c r="S240" s="1"/>
      <c r="T240" s="1"/>
      <c r="U240" s="1"/>
      <c r="V240" s="1"/>
      <c r="W240" s="1"/>
      <c r="X240" s="1"/>
      <c r="Y240" s="1"/>
      <c r="Z240" s="1"/>
      <c r="AA240" s="1"/>
    </row>
    <row r="241" spans="1:27" x14ac:dyDescent="0.2">
      <c r="B241" s="14" t="s">
        <v>1068</v>
      </c>
    </row>
    <row r="242" spans="1:27" x14ac:dyDescent="0.2">
      <c r="B242" t="s">
        <v>1184</v>
      </c>
      <c r="C242" t="s">
        <v>1070</v>
      </c>
      <c r="D242" t="s">
        <v>1185</v>
      </c>
      <c r="E242" s="20">
        <v>0.5</v>
      </c>
      <c r="F242" t="s">
        <v>1072</v>
      </c>
      <c r="G242" t="s">
        <v>1073</v>
      </c>
      <c r="H242" s="21">
        <v>30.41</v>
      </c>
      <c r="I242" t="s">
        <v>1074</v>
      </c>
      <c r="J242" s="22">
        <f>ROUND(E242/I240* H242,5)</f>
        <v>15.205</v>
      </c>
      <c r="K242" s="23"/>
    </row>
    <row r="243" spans="1:27" x14ac:dyDescent="0.2">
      <c r="D243" s="24" t="s">
        <v>1075</v>
      </c>
      <c r="E243" s="23"/>
      <c r="H243" s="23"/>
      <c r="K243" s="21">
        <f>SUM(J242:J242)</f>
        <v>15.205</v>
      </c>
    </row>
    <row r="244" spans="1:27" x14ac:dyDescent="0.2">
      <c r="D244" s="24" t="s">
        <v>1091</v>
      </c>
      <c r="E244" s="23"/>
      <c r="H244" s="23"/>
      <c r="K244" s="25">
        <f>SUM(J241:J243)</f>
        <v>15.205</v>
      </c>
    </row>
    <row r="245" spans="1:27" x14ac:dyDescent="0.2">
      <c r="D245" s="24" t="s">
        <v>1142</v>
      </c>
      <c r="E245" s="23"/>
      <c r="H245" s="23">
        <v>8</v>
      </c>
      <c r="I245" t="s">
        <v>1093</v>
      </c>
      <c r="K245" s="21">
        <f>ROUND(H245/100*K244,5)</f>
        <v>1.2163999999999999</v>
      </c>
    </row>
    <row r="246" spans="1:27" x14ac:dyDescent="0.2">
      <c r="D246" s="24" t="s">
        <v>1094</v>
      </c>
      <c r="E246" s="23"/>
      <c r="H246" s="23"/>
      <c r="K246" s="25">
        <f>SUM(K244:K245)</f>
        <v>16.421399999999998</v>
      </c>
    </row>
    <row r="248" spans="1:27" ht="45" customHeight="1" x14ac:dyDescent="0.2">
      <c r="A248" s="17" t="s">
        <v>1186</v>
      </c>
      <c r="B248" s="17" t="s">
        <v>409</v>
      </c>
      <c r="C248" s="1" t="s">
        <v>18</v>
      </c>
      <c r="D248" s="96" t="s">
        <v>410</v>
      </c>
      <c r="E248" s="97"/>
      <c r="F248" s="97"/>
      <c r="G248" s="1"/>
      <c r="H248" s="18" t="s">
        <v>1066</v>
      </c>
      <c r="I248" s="98">
        <v>1</v>
      </c>
      <c r="J248" s="99"/>
      <c r="K248" s="19">
        <f>ROUND(K254,2)</f>
        <v>0.09</v>
      </c>
      <c r="L248" s="2" t="s">
        <v>1187</v>
      </c>
      <c r="M248" s="1"/>
      <c r="N248" s="1"/>
      <c r="O248" s="1"/>
      <c r="P248" s="1"/>
      <c r="Q248" s="1"/>
      <c r="R248" s="1"/>
      <c r="S248" s="1"/>
      <c r="T248" s="1"/>
      <c r="U248" s="1"/>
      <c r="V248" s="1"/>
      <c r="W248" s="1"/>
      <c r="X248" s="1"/>
      <c r="Y248" s="1"/>
      <c r="Z248" s="1"/>
      <c r="AA248" s="1"/>
    </row>
    <row r="249" spans="1:27" x14ac:dyDescent="0.2">
      <c r="B249" s="14" t="s">
        <v>1080</v>
      </c>
    </row>
    <row r="250" spans="1:27" x14ac:dyDescent="0.2">
      <c r="B250" t="s">
        <v>1188</v>
      </c>
      <c r="C250" t="s">
        <v>18</v>
      </c>
      <c r="D250" t="s">
        <v>410</v>
      </c>
      <c r="E250" s="20">
        <v>1</v>
      </c>
      <c r="G250" t="s">
        <v>1073</v>
      </c>
      <c r="H250" s="21">
        <v>0.08</v>
      </c>
      <c r="I250" t="s">
        <v>1074</v>
      </c>
      <c r="J250" s="22">
        <f>ROUND(E250* H250,5)</f>
        <v>0.08</v>
      </c>
      <c r="K250" s="23"/>
    </row>
    <row r="251" spans="1:27" x14ac:dyDescent="0.2">
      <c r="D251" s="24" t="s">
        <v>1090</v>
      </c>
      <c r="E251" s="23"/>
      <c r="H251" s="23"/>
      <c r="K251" s="21">
        <f>SUM(J250:J250)</f>
        <v>0.08</v>
      </c>
    </row>
    <row r="252" spans="1:27" x14ac:dyDescent="0.2">
      <c r="D252" s="24" t="s">
        <v>1091</v>
      </c>
      <c r="E252" s="23"/>
      <c r="H252" s="23"/>
      <c r="K252" s="25">
        <f>SUM(J249:J251)</f>
        <v>0.08</v>
      </c>
    </row>
    <row r="253" spans="1:27" x14ac:dyDescent="0.2">
      <c r="D253" s="24" t="s">
        <v>1142</v>
      </c>
      <c r="E253" s="23"/>
      <c r="H253" s="23">
        <v>8</v>
      </c>
      <c r="I253" t="s">
        <v>1093</v>
      </c>
      <c r="K253" s="21">
        <f>ROUND(H253/100*K252,5)</f>
        <v>6.4000000000000003E-3</v>
      </c>
    </row>
    <row r="254" spans="1:27" x14ac:dyDescent="0.2">
      <c r="D254" s="24" t="s">
        <v>1094</v>
      </c>
      <c r="E254" s="23"/>
      <c r="H254" s="23"/>
      <c r="K254" s="25">
        <f>SUM(K252:K253)</f>
        <v>8.6400000000000005E-2</v>
      </c>
    </row>
    <row r="256" spans="1:27" ht="45" customHeight="1" x14ac:dyDescent="0.2">
      <c r="A256" s="17" t="s">
        <v>1189</v>
      </c>
      <c r="B256" s="17" t="s">
        <v>407</v>
      </c>
      <c r="C256" s="1" t="s">
        <v>18</v>
      </c>
      <c r="D256" s="96" t="s">
        <v>408</v>
      </c>
      <c r="E256" s="97"/>
      <c r="F256" s="97"/>
      <c r="G256" s="1"/>
      <c r="H256" s="18" t="s">
        <v>1066</v>
      </c>
      <c r="I256" s="98">
        <v>1</v>
      </c>
      <c r="J256" s="99"/>
      <c r="K256" s="19">
        <f>ROUND(K268,2)</f>
        <v>9.2100000000000009</v>
      </c>
      <c r="L256" s="2" t="s">
        <v>1190</v>
      </c>
      <c r="M256" s="1"/>
      <c r="N256" s="1"/>
      <c r="O256" s="1"/>
      <c r="P256" s="1"/>
      <c r="Q256" s="1"/>
      <c r="R256" s="1"/>
      <c r="S256" s="1"/>
      <c r="T256" s="1"/>
      <c r="U256" s="1"/>
      <c r="V256" s="1"/>
      <c r="W256" s="1"/>
      <c r="X256" s="1"/>
      <c r="Y256" s="1"/>
      <c r="Z256" s="1"/>
      <c r="AA256" s="1"/>
    </row>
    <row r="257" spans="1:27" x14ac:dyDescent="0.2">
      <c r="B257" s="14" t="s">
        <v>1068</v>
      </c>
    </row>
    <row r="258" spans="1:27" x14ac:dyDescent="0.2">
      <c r="B258" t="s">
        <v>1136</v>
      </c>
      <c r="C258" t="s">
        <v>1070</v>
      </c>
      <c r="D258" t="s">
        <v>1137</v>
      </c>
      <c r="E258" s="20">
        <v>0.08</v>
      </c>
      <c r="F258" t="s">
        <v>1072</v>
      </c>
      <c r="G258" t="s">
        <v>1073</v>
      </c>
      <c r="H258" s="21">
        <v>30.41</v>
      </c>
      <c r="I258" t="s">
        <v>1074</v>
      </c>
      <c r="J258" s="22">
        <f>ROUND(E258/I256* H258,5)</f>
        <v>2.4327999999999999</v>
      </c>
      <c r="K258" s="23"/>
    </row>
    <row r="259" spans="1:27" x14ac:dyDescent="0.2">
      <c r="B259" t="s">
        <v>1138</v>
      </c>
      <c r="C259" t="s">
        <v>1070</v>
      </c>
      <c r="D259" t="s">
        <v>1139</v>
      </c>
      <c r="E259" s="20">
        <v>0.16</v>
      </c>
      <c r="F259" t="s">
        <v>1072</v>
      </c>
      <c r="G259" t="s">
        <v>1073</v>
      </c>
      <c r="H259" s="21">
        <v>26.12</v>
      </c>
      <c r="I259" t="s">
        <v>1074</v>
      </c>
      <c r="J259" s="22">
        <f>ROUND(E259/I256* H259,5)</f>
        <v>4.1791999999999998</v>
      </c>
      <c r="K259" s="23"/>
    </row>
    <row r="260" spans="1:27" x14ac:dyDescent="0.2">
      <c r="D260" s="24" t="s">
        <v>1075</v>
      </c>
      <c r="E260" s="23"/>
      <c r="H260" s="23"/>
      <c r="K260" s="21">
        <f>SUM(J258:J259)</f>
        <v>6.6120000000000001</v>
      </c>
    </row>
    <row r="261" spans="1:27" x14ac:dyDescent="0.2">
      <c r="B261" s="14" t="s">
        <v>1076</v>
      </c>
      <c r="E261" s="23"/>
      <c r="H261" s="23"/>
      <c r="K261" s="23"/>
    </row>
    <row r="262" spans="1:27" x14ac:dyDescent="0.2">
      <c r="B262" t="s">
        <v>1191</v>
      </c>
      <c r="C262" t="s">
        <v>1070</v>
      </c>
      <c r="D262" t="s">
        <v>1192</v>
      </c>
      <c r="E262" s="20">
        <v>0.04</v>
      </c>
      <c r="F262" t="s">
        <v>1072</v>
      </c>
      <c r="G262" t="s">
        <v>1073</v>
      </c>
      <c r="H262" s="21">
        <v>45.45</v>
      </c>
      <c r="I262" t="s">
        <v>1074</v>
      </c>
      <c r="J262" s="22">
        <f>ROUND(E262/I256* H262,5)</f>
        <v>1.8180000000000001</v>
      </c>
      <c r="K262" s="23"/>
    </row>
    <row r="263" spans="1:27" x14ac:dyDescent="0.2">
      <c r="D263" s="24" t="s">
        <v>1079</v>
      </c>
      <c r="E263" s="23"/>
      <c r="H263" s="23"/>
      <c r="K263" s="21">
        <f>SUM(J262:J262)</f>
        <v>1.8180000000000001</v>
      </c>
    </row>
    <row r="264" spans="1:27" x14ac:dyDescent="0.2">
      <c r="E264" s="23"/>
      <c r="H264" s="23"/>
      <c r="K264" s="23"/>
    </row>
    <row r="265" spans="1:27" x14ac:dyDescent="0.2">
      <c r="D265" s="24" t="s">
        <v>1092</v>
      </c>
      <c r="E265" s="23"/>
      <c r="H265" s="23">
        <v>1.5</v>
      </c>
      <c r="I265" t="s">
        <v>1093</v>
      </c>
      <c r="J265">
        <f>ROUND(H265/100*K260,5)</f>
        <v>9.9180000000000004E-2</v>
      </c>
      <c r="K265" s="23"/>
    </row>
    <row r="266" spans="1:27" x14ac:dyDescent="0.2">
      <c r="D266" s="24" t="s">
        <v>1091</v>
      </c>
      <c r="E266" s="23"/>
      <c r="H266" s="23"/>
      <c r="K266" s="25">
        <f>SUM(J257:J265)</f>
        <v>8.5291800000000002</v>
      </c>
    </row>
    <row r="267" spans="1:27" x14ac:dyDescent="0.2">
      <c r="D267" s="24" t="s">
        <v>1142</v>
      </c>
      <c r="E267" s="23"/>
      <c r="H267" s="23">
        <v>8</v>
      </c>
      <c r="I267" t="s">
        <v>1093</v>
      </c>
      <c r="K267" s="21">
        <f>ROUND(H267/100*K266,5)</f>
        <v>0.68232999999999999</v>
      </c>
    </row>
    <row r="268" spans="1:27" x14ac:dyDescent="0.2">
      <c r="D268" s="24" t="s">
        <v>1094</v>
      </c>
      <c r="E268" s="23"/>
      <c r="H268" s="23"/>
      <c r="K268" s="25">
        <f>SUM(K266:K267)</f>
        <v>9.2115100000000005</v>
      </c>
    </row>
    <row r="270" spans="1:27" ht="45" customHeight="1" x14ac:dyDescent="0.2">
      <c r="A270" s="17" t="s">
        <v>1193</v>
      </c>
      <c r="B270" s="17" t="s">
        <v>826</v>
      </c>
      <c r="C270" s="1" t="s">
        <v>827</v>
      </c>
      <c r="D270" s="96" t="s">
        <v>828</v>
      </c>
      <c r="E270" s="97"/>
      <c r="F270" s="97"/>
      <c r="G270" s="1"/>
      <c r="H270" s="18" t="s">
        <v>1066</v>
      </c>
      <c r="I270" s="98">
        <v>1</v>
      </c>
      <c r="J270" s="99"/>
      <c r="K270" s="19">
        <v>1080</v>
      </c>
      <c r="L270" s="2" t="s">
        <v>1194</v>
      </c>
      <c r="M270" s="1"/>
      <c r="N270" s="1"/>
      <c r="O270" s="1"/>
      <c r="P270" s="1"/>
      <c r="Q270" s="1"/>
      <c r="R270" s="1"/>
      <c r="S270" s="1"/>
      <c r="T270" s="1"/>
      <c r="U270" s="1"/>
      <c r="V270" s="1"/>
      <c r="W270" s="1"/>
      <c r="X270" s="1"/>
      <c r="Y270" s="1"/>
      <c r="Z270" s="1"/>
      <c r="AA270" s="1"/>
    </row>
    <row r="271" spans="1:27" ht="45" customHeight="1" x14ac:dyDescent="0.2">
      <c r="A271" s="17" t="s">
        <v>1195</v>
      </c>
      <c r="B271" s="17" t="s">
        <v>1009</v>
      </c>
      <c r="C271" s="1" t="s">
        <v>23</v>
      </c>
      <c r="D271" s="96" t="s">
        <v>1010</v>
      </c>
      <c r="E271" s="97"/>
      <c r="F271" s="97"/>
      <c r="G271" s="1"/>
      <c r="H271" s="18" t="s">
        <v>1066</v>
      </c>
      <c r="I271" s="98">
        <v>1</v>
      </c>
      <c r="J271" s="99"/>
      <c r="K271" s="19">
        <f>ROUND(K281,2)</f>
        <v>2027.59</v>
      </c>
      <c r="L271" s="2" t="s">
        <v>1196</v>
      </c>
      <c r="M271" s="1"/>
      <c r="N271" s="1"/>
      <c r="O271" s="1"/>
      <c r="P271" s="1"/>
      <c r="Q271" s="1"/>
      <c r="R271" s="1"/>
      <c r="S271" s="1"/>
      <c r="T271" s="1"/>
      <c r="U271" s="1"/>
      <c r="V271" s="1"/>
      <c r="W271" s="1"/>
      <c r="X271" s="1"/>
      <c r="Y271" s="1"/>
      <c r="Z271" s="1"/>
      <c r="AA271" s="1"/>
    </row>
    <row r="272" spans="1:27" x14ac:dyDescent="0.2">
      <c r="B272" s="14" t="s">
        <v>1068</v>
      </c>
    </row>
    <row r="273" spans="1:27" x14ac:dyDescent="0.2">
      <c r="B273" t="s">
        <v>1201</v>
      </c>
      <c r="C273" t="s">
        <v>1070</v>
      </c>
      <c r="D273" t="s">
        <v>1202</v>
      </c>
      <c r="E273" s="20">
        <v>5</v>
      </c>
      <c r="F273" t="s">
        <v>1072</v>
      </c>
      <c r="G273" t="s">
        <v>1073</v>
      </c>
      <c r="H273" s="21">
        <v>36.51</v>
      </c>
      <c r="I273" t="s">
        <v>1074</v>
      </c>
      <c r="J273" s="22">
        <f>ROUND(E273/I271* H273,5)</f>
        <v>182.55</v>
      </c>
      <c r="K273" s="23"/>
    </row>
    <row r="274" spans="1:27" x14ac:dyDescent="0.2">
      <c r="B274" t="s">
        <v>1197</v>
      </c>
      <c r="C274" t="s">
        <v>1070</v>
      </c>
      <c r="D274" t="s">
        <v>1198</v>
      </c>
      <c r="E274" s="20">
        <v>15</v>
      </c>
      <c r="F274" t="s">
        <v>1072</v>
      </c>
      <c r="G274" t="s">
        <v>1073</v>
      </c>
      <c r="H274" s="21">
        <v>38.840000000000003</v>
      </c>
      <c r="I274" t="s">
        <v>1074</v>
      </c>
      <c r="J274" s="22">
        <f>ROUND(E274/I271* H274,5)</f>
        <v>582.6</v>
      </c>
      <c r="K274" s="23"/>
    </row>
    <row r="275" spans="1:27" x14ac:dyDescent="0.2">
      <c r="B275" t="s">
        <v>1199</v>
      </c>
      <c r="C275" t="s">
        <v>1070</v>
      </c>
      <c r="D275" t="s">
        <v>1200</v>
      </c>
      <c r="E275" s="20">
        <v>25</v>
      </c>
      <c r="F275" t="s">
        <v>1072</v>
      </c>
      <c r="G275" t="s">
        <v>1073</v>
      </c>
      <c r="H275" s="21">
        <v>43.38</v>
      </c>
      <c r="I275" t="s">
        <v>1074</v>
      </c>
      <c r="J275" s="22">
        <f>ROUND(E275/I271* H275,5)</f>
        <v>1084.5</v>
      </c>
      <c r="K275" s="23"/>
    </row>
    <row r="276" spans="1:27" x14ac:dyDescent="0.2">
      <c r="D276" s="24" t="s">
        <v>1075</v>
      </c>
      <c r="E276" s="23"/>
      <c r="H276" s="23"/>
      <c r="K276" s="21">
        <f>SUM(J273:J275)</f>
        <v>1849.65</v>
      </c>
    </row>
    <row r="277" spans="1:27" x14ac:dyDescent="0.2">
      <c r="E277" s="23"/>
      <c r="H277" s="23"/>
      <c r="K277" s="23"/>
    </row>
    <row r="278" spans="1:27" x14ac:dyDescent="0.2">
      <c r="D278" s="24" t="s">
        <v>1092</v>
      </c>
      <c r="E278" s="23"/>
      <c r="H278" s="23">
        <v>1.5</v>
      </c>
      <c r="I278" t="s">
        <v>1093</v>
      </c>
      <c r="J278">
        <f>ROUND(H278/100*K276,5)</f>
        <v>27.74475</v>
      </c>
      <c r="K278" s="23"/>
    </row>
    <row r="279" spans="1:27" x14ac:dyDescent="0.2">
      <c r="D279" s="24" t="s">
        <v>1091</v>
      </c>
      <c r="E279" s="23"/>
      <c r="H279" s="23"/>
      <c r="K279" s="25">
        <f>SUM(J272:J278)</f>
        <v>1877.3947500000002</v>
      </c>
    </row>
    <row r="280" spans="1:27" x14ac:dyDescent="0.2">
      <c r="D280" s="24" t="s">
        <v>1142</v>
      </c>
      <c r="E280" s="23"/>
      <c r="H280" s="23">
        <v>8</v>
      </c>
      <c r="I280" t="s">
        <v>1093</v>
      </c>
      <c r="K280" s="21">
        <f>ROUND(H280/100*K279,5)</f>
        <v>150.19157999999999</v>
      </c>
    </row>
    <row r="281" spans="1:27" x14ac:dyDescent="0.2">
      <c r="D281" s="24" t="s">
        <v>1094</v>
      </c>
      <c r="E281" s="23"/>
      <c r="H281" s="23"/>
      <c r="K281" s="25">
        <f>SUM(K279:K280)</f>
        <v>2027.5863300000001</v>
      </c>
    </row>
    <row r="283" spans="1:27" ht="45" customHeight="1" x14ac:dyDescent="0.2">
      <c r="A283" s="17" t="s">
        <v>1203</v>
      </c>
      <c r="B283" s="17" t="s">
        <v>17</v>
      </c>
      <c r="C283" s="1" t="s">
        <v>18</v>
      </c>
      <c r="D283" s="96" t="s">
        <v>19</v>
      </c>
      <c r="E283" s="97"/>
      <c r="F283" s="97"/>
      <c r="G283" s="1"/>
      <c r="H283" s="18" t="s">
        <v>1066</v>
      </c>
      <c r="I283" s="98">
        <v>1</v>
      </c>
      <c r="J283" s="99"/>
      <c r="K283" s="19">
        <f>ROUND(K298,2)</f>
        <v>2.14</v>
      </c>
      <c r="L283" s="2" t="s">
        <v>1204</v>
      </c>
      <c r="M283" s="1"/>
      <c r="N283" s="1"/>
      <c r="O283" s="1"/>
      <c r="P283" s="1"/>
      <c r="Q283" s="1"/>
      <c r="R283" s="1"/>
      <c r="S283" s="1"/>
      <c r="T283" s="1"/>
      <c r="U283" s="1"/>
      <c r="V283" s="1"/>
      <c r="W283" s="1"/>
      <c r="X283" s="1"/>
      <c r="Y283" s="1"/>
      <c r="Z283" s="1"/>
      <c r="AA283" s="1"/>
    </row>
    <row r="284" spans="1:27" x14ac:dyDescent="0.2">
      <c r="B284" s="14" t="s">
        <v>1068</v>
      </c>
    </row>
    <row r="285" spans="1:27" x14ac:dyDescent="0.2">
      <c r="B285" t="s">
        <v>1069</v>
      </c>
      <c r="C285" t="s">
        <v>1070</v>
      </c>
      <c r="D285" t="s">
        <v>1071</v>
      </c>
      <c r="E285" s="20">
        <v>1.4E-2</v>
      </c>
      <c r="F285" t="s">
        <v>1072</v>
      </c>
      <c r="G285" t="s">
        <v>1073</v>
      </c>
      <c r="H285" s="21">
        <v>25.38</v>
      </c>
      <c r="I285" t="s">
        <v>1074</v>
      </c>
      <c r="J285" s="22">
        <f>ROUND(E285/I283* H285,5)</f>
        <v>0.35532000000000002</v>
      </c>
      <c r="K285" s="23"/>
    </row>
    <row r="286" spans="1:27" x14ac:dyDescent="0.2">
      <c r="B286" t="s">
        <v>1205</v>
      </c>
      <c r="C286" t="s">
        <v>1070</v>
      </c>
      <c r="D286" t="s">
        <v>1206</v>
      </c>
      <c r="E286" s="20">
        <v>0.05</v>
      </c>
      <c r="F286" t="s">
        <v>1072</v>
      </c>
      <c r="G286" t="s">
        <v>1073</v>
      </c>
      <c r="H286" s="21">
        <v>24.55</v>
      </c>
      <c r="I286" t="s">
        <v>1074</v>
      </c>
      <c r="J286" s="22">
        <f>ROUND(E286/I283* H286,5)</f>
        <v>1.2275</v>
      </c>
      <c r="K286" s="23"/>
    </row>
    <row r="287" spans="1:27" x14ac:dyDescent="0.2">
      <c r="D287" s="24" t="s">
        <v>1075</v>
      </c>
      <c r="E287" s="23"/>
      <c r="H287" s="23"/>
      <c r="K287" s="21">
        <f>SUM(J285:J286)</f>
        <v>1.5828200000000001</v>
      </c>
    </row>
    <row r="288" spans="1:27" x14ac:dyDescent="0.2">
      <c r="B288" s="14" t="s">
        <v>1076</v>
      </c>
      <c r="E288" s="23"/>
      <c r="H288" s="23"/>
      <c r="K288" s="23"/>
    </row>
    <row r="289" spans="1:27" x14ac:dyDescent="0.2">
      <c r="B289" t="s">
        <v>1207</v>
      </c>
      <c r="C289" t="s">
        <v>1070</v>
      </c>
      <c r="D289" t="s">
        <v>1208</v>
      </c>
      <c r="E289" s="20">
        <v>1.4E-2</v>
      </c>
      <c r="F289" t="s">
        <v>1072</v>
      </c>
      <c r="G289" t="s">
        <v>1073</v>
      </c>
      <c r="H289" s="21">
        <v>22.6</v>
      </c>
      <c r="I289" t="s">
        <v>1074</v>
      </c>
      <c r="J289" s="22">
        <f>ROUND(E289/I283* H289,5)</f>
        <v>0.31640000000000001</v>
      </c>
      <c r="K289" s="23"/>
    </row>
    <row r="290" spans="1:27" x14ac:dyDescent="0.2">
      <c r="D290" s="24" t="s">
        <v>1079</v>
      </c>
      <c r="E290" s="23"/>
      <c r="H290" s="23"/>
      <c r="K290" s="21">
        <f>SUM(J289:J289)</f>
        <v>0.31640000000000001</v>
      </c>
    </row>
    <row r="291" spans="1:27" x14ac:dyDescent="0.2">
      <c r="B291" s="14" t="s">
        <v>1080</v>
      </c>
      <c r="E291" s="23"/>
      <c r="H291" s="23"/>
      <c r="K291" s="23"/>
    </row>
    <row r="292" spans="1:27" x14ac:dyDescent="0.2">
      <c r="B292" t="s">
        <v>1209</v>
      </c>
      <c r="C292" t="s">
        <v>1210</v>
      </c>
      <c r="D292" t="s">
        <v>1211</v>
      </c>
      <c r="E292" s="20">
        <v>5.0000000000000001E-3</v>
      </c>
      <c r="G292" t="s">
        <v>1073</v>
      </c>
      <c r="H292" s="21">
        <v>12.2</v>
      </c>
      <c r="I292" t="s">
        <v>1074</v>
      </c>
      <c r="J292" s="22">
        <f>ROUND(E292* H292,5)</f>
        <v>6.0999999999999999E-2</v>
      </c>
      <c r="K292" s="23"/>
    </row>
    <row r="293" spans="1:27" x14ac:dyDescent="0.2">
      <c r="D293" s="24" t="s">
        <v>1090</v>
      </c>
      <c r="E293" s="23"/>
      <c r="H293" s="23"/>
      <c r="K293" s="21">
        <f>SUM(J292:J292)</f>
        <v>6.0999999999999999E-2</v>
      </c>
    </row>
    <row r="294" spans="1:27" x14ac:dyDescent="0.2">
      <c r="E294" s="23"/>
      <c r="H294" s="23"/>
      <c r="K294" s="23"/>
    </row>
    <row r="295" spans="1:27" x14ac:dyDescent="0.2">
      <c r="D295" s="24" t="s">
        <v>1092</v>
      </c>
      <c r="E295" s="23"/>
      <c r="H295" s="23">
        <v>1.5</v>
      </c>
      <c r="I295" t="s">
        <v>1093</v>
      </c>
      <c r="J295">
        <f>ROUND(H295/100*K287,5)</f>
        <v>2.3740000000000001E-2</v>
      </c>
      <c r="K295" s="23"/>
    </row>
    <row r="296" spans="1:27" x14ac:dyDescent="0.2">
      <c r="D296" s="24" t="s">
        <v>1091</v>
      </c>
      <c r="E296" s="23"/>
      <c r="H296" s="23"/>
      <c r="K296" s="25">
        <f>SUM(J284:J295)</f>
        <v>1.9839600000000002</v>
      </c>
    </row>
    <row r="297" spans="1:27" x14ac:dyDescent="0.2">
      <c r="D297" s="24" t="s">
        <v>1142</v>
      </c>
      <c r="E297" s="23"/>
      <c r="H297" s="23">
        <v>8</v>
      </c>
      <c r="I297" t="s">
        <v>1093</v>
      </c>
      <c r="K297" s="21">
        <f>ROUND(H297/100*K296,5)</f>
        <v>0.15872</v>
      </c>
    </row>
    <row r="298" spans="1:27" x14ac:dyDescent="0.2">
      <c r="D298" s="24" t="s">
        <v>1094</v>
      </c>
      <c r="E298" s="23"/>
      <c r="H298" s="23"/>
      <c r="K298" s="25">
        <f>SUM(K296:K297)</f>
        <v>2.1426800000000004</v>
      </c>
    </row>
    <row r="300" spans="1:27" ht="45" customHeight="1" x14ac:dyDescent="0.2">
      <c r="A300" s="17" t="s">
        <v>1212</v>
      </c>
      <c r="B300" s="17" t="s">
        <v>20</v>
      </c>
      <c r="C300" s="1" t="s">
        <v>18</v>
      </c>
      <c r="D300" s="96" t="s">
        <v>21</v>
      </c>
      <c r="E300" s="97"/>
      <c r="F300" s="97"/>
      <c r="G300" s="1"/>
      <c r="H300" s="18" t="s">
        <v>1066</v>
      </c>
      <c r="I300" s="98">
        <v>1</v>
      </c>
      <c r="J300" s="99"/>
      <c r="K300" s="19">
        <f>ROUND(K313,2)</f>
        <v>3.52</v>
      </c>
      <c r="L300" s="2" t="s">
        <v>1213</v>
      </c>
      <c r="M300" s="1"/>
      <c r="N300" s="1"/>
      <c r="O300" s="1"/>
      <c r="P300" s="1"/>
      <c r="Q300" s="1"/>
      <c r="R300" s="1"/>
      <c r="S300" s="1"/>
      <c r="T300" s="1"/>
      <c r="U300" s="1"/>
      <c r="V300" s="1"/>
      <c r="W300" s="1"/>
      <c r="X300" s="1"/>
      <c r="Y300" s="1"/>
      <c r="Z300" s="1"/>
      <c r="AA300" s="1"/>
    </row>
    <row r="301" spans="1:27" x14ac:dyDescent="0.2">
      <c r="B301" s="14" t="s">
        <v>1068</v>
      </c>
    </row>
    <row r="302" spans="1:27" x14ac:dyDescent="0.2">
      <c r="B302" t="s">
        <v>1205</v>
      </c>
      <c r="C302" t="s">
        <v>1070</v>
      </c>
      <c r="D302" t="s">
        <v>1206</v>
      </c>
      <c r="E302" s="20">
        <v>0.03</v>
      </c>
      <c r="F302" t="s">
        <v>1072</v>
      </c>
      <c r="G302" t="s">
        <v>1073</v>
      </c>
      <c r="H302" s="21">
        <v>24.55</v>
      </c>
      <c r="I302" t="s">
        <v>1074</v>
      </c>
      <c r="J302" s="22">
        <f>ROUND(E302/I300* H302,5)</f>
        <v>0.73650000000000004</v>
      </c>
      <c r="K302" s="23"/>
    </row>
    <row r="303" spans="1:27" x14ac:dyDescent="0.2">
      <c r="B303" t="s">
        <v>1069</v>
      </c>
      <c r="C303" t="s">
        <v>1070</v>
      </c>
      <c r="D303" t="s">
        <v>1071</v>
      </c>
      <c r="E303" s="20">
        <v>0.03</v>
      </c>
      <c r="F303" t="s">
        <v>1072</v>
      </c>
      <c r="G303" t="s">
        <v>1073</v>
      </c>
      <c r="H303" s="21">
        <v>25.38</v>
      </c>
      <c r="I303" t="s">
        <v>1074</v>
      </c>
      <c r="J303" s="22">
        <f>ROUND(E303/I300* H303,5)</f>
        <v>0.76139999999999997</v>
      </c>
      <c r="K303" s="23"/>
    </row>
    <row r="304" spans="1:27" x14ac:dyDescent="0.2">
      <c r="D304" s="24" t="s">
        <v>1075</v>
      </c>
      <c r="E304" s="23"/>
      <c r="H304" s="23"/>
      <c r="K304" s="21">
        <f>SUM(J302:J303)</f>
        <v>1.4979</v>
      </c>
    </row>
    <row r="305" spans="1:27" x14ac:dyDescent="0.2">
      <c r="B305" s="14" t="s">
        <v>1076</v>
      </c>
      <c r="E305" s="23"/>
      <c r="H305" s="23"/>
      <c r="K305" s="23"/>
    </row>
    <row r="306" spans="1:27" x14ac:dyDescent="0.2">
      <c r="B306" t="s">
        <v>1216</v>
      </c>
      <c r="C306" t="s">
        <v>1070</v>
      </c>
      <c r="D306" t="s">
        <v>1217</v>
      </c>
      <c r="E306" s="20">
        <v>0.03</v>
      </c>
      <c r="F306" t="s">
        <v>1072</v>
      </c>
      <c r="G306" t="s">
        <v>1073</v>
      </c>
      <c r="H306" s="21">
        <v>5.96</v>
      </c>
      <c r="I306" t="s">
        <v>1074</v>
      </c>
      <c r="J306" s="22">
        <f>ROUND(E306/I300* H306,5)</f>
        <v>0.17879999999999999</v>
      </c>
      <c r="K306" s="23"/>
    </row>
    <row r="307" spans="1:27" x14ac:dyDescent="0.2">
      <c r="B307" t="s">
        <v>1214</v>
      </c>
      <c r="C307" t="s">
        <v>1070</v>
      </c>
      <c r="D307" t="s">
        <v>1215</v>
      </c>
      <c r="E307" s="20">
        <v>0.03</v>
      </c>
      <c r="F307" t="s">
        <v>1072</v>
      </c>
      <c r="G307" t="s">
        <v>1073</v>
      </c>
      <c r="H307" s="21">
        <v>52.15</v>
      </c>
      <c r="I307" t="s">
        <v>1074</v>
      </c>
      <c r="J307" s="22">
        <f>ROUND(E307/I300* H307,5)</f>
        <v>1.5645</v>
      </c>
      <c r="K307" s="23"/>
    </row>
    <row r="308" spans="1:27" x14ac:dyDescent="0.2">
      <c r="D308" s="24" t="s">
        <v>1079</v>
      </c>
      <c r="E308" s="23"/>
      <c r="H308" s="23"/>
      <c r="K308" s="21">
        <f>SUM(J306:J307)</f>
        <v>1.7433000000000001</v>
      </c>
    </row>
    <row r="309" spans="1:27" x14ac:dyDescent="0.2">
      <c r="E309" s="23"/>
      <c r="H309" s="23"/>
      <c r="K309" s="23"/>
    </row>
    <row r="310" spans="1:27" x14ac:dyDescent="0.2">
      <c r="D310" s="24" t="s">
        <v>1092</v>
      </c>
      <c r="E310" s="23"/>
      <c r="H310" s="23">
        <v>1.5</v>
      </c>
      <c r="I310" t="s">
        <v>1093</v>
      </c>
      <c r="J310">
        <f>ROUND(H310/100*K304,5)</f>
        <v>2.247E-2</v>
      </c>
      <c r="K310" s="23"/>
    </row>
    <row r="311" spans="1:27" x14ac:dyDescent="0.2">
      <c r="D311" s="24" t="s">
        <v>1091</v>
      </c>
      <c r="E311" s="23"/>
      <c r="H311" s="23"/>
      <c r="K311" s="25">
        <f>SUM(J301:J310)</f>
        <v>3.2636700000000003</v>
      </c>
    </row>
    <row r="312" spans="1:27" x14ac:dyDescent="0.2">
      <c r="D312" s="24" t="s">
        <v>1142</v>
      </c>
      <c r="E312" s="23"/>
      <c r="H312" s="23">
        <v>8</v>
      </c>
      <c r="I312" t="s">
        <v>1093</v>
      </c>
      <c r="K312" s="21">
        <f>ROUND(H312/100*K311,5)</f>
        <v>0.26108999999999999</v>
      </c>
    </row>
    <row r="313" spans="1:27" x14ac:dyDescent="0.2">
      <c r="D313" s="24" t="s">
        <v>1094</v>
      </c>
      <c r="E313" s="23"/>
      <c r="H313" s="23"/>
      <c r="K313" s="25">
        <f>SUM(K311:K312)</f>
        <v>3.5247600000000001</v>
      </c>
    </row>
    <row r="315" spans="1:27" ht="45" customHeight="1" x14ac:dyDescent="0.2">
      <c r="A315" s="17" t="s">
        <v>1218</v>
      </c>
      <c r="B315" s="17" t="s">
        <v>33</v>
      </c>
      <c r="C315" s="1" t="s">
        <v>15</v>
      </c>
      <c r="D315" s="96" t="s">
        <v>34</v>
      </c>
      <c r="E315" s="97"/>
      <c r="F315" s="97"/>
      <c r="G315" s="1"/>
      <c r="H315" s="18" t="s">
        <v>1066</v>
      </c>
      <c r="I315" s="98">
        <v>1</v>
      </c>
      <c r="J315" s="99"/>
      <c r="K315" s="19">
        <f>ROUND(K331,2)</f>
        <v>31.84</v>
      </c>
      <c r="L315" s="2" t="s">
        <v>1219</v>
      </c>
      <c r="M315" s="1"/>
      <c r="N315" s="1"/>
      <c r="O315" s="1"/>
      <c r="P315" s="1"/>
      <c r="Q315" s="1"/>
      <c r="R315" s="1"/>
      <c r="S315" s="1"/>
      <c r="T315" s="1"/>
      <c r="U315" s="1"/>
      <c r="V315" s="1"/>
      <c r="W315" s="1"/>
      <c r="X315" s="1"/>
      <c r="Y315" s="1"/>
      <c r="Z315" s="1"/>
      <c r="AA315" s="1"/>
    </row>
    <row r="316" spans="1:27" x14ac:dyDescent="0.2">
      <c r="B316" s="14" t="s">
        <v>1068</v>
      </c>
    </row>
    <row r="317" spans="1:27" x14ac:dyDescent="0.2">
      <c r="B317" t="s">
        <v>1069</v>
      </c>
      <c r="C317" t="s">
        <v>1070</v>
      </c>
      <c r="D317" t="s">
        <v>1071</v>
      </c>
      <c r="E317" s="20">
        <v>0.4</v>
      </c>
      <c r="F317" t="s">
        <v>1072</v>
      </c>
      <c r="G317" t="s">
        <v>1073</v>
      </c>
      <c r="H317" s="21">
        <v>25.38</v>
      </c>
      <c r="I317" t="s">
        <v>1074</v>
      </c>
      <c r="J317" s="22">
        <f>ROUND(E317/I315* H317,5)</f>
        <v>10.151999999999999</v>
      </c>
      <c r="K317" s="23"/>
    </row>
    <row r="318" spans="1:27" x14ac:dyDescent="0.2">
      <c r="B318" t="s">
        <v>1205</v>
      </c>
      <c r="C318" t="s">
        <v>1070</v>
      </c>
      <c r="D318" t="s">
        <v>1206</v>
      </c>
      <c r="E318" s="20">
        <v>0.4</v>
      </c>
      <c r="F318" t="s">
        <v>1072</v>
      </c>
      <c r="G318" t="s">
        <v>1073</v>
      </c>
      <c r="H318" s="21">
        <v>24.55</v>
      </c>
      <c r="I318" t="s">
        <v>1074</v>
      </c>
      <c r="J318" s="22">
        <f>ROUND(E318/I315* H318,5)</f>
        <v>9.82</v>
      </c>
      <c r="K318" s="23"/>
    </row>
    <row r="319" spans="1:27" x14ac:dyDescent="0.2">
      <c r="B319" t="s">
        <v>1220</v>
      </c>
      <c r="C319" t="s">
        <v>1070</v>
      </c>
      <c r="D319" t="s">
        <v>1221</v>
      </c>
      <c r="E319" s="20">
        <v>0.05</v>
      </c>
      <c r="F319" t="s">
        <v>1072</v>
      </c>
      <c r="G319" t="s">
        <v>1073</v>
      </c>
      <c r="H319" s="21">
        <v>29.42</v>
      </c>
      <c r="I319" t="s">
        <v>1074</v>
      </c>
      <c r="J319" s="22">
        <f>ROUND(E319/I315* H319,5)</f>
        <v>1.4710000000000001</v>
      </c>
      <c r="K319" s="23"/>
    </row>
    <row r="320" spans="1:27" x14ac:dyDescent="0.2">
      <c r="D320" s="24" t="s">
        <v>1075</v>
      </c>
      <c r="E320" s="23"/>
      <c r="H320" s="23"/>
      <c r="K320" s="21">
        <f>SUM(J317:J319)</f>
        <v>21.443000000000001</v>
      </c>
    </row>
    <row r="321" spans="1:27" x14ac:dyDescent="0.2">
      <c r="B321" s="14" t="s">
        <v>1076</v>
      </c>
      <c r="E321" s="23"/>
      <c r="H321" s="23"/>
      <c r="K321" s="23"/>
    </row>
    <row r="322" spans="1:27" x14ac:dyDescent="0.2">
      <c r="B322" t="s">
        <v>1226</v>
      </c>
      <c r="C322" t="s">
        <v>1070</v>
      </c>
      <c r="D322" t="s">
        <v>1227</v>
      </c>
      <c r="E322" s="20">
        <v>0.05</v>
      </c>
      <c r="F322" t="s">
        <v>1072</v>
      </c>
      <c r="G322" t="s">
        <v>1073</v>
      </c>
      <c r="H322" s="21">
        <v>36.56</v>
      </c>
      <c r="I322" t="s">
        <v>1074</v>
      </c>
      <c r="J322" s="22">
        <f>ROUND(E322/I315* H322,5)</f>
        <v>1.8280000000000001</v>
      </c>
      <c r="K322" s="23"/>
    </row>
    <row r="323" spans="1:27" x14ac:dyDescent="0.2">
      <c r="B323" t="s">
        <v>1224</v>
      </c>
      <c r="C323" t="s">
        <v>1070</v>
      </c>
      <c r="D323" t="s">
        <v>1225</v>
      </c>
      <c r="E323" s="20">
        <v>0.3</v>
      </c>
      <c r="F323" t="s">
        <v>1072</v>
      </c>
      <c r="G323" t="s">
        <v>1073</v>
      </c>
      <c r="H323" s="21">
        <v>8.39</v>
      </c>
      <c r="I323" t="s">
        <v>1074</v>
      </c>
      <c r="J323" s="22">
        <f>ROUND(E323/I315* H323,5)</f>
        <v>2.5169999999999999</v>
      </c>
      <c r="K323" s="23"/>
    </row>
    <row r="324" spans="1:27" x14ac:dyDescent="0.2">
      <c r="B324" t="s">
        <v>1222</v>
      </c>
      <c r="C324" t="s">
        <v>1070</v>
      </c>
      <c r="D324" t="s">
        <v>1223</v>
      </c>
      <c r="E324" s="20">
        <v>0.05</v>
      </c>
      <c r="F324" t="s">
        <v>1072</v>
      </c>
      <c r="G324" t="s">
        <v>1073</v>
      </c>
      <c r="H324" s="21">
        <v>15.22</v>
      </c>
      <c r="I324" t="s">
        <v>1074</v>
      </c>
      <c r="J324" s="22">
        <f>ROUND(E324/I315* H324,5)</f>
        <v>0.76100000000000001</v>
      </c>
      <c r="K324" s="23"/>
    </row>
    <row r="325" spans="1:27" x14ac:dyDescent="0.2">
      <c r="B325" t="s">
        <v>1214</v>
      </c>
      <c r="C325" t="s">
        <v>1070</v>
      </c>
      <c r="D325" t="s">
        <v>1215</v>
      </c>
      <c r="E325" s="20">
        <v>0.05</v>
      </c>
      <c r="F325" t="s">
        <v>1072</v>
      </c>
      <c r="G325" t="s">
        <v>1073</v>
      </c>
      <c r="H325" s="21">
        <v>52.15</v>
      </c>
      <c r="I325" t="s">
        <v>1074</v>
      </c>
      <c r="J325" s="22">
        <f>ROUND(E325/I315* H325,5)</f>
        <v>2.6074999999999999</v>
      </c>
      <c r="K325" s="23"/>
    </row>
    <row r="326" spans="1:27" x14ac:dyDescent="0.2">
      <c r="D326" s="24" t="s">
        <v>1079</v>
      </c>
      <c r="E326" s="23"/>
      <c r="H326" s="23"/>
      <c r="K326" s="21">
        <f>SUM(J322:J325)</f>
        <v>7.7134999999999998</v>
      </c>
    </row>
    <row r="327" spans="1:27" x14ac:dyDescent="0.2">
      <c r="E327" s="23"/>
      <c r="H327" s="23"/>
      <c r="K327" s="23"/>
    </row>
    <row r="328" spans="1:27" x14ac:dyDescent="0.2">
      <c r="D328" s="24" t="s">
        <v>1092</v>
      </c>
      <c r="E328" s="23"/>
      <c r="H328" s="23">
        <v>1.5</v>
      </c>
      <c r="I328" t="s">
        <v>1093</v>
      </c>
      <c r="J328">
        <f>ROUND(H328/100*K320,5)</f>
        <v>0.32164999999999999</v>
      </c>
      <c r="K328" s="23"/>
    </row>
    <row r="329" spans="1:27" x14ac:dyDescent="0.2">
      <c r="D329" s="24" t="s">
        <v>1091</v>
      </c>
      <c r="E329" s="23"/>
      <c r="H329" s="23"/>
      <c r="K329" s="25">
        <f>SUM(J316:J328)</f>
        <v>29.478149999999999</v>
      </c>
    </row>
    <row r="330" spans="1:27" x14ac:dyDescent="0.2">
      <c r="D330" s="24" t="s">
        <v>1142</v>
      </c>
      <c r="E330" s="23"/>
      <c r="H330" s="23">
        <v>8</v>
      </c>
      <c r="I330" t="s">
        <v>1093</v>
      </c>
      <c r="K330" s="21">
        <f>ROUND(H330/100*K329,5)</f>
        <v>2.35825</v>
      </c>
    </row>
    <row r="331" spans="1:27" x14ac:dyDescent="0.2">
      <c r="D331" s="24" t="s">
        <v>1094</v>
      </c>
      <c r="E331" s="23"/>
      <c r="H331" s="23"/>
      <c r="K331" s="25">
        <f>SUM(K329:K330)</f>
        <v>31.836399999999998</v>
      </c>
    </row>
    <row r="333" spans="1:27" ht="45" customHeight="1" x14ac:dyDescent="0.2">
      <c r="A333" s="17" t="s">
        <v>1228</v>
      </c>
      <c r="B333" s="17" t="s">
        <v>29</v>
      </c>
      <c r="C333" s="1" t="s">
        <v>23</v>
      </c>
      <c r="D333" s="96" t="s">
        <v>30</v>
      </c>
      <c r="E333" s="97"/>
      <c r="F333" s="97"/>
      <c r="G333" s="1"/>
      <c r="H333" s="18" t="s">
        <v>1066</v>
      </c>
      <c r="I333" s="98">
        <v>1</v>
      </c>
      <c r="J333" s="99"/>
      <c r="K333" s="19">
        <f>ROUND(K339,2)</f>
        <v>7696.08</v>
      </c>
      <c r="L333" s="2" t="s">
        <v>1229</v>
      </c>
      <c r="M333" s="1"/>
      <c r="N333" s="1"/>
      <c r="O333" s="1"/>
      <c r="P333" s="1"/>
      <c r="Q333" s="1"/>
      <c r="R333" s="1"/>
      <c r="S333" s="1"/>
      <c r="T333" s="1"/>
      <c r="U333" s="1"/>
      <c r="V333" s="1"/>
      <c r="W333" s="1"/>
      <c r="X333" s="1"/>
      <c r="Y333" s="1"/>
      <c r="Z333" s="1"/>
      <c r="AA333" s="1"/>
    </row>
    <row r="334" spans="1:27" x14ac:dyDescent="0.2">
      <c r="B334" s="14" t="s">
        <v>1080</v>
      </c>
    </row>
    <row r="335" spans="1:27" ht="409.6" x14ac:dyDescent="0.2">
      <c r="B335" t="s">
        <v>1230</v>
      </c>
      <c r="C335" t="s">
        <v>23</v>
      </c>
      <c r="D335" s="26" t="s">
        <v>30</v>
      </c>
      <c r="E335" s="20">
        <v>1</v>
      </c>
      <c r="G335" t="s">
        <v>1073</v>
      </c>
      <c r="H335" s="21">
        <v>7126</v>
      </c>
      <c r="I335" t="s">
        <v>1074</v>
      </c>
      <c r="J335" s="22">
        <f>ROUND(E335* H335,5)</f>
        <v>7126</v>
      </c>
      <c r="K335" s="23"/>
    </row>
    <row r="336" spans="1:27" x14ac:dyDescent="0.2">
      <c r="D336" s="24" t="s">
        <v>1090</v>
      </c>
      <c r="E336" s="23"/>
      <c r="H336" s="23"/>
      <c r="K336" s="21">
        <f>SUM(J335:J335)</f>
        <v>7126</v>
      </c>
    </row>
    <row r="337" spans="1:27" x14ac:dyDescent="0.2">
      <c r="D337" s="24" t="s">
        <v>1091</v>
      </c>
      <c r="E337" s="23"/>
      <c r="H337" s="23"/>
      <c r="K337" s="25">
        <f>SUM(J334:J336)</f>
        <v>7126</v>
      </c>
    </row>
    <row r="338" spans="1:27" x14ac:dyDescent="0.2">
      <c r="D338" s="24" t="s">
        <v>1142</v>
      </c>
      <c r="E338" s="23"/>
      <c r="H338" s="23">
        <v>8</v>
      </c>
      <c r="I338" t="s">
        <v>1093</v>
      </c>
      <c r="K338" s="21">
        <f>ROUND(H338/100*K337,5)</f>
        <v>570.08000000000004</v>
      </c>
    </row>
    <row r="339" spans="1:27" x14ac:dyDescent="0.2">
      <c r="D339" s="24" t="s">
        <v>1094</v>
      </c>
      <c r="E339" s="23"/>
      <c r="H339" s="23"/>
      <c r="K339" s="25">
        <f>SUM(K337:K338)</f>
        <v>7696.08</v>
      </c>
    </row>
    <row r="341" spans="1:27" ht="45" customHeight="1" x14ac:dyDescent="0.2">
      <c r="A341" s="17" t="s">
        <v>1231</v>
      </c>
      <c r="B341" s="17" t="s">
        <v>31</v>
      </c>
      <c r="C341" s="1" t="s">
        <v>18</v>
      </c>
      <c r="D341" s="96" t="s">
        <v>32</v>
      </c>
      <c r="E341" s="97"/>
      <c r="F341" s="97"/>
      <c r="G341" s="1"/>
      <c r="H341" s="18" t="s">
        <v>1066</v>
      </c>
      <c r="I341" s="98">
        <v>1</v>
      </c>
      <c r="J341" s="99"/>
      <c r="K341" s="19">
        <f>ROUND(K353,2)</f>
        <v>11.76</v>
      </c>
      <c r="L341" s="2" t="s">
        <v>1232</v>
      </c>
      <c r="M341" s="1"/>
      <c r="N341" s="1"/>
      <c r="O341" s="1"/>
      <c r="P341" s="1"/>
      <c r="Q341" s="1"/>
      <c r="R341" s="1"/>
      <c r="S341" s="1"/>
      <c r="T341" s="1"/>
      <c r="U341" s="1"/>
      <c r="V341" s="1"/>
      <c r="W341" s="1"/>
      <c r="X341" s="1"/>
      <c r="Y341" s="1"/>
      <c r="Z341" s="1"/>
      <c r="AA341" s="1"/>
    </row>
    <row r="342" spans="1:27" x14ac:dyDescent="0.2">
      <c r="B342" s="14" t="s">
        <v>1068</v>
      </c>
    </row>
    <row r="343" spans="1:27" x14ac:dyDescent="0.2">
      <c r="B343" t="s">
        <v>1069</v>
      </c>
      <c r="C343" t="s">
        <v>1070</v>
      </c>
      <c r="D343" t="s">
        <v>1071</v>
      </c>
      <c r="E343" s="20">
        <v>0.1</v>
      </c>
      <c r="F343" t="s">
        <v>1072</v>
      </c>
      <c r="G343" t="s">
        <v>1073</v>
      </c>
      <c r="H343" s="21">
        <v>25.38</v>
      </c>
      <c r="I343" t="s">
        <v>1074</v>
      </c>
      <c r="J343" s="22">
        <f>ROUND(E343/I341* H343,5)</f>
        <v>2.5379999999999998</v>
      </c>
      <c r="K343" s="23"/>
    </row>
    <row r="344" spans="1:27" x14ac:dyDescent="0.2">
      <c r="B344" t="s">
        <v>1205</v>
      </c>
      <c r="C344" t="s">
        <v>1070</v>
      </c>
      <c r="D344" t="s">
        <v>1206</v>
      </c>
      <c r="E344" s="20">
        <v>0.3</v>
      </c>
      <c r="F344" t="s">
        <v>1072</v>
      </c>
      <c r="G344" t="s">
        <v>1073</v>
      </c>
      <c r="H344" s="21">
        <v>24.55</v>
      </c>
      <c r="I344" t="s">
        <v>1074</v>
      </c>
      <c r="J344" s="22">
        <f>ROUND(E344/I341* H344,5)</f>
        <v>7.3650000000000002</v>
      </c>
      <c r="K344" s="23"/>
    </row>
    <row r="345" spans="1:27" x14ac:dyDescent="0.2">
      <c r="D345" s="24" t="s">
        <v>1075</v>
      </c>
      <c r="E345" s="23"/>
      <c r="H345" s="23"/>
      <c r="K345" s="21">
        <f>SUM(J343:J344)</f>
        <v>9.9030000000000005</v>
      </c>
    </row>
    <row r="346" spans="1:27" x14ac:dyDescent="0.2">
      <c r="B346" s="14" t="s">
        <v>1076</v>
      </c>
      <c r="E346" s="23"/>
      <c r="H346" s="23"/>
      <c r="K346" s="23"/>
    </row>
    <row r="347" spans="1:27" x14ac:dyDescent="0.2">
      <c r="B347" t="s">
        <v>1224</v>
      </c>
      <c r="C347" t="s">
        <v>1070</v>
      </c>
      <c r="D347" t="s">
        <v>1225</v>
      </c>
      <c r="E347" s="20">
        <v>0.1</v>
      </c>
      <c r="F347" t="s">
        <v>1072</v>
      </c>
      <c r="G347" t="s">
        <v>1073</v>
      </c>
      <c r="H347" s="21">
        <v>8.39</v>
      </c>
      <c r="I347" t="s">
        <v>1074</v>
      </c>
      <c r="J347" s="22">
        <f>ROUND(E347/I341* H347,5)</f>
        <v>0.83899999999999997</v>
      </c>
      <c r="K347" s="23"/>
    </row>
    <row r="348" spans="1:27" x14ac:dyDescent="0.2">
      <c r="D348" s="24" t="s">
        <v>1079</v>
      </c>
      <c r="E348" s="23"/>
      <c r="H348" s="23"/>
      <c r="K348" s="21">
        <f>SUM(J347:J347)</f>
        <v>0.83899999999999997</v>
      </c>
    </row>
    <row r="349" spans="1:27" x14ac:dyDescent="0.2">
      <c r="E349" s="23"/>
      <c r="H349" s="23"/>
      <c r="K349" s="23"/>
    </row>
    <row r="350" spans="1:27" x14ac:dyDescent="0.2">
      <c r="D350" s="24" t="s">
        <v>1092</v>
      </c>
      <c r="E350" s="23"/>
      <c r="H350" s="23">
        <v>1.5</v>
      </c>
      <c r="I350" t="s">
        <v>1093</v>
      </c>
      <c r="J350">
        <f>ROUND(H350/100*K345,5)</f>
        <v>0.14854999999999999</v>
      </c>
      <c r="K350" s="23"/>
    </row>
    <row r="351" spans="1:27" x14ac:dyDescent="0.2">
      <c r="D351" s="24" t="s">
        <v>1091</v>
      </c>
      <c r="E351" s="23"/>
      <c r="H351" s="23"/>
      <c r="K351" s="25">
        <f>SUM(J342:J350)</f>
        <v>10.890550000000001</v>
      </c>
    </row>
    <row r="352" spans="1:27" x14ac:dyDescent="0.2">
      <c r="D352" s="24" t="s">
        <v>1142</v>
      </c>
      <c r="E352" s="23"/>
      <c r="H352" s="23">
        <v>8</v>
      </c>
      <c r="I352" t="s">
        <v>1093</v>
      </c>
      <c r="K352" s="21">
        <f>ROUND(H352/100*K351,5)</f>
        <v>0.87124000000000001</v>
      </c>
    </row>
    <row r="353" spans="1:27" x14ac:dyDescent="0.2">
      <c r="D353" s="24" t="s">
        <v>1094</v>
      </c>
      <c r="E353" s="23"/>
      <c r="H353" s="23"/>
      <c r="K353" s="25">
        <f>SUM(K351:K352)</f>
        <v>11.761790000000001</v>
      </c>
    </row>
    <row r="355" spans="1:27" ht="45" customHeight="1" x14ac:dyDescent="0.2">
      <c r="A355" s="17" t="s">
        <v>1233</v>
      </c>
      <c r="B355" s="17" t="s">
        <v>14</v>
      </c>
      <c r="C355" s="1" t="s">
        <v>15</v>
      </c>
      <c r="D355" s="96" t="s">
        <v>16</v>
      </c>
      <c r="E355" s="97"/>
      <c r="F355" s="97"/>
      <c r="G355" s="1"/>
      <c r="H355" s="18" t="s">
        <v>1066</v>
      </c>
      <c r="I355" s="98">
        <v>1</v>
      </c>
      <c r="J355" s="99"/>
      <c r="K355" s="19">
        <f>ROUND(K366,2)</f>
        <v>27.41</v>
      </c>
      <c r="L355" s="2" t="s">
        <v>1234</v>
      </c>
      <c r="M355" s="1"/>
      <c r="N355" s="1"/>
      <c r="O355" s="1"/>
      <c r="P355" s="1"/>
      <c r="Q355" s="1"/>
      <c r="R355" s="1"/>
      <c r="S355" s="1"/>
      <c r="T355" s="1"/>
      <c r="U355" s="1"/>
      <c r="V355" s="1"/>
      <c r="W355" s="1"/>
      <c r="X355" s="1"/>
      <c r="Y355" s="1"/>
      <c r="Z355" s="1"/>
      <c r="AA355" s="1"/>
    </row>
    <row r="356" spans="1:27" x14ac:dyDescent="0.2">
      <c r="B356" s="14" t="s">
        <v>1068</v>
      </c>
    </row>
    <row r="357" spans="1:27" x14ac:dyDescent="0.2">
      <c r="B357" t="s">
        <v>1205</v>
      </c>
      <c r="C357" t="s">
        <v>1070</v>
      </c>
      <c r="D357" t="s">
        <v>1206</v>
      </c>
      <c r="E357" s="20">
        <v>0.6</v>
      </c>
      <c r="F357" t="s">
        <v>1072</v>
      </c>
      <c r="G357" t="s">
        <v>1073</v>
      </c>
      <c r="H357" s="21">
        <v>24.55</v>
      </c>
      <c r="I357" t="s">
        <v>1074</v>
      </c>
      <c r="J357" s="22">
        <f>ROUND(E357/I355* H357,5)</f>
        <v>14.73</v>
      </c>
      <c r="K357" s="23"/>
    </row>
    <row r="358" spans="1:27" x14ac:dyDescent="0.2">
      <c r="D358" s="24" t="s">
        <v>1075</v>
      </c>
      <c r="E358" s="23"/>
      <c r="H358" s="23"/>
      <c r="K358" s="21">
        <f>SUM(J357:J357)</f>
        <v>14.73</v>
      </c>
    </row>
    <row r="359" spans="1:27" x14ac:dyDescent="0.2">
      <c r="B359" s="14" t="s">
        <v>1076</v>
      </c>
      <c r="E359" s="23"/>
      <c r="H359" s="23"/>
      <c r="K359" s="23"/>
    </row>
    <row r="360" spans="1:27" x14ac:dyDescent="0.2">
      <c r="B360" t="s">
        <v>1214</v>
      </c>
      <c r="C360" t="s">
        <v>1070</v>
      </c>
      <c r="D360" t="s">
        <v>1215</v>
      </c>
      <c r="E360" s="20">
        <v>0.2</v>
      </c>
      <c r="F360" t="s">
        <v>1072</v>
      </c>
      <c r="G360" t="s">
        <v>1073</v>
      </c>
      <c r="H360" s="21">
        <v>52.15</v>
      </c>
      <c r="I360" t="s">
        <v>1074</v>
      </c>
      <c r="J360" s="22">
        <f>ROUND(E360/I355* H360,5)</f>
        <v>10.43</v>
      </c>
      <c r="K360" s="23"/>
    </row>
    <row r="361" spans="1:27" x14ac:dyDescent="0.2">
      <c r="D361" s="24" t="s">
        <v>1079</v>
      </c>
      <c r="E361" s="23"/>
      <c r="H361" s="23"/>
      <c r="K361" s="21">
        <f>SUM(J360:J360)</f>
        <v>10.43</v>
      </c>
    </row>
    <row r="362" spans="1:27" x14ac:dyDescent="0.2">
      <c r="E362" s="23"/>
      <c r="H362" s="23"/>
      <c r="K362" s="23"/>
    </row>
    <row r="363" spans="1:27" x14ac:dyDescent="0.2">
      <c r="D363" s="24" t="s">
        <v>1092</v>
      </c>
      <c r="E363" s="23"/>
      <c r="H363" s="23">
        <v>1.5</v>
      </c>
      <c r="I363" t="s">
        <v>1093</v>
      </c>
      <c r="J363">
        <f>ROUND(H363/100*K358,5)</f>
        <v>0.22095000000000001</v>
      </c>
      <c r="K363" s="23"/>
    </row>
    <row r="364" spans="1:27" x14ac:dyDescent="0.2">
      <c r="D364" s="24" t="s">
        <v>1091</v>
      </c>
      <c r="E364" s="23"/>
      <c r="H364" s="23"/>
      <c r="K364" s="25">
        <f>SUM(J356:J363)</f>
        <v>25.380949999999999</v>
      </c>
    </row>
    <row r="365" spans="1:27" x14ac:dyDescent="0.2">
      <c r="D365" s="24" t="s">
        <v>1142</v>
      </c>
      <c r="E365" s="23"/>
      <c r="H365" s="23">
        <v>8</v>
      </c>
      <c r="I365" t="s">
        <v>1093</v>
      </c>
      <c r="K365" s="21">
        <f>ROUND(H365/100*K364,5)</f>
        <v>2.0304799999999998</v>
      </c>
    </row>
    <row r="366" spans="1:27" x14ac:dyDescent="0.2">
      <c r="D366" s="24" t="s">
        <v>1094</v>
      </c>
      <c r="E366" s="23"/>
      <c r="H366" s="23"/>
      <c r="K366" s="25">
        <f>SUM(K364:K365)</f>
        <v>27.411429999999999</v>
      </c>
    </row>
    <row r="368" spans="1:27" ht="45" customHeight="1" x14ac:dyDescent="0.2">
      <c r="A368" s="17" t="s">
        <v>1235</v>
      </c>
      <c r="B368" s="17" t="s">
        <v>58</v>
      </c>
      <c r="C368" s="1" t="s">
        <v>23</v>
      </c>
      <c r="D368" s="96" t="s">
        <v>59</v>
      </c>
      <c r="E368" s="97"/>
      <c r="F368" s="97"/>
      <c r="G368" s="1"/>
      <c r="H368" s="18" t="s">
        <v>1066</v>
      </c>
      <c r="I368" s="98">
        <v>1</v>
      </c>
      <c r="J368" s="99"/>
      <c r="K368" s="19">
        <f>ROUND(K376,2)</f>
        <v>13.46</v>
      </c>
      <c r="L368" s="2" t="s">
        <v>1236</v>
      </c>
      <c r="M368" s="1"/>
      <c r="N368" s="1"/>
      <c r="O368" s="1"/>
      <c r="P368" s="1"/>
      <c r="Q368" s="1"/>
      <c r="R368" s="1"/>
      <c r="S368" s="1"/>
      <c r="T368" s="1"/>
      <c r="U368" s="1"/>
      <c r="V368" s="1"/>
      <c r="W368" s="1"/>
      <c r="X368" s="1"/>
      <c r="Y368" s="1"/>
      <c r="Z368" s="1"/>
      <c r="AA368" s="1"/>
    </row>
    <row r="369" spans="1:27" x14ac:dyDescent="0.2">
      <c r="B369" s="14" t="s">
        <v>1068</v>
      </c>
    </row>
    <row r="370" spans="1:27" x14ac:dyDescent="0.2">
      <c r="B370" t="s">
        <v>1205</v>
      </c>
      <c r="C370" t="s">
        <v>1070</v>
      </c>
      <c r="D370" t="s">
        <v>1206</v>
      </c>
      <c r="E370" s="20">
        <v>0.5</v>
      </c>
      <c r="F370" t="s">
        <v>1072</v>
      </c>
      <c r="G370" t="s">
        <v>1073</v>
      </c>
      <c r="H370" s="21">
        <v>24.55</v>
      </c>
      <c r="I370" t="s">
        <v>1074</v>
      </c>
      <c r="J370" s="22">
        <f>ROUND(E370/I368* H370,5)</f>
        <v>12.275</v>
      </c>
      <c r="K370" s="23"/>
    </row>
    <row r="371" spans="1:27" x14ac:dyDescent="0.2">
      <c r="D371" s="24" t="s">
        <v>1075</v>
      </c>
      <c r="E371" s="23"/>
      <c r="H371" s="23"/>
      <c r="K371" s="21">
        <f>SUM(J370:J370)</f>
        <v>12.275</v>
      </c>
    </row>
    <row r="372" spans="1:27" x14ac:dyDescent="0.2">
      <c r="E372" s="23"/>
      <c r="H372" s="23"/>
      <c r="K372" s="23"/>
    </row>
    <row r="373" spans="1:27" x14ac:dyDescent="0.2">
      <c r="D373" s="24" t="s">
        <v>1092</v>
      </c>
      <c r="E373" s="23"/>
      <c r="H373" s="23">
        <v>1.5</v>
      </c>
      <c r="I373" t="s">
        <v>1093</v>
      </c>
      <c r="J373">
        <f>ROUND(H373/100*K371,5)</f>
        <v>0.18412999999999999</v>
      </c>
      <c r="K373" s="23"/>
    </row>
    <row r="374" spans="1:27" x14ac:dyDescent="0.2">
      <c r="D374" s="24" t="s">
        <v>1091</v>
      </c>
      <c r="E374" s="23"/>
      <c r="H374" s="23"/>
      <c r="K374" s="25">
        <f>SUM(J369:J373)</f>
        <v>12.45913</v>
      </c>
    </row>
    <row r="375" spans="1:27" x14ac:dyDescent="0.2">
      <c r="D375" s="24" t="s">
        <v>1142</v>
      </c>
      <c r="E375" s="23"/>
      <c r="H375" s="23">
        <v>8</v>
      </c>
      <c r="I375" t="s">
        <v>1093</v>
      </c>
      <c r="K375" s="21">
        <f>ROUND(H375/100*K374,5)</f>
        <v>0.99673</v>
      </c>
    </row>
    <row r="376" spans="1:27" x14ac:dyDescent="0.2">
      <c r="D376" s="24" t="s">
        <v>1094</v>
      </c>
      <c r="E376" s="23"/>
      <c r="H376" s="23"/>
      <c r="K376" s="25">
        <f>SUM(K374:K375)</f>
        <v>13.455859999999999</v>
      </c>
    </row>
    <row r="378" spans="1:27" ht="45" customHeight="1" x14ac:dyDescent="0.2">
      <c r="A378" s="17" t="s">
        <v>1237</v>
      </c>
      <c r="B378" s="17" t="s">
        <v>40</v>
      </c>
      <c r="C378" s="1" t="s">
        <v>18</v>
      </c>
      <c r="D378" s="96" t="s">
        <v>41</v>
      </c>
      <c r="E378" s="97"/>
      <c r="F378" s="97"/>
      <c r="G378" s="1"/>
      <c r="H378" s="18" t="s">
        <v>1066</v>
      </c>
      <c r="I378" s="98">
        <v>1</v>
      </c>
      <c r="J378" s="99"/>
      <c r="K378" s="19">
        <f>ROUND(K390,2)</f>
        <v>10.72</v>
      </c>
      <c r="L378" s="2" t="s">
        <v>1238</v>
      </c>
      <c r="M378" s="1"/>
      <c r="N378" s="1"/>
      <c r="O378" s="1"/>
      <c r="P378" s="1"/>
      <c r="Q378" s="1"/>
      <c r="R378" s="1"/>
      <c r="S378" s="1"/>
      <c r="T378" s="1"/>
      <c r="U378" s="1"/>
      <c r="V378" s="1"/>
      <c r="W378" s="1"/>
      <c r="X378" s="1"/>
      <c r="Y378" s="1"/>
      <c r="Z378" s="1"/>
      <c r="AA378" s="1"/>
    </row>
    <row r="379" spans="1:27" x14ac:dyDescent="0.2">
      <c r="B379" s="14" t="s">
        <v>1068</v>
      </c>
    </row>
    <row r="380" spans="1:27" x14ac:dyDescent="0.2">
      <c r="B380" t="s">
        <v>1205</v>
      </c>
      <c r="C380" t="s">
        <v>1070</v>
      </c>
      <c r="D380" t="s">
        <v>1206</v>
      </c>
      <c r="E380" s="20">
        <v>0.1</v>
      </c>
      <c r="F380" t="s">
        <v>1072</v>
      </c>
      <c r="G380" t="s">
        <v>1073</v>
      </c>
      <c r="H380" s="21">
        <v>24.55</v>
      </c>
      <c r="I380" t="s">
        <v>1074</v>
      </c>
      <c r="J380" s="22">
        <f>ROUND(E380/I378* H380,5)</f>
        <v>2.4550000000000001</v>
      </c>
      <c r="K380" s="23"/>
    </row>
    <row r="381" spans="1:27" x14ac:dyDescent="0.2">
      <c r="B381" t="s">
        <v>1069</v>
      </c>
      <c r="C381" t="s">
        <v>1070</v>
      </c>
      <c r="D381" t="s">
        <v>1071</v>
      </c>
      <c r="E381" s="20">
        <v>0.2</v>
      </c>
      <c r="F381" t="s">
        <v>1072</v>
      </c>
      <c r="G381" t="s">
        <v>1073</v>
      </c>
      <c r="H381" s="21">
        <v>25.38</v>
      </c>
      <c r="I381" t="s">
        <v>1074</v>
      </c>
      <c r="J381" s="22">
        <f>ROUND(E381/I378* H381,5)</f>
        <v>5.0759999999999996</v>
      </c>
      <c r="K381" s="23"/>
    </row>
    <row r="382" spans="1:27" x14ac:dyDescent="0.2">
      <c r="D382" s="24" t="s">
        <v>1075</v>
      </c>
      <c r="E382" s="23"/>
      <c r="H382" s="23"/>
      <c r="K382" s="21">
        <f>SUM(J380:J381)</f>
        <v>7.5309999999999997</v>
      </c>
    </row>
    <row r="383" spans="1:27" x14ac:dyDescent="0.2">
      <c r="B383" s="14" t="s">
        <v>1076</v>
      </c>
      <c r="E383" s="23"/>
      <c r="H383" s="23"/>
      <c r="K383" s="23"/>
    </row>
    <row r="384" spans="1:27" x14ac:dyDescent="0.2">
      <c r="B384" t="s">
        <v>1222</v>
      </c>
      <c r="C384" t="s">
        <v>1070</v>
      </c>
      <c r="D384" t="s">
        <v>1223</v>
      </c>
      <c r="E384" s="20">
        <v>0.15</v>
      </c>
      <c r="F384" t="s">
        <v>1072</v>
      </c>
      <c r="G384" t="s">
        <v>1073</v>
      </c>
      <c r="H384" s="21">
        <v>15.22</v>
      </c>
      <c r="I384" t="s">
        <v>1074</v>
      </c>
      <c r="J384" s="22">
        <f>ROUND(E384/I378* H384,5)</f>
        <v>2.2829999999999999</v>
      </c>
      <c r="K384" s="23"/>
    </row>
    <row r="385" spans="1:27" x14ac:dyDescent="0.2">
      <c r="D385" s="24" t="s">
        <v>1079</v>
      </c>
      <c r="E385" s="23"/>
      <c r="H385" s="23"/>
      <c r="K385" s="21">
        <f>SUM(J384:J384)</f>
        <v>2.2829999999999999</v>
      </c>
    </row>
    <row r="386" spans="1:27" x14ac:dyDescent="0.2">
      <c r="E386" s="23"/>
      <c r="H386" s="23"/>
      <c r="K386" s="23"/>
    </row>
    <row r="387" spans="1:27" x14ac:dyDescent="0.2">
      <c r="D387" s="24" t="s">
        <v>1092</v>
      </c>
      <c r="E387" s="23"/>
      <c r="H387" s="23">
        <v>1.5</v>
      </c>
      <c r="I387" t="s">
        <v>1093</v>
      </c>
      <c r="J387">
        <f>ROUND(H387/100*K382,5)</f>
        <v>0.11297</v>
      </c>
      <c r="K387" s="23"/>
    </row>
    <row r="388" spans="1:27" x14ac:dyDescent="0.2">
      <c r="D388" s="24" t="s">
        <v>1091</v>
      </c>
      <c r="E388" s="23"/>
      <c r="H388" s="23"/>
      <c r="K388" s="25">
        <f>SUM(J379:J387)</f>
        <v>9.9269700000000007</v>
      </c>
    </row>
    <row r="389" spans="1:27" x14ac:dyDescent="0.2">
      <c r="D389" s="24" t="s">
        <v>1142</v>
      </c>
      <c r="E389" s="23"/>
      <c r="H389" s="23">
        <v>8</v>
      </c>
      <c r="I389" t="s">
        <v>1093</v>
      </c>
      <c r="K389" s="21">
        <f>ROUND(H389/100*K388,5)</f>
        <v>0.79415999999999998</v>
      </c>
    </row>
    <row r="390" spans="1:27" x14ac:dyDescent="0.2">
      <c r="D390" s="24" t="s">
        <v>1094</v>
      </c>
      <c r="E390" s="23"/>
      <c r="H390" s="23"/>
      <c r="K390" s="25">
        <f>SUM(K388:K389)</f>
        <v>10.72113</v>
      </c>
    </row>
    <row r="392" spans="1:27" ht="45" customHeight="1" x14ac:dyDescent="0.2">
      <c r="A392" s="17" t="s">
        <v>1239</v>
      </c>
      <c r="B392" s="17" t="s">
        <v>64</v>
      </c>
      <c r="C392" s="1" t="s">
        <v>18</v>
      </c>
      <c r="D392" s="96" t="s">
        <v>65</v>
      </c>
      <c r="E392" s="97"/>
      <c r="F392" s="97"/>
      <c r="G392" s="1"/>
      <c r="H392" s="18" t="s">
        <v>1066</v>
      </c>
      <c r="I392" s="98">
        <v>1</v>
      </c>
      <c r="J392" s="99"/>
      <c r="K392" s="19">
        <f>ROUND(K400,2)</f>
        <v>17.489999999999998</v>
      </c>
      <c r="L392" s="2" t="s">
        <v>1240</v>
      </c>
      <c r="M392" s="1"/>
      <c r="N392" s="1"/>
      <c r="O392" s="1"/>
      <c r="P392" s="1"/>
      <c r="Q392" s="1"/>
      <c r="R392" s="1"/>
      <c r="S392" s="1"/>
      <c r="T392" s="1"/>
      <c r="U392" s="1"/>
      <c r="V392" s="1"/>
      <c r="W392" s="1"/>
      <c r="X392" s="1"/>
      <c r="Y392" s="1"/>
      <c r="Z392" s="1"/>
      <c r="AA392" s="1"/>
    </row>
    <row r="393" spans="1:27" x14ac:dyDescent="0.2">
      <c r="B393" s="14" t="s">
        <v>1068</v>
      </c>
    </row>
    <row r="394" spans="1:27" x14ac:dyDescent="0.2">
      <c r="B394" t="s">
        <v>1205</v>
      </c>
      <c r="C394" t="s">
        <v>1070</v>
      </c>
      <c r="D394" t="s">
        <v>1206</v>
      </c>
      <c r="E394" s="20">
        <v>0.65</v>
      </c>
      <c r="F394" t="s">
        <v>1072</v>
      </c>
      <c r="G394" t="s">
        <v>1073</v>
      </c>
      <c r="H394" s="21">
        <v>24.55</v>
      </c>
      <c r="I394" t="s">
        <v>1074</v>
      </c>
      <c r="J394" s="22">
        <f>ROUND(E394/I392* H394,5)</f>
        <v>15.9575</v>
      </c>
      <c r="K394" s="23"/>
    </row>
    <row r="395" spans="1:27" x14ac:dyDescent="0.2">
      <c r="D395" s="24" t="s">
        <v>1075</v>
      </c>
      <c r="E395" s="23"/>
      <c r="H395" s="23"/>
      <c r="K395" s="21">
        <f>SUM(J394:J394)</f>
        <v>15.9575</v>
      </c>
    </row>
    <row r="396" spans="1:27" x14ac:dyDescent="0.2">
      <c r="E396" s="23"/>
      <c r="H396" s="23"/>
      <c r="K396" s="23"/>
    </row>
    <row r="397" spans="1:27" x14ac:dyDescent="0.2">
      <c r="D397" s="24" t="s">
        <v>1092</v>
      </c>
      <c r="E397" s="23"/>
      <c r="H397" s="23">
        <v>1.5</v>
      </c>
      <c r="I397" t="s">
        <v>1093</v>
      </c>
      <c r="J397">
        <f>ROUND(H397/100*K395,5)</f>
        <v>0.23935999999999999</v>
      </c>
      <c r="K397" s="23"/>
    </row>
    <row r="398" spans="1:27" x14ac:dyDescent="0.2">
      <c r="D398" s="24" t="s">
        <v>1091</v>
      </c>
      <c r="E398" s="23"/>
      <c r="H398" s="23"/>
      <c r="K398" s="25">
        <f>SUM(J393:J397)</f>
        <v>16.196860000000001</v>
      </c>
    </row>
    <row r="399" spans="1:27" x14ac:dyDescent="0.2">
      <c r="D399" s="24" t="s">
        <v>1142</v>
      </c>
      <c r="E399" s="23"/>
      <c r="H399" s="23">
        <v>8</v>
      </c>
      <c r="I399" t="s">
        <v>1093</v>
      </c>
      <c r="K399" s="21">
        <f>ROUND(H399/100*K398,5)</f>
        <v>1.29575</v>
      </c>
    </row>
    <row r="400" spans="1:27" x14ac:dyDescent="0.2">
      <c r="D400" s="24" t="s">
        <v>1094</v>
      </c>
      <c r="E400" s="23"/>
      <c r="H400" s="23"/>
      <c r="K400" s="25">
        <f>SUM(K398:K399)</f>
        <v>17.492609999999999</v>
      </c>
    </row>
    <row r="402" spans="1:27" ht="45" customHeight="1" x14ac:dyDescent="0.2">
      <c r="A402" s="17" t="s">
        <v>1241</v>
      </c>
      <c r="B402" s="17" t="s">
        <v>38</v>
      </c>
      <c r="C402" s="1" t="s">
        <v>18</v>
      </c>
      <c r="D402" s="96" t="s">
        <v>39</v>
      </c>
      <c r="E402" s="97"/>
      <c r="F402" s="97"/>
      <c r="G402" s="1"/>
      <c r="H402" s="18" t="s">
        <v>1066</v>
      </c>
      <c r="I402" s="98">
        <v>1</v>
      </c>
      <c r="J402" s="99"/>
      <c r="K402" s="19">
        <f>ROUND(K414,2)</f>
        <v>40.06</v>
      </c>
      <c r="L402" s="2" t="s">
        <v>1242</v>
      </c>
      <c r="M402" s="1"/>
      <c r="N402" s="1"/>
      <c r="O402" s="1"/>
      <c r="P402" s="1"/>
      <c r="Q402" s="1"/>
      <c r="R402" s="1"/>
      <c r="S402" s="1"/>
      <c r="T402" s="1"/>
      <c r="U402" s="1"/>
      <c r="V402" s="1"/>
      <c r="W402" s="1"/>
      <c r="X402" s="1"/>
      <c r="Y402" s="1"/>
      <c r="Z402" s="1"/>
      <c r="AA402" s="1"/>
    </row>
    <row r="403" spans="1:27" x14ac:dyDescent="0.2">
      <c r="B403" s="14" t="s">
        <v>1068</v>
      </c>
    </row>
    <row r="404" spans="1:27" x14ac:dyDescent="0.2">
      <c r="B404" t="s">
        <v>1069</v>
      </c>
      <c r="C404" t="s">
        <v>1070</v>
      </c>
      <c r="D404" t="s">
        <v>1071</v>
      </c>
      <c r="E404" s="20">
        <v>0.66413</v>
      </c>
      <c r="F404" t="s">
        <v>1072</v>
      </c>
      <c r="G404" t="s">
        <v>1073</v>
      </c>
      <c r="H404" s="21">
        <v>25.38</v>
      </c>
      <c r="I404" t="s">
        <v>1074</v>
      </c>
      <c r="J404" s="22">
        <f>ROUND(E404/I402* H404,5)</f>
        <v>16.855619999999998</v>
      </c>
      <c r="K404" s="23"/>
    </row>
    <row r="405" spans="1:27" x14ac:dyDescent="0.2">
      <c r="B405" t="s">
        <v>1205</v>
      </c>
      <c r="C405" t="s">
        <v>1070</v>
      </c>
      <c r="D405" t="s">
        <v>1206</v>
      </c>
      <c r="E405" s="20">
        <v>0.66413</v>
      </c>
      <c r="F405" t="s">
        <v>1072</v>
      </c>
      <c r="G405" t="s">
        <v>1073</v>
      </c>
      <c r="H405" s="21">
        <v>24.55</v>
      </c>
      <c r="I405" t="s">
        <v>1074</v>
      </c>
      <c r="J405" s="22">
        <f>ROUND(E405/I402* H405,5)</f>
        <v>16.304390000000001</v>
      </c>
      <c r="K405" s="23"/>
    </row>
    <row r="406" spans="1:27" x14ac:dyDescent="0.2">
      <c r="D406" s="24" t="s">
        <v>1075</v>
      </c>
      <c r="E406" s="23"/>
      <c r="H406" s="23"/>
      <c r="K406" s="21">
        <f>SUM(J404:J405)</f>
        <v>33.16001</v>
      </c>
    </row>
    <row r="407" spans="1:27" x14ac:dyDescent="0.2">
      <c r="B407" s="14" t="s">
        <v>1076</v>
      </c>
      <c r="E407" s="23"/>
      <c r="H407" s="23"/>
      <c r="K407" s="23"/>
    </row>
    <row r="408" spans="1:27" x14ac:dyDescent="0.2">
      <c r="B408" t="s">
        <v>1222</v>
      </c>
      <c r="C408" t="s">
        <v>1070</v>
      </c>
      <c r="D408" t="s">
        <v>1223</v>
      </c>
      <c r="E408" s="20">
        <v>0.2258</v>
      </c>
      <c r="F408" t="s">
        <v>1072</v>
      </c>
      <c r="G408" t="s">
        <v>1073</v>
      </c>
      <c r="H408" s="21">
        <v>15.22</v>
      </c>
      <c r="I408" t="s">
        <v>1074</v>
      </c>
      <c r="J408" s="22">
        <f>ROUND(E408/I402* H408,5)</f>
        <v>3.43668</v>
      </c>
      <c r="K408" s="23"/>
    </row>
    <row r="409" spans="1:27" x14ac:dyDescent="0.2">
      <c r="D409" s="24" t="s">
        <v>1079</v>
      </c>
      <c r="E409" s="23"/>
      <c r="H409" s="23"/>
      <c r="K409" s="21">
        <f>SUM(J408:J408)</f>
        <v>3.43668</v>
      </c>
    </row>
    <row r="410" spans="1:27" x14ac:dyDescent="0.2">
      <c r="E410" s="23"/>
      <c r="H410" s="23"/>
      <c r="K410" s="23"/>
    </row>
    <row r="411" spans="1:27" x14ac:dyDescent="0.2">
      <c r="D411" s="24" t="s">
        <v>1092</v>
      </c>
      <c r="E411" s="23"/>
      <c r="H411" s="23">
        <v>1.5</v>
      </c>
      <c r="I411" t="s">
        <v>1093</v>
      </c>
      <c r="J411">
        <f>ROUND(H411/100*K406,5)</f>
        <v>0.49740000000000001</v>
      </c>
      <c r="K411" s="23"/>
    </row>
    <row r="412" spans="1:27" x14ac:dyDescent="0.2">
      <c r="D412" s="24" t="s">
        <v>1091</v>
      </c>
      <c r="E412" s="23"/>
      <c r="H412" s="23"/>
      <c r="K412" s="25">
        <f>SUM(J403:J411)</f>
        <v>37.094090000000001</v>
      </c>
    </row>
    <row r="413" spans="1:27" x14ac:dyDescent="0.2">
      <c r="D413" s="24" t="s">
        <v>1142</v>
      </c>
      <c r="E413" s="23"/>
      <c r="H413" s="23">
        <v>8</v>
      </c>
      <c r="I413" t="s">
        <v>1093</v>
      </c>
      <c r="K413" s="21">
        <f>ROUND(H413/100*K412,5)</f>
        <v>2.96753</v>
      </c>
    </row>
    <row r="414" spans="1:27" x14ac:dyDescent="0.2">
      <c r="D414" s="24" t="s">
        <v>1094</v>
      </c>
      <c r="E414" s="23"/>
      <c r="H414" s="23"/>
      <c r="K414" s="25">
        <f>SUM(K412:K413)</f>
        <v>40.061620000000005</v>
      </c>
    </row>
    <row r="416" spans="1:27" ht="45" customHeight="1" x14ac:dyDescent="0.2">
      <c r="A416" s="17" t="s">
        <v>1243</v>
      </c>
      <c r="B416" s="17" t="s">
        <v>44</v>
      </c>
      <c r="C416" s="1" t="s">
        <v>18</v>
      </c>
      <c r="D416" s="96" t="s">
        <v>45</v>
      </c>
      <c r="E416" s="97"/>
      <c r="F416" s="97"/>
      <c r="G416" s="1"/>
      <c r="H416" s="18" t="s">
        <v>1066</v>
      </c>
      <c r="I416" s="98">
        <v>1</v>
      </c>
      <c r="J416" s="99"/>
      <c r="K416" s="19">
        <f>ROUND(K429,2)</f>
        <v>31.11</v>
      </c>
      <c r="L416" s="2" t="s">
        <v>1244</v>
      </c>
      <c r="M416" s="1"/>
      <c r="N416" s="1"/>
      <c r="O416" s="1"/>
      <c r="P416" s="1"/>
      <c r="Q416" s="1"/>
      <c r="R416" s="1"/>
      <c r="S416" s="1"/>
      <c r="T416" s="1"/>
      <c r="U416" s="1"/>
      <c r="V416" s="1"/>
      <c r="W416" s="1"/>
      <c r="X416" s="1"/>
      <c r="Y416" s="1"/>
      <c r="Z416" s="1"/>
      <c r="AA416" s="1"/>
    </row>
    <row r="417" spans="1:27" x14ac:dyDescent="0.2">
      <c r="B417" s="14" t="s">
        <v>1068</v>
      </c>
    </row>
    <row r="418" spans="1:27" x14ac:dyDescent="0.2">
      <c r="B418" t="s">
        <v>1205</v>
      </c>
      <c r="C418" t="s">
        <v>1070</v>
      </c>
      <c r="D418" t="s">
        <v>1206</v>
      </c>
      <c r="E418" s="20">
        <v>0.36</v>
      </c>
      <c r="F418" t="s">
        <v>1072</v>
      </c>
      <c r="G418" t="s">
        <v>1073</v>
      </c>
      <c r="H418" s="21">
        <v>24.55</v>
      </c>
      <c r="I418" t="s">
        <v>1074</v>
      </c>
      <c r="J418" s="22">
        <f>ROUND(E418/I416* H418,5)</f>
        <v>8.8379999999999992</v>
      </c>
      <c r="K418" s="23"/>
    </row>
    <row r="419" spans="1:27" x14ac:dyDescent="0.2">
      <c r="B419" t="s">
        <v>1245</v>
      </c>
      <c r="C419" t="s">
        <v>1070</v>
      </c>
      <c r="D419" t="s">
        <v>1246</v>
      </c>
      <c r="E419" s="20">
        <v>0.36</v>
      </c>
      <c r="F419" t="s">
        <v>1072</v>
      </c>
      <c r="G419" t="s">
        <v>1073</v>
      </c>
      <c r="H419" s="21">
        <v>26.33</v>
      </c>
      <c r="I419" t="s">
        <v>1074</v>
      </c>
      <c r="J419" s="22">
        <f>ROUND(E419/I416* H419,5)</f>
        <v>9.4787999999999997</v>
      </c>
      <c r="K419" s="23"/>
    </row>
    <row r="420" spans="1:27" x14ac:dyDescent="0.2">
      <c r="D420" s="24" t="s">
        <v>1075</v>
      </c>
      <c r="E420" s="23"/>
      <c r="H420" s="23"/>
      <c r="K420" s="21">
        <f>SUM(J418:J419)</f>
        <v>18.316800000000001</v>
      </c>
    </row>
    <row r="421" spans="1:27" x14ac:dyDescent="0.2">
      <c r="B421" s="14" t="s">
        <v>1076</v>
      </c>
      <c r="E421" s="23"/>
      <c r="H421" s="23"/>
      <c r="K421" s="23"/>
    </row>
    <row r="422" spans="1:27" x14ac:dyDescent="0.2">
      <c r="B422" t="s">
        <v>1247</v>
      </c>
      <c r="C422" t="s">
        <v>1070</v>
      </c>
      <c r="D422" t="s">
        <v>1248</v>
      </c>
      <c r="E422" s="20">
        <v>0.255</v>
      </c>
      <c r="F422" t="s">
        <v>1072</v>
      </c>
      <c r="G422" t="s">
        <v>1073</v>
      </c>
      <c r="H422" s="21">
        <v>3.51</v>
      </c>
      <c r="I422" t="s">
        <v>1074</v>
      </c>
      <c r="J422" s="22">
        <f>ROUND(E422/I416* H422,5)</f>
        <v>0.89505000000000001</v>
      </c>
      <c r="K422" s="23"/>
    </row>
    <row r="423" spans="1:27" x14ac:dyDescent="0.2">
      <c r="B423" t="s">
        <v>1226</v>
      </c>
      <c r="C423" t="s">
        <v>1070</v>
      </c>
      <c r="D423" t="s">
        <v>1227</v>
      </c>
      <c r="E423" s="20">
        <v>0.255</v>
      </c>
      <c r="F423" t="s">
        <v>1072</v>
      </c>
      <c r="G423" t="s">
        <v>1073</v>
      </c>
      <c r="H423" s="21">
        <v>36.56</v>
      </c>
      <c r="I423" t="s">
        <v>1074</v>
      </c>
      <c r="J423" s="22">
        <f>ROUND(E423/I416* H423,5)</f>
        <v>9.3228000000000009</v>
      </c>
      <c r="K423" s="23"/>
    </row>
    <row r="424" spans="1:27" x14ac:dyDescent="0.2">
      <c r="D424" s="24" t="s">
        <v>1079</v>
      </c>
      <c r="E424" s="23"/>
      <c r="H424" s="23"/>
      <c r="K424" s="21">
        <f>SUM(J422:J423)</f>
        <v>10.21785</v>
      </c>
    </row>
    <row r="425" spans="1:27" x14ac:dyDescent="0.2">
      <c r="E425" s="23"/>
      <c r="H425" s="23"/>
      <c r="K425" s="23"/>
    </row>
    <row r="426" spans="1:27" x14ac:dyDescent="0.2">
      <c r="D426" s="24" t="s">
        <v>1092</v>
      </c>
      <c r="E426" s="23"/>
      <c r="H426" s="23">
        <v>1.5</v>
      </c>
      <c r="I426" t="s">
        <v>1093</v>
      </c>
      <c r="J426">
        <f>ROUND(H426/100*K420,5)</f>
        <v>0.27474999999999999</v>
      </c>
      <c r="K426" s="23"/>
    </row>
    <row r="427" spans="1:27" x14ac:dyDescent="0.2">
      <c r="D427" s="24" t="s">
        <v>1091</v>
      </c>
      <c r="E427" s="23"/>
      <c r="H427" s="23"/>
      <c r="K427" s="25">
        <f>SUM(J417:J426)</f>
        <v>28.809400000000004</v>
      </c>
    </row>
    <row r="428" spans="1:27" x14ac:dyDescent="0.2">
      <c r="D428" s="24" t="s">
        <v>1142</v>
      </c>
      <c r="E428" s="23"/>
      <c r="H428" s="23">
        <v>8</v>
      </c>
      <c r="I428" t="s">
        <v>1093</v>
      </c>
      <c r="K428" s="21">
        <f>ROUND(H428/100*K427,5)</f>
        <v>2.3047499999999999</v>
      </c>
    </row>
    <row r="429" spans="1:27" x14ac:dyDescent="0.2">
      <c r="D429" s="24" t="s">
        <v>1094</v>
      </c>
      <c r="E429" s="23"/>
      <c r="H429" s="23"/>
      <c r="K429" s="25">
        <f>SUM(K427:K428)</f>
        <v>31.114150000000002</v>
      </c>
    </row>
    <row r="431" spans="1:27" ht="45" customHeight="1" x14ac:dyDescent="0.2">
      <c r="A431" s="17" t="s">
        <v>1249</v>
      </c>
      <c r="B431" s="17" t="s">
        <v>62</v>
      </c>
      <c r="C431" s="1" t="s">
        <v>23</v>
      </c>
      <c r="D431" s="96" t="s">
        <v>63</v>
      </c>
      <c r="E431" s="97"/>
      <c r="F431" s="97"/>
      <c r="G431" s="1"/>
      <c r="H431" s="18" t="s">
        <v>1066</v>
      </c>
      <c r="I431" s="98">
        <v>1</v>
      </c>
      <c r="J431" s="99"/>
      <c r="K431" s="19">
        <f>ROUND(K439,2)</f>
        <v>40.369999999999997</v>
      </c>
      <c r="L431" s="2" t="s">
        <v>1250</v>
      </c>
      <c r="M431" s="1"/>
      <c r="N431" s="1"/>
      <c r="O431" s="1"/>
      <c r="P431" s="1"/>
      <c r="Q431" s="1"/>
      <c r="R431" s="1"/>
      <c r="S431" s="1"/>
      <c r="T431" s="1"/>
      <c r="U431" s="1"/>
      <c r="V431" s="1"/>
      <c r="W431" s="1"/>
      <c r="X431" s="1"/>
      <c r="Y431" s="1"/>
      <c r="Z431" s="1"/>
      <c r="AA431" s="1"/>
    </row>
    <row r="432" spans="1:27" x14ac:dyDescent="0.2">
      <c r="B432" s="14" t="s">
        <v>1068</v>
      </c>
    </row>
    <row r="433" spans="1:27" x14ac:dyDescent="0.2">
      <c r="B433" t="s">
        <v>1205</v>
      </c>
      <c r="C433" t="s">
        <v>1070</v>
      </c>
      <c r="D433" t="s">
        <v>1206</v>
      </c>
      <c r="E433" s="20">
        <v>1.5</v>
      </c>
      <c r="F433" t="s">
        <v>1072</v>
      </c>
      <c r="G433" t="s">
        <v>1073</v>
      </c>
      <c r="H433" s="21">
        <v>24.55</v>
      </c>
      <c r="I433" t="s">
        <v>1074</v>
      </c>
      <c r="J433" s="22">
        <f>ROUND(E433/I431* H433,5)</f>
        <v>36.825000000000003</v>
      </c>
      <c r="K433" s="23"/>
    </row>
    <row r="434" spans="1:27" x14ac:dyDescent="0.2">
      <c r="D434" s="24" t="s">
        <v>1075</v>
      </c>
      <c r="E434" s="23"/>
      <c r="H434" s="23"/>
      <c r="K434" s="21">
        <f>SUM(J433:J433)</f>
        <v>36.825000000000003</v>
      </c>
    </row>
    <row r="435" spans="1:27" x14ac:dyDescent="0.2">
      <c r="E435" s="23"/>
      <c r="H435" s="23"/>
      <c r="K435" s="23"/>
    </row>
    <row r="436" spans="1:27" x14ac:dyDescent="0.2">
      <c r="D436" s="24" t="s">
        <v>1092</v>
      </c>
      <c r="E436" s="23"/>
      <c r="H436" s="23">
        <v>1.5</v>
      </c>
      <c r="I436" t="s">
        <v>1093</v>
      </c>
      <c r="J436">
        <f>ROUND(H436/100*K434,5)</f>
        <v>0.55237999999999998</v>
      </c>
      <c r="K436" s="23"/>
    </row>
    <row r="437" spans="1:27" x14ac:dyDescent="0.2">
      <c r="D437" s="24" t="s">
        <v>1091</v>
      </c>
      <c r="E437" s="23"/>
      <c r="H437" s="23"/>
      <c r="K437" s="25">
        <f>SUM(J432:J436)</f>
        <v>37.377380000000002</v>
      </c>
    </row>
    <row r="438" spans="1:27" x14ac:dyDescent="0.2">
      <c r="D438" s="24" t="s">
        <v>1142</v>
      </c>
      <c r="E438" s="23"/>
      <c r="H438" s="23">
        <v>8</v>
      </c>
      <c r="I438" t="s">
        <v>1093</v>
      </c>
      <c r="K438" s="21">
        <f>ROUND(H438/100*K437,5)</f>
        <v>2.9901900000000001</v>
      </c>
    </row>
    <row r="439" spans="1:27" x14ac:dyDescent="0.2">
      <c r="D439" s="24" t="s">
        <v>1094</v>
      </c>
      <c r="E439" s="23"/>
      <c r="H439" s="23"/>
      <c r="K439" s="25">
        <f>SUM(K437:K438)</f>
        <v>40.367570000000001</v>
      </c>
    </row>
    <row r="441" spans="1:27" ht="45" customHeight="1" x14ac:dyDescent="0.2">
      <c r="A441" s="17" t="s">
        <v>1251</v>
      </c>
      <c r="B441" s="17" t="s">
        <v>54</v>
      </c>
      <c r="C441" s="1" t="s">
        <v>18</v>
      </c>
      <c r="D441" s="96" t="s">
        <v>55</v>
      </c>
      <c r="E441" s="97"/>
      <c r="F441" s="97"/>
      <c r="G441" s="1"/>
      <c r="H441" s="18" t="s">
        <v>1066</v>
      </c>
      <c r="I441" s="98">
        <v>1</v>
      </c>
      <c r="J441" s="99"/>
      <c r="K441" s="19">
        <f>ROUND(K453,2)</f>
        <v>48.74</v>
      </c>
      <c r="L441" s="2" t="s">
        <v>1252</v>
      </c>
      <c r="M441" s="1"/>
      <c r="N441" s="1"/>
      <c r="O441" s="1"/>
      <c r="P441" s="1"/>
      <c r="Q441" s="1"/>
      <c r="R441" s="1"/>
      <c r="S441" s="1"/>
      <c r="T441" s="1"/>
      <c r="U441" s="1"/>
      <c r="V441" s="1"/>
      <c r="W441" s="1"/>
      <c r="X441" s="1"/>
      <c r="Y441" s="1"/>
      <c r="Z441" s="1"/>
      <c r="AA441" s="1"/>
    </row>
    <row r="442" spans="1:27" x14ac:dyDescent="0.2">
      <c r="B442" s="14" t="s">
        <v>1068</v>
      </c>
    </row>
    <row r="443" spans="1:27" x14ac:dyDescent="0.2">
      <c r="B443" t="s">
        <v>1069</v>
      </c>
      <c r="C443" t="s">
        <v>1070</v>
      </c>
      <c r="D443" t="s">
        <v>1071</v>
      </c>
      <c r="E443" s="20">
        <v>0.35</v>
      </c>
      <c r="F443" t="s">
        <v>1072</v>
      </c>
      <c r="G443" t="s">
        <v>1073</v>
      </c>
      <c r="H443" s="21">
        <v>25.38</v>
      </c>
      <c r="I443" t="s">
        <v>1074</v>
      </c>
      <c r="J443" s="22">
        <f>ROUND(E443/I441* H443,5)</f>
        <v>8.8829999999999991</v>
      </c>
      <c r="K443" s="23"/>
    </row>
    <row r="444" spans="1:27" x14ac:dyDescent="0.2">
      <c r="B444" t="s">
        <v>1205</v>
      </c>
      <c r="C444" t="s">
        <v>1070</v>
      </c>
      <c r="D444" t="s">
        <v>1206</v>
      </c>
      <c r="E444" s="20">
        <v>1.4</v>
      </c>
      <c r="F444" t="s">
        <v>1072</v>
      </c>
      <c r="G444" t="s">
        <v>1073</v>
      </c>
      <c r="H444" s="21">
        <v>24.55</v>
      </c>
      <c r="I444" t="s">
        <v>1074</v>
      </c>
      <c r="J444" s="22">
        <f>ROUND(E444/I441* H444,5)</f>
        <v>34.369999999999997</v>
      </c>
      <c r="K444" s="23"/>
    </row>
    <row r="445" spans="1:27" x14ac:dyDescent="0.2">
      <c r="D445" s="24" t="s">
        <v>1075</v>
      </c>
      <c r="E445" s="23"/>
      <c r="H445" s="23"/>
      <c r="K445" s="21">
        <f>SUM(J443:J444)</f>
        <v>43.253</v>
      </c>
    </row>
    <row r="446" spans="1:27" x14ac:dyDescent="0.2">
      <c r="B446" s="14" t="s">
        <v>1076</v>
      </c>
      <c r="E446" s="23"/>
      <c r="H446" s="23"/>
      <c r="K446" s="23"/>
    </row>
    <row r="447" spans="1:27" x14ac:dyDescent="0.2">
      <c r="B447" t="s">
        <v>1247</v>
      </c>
      <c r="C447" t="s">
        <v>1070</v>
      </c>
      <c r="D447" t="s">
        <v>1248</v>
      </c>
      <c r="E447" s="20">
        <v>0.35</v>
      </c>
      <c r="F447" t="s">
        <v>1072</v>
      </c>
      <c r="G447" t="s">
        <v>1073</v>
      </c>
      <c r="H447" s="21">
        <v>3.51</v>
      </c>
      <c r="I447" t="s">
        <v>1074</v>
      </c>
      <c r="J447" s="22">
        <f>ROUND(E447/I441* H447,5)</f>
        <v>1.2284999999999999</v>
      </c>
      <c r="K447" s="23"/>
    </row>
    <row r="448" spans="1:27" x14ac:dyDescent="0.2">
      <c r="D448" s="24" t="s">
        <v>1079</v>
      </c>
      <c r="E448" s="23"/>
      <c r="H448" s="23"/>
      <c r="K448" s="21">
        <f>SUM(J447:J447)</f>
        <v>1.2284999999999999</v>
      </c>
    </row>
    <row r="449" spans="1:27" x14ac:dyDescent="0.2">
      <c r="E449" s="23"/>
      <c r="H449" s="23"/>
      <c r="K449" s="23"/>
    </row>
    <row r="450" spans="1:27" x14ac:dyDescent="0.2">
      <c r="D450" s="24" t="s">
        <v>1092</v>
      </c>
      <c r="E450" s="23"/>
      <c r="H450" s="23">
        <v>1.5</v>
      </c>
      <c r="I450" t="s">
        <v>1093</v>
      </c>
      <c r="J450">
        <f>ROUND(H450/100*K445,5)</f>
        <v>0.64880000000000004</v>
      </c>
      <c r="K450" s="23"/>
    </row>
    <row r="451" spans="1:27" x14ac:dyDescent="0.2">
      <c r="D451" s="24" t="s">
        <v>1091</v>
      </c>
      <c r="E451" s="23"/>
      <c r="H451" s="23"/>
      <c r="K451" s="25">
        <f>SUM(J442:J450)</f>
        <v>45.130299999999998</v>
      </c>
    </row>
    <row r="452" spans="1:27" x14ac:dyDescent="0.2">
      <c r="D452" s="24" t="s">
        <v>1142</v>
      </c>
      <c r="E452" s="23"/>
      <c r="H452" s="23">
        <v>8</v>
      </c>
      <c r="I452" t="s">
        <v>1093</v>
      </c>
      <c r="K452" s="21">
        <f>ROUND(H452/100*K451,5)</f>
        <v>3.61042</v>
      </c>
    </row>
    <row r="453" spans="1:27" x14ac:dyDescent="0.2">
      <c r="D453" s="24" t="s">
        <v>1094</v>
      </c>
      <c r="E453" s="23"/>
      <c r="H453" s="23"/>
      <c r="K453" s="25">
        <f>SUM(K451:K452)</f>
        <v>48.740719999999996</v>
      </c>
    </row>
    <row r="455" spans="1:27" ht="45" customHeight="1" x14ac:dyDescent="0.2">
      <c r="A455" s="17" t="s">
        <v>1253</v>
      </c>
      <c r="B455" s="17" t="s">
        <v>70</v>
      </c>
      <c r="C455" s="1" t="s">
        <v>36</v>
      </c>
      <c r="D455" s="96" t="s">
        <v>71</v>
      </c>
      <c r="E455" s="97"/>
      <c r="F455" s="97"/>
      <c r="G455" s="1"/>
      <c r="H455" s="18" t="s">
        <v>1066</v>
      </c>
      <c r="I455" s="98">
        <v>1</v>
      </c>
      <c r="J455" s="99"/>
      <c r="K455" s="19">
        <f>ROUND(K467,2)</f>
        <v>42.66</v>
      </c>
      <c r="L455" s="2" t="s">
        <v>1254</v>
      </c>
      <c r="M455" s="1"/>
      <c r="N455" s="1"/>
      <c r="O455" s="1"/>
      <c r="P455" s="1"/>
      <c r="Q455" s="1"/>
      <c r="R455" s="1"/>
      <c r="S455" s="1"/>
      <c r="T455" s="1"/>
      <c r="U455" s="1"/>
      <c r="V455" s="1"/>
      <c r="W455" s="1"/>
      <c r="X455" s="1"/>
      <c r="Y455" s="1"/>
      <c r="Z455" s="1"/>
      <c r="AA455" s="1"/>
    </row>
    <row r="456" spans="1:27" x14ac:dyDescent="0.2">
      <c r="B456" s="14" t="s">
        <v>1068</v>
      </c>
    </row>
    <row r="457" spans="1:27" x14ac:dyDescent="0.2">
      <c r="B457" t="s">
        <v>1069</v>
      </c>
      <c r="C457" t="s">
        <v>1070</v>
      </c>
      <c r="D457" t="s">
        <v>1071</v>
      </c>
      <c r="E457" s="20">
        <v>0.6</v>
      </c>
      <c r="F457" t="s">
        <v>1072</v>
      </c>
      <c r="G457" t="s">
        <v>1073</v>
      </c>
      <c r="H457" s="21">
        <v>25.38</v>
      </c>
      <c r="I457" t="s">
        <v>1074</v>
      </c>
      <c r="J457" s="22">
        <f>ROUND(E457/I455* H457,5)</f>
        <v>15.228</v>
      </c>
      <c r="K457" s="23"/>
    </row>
    <row r="458" spans="1:27" x14ac:dyDescent="0.2">
      <c r="D458" s="24" t="s">
        <v>1075</v>
      </c>
      <c r="E458" s="23"/>
      <c r="H458" s="23"/>
      <c r="K458" s="21">
        <f>SUM(J457:J457)</f>
        <v>15.228</v>
      </c>
    </row>
    <row r="459" spans="1:27" x14ac:dyDescent="0.2">
      <c r="B459" s="14" t="s">
        <v>1076</v>
      </c>
      <c r="E459" s="23"/>
      <c r="H459" s="23"/>
      <c r="K459" s="23"/>
    </row>
    <row r="460" spans="1:27" x14ac:dyDescent="0.2">
      <c r="B460" t="s">
        <v>1226</v>
      </c>
      <c r="C460" t="s">
        <v>1070</v>
      </c>
      <c r="D460" t="s">
        <v>1227</v>
      </c>
      <c r="E460" s="20">
        <v>0.6</v>
      </c>
      <c r="F460" t="s">
        <v>1072</v>
      </c>
      <c r="G460" t="s">
        <v>1073</v>
      </c>
      <c r="H460" s="21">
        <v>36.56</v>
      </c>
      <c r="I460" t="s">
        <v>1074</v>
      </c>
      <c r="J460" s="22">
        <f>ROUND(E460/I455* H460,5)</f>
        <v>21.936</v>
      </c>
      <c r="K460" s="23"/>
    </row>
    <row r="461" spans="1:27" x14ac:dyDescent="0.2">
      <c r="B461" t="s">
        <v>1247</v>
      </c>
      <c r="C461" t="s">
        <v>1070</v>
      </c>
      <c r="D461" t="s">
        <v>1248</v>
      </c>
      <c r="E461" s="20">
        <v>0.6</v>
      </c>
      <c r="F461" t="s">
        <v>1072</v>
      </c>
      <c r="G461" t="s">
        <v>1073</v>
      </c>
      <c r="H461" s="21">
        <v>3.51</v>
      </c>
      <c r="I461" t="s">
        <v>1074</v>
      </c>
      <c r="J461" s="22">
        <f>ROUND(E461/I455* H461,5)</f>
        <v>2.1059999999999999</v>
      </c>
      <c r="K461" s="23"/>
    </row>
    <row r="462" spans="1:27" x14ac:dyDescent="0.2">
      <c r="D462" s="24" t="s">
        <v>1079</v>
      </c>
      <c r="E462" s="23"/>
      <c r="H462" s="23"/>
      <c r="K462" s="21">
        <f>SUM(J460:J461)</f>
        <v>24.042000000000002</v>
      </c>
    </row>
    <row r="463" spans="1:27" x14ac:dyDescent="0.2">
      <c r="E463" s="23"/>
      <c r="H463" s="23"/>
      <c r="K463" s="23"/>
    </row>
    <row r="464" spans="1:27" x14ac:dyDescent="0.2">
      <c r="D464" s="24" t="s">
        <v>1092</v>
      </c>
      <c r="E464" s="23"/>
      <c r="H464" s="23">
        <v>1.5</v>
      </c>
      <c r="I464" t="s">
        <v>1093</v>
      </c>
      <c r="J464">
        <f>ROUND(H464/100*K458,5)</f>
        <v>0.22842000000000001</v>
      </c>
      <c r="K464" s="23"/>
    </row>
    <row r="465" spans="1:27" x14ac:dyDescent="0.2">
      <c r="D465" s="24" t="s">
        <v>1091</v>
      </c>
      <c r="E465" s="23"/>
      <c r="H465" s="23"/>
      <c r="K465" s="25">
        <f>SUM(J456:J464)</f>
        <v>39.498420000000003</v>
      </c>
    </row>
    <row r="466" spans="1:27" x14ac:dyDescent="0.2">
      <c r="D466" s="24" t="s">
        <v>1142</v>
      </c>
      <c r="E466" s="23"/>
      <c r="H466" s="23">
        <v>8</v>
      </c>
      <c r="I466" t="s">
        <v>1093</v>
      </c>
      <c r="K466" s="21">
        <f>ROUND(H466/100*K465,5)</f>
        <v>3.1598700000000002</v>
      </c>
    </row>
    <row r="467" spans="1:27" x14ac:dyDescent="0.2">
      <c r="D467" s="24" t="s">
        <v>1094</v>
      </c>
      <c r="E467" s="23"/>
      <c r="H467" s="23"/>
      <c r="K467" s="25">
        <f>SUM(K465:K466)</f>
        <v>42.658290000000001</v>
      </c>
    </row>
    <row r="469" spans="1:27" ht="45" customHeight="1" x14ac:dyDescent="0.2">
      <c r="A469" s="17" t="s">
        <v>1255</v>
      </c>
      <c r="B469" s="17" t="s">
        <v>56</v>
      </c>
      <c r="C469" s="1" t="s">
        <v>15</v>
      </c>
      <c r="D469" s="96" t="s">
        <v>57</v>
      </c>
      <c r="E469" s="97"/>
      <c r="F469" s="97"/>
      <c r="G469" s="1"/>
      <c r="H469" s="18" t="s">
        <v>1066</v>
      </c>
      <c r="I469" s="98">
        <v>1</v>
      </c>
      <c r="J469" s="99"/>
      <c r="K469" s="19">
        <f>ROUND(K477,2)</f>
        <v>188.38</v>
      </c>
      <c r="L469" s="2" t="s">
        <v>1256</v>
      </c>
      <c r="M469" s="1"/>
      <c r="N469" s="1"/>
      <c r="O469" s="1"/>
      <c r="P469" s="1"/>
      <c r="Q469" s="1"/>
      <c r="R469" s="1"/>
      <c r="S469" s="1"/>
      <c r="T469" s="1"/>
      <c r="U469" s="1"/>
      <c r="V469" s="1"/>
      <c r="W469" s="1"/>
      <c r="X469" s="1"/>
      <c r="Y469" s="1"/>
      <c r="Z469" s="1"/>
      <c r="AA469" s="1"/>
    </row>
    <row r="470" spans="1:27" x14ac:dyDescent="0.2">
      <c r="B470" s="14" t="s">
        <v>1068</v>
      </c>
    </row>
    <row r="471" spans="1:27" x14ac:dyDescent="0.2">
      <c r="B471" t="s">
        <v>1205</v>
      </c>
      <c r="C471" t="s">
        <v>1070</v>
      </c>
      <c r="D471" t="s">
        <v>1206</v>
      </c>
      <c r="E471" s="20">
        <v>7</v>
      </c>
      <c r="F471" t="s">
        <v>1072</v>
      </c>
      <c r="G471" t="s">
        <v>1073</v>
      </c>
      <c r="H471" s="21">
        <v>24.55</v>
      </c>
      <c r="I471" t="s">
        <v>1074</v>
      </c>
      <c r="J471" s="22">
        <f>ROUND(E471/I469* H471,5)</f>
        <v>171.85</v>
      </c>
      <c r="K471" s="23"/>
    </row>
    <row r="472" spans="1:27" x14ac:dyDescent="0.2">
      <c r="D472" s="24" t="s">
        <v>1075</v>
      </c>
      <c r="E472" s="23"/>
      <c r="H472" s="23"/>
      <c r="K472" s="21">
        <f>SUM(J471:J471)</f>
        <v>171.85</v>
      </c>
    </row>
    <row r="473" spans="1:27" x14ac:dyDescent="0.2">
      <c r="E473" s="23"/>
      <c r="H473" s="23"/>
      <c r="K473" s="23"/>
    </row>
    <row r="474" spans="1:27" x14ac:dyDescent="0.2">
      <c r="D474" s="24" t="s">
        <v>1092</v>
      </c>
      <c r="E474" s="23"/>
      <c r="H474" s="23">
        <v>1.5</v>
      </c>
      <c r="I474" t="s">
        <v>1093</v>
      </c>
      <c r="J474">
        <f>ROUND(H474/100*K472,5)</f>
        <v>2.57775</v>
      </c>
      <c r="K474" s="23"/>
    </row>
    <row r="475" spans="1:27" x14ac:dyDescent="0.2">
      <c r="D475" s="24" t="s">
        <v>1091</v>
      </c>
      <c r="E475" s="23"/>
      <c r="H475" s="23"/>
      <c r="K475" s="25">
        <f>SUM(J470:J474)</f>
        <v>174.42775</v>
      </c>
    </row>
    <row r="476" spans="1:27" x14ac:dyDescent="0.2">
      <c r="D476" s="24" t="s">
        <v>1142</v>
      </c>
      <c r="E476" s="23"/>
      <c r="H476" s="23">
        <v>8</v>
      </c>
      <c r="I476" t="s">
        <v>1093</v>
      </c>
      <c r="K476" s="21">
        <f>ROUND(H476/100*K475,5)</f>
        <v>13.954219999999999</v>
      </c>
    </row>
    <row r="477" spans="1:27" x14ac:dyDescent="0.2">
      <c r="D477" s="24" t="s">
        <v>1094</v>
      </c>
      <c r="E477" s="23"/>
      <c r="H477" s="23"/>
      <c r="K477" s="25">
        <f>SUM(K475:K476)</f>
        <v>188.38197</v>
      </c>
    </row>
    <row r="479" spans="1:27" ht="45" customHeight="1" x14ac:dyDescent="0.2">
      <c r="A479" s="17" t="s">
        <v>1257</v>
      </c>
      <c r="B479" s="17" t="s">
        <v>68</v>
      </c>
      <c r="C479" s="1" t="s">
        <v>15</v>
      </c>
      <c r="D479" s="96" t="s">
        <v>69</v>
      </c>
      <c r="E479" s="97"/>
      <c r="F479" s="97"/>
      <c r="G479" s="1"/>
      <c r="H479" s="18" t="s">
        <v>1066</v>
      </c>
      <c r="I479" s="98">
        <v>1</v>
      </c>
      <c r="J479" s="99"/>
      <c r="K479" s="19">
        <f>ROUND(K491,2)</f>
        <v>152.82</v>
      </c>
      <c r="L479" s="2" t="s">
        <v>1258</v>
      </c>
      <c r="M479" s="1"/>
      <c r="N479" s="1"/>
      <c r="O479" s="1"/>
      <c r="P479" s="1"/>
      <c r="Q479" s="1"/>
      <c r="R479" s="1"/>
      <c r="S479" s="1"/>
      <c r="T479" s="1"/>
      <c r="U479" s="1"/>
      <c r="V479" s="1"/>
      <c r="W479" s="1"/>
      <c r="X479" s="1"/>
      <c r="Y479" s="1"/>
      <c r="Z479" s="1"/>
      <c r="AA479" s="1"/>
    </row>
    <row r="480" spans="1:27" x14ac:dyDescent="0.2">
      <c r="B480" s="14" t="s">
        <v>1068</v>
      </c>
    </row>
    <row r="481" spans="1:27" x14ac:dyDescent="0.2">
      <c r="B481" t="s">
        <v>1069</v>
      </c>
      <c r="C481" t="s">
        <v>1070</v>
      </c>
      <c r="D481" t="s">
        <v>1071</v>
      </c>
      <c r="E481" s="20">
        <v>2</v>
      </c>
      <c r="F481" t="s">
        <v>1072</v>
      </c>
      <c r="G481" t="s">
        <v>1073</v>
      </c>
      <c r="H481" s="21">
        <v>25.38</v>
      </c>
      <c r="I481" t="s">
        <v>1074</v>
      </c>
      <c r="J481" s="22">
        <f>ROUND(E481/I479* H481,5)</f>
        <v>50.76</v>
      </c>
      <c r="K481" s="23"/>
    </row>
    <row r="482" spans="1:27" x14ac:dyDescent="0.2">
      <c r="B482" t="s">
        <v>1205</v>
      </c>
      <c r="C482" t="s">
        <v>1070</v>
      </c>
      <c r="D482" t="s">
        <v>1206</v>
      </c>
      <c r="E482" s="20">
        <v>3</v>
      </c>
      <c r="F482" t="s">
        <v>1072</v>
      </c>
      <c r="G482" t="s">
        <v>1073</v>
      </c>
      <c r="H482" s="21">
        <v>24.55</v>
      </c>
      <c r="I482" t="s">
        <v>1074</v>
      </c>
      <c r="J482" s="22">
        <f>ROUND(E482/I479* H482,5)</f>
        <v>73.650000000000006</v>
      </c>
      <c r="K482" s="23"/>
    </row>
    <row r="483" spans="1:27" x14ac:dyDescent="0.2">
      <c r="D483" s="24" t="s">
        <v>1075</v>
      </c>
      <c r="E483" s="23"/>
      <c r="H483" s="23"/>
      <c r="K483" s="21">
        <f>SUM(J481:J482)</f>
        <v>124.41</v>
      </c>
    </row>
    <row r="484" spans="1:27" x14ac:dyDescent="0.2">
      <c r="B484" s="14" t="s">
        <v>1076</v>
      </c>
      <c r="E484" s="23"/>
      <c r="H484" s="23"/>
      <c r="K484" s="23"/>
    </row>
    <row r="485" spans="1:27" x14ac:dyDescent="0.2">
      <c r="B485" t="s">
        <v>1222</v>
      </c>
      <c r="C485" t="s">
        <v>1070</v>
      </c>
      <c r="D485" t="s">
        <v>1223</v>
      </c>
      <c r="E485" s="20">
        <v>1</v>
      </c>
      <c r="F485" t="s">
        <v>1072</v>
      </c>
      <c r="G485" t="s">
        <v>1073</v>
      </c>
      <c r="H485" s="21">
        <v>15.22</v>
      </c>
      <c r="I485" t="s">
        <v>1074</v>
      </c>
      <c r="J485" s="22">
        <f>ROUND(E485/I479* H485,5)</f>
        <v>15.22</v>
      </c>
      <c r="K485" s="23"/>
    </row>
    <row r="486" spans="1:27" x14ac:dyDescent="0.2">
      <c r="D486" s="24" t="s">
        <v>1079</v>
      </c>
      <c r="E486" s="23"/>
      <c r="H486" s="23"/>
      <c r="K486" s="21">
        <f>SUM(J485:J485)</f>
        <v>15.22</v>
      </c>
    </row>
    <row r="487" spans="1:27" x14ac:dyDescent="0.2">
      <c r="E487" s="23"/>
      <c r="H487" s="23"/>
      <c r="K487" s="23"/>
    </row>
    <row r="488" spans="1:27" x14ac:dyDescent="0.2">
      <c r="D488" s="24" t="s">
        <v>1092</v>
      </c>
      <c r="E488" s="23"/>
      <c r="H488" s="23">
        <v>1.5</v>
      </c>
      <c r="I488" t="s">
        <v>1093</v>
      </c>
      <c r="J488">
        <f>ROUND(H488/100*K483,5)</f>
        <v>1.86615</v>
      </c>
      <c r="K488" s="23"/>
    </row>
    <row r="489" spans="1:27" x14ac:dyDescent="0.2">
      <c r="D489" s="24" t="s">
        <v>1091</v>
      </c>
      <c r="E489" s="23"/>
      <c r="H489" s="23"/>
      <c r="K489" s="25">
        <f>SUM(J480:J488)</f>
        <v>141.49615</v>
      </c>
    </row>
    <row r="490" spans="1:27" x14ac:dyDescent="0.2">
      <c r="D490" s="24" t="s">
        <v>1142</v>
      </c>
      <c r="E490" s="23"/>
      <c r="H490" s="23">
        <v>8</v>
      </c>
      <c r="I490" t="s">
        <v>1093</v>
      </c>
      <c r="K490" s="21">
        <f>ROUND(H490/100*K489,5)</f>
        <v>11.31969</v>
      </c>
    </row>
    <row r="491" spans="1:27" x14ac:dyDescent="0.2">
      <c r="D491" s="24" t="s">
        <v>1094</v>
      </c>
      <c r="E491" s="23"/>
      <c r="H491" s="23"/>
      <c r="K491" s="25">
        <f>SUM(K489:K490)</f>
        <v>152.81584000000001</v>
      </c>
    </row>
    <row r="493" spans="1:27" ht="45" customHeight="1" x14ac:dyDescent="0.2">
      <c r="A493" s="17" t="s">
        <v>1259</v>
      </c>
      <c r="B493" s="17" t="s">
        <v>52</v>
      </c>
      <c r="C493" s="1" t="s">
        <v>18</v>
      </c>
      <c r="D493" s="96" t="s">
        <v>53</v>
      </c>
      <c r="E493" s="97"/>
      <c r="F493" s="97"/>
      <c r="G493" s="1"/>
      <c r="H493" s="18" t="s">
        <v>1066</v>
      </c>
      <c r="I493" s="98">
        <v>1</v>
      </c>
      <c r="J493" s="99"/>
      <c r="K493" s="19">
        <f>ROUND(K502,2)</f>
        <v>16.68</v>
      </c>
      <c r="L493" s="2" t="s">
        <v>1260</v>
      </c>
      <c r="M493" s="1"/>
      <c r="N493" s="1"/>
      <c r="O493" s="1"/>
      <c r="P493" s="1"/>
      <c r="Q493" s="1"/>
      <c r="R493" s="1"/>
      <c r="S493" s="1"/>
      <c r="T493" s="1"/>
      <c r="U493" s="1"/>
      <c r="V493" s="1"/>
      <c r="W493" s="1"/>
      <c r="X493" s="1"/>
      <c r="Y493" s="1"/>
      <c r="Z493" s="1"/>
      <c r="AA493" s="1"/>
    </row>
    <row r="494" spans="1:27" x14ac:dyDescent="0.2">
      <c r="B494" s="14" t="s">
        <v>1068</v>
      </c>
    </row>
    <row r="495" spans="1:27" x14ac:dyDescent="0.2">
      <c r="B495" t="s">
        <v>1220</v>
      </c>
      <c r="C495" t="s">
        <v>1070</v>
      </c>
      <c r="D495" t="s">
        <v>1221</v>
      </c>
      <c r="E495" s="20">
        <v>0.1</v>
      </c>
      <c r="F495" t="s">
        <v>1072</v>
      </c>
      <c r="G495" t="s">
        <v>1073</v>
      </c>
      <c r="H495" s="21">
        <v>29.42</v>
      </c>
      <c r="I495" t="s">
        <v>1074</v>
      </c>
      <c r="J495" s="22">
        <f>ROUND(E495/I493* H495,5)</f>
        <v>2.9420000000000002</v>
      </c>
      <c r="K495" s="23"/>
    </row>
    <row r="496" spans="1:27" x14ac:dyDescent="0.2">
      <c r="B496" t="s">
        <v>1205</v>
      </c>
      <c r="C496" t="s">
        <v>1070</v>
      </c>
      <c r="D496" t="s">
        <v>1206</v>
      </c>
      <c r="E496" s="20">
        <v>0.5</v>
      </c>
      <c r="F496" t="s">
        <v>1072</v>
      </c>
      <c r="G496" t="s">
        <v>1073</v>
      </c>
      <c r="H496" s="21">
        <v>24.55</v>
      </c>
      <c r="I496" t="s">
        <v>1074</v>
      </c>
      <c r="J496" s="22">
        <f>ROUND(E496/I493* H496,5)</f>
        <v>12.275</v>
      </c>
      <c r="K496" s="23"/>
    </row>
    <row r="497" spans="1:27" x14ac:dyDescent="0.2">
      <c r="D497" s="24" t="s">
        <v>1075</v>
      </c>
      <c r="E497" s="23"/>
      <c r="H497" s="23"/>
      <c r="K497" s="21">
        <f>SUM(J495:J496)</f>
        <v>15.217000000000001</v>
      </c>
    </row>
    <row r="498" spans="1:27" x14ac:dyDescent="0.2">
      <c r="E498" s="23"/>
      <c r="H498" s="23"/>
      <c r="K498" s="23"/>
    </row>
    <row r="499" spans="1:27" x14ac:dyDescent="0.2">
      <c r="D499" s="24" t="s">
        <v>1092</v>
      </c>
      <c r="E499" s="23"/>
      <c r="H499" s="23">
        <v>1.5</v>
      </c>
      <c r="I499" t="s">
        <v>1093</v>
      </c>
      <c r="J499">
        <f>ROUND(H499/100*K497,5)</f>
        <v>0.22825999999999999</v>
      </c>
      <c r="K499" s="23"/>
    </row>
    <row r="500" spans="1:27" x14ac:dyDescent="0.2">
      <c r="D500" s="24" t="s">
        <v>1091</v>
      </c>
      <c r="E500" s="23"/>
      <c r="H500" s="23"/>
      <c r="K500" s="25">
        <f>SUM(J494:J499)</f>
        <v>15.445260000000001</v>
      </c>
    </row>
    <row r="501" spans="1:27" x14ac:dyDescent="0.2">
      <c r="D501" s="24" t="s">
        <v>1142</v>
      </c>
      <c r="E501" s="23"/>
      <c r="H501" s="23">
        <v>8</v>
      </c>
      <c r="I501" t="s">
        <v>1093</v>
      </c>
      <c r="K501" s="21">
        <f>ROUND(H501/100*K500,5)</f>
        <v>1.2356199999999999</v>
      </c>
    </row>
    <row r="502" spans="1:27" x14ac:dyDescent="0.2">
      <c r="D502" s="24" t="s">
        <v>1094</v>
      </c>
      <c r="E502" s="23"/>
      <c r="H502" s="23"/>
      <c r="K502" s="25">
        <f>SUM(K500:K501)</f>
        <v>16.680880000000002</v>
      </c>
    </row>
    <row r="504" spans="1:27" ht="45" customHeight="1" x14ac:dyDescent="0.2">
      <c r="A504" s="17" t="s">
        <v>1261</v>
      </c>
      <c r="B504" s="17" t="s">
        <v>46</v>
      </c>
      <c r="C504" s="1" t="s">
        <v>18</v>
      </c>
      <c r="D504" s="96" t="s">
        <v>47</v>
      </c>
      <c r="E504" s="97"/>
      <c r="F504" s="97"/>
      <c r="G504" s="1"/>
      <c r="H504" s="18" t="s">
        <v>1066</v>
      </c>
      <c r="I504" s="98">
        <v>1</v>
      </c>
      <c r="J504" s="99"/>
      <c r="K504" s="19">
        <f>ROUND(K513,2)</f>
        <v>33.36</v>
      </c>
      <c r="L504" s="2" t="s">
        <v>1262</v>
      </c>
      <c r="M504" s="1"/>
      <c r="N504" s="1"/>
      <c r="O504" s="1"/>
      <c r="P504" s="1"/>
      <c r="Q504" s="1"/>
      <c r="R504" s="1"/>
      <c r="S504" s="1"/>
      <c r="T504" s="1"/>
      <c r="U504" s="1"/>
      <c r="V504" s="1"/>
      <c r="W504" s="1"/>
      <c r="X504" s="1"/>
      <c r="Y504" s="1"/>
      <c r="Z504" s="1"/>
      <c r="AA504" s="1"/>
    </row>
    <row r="505" spans="1:27" x14ac:dyDescent="0.2">
      <c r="B505" s="14" t="s">
        <v>1068</v>
      </c>
    </row>
    <row r="506" spans="1:27" x14ac:dyDescent="0.2">
      <c r="B506" t="s">
        <v>1205</v>
      </c>
      <c r="C506" t="s">
        <v>1070</v>
      </c>
      <c r="D506" t="s">
        <v>1206</v>
      </c>
      <c r="E506" s="20">
        <v>1</v>
      </c>
      <c r="F506" t="s">
        <v>1072</v>
      </c>
      <c r="G506" t="s">
        <v>1073</v>
      </c>
      <c r="H506" s="21">
        <v>24.55</v>
      </c>
      <c r="I506" t="s">
        <v>1074</v>
      </c>
      <c r="J506" s="22">
        <f>ROUND(E506/I504* H506,5)</f>
        <v>24.55</v>
      </c>
      <c r="K506" s="23"/>
    </row>
    <row r="507" spans="1:27" x14ac:dyDescent="0.2">
      <c r="B507" t="s">
        <v>1220</v>
      </c>
      <c r="C507" t="s">
        <v>1070</v>
      </c>
      <c r="D507" t="s">
        <v>1221</v>
      </c>
      <c r="E507" s="20">
        <v>0.2</v>
      </c>
      <c r="F507" t="s">
        <v>1072</v>
      </c>
      <c r="G507" t="s">
        <v>1073</v>
      </c>
      <c r="H507" s="21">
        <v>29.42</v>
      </c>
      <c r="I507" t="s">
        <v>1074</v>
      </c>
      <c r="J507" s="22">
        <f>ROUND(E507/I504* H507,5)</f>
        <v>5.8840000000000003</v>
      </c>
      <c r="K507" s="23"/>
    </row>
    <row r="508" spans="1:27" x14ac:dyDescent="0.2">
      <c r="D508" s="24" t="s">
        <v>1075</v>
      </c>
      <c r="E508" s="23"/>
      <c r="H508" s="23"/>
      <c r="K508" s="21">
        <f>SUM(J506:J507)</f>
        <v>30.434000000000001</v>
      </c>
    </row>
    <row r="509" spans="1:27" x14ac:dyDescent="0.2">
      <c r="E509" s="23"/>
      <c r="H509" s="23"/>
      <c r="K509" s="23"/>
    </row>
    <row r="510" spans="1:27" x14ac:dyDescent="0.2">
      <c r="D510" s="24" t="s">
        <v>1092</v>
      </c>
      <c r="E510" s="23"/>
      <c r="H510" s="23">
        <v>1.5</v>
      </c>
      <c r="I510" t="s">
        <v>1093</v>
      </c>
      <c r="J510">
        <f>ROUND(H510/100*K508,5)</f>
        <v>0.45651000000000003</v>
      </c>
      <c r="K510" s="23"/>
    </row>
    <row r="511" spans="1:27" x14ac:dyDescent="0.2">
      <c r="D511" s="24" t="s">
        <v>1091</v>
      </c>
      <c r="E511" s="23"/>
      <c r="H511" s="23"/>
      <c r="K511" s="25">
        <f>SUM(J505:J510)</f>
        <v>30.890510000000003</v>
      </c>
    </row>
    <row r="512" spans="1:27" x14ac:dyDescent="0.2">
      <c r="D512" s="24" t="s">
        <v>1142</v>
      </c>
      <c r="E512" s="23"/>
      <c r="H512" s="23">
        <v>8</v>
      </c>
      <c r="I512" t="s">
        <v>1093</v>
      </c>
      <c r="K512" s="21">
        <f>ROUND(H512/100*K511,5)</f>
        <v>2.4712399999999999</v>
      </c>
    </row>
    <row r="513" spans="1:27" x14ac:dyDescent="0.2">
      <c r="D513" s="24" t="s">
        <v>1094</v>
      </c>
      <c r="E513" s="23"/>
      <c r="H513" s="23"/>
      <c r="K513" s="25">
        <f>SUM(K511:K512)</f>
        <v>33.361750000000001</v>
      </c>
    </row>
    <row r="515" spans="1:27" ht="45" customHeight="1" x14ac:dyDescent="0.2">
      <c r="A515" s="17" t="s">
        <v>1263</v>
      </c>
      <c r="B515" s="17" t="s">
        <v>48</v>
      </c>
      <c r="C515" s="1" t="s">
        <v>18</v>
      </c>
      <c r="D515" s="96" t="s">
        <v>49</v>
      </c>
      <c r="E515" s="97"/>
      <c r="F515" s="97"/>
      <c r="G515" s="1"/>
      <c r="H515" s="18" t="s">
        <v>1066</v>
      </c>
      <c r="I515" s="98">
        <v>1</v>
      </c>
      <c r="J515" s="99"/>
      <c r="K515" s="19">
        <f>ROUND(K523,2)</f>
        <v>4.57</v>
      </c>
      <c r="L515" s="2" t="s">
        <v>1264</v>
      </c>
      <c r="M515" s="1"/>
      <c r="N515" s="1"/>
      <c r="O515" s="1"/>
      <c r="P515" s="1"/>
      <c r="Q515" s="1"/>
      <c r="R515" s="1"/>
      <c r="S515" s="1"/>
      <c r="T515" s="1"/>
      <c r="U515" s="1"/>
      <c r="V515" s="1"/>
      <c r="W515" s="1"/>
      <c r="X515" s="1"/>
      <c r="Y515" s="1"/>
      <c r="Z515" s="1"/>
      <c r="AA515" s="1"/>
    </row>
    <row r="516" spans="1:27" x14ac:dyDescent="0.2">
      <c r="B516" s="14" t="s">
        <v>1068</v>
      </c>
    </row>
    <row r="517" spans="1:27" x14ac:dyDescent="0.2">
      <c r="B517" t="s">
        <v>1205</v>
      </c>
      <c r="C517" t="s">
        <v>1070</v>
      </c>
      <c r="D517" t="s">
        <v>1206</v>
      </c>
      <c r="E517" s="20">
        <v>0.17</v>
      </c>
      <c r="F517" t="s">
        <v>1072</v>
      </c>
      <c r="G517" t="s">
        <v>1073</v>
      </c>
      <c r="H517" s="21">
        <v>24.55</v>
      </c>
      <c r="I517" t="s">
        <v>1074</v>
      </c>
      <c r="J517" s="22">
        <f>ROUND(E517/I515* H517,5)</f>
        <v>4.1734999999999998</v>
      </c>
      <c r="K517" s="23"/>
    </row>
    <row r="518" spans="1:27" x14ac:dyDescent="0.2">
      <c r="D518" s="24" t="s">
        <v>1075</v>
      </c>
      <c r="E518" s="23"/>
      <c r="H518" s="23"/>
      <c r="K518" s="21">
        <f>SUM(J517:J517)</f>
        <v>4.1734999999999998</v>
      </c>
    </row>
    <row r="519" spans="1:27" x14ac:dyDescent="0.2">
      <c r="E519" s="23"/>
      <c r="H519" s="23"/>
      <c r="K519" s="23"/>
    </row>
    <row r="520" spans="1:27" x14ac:dyDescent="0.2">
      <c r="D520" s="24" t="s">
        <v>1092</v>
      </c>
      <c r="E520" s="23"/>
      <c r="H520" s="23">
        <v>1.5</v>
      </c>
      <c r="I520" t="s">
        <v>1093</v>
      </c>
      <c r="J520">
        <f>ROUND(H520/100*K518,5)</f>
        <v>6.2600000000000003E-2</v>
      </c>
      <c r="K520" s="23"/>
    </row>
    <row r="521" spans="1:27" x14ac:dyDescent="0.2">
      <c r="D521" s="24" t="s">
        <v>1091</v>
      </c>
      <c r="E521" s="23"/>
      <c r="H521" s="23"/>
      <c r="K521" s="25">
        <f>SUM(J516:J520)</f>
        <v>4.2360999999999995</v>
      </c>
    </row>
    <row r="522" spans="1:27" x14ac:dyDescent="0.2">
      <c r="D522" s="24" t="s">
        <v>1142</v>
      </c>
      <c r="E522" s="23"/>
      <c r="H522" s="23">
        <v>8</v>
      </c>
      <c r="I522" t="s">
        <v>1093</v>
      </c>
      <c r="K522" s="21">
        <f>ROUND(H522/100*K521,5)</f>
        <v>0.33889000000000002</v>
      </c>
    </row>
    <row r="523" spans="1:27" x14ac:dyDescent="0.2">
      <c r="D523" s="24" t="s">
        <v>1094</v>
      </c>
      <c r="E523" s="23"/>
      <c r="H523" s="23"/>
      <c r="K523" s="25">
        <f>SUM(K521:K522)</f>
        <v>4.5749899999999997</v>
      </c>
    </row>
    <row r="525" spans="1:27" ht="45" customHeight="1" x14ac:dyDescent="0.2">
      <c r="A525" s="17" t="s">
        <v>1265</v>
      </c>
      <c r="B525" s="17" t="s">
        <v>50</v>
      </c>
      <c r="C525" s="1" t="s">
        <v>18</v>
      </c>
      <c r="D525" s="96" t="s">
        <v>51</v>
      </c>
      <c r="E525" s="97"/>
      <c r="F525" s="97"/>
      <c r="G525" s="1"/>
      <c r="H525" s="18" t="s">
        <v>1066</v>
      </c>
      <c r="I525" s="98">
        <v>1</v>
      </c>
      <c r="J525" s="99"/>
      <c r="K525" s="19">
        <f>ROUND(K533,2)</f>
        <v>3.5</v>
      </c>
      <c r="L525" s="2" t="s">
        <v>1266</v>
      </c>
      <c r="M525" s="1"/>
      <c r="N525" s="1"/>
      <c r="O525" s="1"/>
      <c r="P525" s="1"/>
      <c r="Q525" s="1"/>
      <c r="R525" s="1"/>
      <c r="S525" s="1"/>
      <c r="T525" s="1"/>
      <c r="U525" s="1"/>
      <c r="V525" s="1"/>
      <c r="W525" s="1"/>
      <c r="X525" s="1"/>
      <c r="Y525" s="1"/>
      <c r="Z525" s="1"/>
      <c r="AA525" s="1"/>
    </row>
    <row r="526" spans="1:27" x14ac:dyDescent="0.2">
      <c r="B526" s="14" t="s">
        <v>1068</v>
      </c>
    </row>
    <row r="527" spans="1:27" x14ac:dyDescent="0.2">
      <c r="B527" t="s">
        <v>1205</v>
      </c>
      <c r="C527" t="s">
        <v>1070</v>
      </c>
      <c r="D527" t="s">
        <v>1206</v>
      </c>
      <c r="E527" s="20">
        <v>0.13</v>
      </c>
      <c r="F527" t="s">
        <v>1072</v>
      </c>
      <c r="G527" t="s">
        <v>1073</v>
      </c>
      <c r="H527" s="21">
        <v>24.55</v>
      </c>
      <c r="I527" t="s">
        <v>1074</v>
      </c>
      <c r="J527" s="22">
        <f>ROUND(E527/I525* H527,5)</f>
        <v>3.1915</v>
      </c>
      <c r="K527" s="23"/>
    </row>
    <row r="528" spans="1:27" x14ac:dyDescent="0.2">
      <c r="D528" s="24" t="s">
        <v>1075</v>
      </c>
      <c r="E528" s="23"/>
      <c r="H528" s="23"/>
      <c r="K528" s="21">
        <f>SUM(J527:J527)</f>
        <v>3.1915</v>
      </c>
    </row>
    <row r="529" spans="1:27" x14ac:dyDescent="0.2">
      <c r="E529" s="23"/>
      <c r="H529" s="23"/>
      <c r="K529" s="23"/>
    </row>
    <row r="530" spans="1:27" x14ac:dyDescent="0.2">
      <c r="D530" s="24" t="s">
        <v>1092</v>
      </c>
      <c r="E530" s="23"/>
      <c r="H530" s="23">
        <v>1.5</v>
      </c>
      <c r="I530" t="s">
        <v>1093</v>
      </c>
      <c r="J530">
        <f>ROUND(H530/100*K528,5)</f>
        <v>4.7870000000000003E-2</v>
      </c>
      <c r="K530" s="23"/>
    </row>
    <row r="531" spans="1:27" x14ac:dyDescent="0.2">
      <c r="D531" s="24" t="s">
        <v>1091</v>
      </c>
      <c r="E531" s="23"/>
      <c r="H531" s="23"/>
      <c r="K531" s="25">
        <f>SUM(J526:J530)</f>
        <v>3.2393700000000001</v>
      </c>
    </row>
    <row r="532" spans="1:27" x14ac:dyDescent="0.2">
      <c r="D532" s="24" t="s">
        <v>1142</v>
      </c>
      <c r="E532" s="23"/>
      <c r="H532" s="23">
        <v>8</v>
      </c>
      <c r="I532" t="s">
        <v>1093</v>
      </c>
      <c r="K532" s="21">
        <f>ROUND(H532/100*K531,5)</f>
        <v>0.25914999999999999</v>
      </c>
    </row>
    <row r="533" spans="1:27" x14ac:dyDescent="0.2">
      <c r="D533" s="24" t="s">
        <v>1094</v>
      </c>
      <c r="E533" s="23"/>
      <c r="H533" s="23"/>
      <c r="K533" s="25">
        <f>SUM(K531:K532)</f>
        <v>3.4985200000000001</v>
      </c>
    </row>
    <row r="535" spans="1:27" ht="45" customHeight="1" x14ac:dyDescent="0.2">
      <c r="A535" s="17" t="s">
        <v>1267</v>
      </c>
      <c r="B535" s="17" t="s">
        <v>60</v>
      </c>
      <c r="C535" s="1" t="s">
        <v>18</v>
      </c>
      <c r="D535" s="96" t="s">
        <v>61</v>
      </c>
      <c r="E535" s="97"/>
      <c r="F535" s="97"/>
      <c r="G535" s="1"/>
      <c r="H535" s="18" t="s">
        <v>1066</v>
      </c>
      <c r="I535" s="98">
        <v>1</v>
      </c>
      <c r="J535" s="99"/>
      <c r="K535" s="19">
        <f>ROUND(K543,2)</f>
        <v>9.42</v>
      </c>
      <c r="L535" s="2" t="s">
        <v>1268</v>
      </c>
      <c r="M535" s="1"/>
      <c r="N535" s="1"/>
      <c r="O535" s="1"/>
      <c r="P535" s="1"/>
      <c r="Q535" s="1"/>
      <c r="R535" s="1"/>
      <c r="S535" s="1"/>
      <c r="T535" s="1"/>
      <c r="U535" s="1"/>
      <c r="V535" s="1"/>
      <c r="W535" s="1"/>
      <c r="X535" s="1"/>
      <c r="Y535" s="1"/>
      <c r="Z535" s="1"/>
      <c r="AA535" s="1"/>
    </row>
    <row r="536" spans="1:27" x14ac:dyDescent="0.2">
      <c r="B536" s="14" t="s">
        <v>1068</v>
      </c>
    </row>
    <row r="537" spans="1:27" x14ac:dyDescent="0.2">
      <c r="B537" t="s">
        <v>1205</v>
      </c>
      <c r="C537" t="s">
        <v>1070</v>
      </c>
      <c r="D537" t="s">
        <v>1206</v>
      </c>
      <c r="E537" s="20">
        <v>0.35</v>
      </c>
      <c r="F537" t="s">
        <v>1072</v>
      </c>
      <c r="G537" t="s">
        <v>1073</v>
      </c>
      <c r="H537" s="21">
        <v>24.55</v>
      </c>
      <c r="I537" t="s">
        <v>1074</v>
      </c>
      <c r="J537" s="22">
        <f>ROUND(E537/I535* H537,5)</f>
        <v>8.5924999999999994</v>
      </c>
      <c r="K537" s="23"/>
    </row>
    <row r="538" spans="1:27" x14ac:dyDescent="0.2">
      <c r="D538" s="24" t="s">
        <v>1075</v>
      </c>
      <c r="E538" s="23"/>
      <c r="H538" s="23"/>
      <c r="K538" s="21">
        <f>SUM(J537:J537)</f>
        <v>8.5924999999999994</v>
      </c>
    </row>
    <row r="539" spans="1:27" x14ac:dyDescent="0.2">
      <c r="E539" s="23"/>
      <c r="H539" s="23"/>
      <c r="K539" s="23"/>
    </row>
    <row r="540" spans="1:27" x14ac:dyDescent="0.2">
      <c r="D540" s="24" t="s">
        <v>1092</v>
      </c>
      <c r="E540" s="23"/>
      <c r="H540" s="23">
        <v>1.5</v>
      </c>
      <c r="I540" t="s">
        <v>1093</v>
      </c>
      <c r="J540">
        <f>ROUND(H540/100*K538,5)</f>
        <v>0.12889</v>
      </c>
      <c r="K540" s="23"/>
    </row>
    <row r="541" spans="1:27" x14ac:dyDescent="0.2">
      <c r="D541" s="24" t="s">
        <v>1091</v>
      </c>
      <c r="E541" s="23"/>
      <c r="H541" s="23"/>
      <c r="K541" s="25">
        <f>SUM(J536:J540)</f>
        <v>8.7213899999999995</v>
      </c>
    </row>
    <row r="542" spans="1:27" x14ac:dyDescent="0.2">
      <c r="D542" s="24" t="s">
        <v>1142</v>
      </c>
      <c r="E542" s="23"/>
      <c r="H542" s="23">
        <v>8</v>
      </c>
      <c r="I542" t="s">
        <v>1093</v>
      </c>
      <c r="K542" s="21">
        <f>ROUND(H542/100*K541,5)</f>
        <v>0.69771000000000005</v>
      </c>
    </row>
    <row r="543" spans="1:27" x14ac:dyDescent="0.2">
      <c r="D543" s="24" t="s">
        <v>1094</v>
      </c>
      <c r="E543" s="23"/>
      <c r="H543" s="23"/>
      <c r="K543" s="25">
        <f>SUM(K541:K542)</f>
        <v>9.4191000000000003</v>
      </c>
    </row>
    <row r="545" spans="1:27" ht="45" customHeight="1" x14ac:dyDescent="0.2">
      <c r="A545" s="17" t="s">
        <v>1269</v>
      </c>
      <c r="B545" s="17" t="s">
        <v>35</v>
      </c>
      <c r="C545" s="1" t="s">
        <v>36</v>
      </c>
      <c r="D545" s="96" t="s">
        <v>37</v>
      </c>
      <c r="E545" s="97"/>
      <c r="F545" s="97"/>
      <c r="G545" s="1"/>
      <c r="H545" s="18" t="s">
        <v>1066</v>
      </c>
      <c r="I545" s="98">
        <v>1</v>
      </c>
      <c r="J545" s="99"/>
      <c r="K545" s="19">
        <f>ROUND(K556,2)</f>
        <v>12.84</v>
      </c>
      <c r="L545" s="2" t="s">
        <v>1270</v>
      </c>
      <c r="M545" s="1"/>
      <c r="N545" s="1"/>
      <c r="O545" s="1"/>
      <c r="P545" s="1"/>
      <c r="Q545" s="1"/>
      <c r="R545" s="1"/>
      <c r="S545" s="1"/>
      <c r="T545" s="1"/>
      <c r="U545" s="1"/>
      <c r="V545" s="1"/>
      <c r="W545" s="1"/>
      <c r="X545" s="1"/>
      <c r="Y545" s="1"/>
      <c r="Z545" s="1"/>
      <c r="AA545" s="1"/>
    </row>
    <row r="546" spans="1:27" x14ac:dyDescent="0.2">
      <c r="B546" s="14" t="s">
        <v>1068</v>
      </c>
    </row>
    <row r="547" spans="1:27" x14ac:dyDescent="0.2">
      <c r="B547" t="s">
        <v>1069</v>
      </c>
      <c r="C547" t="s">
        <v>1070</v>
      </c>
      <c r="D547" t="s">
        <v>1071</v>
      </c>
      <c r="E547" s="20">
        <v>0.35</v>
      </c>
      <c r="F547" t="s">
        <v>1072</v>
      </c>
      <c r="G547" t="s">
        <v>1073</v>
      </c>
      <c r="H547" s="21">
        <v>25.38</v>
      </c>
      <c r="I547" t="s">
        <v>1074</v>
      </c>
      <c r="J547" s="22">
        <f>ROUND(E547/I545* H547,5)</f>
        <v>8.8829999999999991</v>
      </c>
      <c r="K547" s="23"/>
    </row>
    <row r="548" spans="1:27" x14ac:dyDescent="0.2">
      <c r="D548" s="24" t="s">
        <v>1075</v>
      </c>
      <c r="E548" s="23"/>
      <c r="H548" s="23"/>
      <c r="K548" s="21">
        <f>SUM(J547:J547)</f>
        <v>8.8829999999999991</v>
      </c>
    </row>
    <row r="549" spans="1:27" x14ac:dyDescent="0.2">
      <c r="B549" s="14" t="s">
        <v>1076</v>
      </c>
      <c r="E549" s="23"/>
      <c r="H549" s="23"/>
      <c r="K549" s="23"/>
    </row>
    <row r="550" spans="1:27" x14ac:dyDescent="0.2">
      <c r="B550" t="s">
        <v>1271</v>
      </c>
      <c r="C550" t="s">
        <v>1070</v>
      </c>
      <c r="D550" t="s">
        <v>1272</v>
      </c>
      <c r="E550" s="20">
        <v>0.35</v>
      </c>
      <c r="F550" t="s">
        <v>1072</v>
      </c>
      <c r="G550" t="s">
        <v>1073</v>
      </c>
      <c r="H550" s="21">
        <v>8.1999999999999993</v>
      </c>
      <c r="I550" t="s">
        <v>1074</v>
      </c>
      <c r="J550" s="22">
        <f>ROUND(E550/I545* H550,5)</f>
        <v>2.87</v>
      </c>
      <c r="K550" s="23"/>
    </row>
    <row r="551" spans="1:27" x14ac:dyDescent="0.2">
      <c r="D551" s="24" t="s">
        <v>1079</v>
      </c>
      <c r="E551" s="23"/>
      <c r="H551" s="23"/>
      <c r="K551" s="21">
        <f>SUM(J550:J550)</f>
        <v>2.87</v>
      </c>
    </row>
    <row r="552" spans="1:27" x14ac:dyDescent="0.2">
      <c r="E552" s="23"/>
      <c r="H552" s="23"/>
      <c r="K552" s="23"/>
    </row>
    <row r="553" spans="1:27" x14ac:dyDescent="0.2">
      <c r="D553" s="24" t="s">
        <v>1092</v>
      </c>
      <c r="E553" s="23"/>
      <c r="H553" s="23">
        <v>1.5</v>
      </c>
      <c r="I553" t="s">
        <v>1093</v>
      </c>
      <c r="J553">
        <f>ROUND(H553/100*K548,5)</f>
        <v>0.13325000000000001</v>
      </c>
      <c r="K553" s="23"/>
    </row>
    <row r="554" spans="1:27" x14ac:dyDescent="0.2">
      <c r="D554" s="24" t="s">
        <v>1091</v>
      </c>
      <c r="E554" s="23"/>
      <c r="H554" s="23"/>
      <c r="K554" s="25">
        <f>SUM(J546:J553)</f>
        <v>11.88625</v>
      </c>
    </row>
    <row r="555" spans="1:27" x14ac:dyDescent="0.2">
      <c r="D555" s="24" t="s">
        <v>1142</v>
      </c>
      <c r="E555" s="23"/>
      <c r="H555" s="23">
        <v>8</v>
      </c>
      <c r="I555" t="s">
        <v>1093</v>
      </c>
      <c r="K555" s="21">
        <f>ROUND(H555/100*K554,5)</f>
        <v>0.95089999999999997</v>
      </c>
    </row>
    <row r="556" spans="1:27" x14ac:dyDescent="0.2">
      <c r="D556" s="24" t="s">
        <v>1094</v>
      </c>
      <c r="E556" s="23"/>
      <c r="H556" s="23"/>
      <c r="K556" s="25">
        <f>SUM(K554:K555)</f>
        <v>12.837150000000001</v>
      </c>
    </row>
    <row r="558" spans="1:27" ht="45" customHeight="1" x14ac:dyDescent="0.2">
      <c r="A558" s="17" t="s">
        <v>1273</v>
      </c>
      <c r="B558" s="17" t="s">
        <v>66</v>
      </c>
      <c r="C558" s="1" t="s">
        <v>18</v>
      </c>
      <c r="D558" s="96" t="s">
        <v>67</v>
      </c>
      <c r="E558" s="97"/>
      <c r="F558" s="97"/>
      <c r="G558" s="1"/>
      <c r="H558" s="18" t="s">
        <v>1066</v>
      </c>
      <c r="I558" s="98">
        <v>1</v>
      </c>
      <c r="J558" s="99"/>
      <c r="K558" s="19">
        <f>ROUND(K575,2)</f>
        <v>793.11</v>
      </c>
      <c r="L558" s="2" t="s">
        <v>1274</v>
      </c>
      <c r="M558" s="1"/>
      <c r="N558" s="1"/>
      <c r="O558" s="1"/>
      <c r="P558" s="1"/>
      <c r="Q558" s="1"/>
      <c r="R558" s="1"/>
      <c r="S558" s="1"/>
      <c r="T558" s="1"/>
      <c r="U558" s="1"/>
      <c r="V558" s="1"/>
      <c r="W558" s="1"/>
      <c r="X558" s="1"/>
      <c r="Y558" s="1"/>
      <c r="Z558" s="1"/>
      <c r="AA558" s="1"/>
    </row>
    <row r="559" spans="1:27" x14ac:dyDescent="0.2">
      <c r="B559" s="14" t="s">
        <v>1068</v>
      </c>
    </row>
    <row r="560" spans="1:27" x14ac:dyDescent="0.2">
      <c r="B560" t="s">
        <v>1069</v>
      </c>
      <c r="C560" t="s">
        <v>1070</v>
      </c>
      <c r="D560" t="s">
        <v>1071</v>
      </c>
      <c r="E560" s="20">
        <v>1</v>
      </c>
      <c r="F560" t="s">
        <v>1072</v>
      </c>
      <c r="G560" t="s">
        <v>1073</v>
      </c>
      <c r="H560" s="21">
        <v>25.38</v>
      </c>
      <c r="I560" t="s">
        <v>1074</v>
      </c>
      <c r="J560" s="22">
        <f>ROUND(E560/I558* H560,5)</f>
        <v>25.38</v>
      </c>
      <c r="K560" s="23"/>
    </row>
    <row r="561" spans="2:11" x14ac:dyDescent="0.2">
      <c r="B561" t="s">
        <v>1220</v>
      </c>
      <c r="C561" t="s">
        <v>1070</v>
      </c>
      <c r="D561" t="s">
        <v>1221</v>
      </c>
      <c r="E561" s="20">
        <v>1</v>
      </c>
      <c r="F561" t="s">
        <v>1072</v>
      </c>
      <c r="G561" t="s">
        <v>1073</v>
      </c>
      <c r="H561" s="21">
        <v>29.42</v>
      </c>
      <c r="I561" t="s">
        <v>1074</v>
      </c>
      <c r="J561" s="22">
        <f>ROUND(E561/I558* H561,5)</f>
        <v>29.42</v>
      </c>
      <c r="K561" s="23"/>
    </row>
    <row r="562" spans="2:11" x14ac:dyDescent="0.2">
      <c r="D562" s="24" t="s">
        <v>1075</v>
      </c>
      <c r="E562" s="23"/>
      <c r="H562" s="23"/>
      <c r="K562" s="21">
        <f>SUM(J560:J561)</f>
        <v>54.8</v>
      </c>
    </row>
    <row r="563" spans="2:11" x14ac:dyDescent="0.2">
      <c r="B563" s="14" t="s">
        <v>1076</v>
      </c>
      <c r="E563" s="23"/>
      <c r="H563" s="23"/>
      <c r="K563" s="23"/>
    </row>
    <row r="564" spans="2:11" x14ac:dyDescent="0.2">
      <c r="B564" t="s">
        <v>1277</v>
      </c>
      <c r="C564" t="s">
        <v>1070</v>
      </c>
      <c r="D564" t="s">
        <v>1278</v>
      </c>
      <c r="E564" s="20">
        <v>1</v>
      </c>
      <c r="F564" t="s">
        <v>1072</v>
      </c>
      <c r="G564" t="s">
        <v>1073</v>
      </c>
      <c r="H564" s="21">
        <v>8.65</v>
      </c>
      <c r="I564" t="s">
        <v>1074</v>
      </c>
      <c r="J564" s="22">
        <f>ROUND(E564/I558* H564,5)</f>
        <v>8.65</v>
      </c>
      <c r="K564" s="23"/>
    </row>
    <row r="565" spans="2:11" x14ac:dyDescent="0.2">
      <c r="B565" t="s">
        <v>1275</v>
      </c>
      <c r="C565" t="s">
        <v>1070</v>
      </c>
      <c r="D565" t="s">
        <v>1276</v>
      </c>
      <c r="E565" s="20">
        <v>1</v>
      </c>
      <c r="F565" t="s">
        <v>1072</v>
      </c>
      <c r="G565" t="s">
        <v>1073</v>
      </c>
      <c r="H565" s="21">
        <v>600</v>
      </c>
      <c r="I565" t="s">
        <v>1074</v>
      </c>
      <c r="J565" s="22">
        <f>ROUND(E565/I558* H565,5)</f>
        <v>600</v>
      </c>
      <c r="K565" s="23"/>
    </row>
    <row r="566" spans="2:11" x14ac:dyDescent="0.2">
      <c r="D566" s="24" t="s">
        <v>1079</v>
      </c>
      <c r="E566" s="23"/>
      <c r="H566" s="23"/>
      <c r="K566" s="21">
        <f>SUM(J564:J565)</f>
        <v>608.65</v>
      </c>
    </row>
    <row r="567" spans="2:11" x14ac:dyDescent="0.2">
      <c r="B567" s="14" t="s">
        <v>1080</v>
      </c>
      <c r="E567" s="23"/>
      <c r="H567" s="23"/>
      <c r="K567" s="23"/>
    </row>
    <row r="568" spans="2:11" x14ac:dyDescent="0.2">
      <c r="B568" t="s">
        <v>1081</v>
      </c>
      <c r="C568" t="s">
        <v>15</v>
      </c>
      <c r="D568" t="s">
        <v>1082</v>
      </c>
      <c r="E568" s="20">
        <v>3</v>
      </c>
      <c r="G568" t="s">
        <v>1073</v>
      </c>
      <c r="H568" s="21">
        <v>2.1800000000000002</v>
      </c>
      <c r="I568" t="s">
        <v>1074</v>
      </c>
      <c r="J568" s="22">
        <f>ROUND(E568* H568,5)</f>
        <v>6.54</v>
      </c>
      <c r="K568" s="23"/>
    </row>
    <row r="569" spans="2:11" x14ac:dyDescent="0.2">
      <c r="B569" t="s">
        <v>1279</v>
      </c>
      <c r="C569" t="s">
        <v>23</v>
      </c>
      <c r="D569" t="s">
        <v>1280</v>
      </c>
      <c r="E569" s="20">
        <v>5</v>
      </c>
      <c r="G569" t="s">
        <v>1073</v>
      </c>
      <c r="H569" s="21">
        <v>12.71</v>
      </c>
      <c r="I569" t="s">
        <v>1074</v>
      </c>
      <c r="J569" s="22">
        <f>ROUND(E569* H569,5)</f>
        <v>63.55</v>
      </c>
      <c r="K569" s="23"/>
    </row>
    <row r="570" spans="2:11" x14ac:dyDescent="0.2">
      <c r="D570" s="24" t="s">
        <v>1090</v>
      </c>
      <c r="E570" s="23"/>
      <c r="H570" s="23"/>
      <c r="K570" s="21">
        <f>SUM(J568:J569)</f>
        <v>70.09</v>
      </c>
    </row>
    <row r="571" spans="2:11" x14ac:dyDescent="0.2">
      <c r="E571" s="23"/>
      <c r="H571" s="23"/>
      <c r="K571" s="23"/>
    </row>
    <row r="572" spans="2:11" x14ac:dyDescent="0.2">
      <c r="D572" s="24" t="s">
        <v>1092</v>
      </c>
      <c r="E572" s="23"/>
      <c r="H572" s="23">
        <v>1.5</v>
      </c>
      <c r="I572" t="s">
        <v>1093</v>
      </c>
      <c r="J572">
        <f>ROUND(H572/100*K562,5)</f>
        <v>0.82199999999999995</v>
      </c>
      <c r="K572" s="23"/>
    </row>
    <row r="573" spans="2:11" x14ac:dyDescent="0.2">
      <c r="D573" s="24" t="s">
        <v>1091</v>
      </c>
      <c r="E573" s="23"/>
      <c r="H573" s="23"/>
      <c r="K573" s="25">
        <f>SUM(J559:J572)</f>
        <v>734.36199999999997</v>
      </c>
    </row>
    <row r="574" spans="2:11" x14ac:dyDescent="0.2">
      <c r="D574" s="24" t="s">
        <v>1142</v>
      </c>
      <c r="E574" s="23"/>
      <c r="H574" s="23">
        <v>8</v>
      </c>
      <c r="I574" t="s">
        <v>1093</v>
      </c>
      <c r="K574" s="21">
        <f>ROUND(H574/100*K573,5)</f>
        <v>58.748959999999997</v>
      </c>
    </row>
    <row r="575" spans="2:11" x14ac:dyDescent="0.2">
      <c r="D575" s="24" t="s">
        <v>1094</v>
      </c>
      <c r="E575" s="23"/>
      <c r="H575" s="23"/>
      <c r="K575" s="25">
        <f>SUM(K573:K574)</f>
        <v>793.11095999999998</v>
      </c>
    </row>
    <row r="577" spans="1:27" ht="45" customHeight="1" x14ac:dyDescent="0.2">
      <c r="A577" s="17" t="s">
        <v>1281</v>
      </c>
      <c r="B577" s="17" t="s">
        <v>42</v>
      </c>
      <c r="C577" s="1" t="s">
        <v>23</v>
      </c>
      <c r="D577" s="96" t="s">
        <v>43</v>
      </c>
      <c r="E577" s="97"/>
      <c r="F577" s="97"/>
      <c r="G577" s="1"/>
      <c r="H577" s="18" t="s">
        <v>1066</v>
      </c>
      <c r="I577" s="98">
        <v>1</v>
      </c>
      <c r="J577" s="99"/>
      <c r="K577" s="19">
        <f>ROUND(K586,2)</f>
        <v>19.04</v>
      </c>
      <c r="L577" s="2" t="s">
        <v>1282</v>
      </c>
      <c r="M577" s="1"/>
      <c r="N577" s="1"/>
      <c r="O577" s="1"/>
      <c r="P577" s="1"/>
      <c r="Q577" s="1"/>
      <c r="R577" s="1"/>
      <c r="S577" s="1"/>
      <c r="T577" s="1"/>
      <c r="U577" s="1"/>
      <c r="V577" s="1"/>
      <c r="W577" s="1"/>
      <c r="X577" s="1"/>
      <c r="Y577" s="1"/>
      <c r="Z577" s="1"/>
      <c r="AA577" s="1"/>
    </row>
    <row r="578" spans="1:27" x14ac:dyDescent="0.2">
      <c r="B578" s="14" t="s">
        <v>1068</v>
      </c>
    </row>
    <row r="579" spans="1:27" x14ac:dyDescent="0.2">
      <c r="B579" t="s">
        <v>1205</v>
      </c>
      <c r="C579" t="s">
        <v>1070</v>
      </c>
      <c r="D579" t="s">
        <v>1206</v>
      </c>
      <c r="E579" s="20">
        <v>0.15</v>
      </c>
      <c r="F579" t="s">
        <v>1072</v>
      </c>
      <c r="G579" t="s">
        <v>1073</v>
      </c>
      <c r="H579" s="21">
        <v>24.55</v>
      </c>
      <c r="I579" t="s">
        <v>1074</v>
      </c>
      <c r="J579" s="22">
        <f>ROUND(E579/I577* H579,5)</f>
        <v>3.6825000000000001</v>
      </c>
      <c r="K579" s="23"/>
    </row>
    <row r="580" spans="1:27" x14ac:dyDescent="0.2">
      <c r="B580" t="s">
        <v>1283</v>
      </c>
      <c r="C580" t="s">
        <v>1070</v>
      </c>
      <c r="D580" t="s">
        <v>1284</v>
      </c>
      <c r="E580" s="20">
        <v>0.45</v>
      </c>
      <c r="F580" t="s">
        <v>1072</v>
      </c>
      <c r="G580" t="s">
        <v>1073</v>
      </c>
      <c r="H580" s="21">
        <v>30.41</v>
      </c>
      <c r="I580" t="s">
        <v>1074</v>
      </c>
      <c r="J580" s="22">
        <f>ROUND(E580/I577* H580,5)</f>
        <v>13.6845</v>
      </c>
      <c r="K580" s="23"/>
    </row>
    <row r="581" spans="1:27" x14ac:dyDescent="0.2">
      <c r="D581" s="24" t="s">
        <v>1075</v>
      </c>
      <c r="E581" s="23"/>
      <c r="H581" s="23"/>
      <c r="K581" s="21">
        <f>SUM(J579:J580)</f>
        <v>17.367000000000001</v>
      </c>
    </row>
    <row r="582" spans="1:27" x14ac:dyDescent="0.2">
      <c r="E582" s="23"/>
      <c r="H582" s="23"/>
      <c r="K582" s="23"/>
    </row>
    <row r="583" spans="1:27" x14ac:dyDescent="0.2">
      <c r="D583" s="24" t="s">
        <v>1092</v>
      </c>
      <c r="E583" s="23"/>
      <c r="H583" s="23">
        <v>1.5</v>
      </c>
      <c r="I583" t="s">
        <v>1093</v>
      </c>
      <c r="J583">
        <f>ROUND(H583/100*K581,5)</f>
        <v>0.26051000000000002</v>
      </c>
      <c r="K583" s="23"/>
    </row>
    <row r="584" spans="1:27" x14ac:dyDescent="0.2">
      <c r="D584" s="24" t="s">
        <v>1091</v>
      </c>
      <c r="E584" s="23"/>
      <c r="H584" s="23"/>
      <c r="K584" s="25">
        <f>SUM(J578:J583)</f>
        <v>17.627510000000001</v>
      </c>
    </row>
    <row r="585" spans="1:27" x14ac:dyDescent="0.2">
      <c r="D585" s="24" t="s">
        <v>1142</v>
      </c>
      <c r="E585" s="23"/>
      <c r="H585" s="23">
        <v>8</v>
      </c>
      <c r="I585" t="s">
        <v>1093</v>
      </c>
      <c r="K585" s="21">
        <f>ROUND(H585/100*K584,5)</f>
        <v>1.4101999999999999</v>
      </c>
    </row>
    <row r="586" spans="1:27" x14ac:dyDescent="0.2">
      <c r="D586" s="24" t="s">
        <v>1094</v>
      </c>
      <c r="E586" s="23"/>
      <c r="H586" s="23"/>
      <c r="K586" s="25">
        <f>SUM(K584:K585)</f>
        <v>19.037710000000001</v>
      </c>
    </row>
    <row r="588" spans="1:27" ht="45" customHeight="1" x14ac:dyDescent="0.2">
      <c r="A588" s="17" t="s">
        <v>1285</v>
      </c>
      <c r="B588" s="17" t="s">
        <v>75</v>
      </c>
      <c r="C588" s="1" t="s">
        <v>15</v>
      </c>
      <c r="D588" s="96" t="s">
        <v>76</v>
      </c>
      <c r="E588" s="97"/>
      <c r="F588" s="97"/>
      <c r="G588" s="1"/>
      <c r="H588" s="18" t="s">
        <v>1066</v>
      </c>
      <c r="I588" s="98">
        <v>1</v>
      </c>
      <c r="J588" s="99"/>
      <c r="K588" s="19">
        <f>ROUND(K594,2)</f>
        <v>11.32</v>
      </c>
      <c r="L588" s="2" t="s">
        <v>1286</v>
      </c>
      <c r="M588" s="1"/>
      <c r="N588" s="1"/>
      <c r="O588" s="1"/>
      <c r="P588" s="1"/>
      <c r="Q588" s="1"/>
      <c r="R588" s="1"/>
      <c r="S588" s="1"/>
      <c r="T588" s="1"/>
      <c r="U588" s="1"/>
      <c r="V588" s="1"/>
      <c r="W588" s="1"/>
      <c r="X588" s="1"/>
      <c r="Y588" s="1"/>
      <c r="Z588" s="1"/>
      <c r="AA588" s="1"/>
    </row>
    <row r="589" spans="1:27" x14ac:dyDescent="0.2">
      <c r="B589" s="14" t="s">
        <v>1076</v>
      </c>
    </row>
    <row r="590" spans="1:27" x14ac:dyDescent="0.2">
      <c r="B590" t="s">
        <v>1287</v>
      </c>
      <c r="C590" t="s">
        <v>1070</v>
      </c>
      <c r="D590" t="s">
        <v>1288</v>
      </c>
      <c r="E590" s="20">
        <v>0.19500000000000001</v>
      </c>
      <c r="F590" t="s">
        <v>1072</v>
      </c>
      <c r="G590" t="s">
        <v>1073</v>
      </c>
      <c r="H590" s="21">
        <v>53.74</v>
      </c>
      <c r="I590" t="s">
        <v>1074</v>
      </c>
      <c r="J590" s="22">
        <f>ROUND(E590/I588* H590,5)</f>
        <v>10.4793</v>
      </c>
      <c r="K590" s="23"/>
    </row>
    <row r="591" spans="1:27" x14ac:dyDescent="0.2">
      <c r="D591" s="24" t="s">
        <v>1079</v>
      </c>
      <c r="E591" s="23"/>
      <c r="H591" s="23"/>
      <c r="K591" s="21">
        <f>SUM(J590:J590)</f>
        <v>10.4793</v>
      </c>
    </row>
    <row r="592" spans="1:27" x14ac:dyDescent="0.2">
      <c r="D592" s="24" t="s">
        <v>1091</v>
      </c>
      <c r="E592" s="23"/>
      <c r="H592" s="23"/>
      <c r="K592" s="25">
        <f>SUM(J589:J591)</f>
        <v>10.4793</v>
      </c>
    </row>
    <row r="593" spans="1:27" x14ac:dyDescent="0.2">
      <c r="D593" s="24" t="s">
        <v>1142</v>
      </c>
      <c r="E593" s="23"/>
      <c r="H593" s="23">
        <v>8</v>
      </c>
      <c r="I593" t="s">
        <v>1093</v>
      </c>
      <c r="K593" s="21">
        <f>ROUND(H593/100*K592,5)</f>
        <v>0.83833999999999997</v>
      </c>
    </row>
    <row r="594" spans="1:27" x14ac:dyDescent="0.2">
      <c r="D594" s="24" t="s">
        <v>1094</v>
      </c>
      <c r="E594" s="23"/>
      <c r="H594" s="23"/>
      <c r="K594" s="25">
        <f>SUM(K592:K593)</f>
        <v>11.317640000000001</v>
      </c>
    </row>
    <row r="596" spans="1:27" ht="45" customHeight="1" x14ac:dyDescent="0.2">
      <c r="A596" s="17"/>
      <c r="B596" s="17" t="s">
        <v>1289</v>
      </c>
      <c r="C596" s="1" t="s">
        <v>15</v>
      </c>
      <c r="D596" s="96" t="s">
        <v>1290</v>
      </c>
      <c r="E596" s="97"/>
      <c r="F596" s="97"/>
      <c r="G596" s="1"/>
      <c r="H596" s="18" t="s">
        <v>1066</v>
      </c>
      <c r="I596" s="98">
        <v>1</v>
      </c>
      <c r="J596" s="99"/>
      <c r="K596" s="19">
        <f>ROUND(K602,2)</f>
        <v>9.4</v>
      </c>
      <c r="L596" s="2" t="s">
        <v>1291</v>
      </c>
      <c r="M596" s="1"/>
      <c r="N596" s="1"/>
      <c r="O596" s="1"/>
      <c r="P596" s="1"/>
      <c r="Q596" s="1"/>
      <c r="R596" s="1"/>
      <c r="S596" s="1"/>
      <c r="T596" s="1"/>
      <c r="U596" s="1"/>
      <c r="V596" s="1"/>
      <c r="W596" s="1"/>
      <c r="X596" s="1"/>
      <c r="Y596" s="1"/>
      <c r="Z596" s="1"/>
      <c r="AA596" s="1"/>
    </row>
    <row r="597" spans="1:27" x14ac:dyDescent="0.2">
      <c r="B597" s="14" t="s">
        <v>1076</v>
      </c>
    </row>
    <row r="598" spans="1:27" x14ac:dyDescent="0.2">
      <c r="B598" t="s">
        <v>1292</v>
      </c>
      <c r="C598" t="s">
        <v>1070</v>
      </c>
      <c r="D598" t="s">
        <v>1293</v>
      </c>
      <c r="E598" s="20">
        <v>0.154</v>
      </c>
      <c r="F598" t="s">
        <v>1072</v>
      </c>
      <c r="G598" t="s">
        <v>1073</v>
      </c>
      <c r="H598" s="21">
        <v>56.51</v>
      </c>
      <c r="I598" t="s">
        <v>1074</v>
      </c>
      <c r="J598" s="22">
        <f>ROUND(E598/I596* H598,5)</f>
        <v>8.7025400000000008</v>
      </c>
      <c r="K598" s="23"/>
    </row>
    <row r="599" spans="1:27" x14ac:dyDescent="0.2">
      <c r="D599" s="24" t="s">
        <v>1079</v>
      </c>
      <c r="E599" s="23"/>
      <c r="H599" s="23"/>
      <c r="K599" s="21">
        <f>SUM(J598:J598)</f>
        <v>8.7025400000000008</v>
      </c>
    </row>
    <row r="600" spans="1:27" x14ac:dyDescent="0.2">
      <c r="D600" s="24" t="s">
        <v>1091</v>
      </c>
      <c r="E600" s="23"/>
      <c r="H600" s="23"/>
      <c r="K600" s="25">
        <f>SUM(J597:J599)</f>
        <v>8.7025400000000008</v>
      </c>
    </row>
    <row r="601" spans="1:27" x14ac:dyDescent="0.2">
      <c r="D601" s="24" t="s">
        <v>1142</v>
      </c>
      <c r="E601" s="23"/>
      <c r="H601" s="23">
        <v>8</v>
      </c>
      <c r="I601" t="s">
        <v>1093</v>
      </c>
      <c r="K601" s="21">
        <f>ROUND(H601/100*K600,5)</f>
        <v>0.69620000000000004</v>
      </c>
    </row>
    <row r="602" spans="1:27" x14ac:dyDescent="0.2">
      <c r="D602" s="24" t="s">
        <v>1094</v>
      </c>
      <c r="E602" s="23"/>
      <c r="H602" s="23"/>
      <c r="K602" s="25">
        <f>SUM(K600:K601)</f>
        <v>9.3987400000000001</v>
      </c>
    </row>
    <row r="604" spans="1:27" ht="45" customHeight="1" x14ac:dyDescent="0.2">
      <c r="A604" s="17" t="s">
        <v>1294</v>
      </c>
      <c r="B604" s="17" t="s">
        <v>79</v>
      </c>
      <c r="C604" s="1" t="s">
        <v>15</v>
      </c>
      <c r="D604" s="96" t="s">
        <v>80</v>
      </c>
      <c r="E604" s="97"/>
      <c r="F604" s="97"/>
      <c r="G604" s="1"/>
      <c r="H604" s="18" t="s">
        <v>1066</v>
      </c>
      <c r="I604" s="98">
        <v>1</v>
      </c>
      <c r="J604" s="99"/>
      <c r="K604" s="19">
        <f>ROUND(K610,2)</f>
        <v>11.32</v>
      </c>
      <c r="L604" s="2" t="s">
        <v>1295</v>
      </c>
      <c r="M604" s="1"/>
      <c r="N604" s="1"/>
      <c r="O604" s="1"/>
      <c r="P604" s="1"/>
      <c r="Q604" s="1"/>
      <c r="R604" s="1"/>
      <c r="S604" s="1"/>
      <c r="T604" s="1"/>
      <c r="U604" s="1"/>
      <c r="V604" s="1"/>
      <c r="W604" s="1"/>
      <c r="X604" s="1"/>
      <c r="Y604" s="1"/>
      <c r="Z604" s="1"/>
      <c r="AA604" s="1"/>
    </row>
    <row r="605" spans="1:27" x14ac:dyDescent="0.2">
      <c r="B605" s="14" t="s">
        <v>1076</v>
      </c>
    </row>
    <row r="606" spans="1:27" x14ac:dyDescent="0.2">
      <c r="B606" t="s">
        <v>1287</v>
      </c>
      <c r="C606" t="s">
        <v>1070</v>
      </c>
      <c r="D606" t="s">
        <v>1288</v>
      </c>
      <c r="E606" s="20">
        <v>0.19500000000000001</v>
      </c>
      <c r="F606" t="s">
        <v>1072</v>
      </c>
      <c r="G606" t="s">
        <v>1073</v>
      </c>
      <c r="H606" s="21">
        <v>53.74</v>
      </c>
      <c r="I606" t="s">
        <v>1074</v>
      </c>
      <c r="J606" s="22">
        <f>ROUND(E606/I604* H606,5)</f>
        <v>10.4793</v>
      </c>
      <c r="K606" s="23"/>
    </row>
    <row r="607" spans="1:27" x14ac:dyDescent="0.2">
      <c r="D607" s="24" t="s">
        <v>1079</v>
      </c>
      <c r="E607" s="23"/>
      <c r="H607" s="23"/>
      <c r="K607" s="21">
        <f>SUM(J606:J606)</f>
        <v>10.4793</v>
      </c>
    </row>
    <row r="608" spans="1:27" x14ac:dyDescent="0.2">
      <c r="D608" s="24" t="s">
        <v>1091</v>
      </c>
      <c r="E608" s="23"/>
      <c r="H608" s="23"/>
      <c r="K608" s="25">
        <f>SUM(J605:J607)</f>
        <v>10.4793</v>
      </c>
    </row>
    <row r="609" spans="1:27" x14ac:dyDescent="0.2">
      <c r="D609" s="24" t="s">
        <v>1142</v>
      </c>
      <c r="E609" s="23"/>
      <c r="H609" s="23">
        <v>8</v>
      </c>
      <c r="I609" t="s">
        <v>1093</v>
      </c>
      <c r="K609" s="21">
        <f>ROUND(H609/100*K608,5)</f>
        <v>0.83833999999999997</v>
      </c>
    </row>
    <row r="610" spans="1:27" x14ac:dyDescent="0.2">
      <c r="D610" s="24" t="s">
        <v>1094</v>
      </c>
      <c r="E610" s="23"/>
      <c r="H610" s="23"/>
      <c r="K610" s="25">
        <f>SUM(K608:K609)</f>
        <v>11.317640000000001</v>
      </c>
    </row>
    <row r="612" spans="1:27" ht="45" customHeight="1" x14ac:dyDescent="0.2">
      <c r="A612" s="17" t="s">
        <v>1296</v>
      </c>
      <c r="B612" s="17" t="s">
        <v>85</v>
      </c>
      <c r="C612" s="1" t="s">
        <v>15</v>
      </c>
      <c r="D612" s="96" t="s">
        <v>86</v>
      </c>
      <c r="E612" s="97"/>
      <c r="F612" s="97"/>
      <c r="G612" s="1"/>
      <c r="H612" s="18" t="s">
        <v>1066</v>
      </c>
      <c r="I612" s="98">
        <v>1</v>
      </c>
      <c r="J612" s="99"/>
      <c r="K612" s="19">
        <f>ROUND(K618,2)</f>
        <v>12.65</v>
      </c>
      <c r="L612" s="2" t="s">
        <v>1297</v>
      </c>
      <c r="M612" s="1"/>
      <c r="N612" s="1"/>
      <c r="O612" s="1"/>
      <c r="P612" s="1"/>
      <c r="Q612" s="1"/>
      <c r="R612" s="1"/>
      <c r="S612" s="1"/>
      <c r="T612" s="1"/>
      <c r="U612" s="1"/>
      <c r="V612" s="1"/>
      <c r="W612" s="1"/>
      <c r="X612" s="1"/>
      <c r="Y612" s="1"/>
      <c r="Z612" s="1"/>
      <c r="AA612" s="1"/>
    </row>
    <row r="613" spans="1:27" x14ac:dyDescent="0.2">
      <c r="B613" s="14" t="s">
        <v>1076</v>
      </c>
    </row>
    <row r="614" spans="1:27" x14ac:dyDescent="0.2">
      <c r="B614" t="s">
        <v>1287</v>
      </c>
      <c r="C614" t="s">
        <v>1070</v>
      </c>
      <c r="D614" t="s">
        <v>1288</v>
      </c>
      <c r="E614" s="20">
        <v>0.218</v>
      </c>
      <c r="F614" t="s">
        <v>1072</v>
      </c>
      <c r="G614" t="s">
        <v>1073</v>
      </c>
      <c r="H614" s="21">
        <v>53.74</v>
      </c>
      <c r="I614" t="s">
        <v>1074</v>
      </c>
      <c r="J614" s="22">
        <f>ROUND(E614/I612* H614,5)</f>
        <v>11.71532</v>
      </c>
      <c r="K614" s="23"/>
    </row>
    <row r="615" spans="1:27" x14ac:dyDescent="0.2">
      <c r="D615" s="24" t="s">
        <v>1079</v>
      </c>
      <c r="E615" s="23"/>
      <c r="H615" s="23"/>
      <c r="K615" s="21">
        <f>SUM(J614:J614)</f>
        <v>11.71532</v>
      </c>
    </row>
    <row r="616" spans="1:27" x14ac:dyDescent="0.2">
      <c r="D616" s="24" t="s">
        <v>1091</v>
      </c>
      <c r="E616" s="23"/>
      <c r="H616" s="23"/>
      <c r="K616" s="25">
        <f>SUM(J613:J615)</f>
        <v>11.71532</v>
      </c>
    </row>
    <row r="617" spans="1:27" x14ac:dyDescent="0.2">
      <c r="D617" s="24" t="s">
        <v>1142</v>
      </c>
      <c r="E617" s="23"/>
      <c r="H617" s="23">
        <v>8</v>
      </c>
      <c r="I617" t="s">
        <v>1093</v>
      </c>
      <c r="K617" s="21">
        <f>ROUND(H617/100*K616,5)</f>
        <v>0.93723000000000001</v>
      </c>
    </row>
    <row r="618" spans="1:27" x14ac:dyDescent="0.2">
      <c r="D618" s="24" t="s">
        <v>1094</v>
      </c>
      <c r="E618" s="23"/>
      <c r="H618" s="23"/>
      <c r="K618" s="25">
        <f>SUM(K616:K617)</f>
        <v>12.65255</v>
      </c>
    </row>
    <row r="620" spans="1:27" ht="45" customHeight="1" x14ac:dyDescent="0.2">
      <c r="A620" s="17" t="s">
        <v>1298</v>
      </c>
      <c r="B620" s="17" t="s">
        <v>77</v>
      </c>
      <c r="C620" s="1" t="s">
        <v>18</v>
      </c>
      <c r="D620" s="96" t="s">
        <v>78</v>
      </c>
      <c r="E620" s="97"/>
      <c r="F620" s="97"/>
      <c r="G620" s="1"/>
      <c r="H620" s="18" t="s">
        <v>1066</v>
      </c>
      <c r="I620" s="98">
        <v>1</v>
      </c>
      <c r="J620" s="99"/>
      <c r="K620" s="19">
        <f>ROUND(K632,2)</f>
        <v>3.29</v>
      </c>
      <c r="L620" s="2" t="s">
        <v>78</v>
      </c>
      <c r="M620" s="1"/>
      <c r="N620" s="1"/>
      <c r="O620" s="1"/>
      <c r="P620" s="1"/>
      <c r="Q620" s="1"/>
      <c r="R620" s="1"/>
      <c r="S620" s="1"/>
      <c r="T620" s="1"/>
      <c r="U620" s="1"/>
      <c r="V620" s="1"/>
      <c r="W620" s="1"/>
      <c r="X620" s="1"/>
      <c r="Y620" s="1"/>
      <c r="Z620" s="1"/>
      <c r="AA620" s="1"/>
    </row>
    <row r="621" spans="1:27" x14ac:dyDescent="0.2">
      <c r="B621" s="14" t="s">
        <v>1068</v>
      </c>
    </row>
    <row r="622" spans="1:27" x14ac:dyDescent="0.2">
      <c r="B622" t="s">
        <v>1205</v>
      </c>
      <c r="C622" t="s">
        <v>1070</v>
      </c>
      <c r="D622" t="s">
        <v>1206</v>
      </c>
      <c r="E622" s="20">
        <v>6.3E-2</v>
      </c>
      <c r="F622" t="s">
        <v>1072</v>
      </c>
      <c r="G622" t="s">
        <v>1073</v>
      </c>
      <c r="H622" s="21">
        <v>24.55</v>
      </c>
      <c r="I622" t="s">
        <v>1074</v>
      </c>
      <c r="J622" s="22">
        <f>ROUND(E622/I620* H622,5)</f>
        <v>1.5466500000000001</v>
      </c>
      <c r="K622" s="23"/>
    </row>
    <row r="623" spans="1:27" x14ac:dyDescent="0.2">
      <c r="B623" t="s">
        <v>1069</v>
      </c>
      <c r="C623" t="s">
        <v>1070</v>
      </c>
      <c r="D623" t="s">
        <v>1071</v>
      </c>
      <c r="E623" s="20">
        <v>4.3999999999999997E-2</v>
      </c>
      <c r="F623" t="s">
        <v>1072</v>
      </c>
      <c r="G623" t="s">
        <v>1073</v>
      </c>
      <c r="H623" s="21">
        <v>25.38</v>
      </c>
      <c r="I623" t="s">
        <v>1074</v>
      </c>
      <c r="J623" s="22">
        <f>ROUND(E623/I620* H623,5)</f>
        <v>1.1167199999999999</v>
      </c>
      <c r="K623" s="23"/>
    </row>
    <row r="624" spans="1:27" x14ac:dyDescent="0.2">
      <c r="D624" s="24" t="s">
        <v>1075</v>
      </c>
      <c r="E624" s="23"/>
      <c r="H624" s="23"/>
      <c r="K624" s="21">
        <f>SUM(J622:J623)</f>
        <v>2.66337</v>
      </c>
    </row>
    <row r="625" spans="1:27" x14ac:dyDescent="0.2">
      <c r="B625" s="14" t="s">
        <v>1076</v>
      </c>
      <c r="E625" s="23"/>
      <c r="H625" s="23"/>
      <c r="K625" s="23"/>
    </row>
    <row r="626" spans="1:27" x14ac:dyDescent="0.2">
      <c r="B626" t="s">
        <v>1299</v>
      </c>
      <c r="C626" t="s">
        <v>1070</v>
      </c>
      <c r="D626" t="s">
        <v>1300</v>
      </c>
      <c r="E626" s="20">
        <v>4.3999999999999997E-2</v>
      </c>
      <c r="F626" t="s">
        <v>1072</v>
      </c>
      <c r="G626" t="s">
        <v>1073</v>
      </c>
      <c r="H626" s="21">
        <v>7.77</v>
      </c>
      <c r="I626" t="s">
        <v>1074</v>
      </c>
      <c r="J626" s="22">
        <f>ROUND(E626/I620* H626,5)</f>
        <v>0.34188000000000002</v>
      </c>
      <c r="K626" s="23"/>
    </row>
    <row r="627" spans="1:27" x14ac:dyDescent="0.2">
      <c r="D627" s="24" t="s">
        <v>1079</v>
      </c>
      <c r="E627" s="23"/>
      <c r="H627" s="23"/>
      <c r="K627" s="21">
        <f>SUM(J626:J626)</f>
        <v>0.34188000000000002</v>
      </c>
    </row>
    <row r="628" spans="1:27" x14ac:dyDescent="0.2">
      <c r="E628" s="23"/>
      <c r="H628" s="23"/>
      <c r="K628" s="23"/>
    </row>
    <row r="629" spans="1:27" x14ac:dyDescent="0.2">
      <c r="D629" s="24" t="s">
        <v>1092</v>
      </c>
      <c r="E629" s="23"/>
      <c r="H629" s="23">
        <v>1.5</v>
      </c>
      <c r="I629" t="s">
        <v>1093</v>
      </c>
      <c r="J629">
        <f>ROUND(H629/100*K624,5)</f>
        <v>3.9949999999999999E-2</v>
      </c>
      <c r="K629" s="23"/>
    </row>
    <row r="630" spans="1:27" x14ac:dyDescent="0.2">
      <c r="D630" s="24" t="s">
        <v>1091</v>
      </c>
      <c r="E630" s="23"/>
      <c r="H630" s="23"/>
      <c r="K630" s="25">
        <f>SUM(J621:J629)</f>
        <v>3.0452000000000004</v>
      </c>
    </row>
    <row r="631" spans="1:27" x14ac:dyDescent="0.2">
      <c r="D631" s="24" t="s">
        <v>1142</v>
      </c>
      <c r="E631" s="23"/>
      <c r="H631" s="23">
        <v>8</v>
      </c>
      <c r="I631" t="s">
        <v>1093</v>
      </c>
      <c r="K631" s="21">
        <f>ROUND(H631/100*K630,5)</f>
        <v>0.24362</v>
      </c>
    </row>
    <row r="632" spans="1:27" x14ac:dyDescent="0.2">
      <c r="D632" s="24" t="s">
        <v>1094</v>
      </c>
      <c r="E632" s="23"/>
      <c r="H632" s="23"/>
      <c r="K632" s="25">
        <f>SUM(K630:K631)</f>
        <v>3.2888200000000003</v>
      </c>
    </row>
    <row r="634" spans="1:27" ht="45" customHeight="1" x14ac:dyDescent="0.2">
      <c r="A634" s="17" t="s">
        <v>1301</v>
      </c>
      <c r="B634" s="17" t="s">
        <v>81</v>
      </c>
      <c r="C634" s="1" t="s">
        <v>18</v>
      </c>
      <c r="D634" s="96" t="s">
        <v>82</v>
      </c>
      <c r="E634" s="97"/>
      <c r="F634" s="97"/>
      <c r="G634" s="1"/>
      <c r="H634" s="18" t="s">
        <v>1066</v>
      </c>
      <c r="I634" s="98">
        <v>1</v>
      </c>
      <c r="J634" s="99"/>
      <c r="K634" s="19">
        <f>ROUND(K642,2)</f>
        <v>2.69</v>
      </c>
      <c r="L634" s="2" t="s">
        <v>1302</v>
      </c>
      <c r="M634" s="1"/>
      <c r="N634" s="1"/>
      <c r="O634" s="1"/>
      <c r="P634" s="1"/>
      <c r="Q634" s="1"/>
      <c r="R634" s="1"/>
      <c r="S634" s="1"/>
      <c r="T634" s="1"/>
      <c r="U634" s="1"/>
      <c r="V634" s="1"/>
      <c r="W634" s="1"/>
      <c r="X634" s="1"/>
      <c r="Y634" s="1"/>
      <c r="Z634" s="1"/>
      <c r="AA634" s="1"/>
    </row>
    <row r="635" spans="1:27" x14ac:dyDescent="0.2">
      <c r="B635" s="14" t="s">
        <v>1068</v>
      </c>
    </row>
    <row r="636" spans="1:27" x14ac:dyDescent="0.2">
      <c r="B636" t="s">
        <v>1205</v>
      </c>
      <c r="C636" t="s">
        <v>1070</v>
      </c>
      <c r="D636" t="s">
        <v>1206</v>
      </c>
      <c r="E636" s="20">
        <v>0.1</v>
      </c>
      <c r="F636" t="s">
        <v>1072</v>
      </c>
      <c r="G636" t="s">
        <v>1073</v>
      </c>
      <c r="H636" s="21">
        <v>24.55</v>
      </c>
      <c r="I636" t="s">
        <v>1074</v>
      </c>
      <c r="J636" s="22">
        <f>ROUND(E636/I634* H636,5)</f>
        <v>2.4550000000000001</v>
      </c>
      <c r="K636" s="23"/>
    </row>
    <row r="637" spans="1:27" x14ac:dyDescent="0.2">
      <c r="D637" s="24" t="s">
        <v>1075</v>
      </c>
      <c r="E637" s="23"/>
      <c r="H637" s="23"/>
      <c r="K637" s="21">
        <f>SUM(J636:J636)</f>
        <v>2.4550000000000001</v>
      </c>
    </row>
    <row r="638" spans="1:27" x14ac:dyDescent="0.2">
      <c r="E638" s="23"/>
      <c r="H638" s="23"/>
      <c r="K638" s="23"/>
    </row>
    <row r="639" spans="1:27" x14ac:dyDescent="0.2">
      <c r="D639" s="24" t="s">
        <v>1092</v>
      </c>
      <c r="E639" s="23"/>
      <c r="H639" s="23">
        <v>1.5</v>
      </c>
      <c r="I639" t="s">
        <v>1093</v>
      </c>
      <c r="J639">
        <f>ROUND(H639/100*K637,5)</f>
        <v>3.6830000000000002E-2</v>
      </c>
      <c r="K639" s="23"/>
    </row>
    <row r="640" spans="1:27" x14ac:dyDescent="0.2">
      <c r="D640" s="24" t="s">
        <v>1091</v>
      </c>
      <c r="E640" s="23"/>
      <c r="H640" s="23"/>
      <c r="K640" s="25">
        <f>SUM(J635:J639)</f>
        <v>2.4918300000000002</v>
      </c>
    </row>
    <row r="641" spans="1:27" x14ac:dyDescent="0.2">
      <c r="D641" s="24" t="s">
        <v>1142</v>
      </c>
      <c r="E641" s="23"/>
      <c r="H641" s="23">
        <v>8</v>
      </c>
      <c r="I641" t="s">
        <v>1093</v>
      </c>
      <c r="K641" s="21">
        <f>ROUND(H641/100*K640,5)</f>
        <v>0.19935</v>
      </c>
    </row>
    <row r="642" spans="1:27" x14ac:dyDescent="0.2">
      <c r="D642" s="24" t="s">
        <v>1094</v>
      </c>
      <c r="E642" s="23"/>
      <c r="H642" s="23"/>
      <c r="K642" s="25">
        <f>SUM(K640:K641)</f>
        <v>2.6911800000000001</v>
      </c>
    </row>
    <row r="644" spans="1:27" ht="45" customHeight="1" x14ac:dyDescent="0.2">
      <c r="A644" s="17" t="s">
        <v>1303</v>
      </c>
      <c r="B644" s="17" t="s">
        <v>83</v>
      </c>
      <c r="C644" s="1" t="s">
        <v>18</v>
      </c>
      <c r="D644" s="96" t="s">
        <v>84</v>
      </c>
      <c r="E644" s="97"/>
      <c r="F644" s="97"/>
      <c r="G644" s="1"/>
      <c r="H644" s="18" t="s">
        <v>1066</v>
      </c>
      <c r="I644" s="98">
        <v>1</v>
      </c>
      <c r="J644" s="99"/>
      <c r="K644" s="19">
        <f>ROUND(K652,2)</f>
        <v>4.04</v>
      </c>
      <c r="L644" s="2" t="s">
        <v>1304</v>
      </c>
      <c r="M644" s="1"/>
      <c r="N644" s="1"/>
      <c r="O644" s="1"/>
      <c r="P644" s="1"/>
      <c r="Q644" s="1"/>
      <c r="R644" s="1"/>
      <c r="S644" s="1"/>
      <c r="T644" s="1"/>
      <c r="U644" s="1"/>
      <c r="V644" s="1"/>
      <c r="W644" s="1"/>
      <c r="X644" s="1"/>
      <c r="Y644" s="1"/>
      <c r="Z644" s="1"/>
      <c r="AA644" s="1"/>
    </row>
    <row r="645" spans="1:27" x14ac:dyDescent="0.2">
      <c r="B645" s="14" t="s">
        <v>1068</v>
      </c>
    </row>
    <row r="646" spans="1:27" x14ac:dyDescent="0.2">
      <c r="B646" t="s">
        <v>1205</v>
      </c>
      <c r="C646" t="s">
        <v>1070</v>
      </c>
      <c r="D646" t="s">
        <v>1206</v>
      </c>
      <c r="E646" s="20">
        <v>0.15</v>
      </c>
      <c r="F646" t="s">
        <v>1072</v>
      </c>
      <c r="G646" t="s">
        <v>1073</v>
      </c>
      <c r="H646" s="21">
        <v>24.55</v>
      </c>
      <c r="I646" t="s">
        <v>1074</v>
      </c>
      <c r="J646" s="22">
        <f>ROUND(E646/I644* H646,5)</f>
        <v>3.6825000000000001</v>
      </c>
      <c r="K646" s="23"/>
    </row>
    <row r="647" spans="1:27" x14ac:dyDescent="0.2">
      <c r="D647" s="24" t="s">
        <v>1075</v>
      </c>
      <c r="E647" s="23"/>
      <c r="H647" s="23"/>
      <c r="K647" s="21">
        <f>SUM(J646:J646)</f>
        <v>3.6825000000000001</v>
      </c>
    </row>
    <row r="648" spans="1:27" x14ac:dyDescent="0.2">
      <c r="E648" s="23"/>
      <c r="H648" s="23"/>
      <c r="K648" s="23"/>
    </row>
    <row r="649" spans="1:27" x14ac:dyDescent="0.2">
      <c r="D649" s="24" t="s">
        <v>1092</v>
      </c>
      <c r="E649" s="23"/>
      <c r="H649" s="23">
        <v>1.5</v>
      </c>
      <c r="I649" t="s">
        <v>1093</v>
      </c>
      <c r="J649">
        <f>ROUND(H649/100*K647,5)</f>
        <v>5.5239999999999997E-2</v>
      </c>
      <c r="K649" s="23"/>
    </row>
    <row r="650" spans="1:27" x14ac:dyDescent="0.2">
      <c r="D650" s="24" t="s">
        <v>1091</v>
      </c>
      <c r="E650" s="23"/>
      <c r="H650" s="23"/>
      <c r="K650" s="25">
        <f>SUM(J645:J649)</f>
        <v>3.7377400000000001</v>
      </c>
    </row>
    <row r="651" spans="1:27" x14ac:dyDescent="0.2">
      <c r="D651" s="24" t="s">
        <v>1142</v>
      </c>
      <c r="E651" s="23"/>
      <c r="H651" s="23">
        <v>8</v>
      </c>
      <c r="I651" t="s">
        <v>1093</v>
      </c>
      <c r="K651" s="21">
        <f>ROUND(H651/100*K650,5)</f>
        <v>0.29902000000000001</v>
      </c>
    </row>
    <row r="652" spans="1:27" x14ac:dyDescent="0.2">
      <c r="D652" s="24" t="s">
        <v>1094</v>
      </c>
      <c r="E652" s="23"/>
      <c r="H652" s="23"/>
      <c r="K652" s="25">
        <f>SUM(K650:K651)</f>
        <v>4.0367600000000001</v>
      </c>
    </row>
    <row r="654" spans="1:27" ht="45" customHeight="1" x14ac:dyDescent="0.2">
      <c r="A654" s="17"/>
      <c r="B654" s="17" t="s">
        <v>1305</v>
      </c>
      <c r="C654" s="1" t="s">
        <v>15</v>
      </c>
      <c r="D654" s="96" t="s">
        <v>1306</v>
      </c>
      <c r="E654" s="97"/>
      <c r="F654" s="97"/>
      <c r="G654" s="1"/>
      <c r="H654" s="18" t="s">
        <v>1066</v>
      </c>
      <c r="I654" s="98">
        <v>1</v>
      </c>
      <c r="J654" s="99"/>
      <c r="K654" s="19">
        <f>ROUND(K668,2)</f>
        <v>53.34</v>
      </c>
      <c r="L654" s="2" t="s">
        <v>1307</v>
      </c>
      <c r="M654" s="1"/>
      <c r="N654" s="1"/>
      <c r="O654" s="1"/>
      <c r="P654" s="1"/>
      <c r="Q654" s="1"/>
      <c r="R654" s="1"/>
      <c r="S654" s="1"/>
      <c r="T654" s="1"/>
      <c r="U654" s="1"/>
      <c r="V654" s="1"/>
      <c r="W654" s="1"/>
      <c r="X654" s="1"/>
      <c r="Y654" s="1"/>
      <c r="Z654" s="1"/>
      <c r="AA654" s="1"/>
    </row>
    <row r="655" spans="1:27" x14ac:dyDescent="0.2">
      <c r="B655" s="14" t="s">
        <v>1068</v>
      </c>
    </row>
    <row r="656" spans="1:27" x14ac:dyDescent="0.2">
      <c r="B656" t="s">
        <v>1205</v>
      </c>
      <c r="C656" t="s">
        <v>1070</v>
      </c>
      <c r="D656" t="s">
        <v>1206</v>
      </c>
      <c r="E656" s="20">
        <v>0.02</v>
      </c>
      <c r="F656" t="s">
        <v>1072</v>
      </c>
      <c r="G656" t="s">
        <v>1073</v>
      </c>
      <c r="H656" s="21">
        <v>24.55</v>
      </c>
      <c r="I656" t="s">
        <v>1074</v>
      </c>
      <c r="J656" s="22">
        <f>ROUND(E656/I654* H656,5)</f>
        <v>0.49099999999999999</v>
      </c>
      <c r="K656" s="23"/>
    </row>
    <row r="657" spans="1:27" x14ac:dyDescent="0.2">
      <c r="D657" s="24" t="s">
        <v>1075</v>
      </c>
      <c r="E657" s="23"/>
      <c r="H657" s="23"/>
      <c r="K657" s="21">
        <f>SUM(J656:J656)</f>
        <v>0.49099999999999999</v>
      </c>
    </row>
    <row r="658" spans="1:27" x14ac:dyDescent="0.2">
      <c r="B658" s="14" t="s">
        <v>1076</v>
      </c>
      <c r="E658" s="23"/>
      <c r="H658" s="23"/>
      <c r="K658" s="23"/>
    </row>
    <row r="659" spans="1:27" x14ac:dyDescent="0.2">
      <c r="B659" t="s">
        <v>1308</v>
      </c>
      <c r="C659" t="s">
        <v>1070</v>
      </c>
      <c r="D659" t="s">
        <v>1309</v>
      </c>
      <c r="E659" s="20">
        <v>1.2999999999999999E-2</v>
      </c>
      <c r="F659" t="s">
        <v>1072</v>
      </c>
      <c r="G659" t="s">
        <v>1073</v>
      </c>
      <c r="H659" s="21">
        <v>84.61</v>
      </c>
      <c r="I659" t="s">
        <v>1074</v>
      </c>
      <c r="J659" s="22">
        <f>ROUND(E659/I654* H659,5)</f>
        <v>1.0999300000000001</v>
      </c>
      <c r="K659" s="23"/>
    </row>
    <row r="660" spans="1:27" x14ac:dyDescent="0.2">
      <c r="D660" s="24" t="s">
        <v>1079</v>
      </c>
      <c r="E660" s="23"/>
      <c r="H660" s="23"/>
      <c r="K660" s="21">
        <f>SUM(J659:J659)</f>
        <v>1.0999300000000001</v>
      </c>
    </row>
    <row r="661" spans="1:27" x14ac:dyDescent="0.2">
      <c r="B661" s="14" t="s">
        <v>1080</v>
      </c>
      <c r="E661" s="23"/>
      <c r="H661" s="23"/>
      <c r="K661" s="23"/>
    </row>
    <row r="662" spans="1:27" x14ac:dyDescent="0.2">
      <c r="B662" t="s">
        <v>1310</v>
      </c>
      <c r="C662" t="s">
        <v>1084</v>
      </c>
      <c r="D662" t="s">
        <v>1311</v>
      </c>
      <c r="E662" s="20">
        <v>2.42</v>
      </c>
      <c r="G662" t="s">
        <v>1073</v>
      </c>
      <c r="H662" s="21">
        <v>19.75</v>
      </c>
      <c r="I662" t="s">
        <v>1074</v>
      </c>
      <c r="J662" s="22">
        <f>ROUND(E662* H662,5)</f>
        <v>47.795000000000002</v>
      </c>
      <c r="K662" s="23"/>
    </row>
    <row r="663" spans="1:27" x14ac:dyDescent="0.2">
      <c r="D663" s="24" t="s">
        <v>1090</v>
      </c>
      <c r="E663" s="23"/>
      <c r="H663" s="23"/>
      <c r="K663" s="21">
        <f>SUM(J662:J662)</f>
        <v>47.795000000000002</v>
      </c>
    </row>
    <row r="664" spans="1:27" x14ac:dyDescent="0.2">
      <c r="E664" s="23"/>
      <c r="H664" s="23"/>
      <c r="K664" s="23"/>
    </row>
    <row r="665" spans="1:27" x14ac:dyDescent="0.2">
      <c r="D665" s="24" t="s">
        <v>1092</v>
      </c>
      <c r="E665" s="23"/>
      <c r="H665" s="23">
        <v>1.5</v>
      </c>
      <c r="I665" t="s">
        <v>1093</v>
      </c>
      <c r="J665">
        <f>ROUND(H665/100*K657,5)</f>
        <v>7.3699999999999998E-3</v>
      </c>
      <c r="K665" s="23"/>
    </row>
    <row r="666" spans="1:27" x14ac:dyDescent="0.2">
      <c r="D666" s="24" t="s">
        <v>1091</v>
      </c>
      <c r="E666" s="23"/>
      <c r="H666" s="23"/>
      <c r="K666" s="25">
        <f>SUM(J655:J665)</f>
        <v>49.393300000000004</v>
      </c>
    </row>
    <row r="667" spans="1:27" x14ac:dyDescent="0.2">
      <c r="D667" s="24" t="s">
        <v>1142</v>
      </c>
      <c r="E667" s="23"/>
      <c r="H667" s="23">
        <v>8</v>
      </c>
      <c r="I667" t="s">
        <v>1093</v>
      </c>
      <c r="K667" s="21">
        <f>ROUND(H667/100*K666,5)</f>
        <v>3.95146</v>
      </c>
    </row>
    <row r="668" spans="1:27" x14ac:dyDescent="0.2">
      <c r="D668" s="24" t="s">
        <v>1094</v>
      </c>
      <c r="E668" s="23"/>
      <c r="H668" s="23"/>
      <c r="K668" s="25">
        <f>SUM(K666:K667)</f>
        <v>53.344760000000001</v>
      </c>
    </row>
    <row r="670" spans="1:27" ht="45" customHeight="1" x14ac:dyDescent="0.2">
      <c r="A670" s="17" t="s">
        <v>1312</v>
      </c>
      <c r="B670" s="17" t="s">
        <v>87</v>
      </c>
      <c r="C670" s="1" t="s">
        <v>15</v>
      </c>
      <c r="D670" s="96" t="s">
        <v>88</v>
      </c>
      <c r="E670" s="97"/>
      <c r="F670" s="97"/>
      <c r="G670" s="1"/>
      <c r="H670" s="18" t="s">
        <v>1066</v>
      </c>
      <c r="I670" s="98">
        <v>1</v>
      </c>
      <c r="J670" s="99"/>
      <c r="K670" s="19">
        <f>ROUND(K683,2)</f>
        <v>18.36</v>
      </c>
      <c r="L670" s="2" t="s">
        <v>1313</v>
      </c>
      <c r="M670" s="1"/>
      <c r="N670" s="1"/>
      <c r="O670" s="1"/>
      <c r="P670" s="1"/>
      <c r="Q670" s="1"/>
      <c r="R670" s="1"/>
      <c r="S670" s="1"/>
      <c r="T670" s="1"/>
      <c r="U670" s="1"/>
      <c r="V670" s="1"/>
      <c r="W670" s="1"/>
      <c r="X670" s="1"/>
      <c r="Y670" s="1"/>
      <c r="Z670" s="1"/>
      <c r="AA670" s="1"/>
    </row>
    <row r="671" spans="1:27" x14ac:dyDescent="0.2">
      <c r="B671" s="14" t="s">
        <v>1068</v>
      </c>
    </row>
    <row r="672" spans="1:27" x14ac:dyDescent="0.2">
      <c r="B672" t="s">
        <v>1069</v>
      </c>
      <c r="C672" t="s">
        <v>1070</v>
      </c>
      <c r="D672" t="s">
        <v>1071</v>
      </c>
      <c r="E672" s="20">
        <v>0.5</v>
      </c>
      <c r="F672" t="s">
        <v>1072</v>
      </c>
      <c r="G672" t="s">
        <v>1073</v>
      </c>
      <c r="H672" s="21">
        <v>25.38</v>
      </c>
      <c r="I672" t="s">
        <v>1074</v>
      </c>
      <c r="J672" s="22">
        <f>ROUND(E672/I670* H672,5)</f>
        <v>12.69</v>
      </c>
      <c r="K672" s="23"/>
    </row>
    <row r="673" spans="1:27" x14ac:dyDescent="0.2">
      <c r="B673" t="s">
        <v>1205</v>
      </c>
      <c r="C673" t="s">
        <v>1070</v>
      </c>
      <c r="D673" t="s">
        <v>1206</v>
      </c>
      <c r="E673" s="20">
        <v>0.02</v>
      </c>
      <c r="F673" t="s">
        <v>1072</v>
      </c>
      <c r="G673" t="s">
        <v>1073</v>
      </c>
      <c r="H673" s="21">
        <v>24.55</v>
      </c>
      <c r="I673" t="s">
        <v>1074</v>
      </c>
      <c r="J673" s="22">
        <f>ROUND(E673/I670* H673,5)</f>
        <v>0.49099999999999999</v>
      </c>
      <c r="K673" s="23"/>
    </row>
    <row r="674" spans="1:27" x14ac:dyDescent="0.2">
      <c r="D674" s="24" t="s">
        <v>1075</v>
      </c>
      <c r="E674" s="23"/>
      <c r="H674" s="23"/>
      <c r="K674" s="21">
        <f>SUM(J672:J673)</f>
        <v>13.180999999999999</v>
      </c>
    </row>
    <row r="675" spans="1:27" x14ac:dyDescent="0.2">
      <c r="B675" s="14" t="s">
        <v>1076</v>
      </c>
      <c r="E675" s="23"/>
      <c r="H675" s="23"/>
      <c r="K675" s="23"/>
    </row>
    <row r="676" spans="1:27" x14ac:dyDescent="0.2">
      <c r="B676" t="s">
        <v>1214</v>
      </c>
      <c r="C676" t="s">
        <v>1070</v>
      </c>
      <c r="D676" t="s">
        <v>1215</v>
      </c>
      <c r="E676" s="20">
        <v>1.6E-2</v>
      </c>
      <c r="F676" t="s">
        <v>1072</v>
      </c>
      <c r="G676" t="s">
        <v>1073</v>
      </c>
      <c r="H676" s="21">
        <v>52.15</v>
      </c>
      <c r="I676" t="s">
        <v>1074</v>
      </c>
      <c r="J676" s="22">
        <f>ROUND(E676/I670* H676,5)</f>
        <v>0.83440000000000003</v>
      </c>
      <c r="K676" s="23"/>
    </row>
    <row r="677" spans="1:27" x14ac:dyDescent="0.2">
      <c r="B677" t="s">
        <v>1314</v>
      </c>
      <c r="C677" t="s">
        <v>1070</v>
      </c>
      <c r="D677" t="s">
        <v>1315</v>
      </c>
      <c r="E677" s="20">
        <v>0.5</v>
      </c>
      <c r="F677" t="s">
        <v>1072</v>
      </c>
      <c r="G677" t="s">
        <v>1073</v>
      </c>
      <c r="H677" s="21">
        <v>5.57</v>
      </c>
      <c r="I677" t="s">
        <v>1074</v>
      </c>
      <c r="J677" s="22">
        <f>ROUND(E677/I670* H677,5)</f>
        <v>2.7850000000000001</v>
      </c>
      <c r="K677" s="23"/>
    </row>
    <row r="678" spans="1:27" x14ac:dyDescent="0.2">
      <c r="D678" s="24" t="s">
        <v>1079</v>
      </c>
      <c r="E678" s="23"/>
      <c r="H678" s="23"/>
      <c r="K678" s="21">
        <f>SUM(J676:J677)</f>
        <v>3.6194000000000002</v>
      </c>
    </row>
    <row r="679" spans="1:27" x14ac:dyDescent="0.2">
      <c r="E679" s="23"/>
      <c r="H679" s="23"/>
      <c r="K679" s="23"/>
    </row>
    <row r="680" spans="1:27" x14ac:dyDescent="0.2">
      <c r="D680" s="24" t="s">
        <v>1092</v>
      </c>
      <c r="E680" s="23"/>
      <c r="H680" s="23">
        <v>1.5</v>
      </c>
      <c r="I680" t="s">
        <v>1093</v>
      </c>
      <c r="J680">
        <f>ROUND(H680/100*K674,5)</f>
        <v>0.19772000000000001</v>
      </c>
      <c r="K680" s="23"/>
    </row>
    <row r="681" spans="1:27" x14ac:dyDescent="0.2">
      <c r="D681" s="24" t="s">
        <v>1091</v>
      </c>
      <c r="E681" s="23"/>
      <c r="H681" s="23"/>
      <c r="K681" s="25">
        <f>SUM(J671:J680)</f>
        <v>16.99812</v>
      </c>
    </row>
    <row r="682" spans="1:27" x14ac:dyDescent="0.2">
      <c r="D682" s="24" t="s">
        <v>1142</v>
      </c>
      <c r="E682" s="23"/>
      <c r="H682" s="23">
        <v>8</v>
      </c>
      <c r="I682" t="s">
        <v>1093</v>
      </c>
      <c r="K682" s="21">
        <f>ROUND(H682/100*K681,5)</f>
        <v>1.35985</v>
      </c>
    </row>
    <row r="683" spans="1:27" x14ac:dyDescent="0.2">
      <c r="D683" s="24" t="s">
        <v>1094</v>
      </c>
      <c r="E683" s="23"/>
      <c r="H683" s="23"/>
      <c r="K683" s="25">
        <f>SUM(K681:K682)</f>
        <v>18.357970000000002</v>
      </c>
    </row>
    <row r="685" spans="1:27" ht="45" customHeight="1" x14ac:dyDescent="0.2">
      <c r="A685" s="17" t="s">
        <v>1316</v>
      </c>
      <c r="B685" s="17" t="s">
        <v>1015</v>
      </c>
      <c r="C685" s="1" t="s">
        <v>15</v>
      </c>
      <c r="D685" s="96" t="s">
        <v>1016</v>
      </c>
      <c r="E685" s="97"/>
      <c r="F685" s="97"/>
      <c r="G685" s="1"/>
      <c r="H685" s="18" t="s">
        <v>1066</v>
      </c>
      <c r="I685" s="98">
        <v>1</v>
      </c>
      <c r="J685" s="99"/>
      <c r="K685" s="19">
        <f>ROUND(K693,2)</f>
        <v>26.91</v>
      </c>
      <c r="L685" s="2" t="s">
        <v>1317</v>
      </c>
      <c r="M685" s="1"/>
      <c r="N685" s="1"/>
      <c r="O685" s="1"/>
      <c r="P685" s="1"/>
      <c r="Q685" s="1"/>
      <c r="R685" s="1"/>
      <c r="S685" s="1"/>
      <c r="T685" s="1"/>
      <c r="U685" s="1"/>
      <c r="V685" s="1"/>
      <c r="W685" s="1"/>
      <c r="X685" s="1"/>
      <c r="Y685" s="1"/>
      <c r="Z685" s="1"/>
      <c r="AA685" s="1"/>
    </row>
    <row r="686" spans="1:27" x14ac:dyDescent="0.2">
      <c r="B686" s="14" t="s">
        <v>1068</v>
      </c>
    </row>
    <row r="687" spans="1:27" x14ac:dyDescent="0.2">
      <c r="B687" t="s">
        <v>1205</v>
      </c>
      <c r="C687" t="s">
        <v>1070</v>
      </c>
      <c r="D687" t="s">
        <v>1206</v>
      </c>
      <c r="E687" s="20">
        <v>1</v>
      </c>
      <c r="F687" t="s">
        <v>1072</v>
      </c>
      <c r="G687" t="s">
        <v>1073</v>
      </c>
      <c r="H687" s="21">
        <v>24.55</v>
      </c>
      <c r="I687" t="s">
        <v>1074</v>
      </c>
      <c r="J687" s="22">
        <f>ROUND(E687/I685* H687,5)</f>
        <v>24.55</v>
      </c>
      <c r="K687" s="23"/>
    </row>
    <row r="688" spans="1:27" x14ac:dyDescent="0.2">
      <c r="D688" s="24" t="s">
        <v>1075</v>
      </c>
      <c r="E688" s="23"/>
      <c r="H688" s="23"/>
      <c r="K688" s="21">
        <f>SUM(J687:J687)</f>
        <v>24.55</v>
      </c>
    </row>
    <row r="689" spans="1:27" x14ac:dyDescent="0.2">
      <c r="E689" s="23"/>
      <c r="H689" s="23"/>
      <c r="K689" s="23"/>
    </row>
    <row r="690" spans="1:27" x14ac:dyDescent="0.2">
      <c r="D690" s="24" t="s">
        <v>1092</v>
      </c>
      <c r="E690" s="23"/>
      <c r="H690" s="23">
        <v>1.5</v>
      </c>
      <c r="I690" t="s">
        <v>1093</v>
      </c>
      <c r="J690">
        <f>ROUND(H690/100*K688,5)</f>
        <v>0.36825000000000002</v>
      </c>
      <c r="K690" s="23"/>
    </row>
    <row r="691" spans="1:27" x14ac:dyDescent="0.2">
      <c r="D691" s="24" t="s">
        <v>1091</v>
      </c>
      <c r="E691" s="23"/>
      <c r="H691" s="23"/>
      <c r="K691" s="25">
        <f>SUM(J686:J690)</f>
        <v>24.91825</v>
      </c>
    </row>
    <row r="692" spans="1:27" x14ac:dyDescent="0.2">
      <c r="D692" s="24" t="s">
        <v>1142</v>
      </c>
      <c r="E692" s="23"/>
      <c r="H692" s="23">
        <v>8</v>
      </c>
      <c r="I692" t="s">
        <v>1093</v>
      </c>
      <c r="K692" s="21">
        <f>ROUND(H692/100*K691,5)</f>
        <v>1.99346</v>
      </c>
    </row>
    <row r="693" spans="1:27" x14ac:dyDescent="0.2">
      <c r="D693" s="24" t="s">
        <v>1094</v>
      </c>
      <c r="E693" s="23"/>
      <c r="H693" s="23"/>
      <c r="K693" s="25">
        <f>SUM(K691:K692)</f>
        <v>26.911709999999999</v>
      </c>
    </row>
    <row r="695" spans="1:27" ht="45" customHeight="1" x14ac:dyDescent="0.2">
      <c r="A695" s="17" t="s">
        <v>1318</v>
      </c>
      <c r="B695" s="17" t="s">
        <v>1031</v>
      </c>
      <c r="C695" s="1" t="s">
        <v>15</v>
      </c>
      <c r="D695" s="96" t="s">
        <v>1032</v>
      </c>
      <c r="E695" s="97"/>
      <c r="F695" s="97"/>
      <c r="G695" s="1"/>
      <c r="H695" s="18" t="s">
        <v>1066</v>
      </c>
      <c r="I695" s="98">
        <v>1</v>
      </c>
      <c r="J695" s="99"/>
      <c r="K695" s="19">
        <f>ROUND(K701,2)</f>
        <v>9.5299999999999994</v>
      </c>
      <c r="L695" s="2" t="s">
        <v>1319</v>
      </c>
      <c r="M695" s="1"/>
      <c r="N695" s="1"/>
      <c r="O695" s="1"/>
      <c r="P695" s="1"/>
      <c r="Q695" s="1"/>
      <c r="R695" s="1"/>
      <c r="S695" s="1"/>
      <c r="T695" s="1"/>
      <c r="U695" s="1"/>
      <c r="V695" s="1"/>
      <c r="W695" s="1"/>
      <c r="X695" s="1"/>
      <c r="Y695" s="1"/>
      <c r="Z695" s="1"/>
      <c r="AA695" s="1"/>
    </row>
    <row r="696" spans="1:27" x14ac:dyDescent="0.2">
      <c r="B696" s="14" t="s">
        <v>1076</v>
      </c>
    </row>
    <row r="697" spans="1:27" x14ac:dyDescent="0.2">
      <c r="B697" t="s">
        <v>1320</v>
      </c>
      <c r="C697" t="s">
        <v>1070</v>
      </c>
      <c r="D697" t="s">
        <v>1321</v>
      </c>
      <c r="E697" s="20">
        <v>0.13</v>
      </c>
      <c r="F697" t="s">
        <v>1072</v>
      </c>
      <c r="G697" t="s">
        <v>1073</v>
      </c>
      <c r="H697" s="21">
        <v>67.89</v>
      </c>
      <c r="I697" t="s">
        <v>1074</v>
      </c>
      <c r="J697" s="22">
        <f>ROUND(E697/I695* H697,5)</f>
        <v>8.8256999999999994</v>
      </c>
      <c r="K697" s="23"/>
    </row>
    <row r="698" spans="1:27" x14ac:dyDescent="0.2">
      <c r="D698" s="24" t="s">
        <v>1079</v>
      </c>
      <c r="E698" s="23"/>
      <c r="H698" s="23"/>
      <c r="K698" s="21">
        <f>SUM(J697:J697)</f>
        <v>8.8256999999999994</v>
      </c>
    </row>
    <row r="699" spans="1:27" x14ac:dyDescent="0.2">
      <c r="D699" s="24" t="s">
        <v>1091</v>
      </c>
      <c r="E699" s="23"/>
      <c r="H699" s="23"/>
      <c r="K699" s="25">
        <f>SUM(J696:J698)</f>
        <v>8.8256999999999994</v>
      </c>
    </row>
    <row r="700" spans="1:27" x14ac:dyDescent="0.2">
      <c r="D700" s="24" t="s">
        <v>1142</v>
      </c>
      <c r="E700" s="23"/>
      <c r="H700" s="23">
        <v>8</v>
      </c>
      <c r="I700" t="s">
        <v>1093</v>
      </c>
      <c r="K700" s="21">
        <f>ROUND(H700/100*K699,5)</f>
        <v>0.70606000000000002</v>
      </c>
    </row>
    <row r="701" spans="1:27" x14ac:dyDescent="0.2">
      <c r="D701" s="24" t="s">
        <v>1094</v>
      </c>
      <c r="E701" s="23"/>
      <c r="H701" s="23"/>
      <c r="K701" s="25">
        <f>SUM(K699:K700)</f>
        <v>9.5317600000000002</v>
      </c>
    </row>
    <row r="703" spans="1:27" ht="45" customHeight="1" x14ac:dyDescent="0.2">
      <c r="A703" s="17" t="s">
        <v>1322</v>
      </c>
      <c r="B703" s="17" t="s">
        <v>1017</v>
      </c>
      <c r="C703" s="1" t="s">
        <v>15</v>
      </c>
      <c r="D703" s="96" t="s">
        <v>1018</v>
      </c>
      <c r="E703" s="97"/>
      <c r="F703" s="97"/>
      <c r="G703" s="1"/>
      <c r="H703" s="18" t="s">
        <v>1066</v>
      </c>
      <c r="I703" s="98">
        <v>1</v>
      </c>
      <c r="J703" s="99"/>
      <c r="K703" s="19">
        <f>ROUND(K709,2)</f>
        <v>11.36</v>
      </c>
      <c r="L703" s="2" t="s">
        <v>1323</v>
      </c>
      <c r="M703" s="1"/>
      <c r="N703" s="1"/>
      <c r="O703" s="1"/>
      <c r="P703" s="1"/>
      <c r="Q703" s="1"/>
      <c r="R703" s="1"/>
      <c r="S703" s="1"/>
      <c r="T703" s="1"/>
      <c r="U703" s="1"/>
      <c r="V703" s="1"/>
      <c r="W703" s="1"/>
      <c r="X703" s="1"/>
      <c r="Y703" s="1"/>
      <c r="Z703" s="1"/>
      <c r="AA703" s="1"/>
    </row>
    <row r="704" spans="1:27" x14ac:dyDescent="0.2">
      <c r="B704" s="14" t="s">
        <v>1076</v>
      </c>
    </row>
    <row r="705" spans="1:27" x14ac:dyDescent="0.2">
      <c r="B705" t="s">
        <v>1320</v>
      </c>
      <c r="C705" t="s">
        <v>1070</v>
      </c>
      <c r="D705" t="s">
        <v>1321</v>
      </c>
      <c r="E705" s="20">
        <v>0.155</v>
      </c>
      <c r="F705" t="s">
        <v>1072</v>
      </c>
      <c r="G705" t="s">
        <v>1073</v>
      </c>
      <c r="H705" s="21">
        <v>67.89</v>
      </c>
      <c r="I705" t="s">
        <v>1074</v>
      </c>
      <c r="J705" s="22">
        <f>ROUND(E705/I703* H705,5)</f>
        <v>10.52295</v>
      </c>
      <c r="K705" s="23"/>
    </row>
    <row r="706" spans="1:27" x14ac:dyDescent="0.2">
      <c r="D706" s="24" t="s">
        <v>1079</v>
      </c>
      <c r="E706" s="23"/>
      <c r="H706" s="23"/>
      <c r="K706" s="21">
        <f>SUM(J705:J705)</f>
        <v>10.52295</v>
      </c>
    </row>
    <row r="707" spans="1:27" x14ac:dyDescent="0.2">
      <c r="D707" s="24" t="s">
        <v>1091</v>
      </c>
      <c r="E707" s="23"/>
      <c r="H707" s="23"/>
      <c r="K707" s="25">
        <f>SUM(J704:J706)</f>
        <v>10.52295</v>
      </c>
    </row>
    <row r="708" spans="1:27" x14ac:dyDescent="0.2">
      <c r="D708" s="24" t="s">
        <v>1142</v>
      </c>
      <c r="E708" s="23"/>
      <c r="H708" s="23">
        <v>8</v>
      </c>
      <c r="I708" t="s">
        <v>1093</v>
      </c>
      <c r="K708" s="21">
        <f>ROUND(H708/100*K707,5)</f>
        <v>0.84184000000000003</v>
      </c>
    </row>
    <row r="709" spans="1:27" x14ac:dyDescent="0.2">
      <c r="D709" s="24" t="s">
        <v>1094</v>
      </c>
      <c r="E709" s="23"/>
      <c r="H709" s="23"/>
      <c r="K709" s="25">
        <f>SUM(K707:K708)</f>
        <v>11.364789999999999</v>
      </c>
    </row>
    <row r="711" spans="1:27" ht="45" customHeight="1" x14ac:dyDescent="0.2">
      <c r="A711" s="17" t="s">
        <v>1324</v>
      </c>
      <c r="B711" s="17" t="s">
        <v>1047</v>
      </c>
      <c r="C711" s="1" t="s">
        <v>15</v>
      </c>
      <c r="D711" s="96" t="s">
        <v>1048</v>
      </c>
      <c r="E711" s="97"/>
      <c r="F711" s="97"/>
      <c r="G711" s="1"/>
      <c r="H711" s="18" t="s">
        <v>1066</v>
      </c>
      <c r="I711" s="98">
        <v>1</v>
      </c>
      <c r="J711" s="99"/>
      <c r="K711" s="19">
        <f>ROUND(K717,2)</f>
        <v>92.45</v>
      </c>
      <c r="L711" s="2" t="s">
        <v>1325</v>
      </c>
      <c r="M711" s="1"/>
      <c r="N711" s="1"/>
      <c r="O711" s="1"/>
      <c r="P711" s="1"/>
      <c r="Q711" s="1"/>
      <c r="R711" s="1"/>
      <c r="S711" s="1"/>
      <c r="T711" s="1"/>
      <c r="U711" s="1"/>
      <c r="V711" s="1"/>
      <c r="W711" s="1"/>
      <c r="X711" s="1"/>
      <c r="Y711" s="1"/>
      <c r="Z711" s="1"/>
      <c r="AA711" s="1"/>
    </row>
    <row r="712" spans="1:27" x14ac:dyDescent="0.2">
      <c r="B712" s="14" t="s">
        <v>1076</v>
      </c>
    </row>
    <row r="713" spans="1:27" x14ac:dyDescent="0.2">
      <c r="B713" t="s">
        <v>1326</v>
      </c>
      <c r="C713" t="s">
        <v>15</v>
      </c>
      <c r="D713" t="s">
        <v>1327</v>
      </c>
      <c r="E713" s="20">
        <v>1</v>
      </c>
      <c r="F713" t="s">
        <v>1072</v>
      </c>
      <c r="G713" t="s">
        <v>1073</v>
      </c>
      <c r="H713" s="21">
        <v>85.6</v>
      </c>
      <c r="I713" t="s">
        <v>1074</v>
      </c>
      <c r="J713" s="22">
        <f>ROUND(E713/I711* H713,5)</f>
        <v>85.6</v>
      </c>
      <c r="K713" s="23"/>
    </row>
    <row r="714" spans="1:27" x14ac:dyDescent="0.2">
      <c r="D714" s="24" t="s">
        <v>1079</v>
      </c>
      <c r="E714" s="23"/>
      <c r="H714" s="23"/>
      <c r="K714" s="21">
        <f>SUM(J713:J713)</f>
        <v>85.6</v>
      </c>
    </row>
    <row r="715" spans="1:27" x14ac:dyDescent="0.2">
      <c r="D715" s="24" t="s">
        <v>1091</v>
      </c>
      <c r="E715" s="23"/>
      <c r="H715" s="23"/>
      <c r="K715" s="25">
        <f>SUM(J712:J714)</f>
        <v>85.6</v>
      </c>
    </row>
    <row r="716" spans="1:27" x14ac:dyDescent="0.2">
      <c r="D716" s="24" t="s">
        <v>1142</v>
      </c>
      <c r="E716" s="23"/>
      <c r="H716" s="23">
        <v>8</v>
      </c>
      <c r="I716" t="s">
        <v>1093</v>
      </c>
      <c r="K716" s="21">
        <f>ROUND(H716/100*K715,5)</f>
        <v>6.8479999999999999</v>
      </c>
    </row>
    <row r="717" spans="1:27" x14ac:dyDescent="0.2">
      <c r="D717" s="24" t="s">
        <v>1094</v>
      </c>
      <c r="E717" s="23"/>
      <c r="H717" s="23"/>
      <c r="K717" s="25">
        <f>SUM(K715:K716)</f>
        <v>92.447999999999993</v>
      </c>
    </row>
    <row r="719" spans="1:27" ht="45" customHeight="1" x14ac:dyDescent="0.2">
      <c r="A719" s="17" t="s">
        <v>1328</v>
      </c>
      <c r="B719" s="17" t="s">
        <v>1033</v>
      </c>
      <c r="C719" s="1" t="s">
        <v>15</v>
      </c>
      <c r="D719" s="96" t="s">
        <v>1034</v>
      </c>
      <c r="E719" s="97"/>
      <c r="F719" s="97"/>
      <c r="G719" s="1"/>
      <c r="H719" s="18" t="s">
        <v>1066</v>
      </c>
      <c r="I719" s="98">
        <v>1</v>
      </c>
      <c r="J719" s="99"/>
      <c r="K719" s="19">
        <f>ROUND(K725,2)</f>
        <v>9.61</v>
      </c>
      <c r="L719" s="2" t="s">
        <v>1329</v>
      </c>
      <c r="M719" s="1"/>
      <c r="N719" s="1"/>
      <c r="O719" s="1"/>
      <c r="P719" s="1"/>
      <c r="Q719" s="1"/>
      <c r="R719" s="1"/>
      <c r="S719" s="1"/>
      <c r="T719" s="1"/>
      <c r="U719" s="1"/>
      <c r="V719" s="1"/>
      <c r="W719" s="1"/>
      <c r="X719" s="1"/>
      <c r="Y719" s="1"/>
      <c r="Z719" s="1"/>
      <c r="AA719" s="1"/>
    </row>
    <row r="720" spans="1:27" x14ac:dyDescent="0.2">
      <c r="B720" s="14" t="s">
        <v>1080</v>
      </c>
    </row>
    <row r="721" spans="1:27" x14ac:dyDescent="0.2">
      <c r="B721" t="s">
        <v>1330</v>
      </c>
      <c r="C721" t="s">
        <v>15</v>
      </c>
      <c r="D721" t="s">
        <v>1034</v>
      </c>
      <c r="E721" s="20">
        <v>1</v>
      </c>
      <c r="G721" t="s">
        <v>1073</v>
      </c>
      <c r="H721" s="21">
        <v>8.9</v>
      </c>
      <c r="I721" t="s">
        <v>1074</v>
      </c>
      <c r="J721" s="22">
        <f>ROUND(E721* H721,5)</f>
        <v>8.9</v>
      </c>
      <c r="K721" s="23"/>
    </row>
    <row r="722" spans="1:27" x14ac:dyDescent="0.2">
      <c r="D722" s="24" t="s">
        <v>1090</v>
      </c>
      <c r="E722" s="23"/>
      <c r="H722" s="23"/>
      <c r="K722" s="21">
        <f>SUM(J721:J721)</f>
        <v>8.9</v>
      </c>
    </row>
    <row r="723" spans="1:27" x14ac:dyDescent="0.2">
      <c r="D723" s="24" t="s">
        <v>1091</v>
      </c>
      <c r="E723" s="23"/>
      <c r="H723" s="23"/>
      <c r="K723" s="25">
        <f>SUM(J720:J722)</f>
        <v>8.9</v>
      </c>
    </row>
    <row r="724" spans="1:27" x14ac:dyDescent="0.2">
      <c r="D724" s="24" t="s">
        <v>1142</v>
      </c>
      <c r="E724" s="23"/>
      <c r="H724" s="23">
        <v>8</v>
      </c>
      <c r="I724" t="s">
        <v>1093</v>
      </c>
      <c r="K724" s="21">
        <f>ROUND(H724/100*K723,5)</f>
        <v>0.71199999999999997</v>
      </c>
    </row>
    <row r="725" spans="1:27" x14ac:dyDescent="0.2">
      <c r="D725" s="24" t="s">
        <v>1094</v>
      </c>
      <c r="E725" s="23"/>
      <c r="H725" s="23"/>
      <c r="K725" s="25">
        <f>SUM(K723:K724)</f>
        <v>9.6120000000000001</v>
      </c>
    </row>
    <row r="727" spans="1:27" ht="45" customHeight="1" x14ac:dyDescent="0.2">
      <c r="A727" s="17" t="s">
        <v>1331</v>
      </c>
      <c r="B727" s="17" t="s">
        <v>1039</v>
      </c>
      <c r="C727" s="1" t="s">
        <v>15</v>
      </c>
      <c r="D727" s="96" t="s">
        <v>1040</v>
      </c>
      <c r="E727" s="97"/>
      <c r="F727" s="97"/>
      <c r="G727" s="1"/>
      <c r="H727" s="18" t="s">
        <v>1066</v>
      </c>
      <c r="I727" s="98">
        <v>1</v>
      </c>
      <c r="J727" s="99"/>
      <c r="K727" s="19">
        <f>ROUND(K733,2)</f>
        <v>0</v>
      </c>
      <c r="L727" s="2" t="s">
        <v>1332</v>
      </c>
      <c r="M727" s="1"/>
      <c r="N727" s="1"/>
      <c r="O727" s="1"/>
      <c r="P727" s="1"/>
      <c r="Q727" s="1"/>
      <c r="R727" s="1"/>
      <c r="S727" s="1"/>
      <c r="T727" s="1"/>
      <c r="U727" s="1"/>
      <c r="V727" s="1"/>
      <c r="W727" s="1"/>
      <c r="X727" s="1"/>
      <c r="Y727" s="1"/>
      <c r="Z727" s="1"/>
      <c r="AA727" s="1"/>
    </row>
    <row r="728" spans="1:27" x14ac:dyDescent="0.2">
      <c r="B728" s="14" t="s">
        <v>1080</v>
      </c>
    </row>
    <row r="729" spans="1:27" x14ac:dyDescent="0.2">
      <c r="B729" t="s">
        <v>1333</v>
      </c>
      <c r="C729" t="s">
        <v>1084</v>
      </c>
      <c r="D729" t="s">
        <v>1040</v>
      </c>
      <c r="E729" s="20">
        <v>3.5000000000000003E-2</v>
      </c>
      <c r="G729" t="s">
        <v>1073</v>
      </c>
      <c r="H729" s="21">
        <v>0</v>
      </c>
      <c r="I729" t="s">
        <v>1074</v>
      </c>
      <c r="J729" s="22">
        <f>ROUND(E729* H729,5)</f>
        <v>0</v>
      </c>
      <c r="K729" s="23"/>
    </row>
    <row r="730" spans="1:27" x14ac:dyDescent="0.2">
      <c r="D730" s="24" t="s">
        <v>1090</v>
      </c>
      <c r="E730" s="23"/>
      <c r="H730" s="23"/>
      <c r="K730" s="21">
        <f>SUM(J729:J729)</f>
        <v>0</v>
      </c>
    </row>
    <row r="731" spans="1:27" x14ac:dyDescent="0.2">
      <c r="D731" s="24" t="s">
        <v>1091</v>
      </c>
      <c r="E731" s="23"/>
      <c r="H731" s="23"/>
      <c r="K731" s="25">
        <f>SUM(J728:J730)</f>
        <v>0</v>
      </c>
    </row>
    <row r="732" spans="1:27" x14ac:dyDescent="0.2">
      <c r="D732" s="24" t="s">
        <v>1142</v>
      </c>
      <c r="E732" s="23"/>
      <c r="H732" s="23">
        <v>8</v>
      </c>
      <c r="I732" t="s">
        <v>1093</v>
      </c>
      <c r="K732" s="21">
        <f>ROUND(H732/100*K731,5)</f>
        <v>0</v>
      </c>
    </row>
    <row r="733" spans="1:27" x14ac:dyDescent="0.2">
      <c r="D733" s="24" t="s">
        <v>1094</v>
      </c>
      <c r="E733" s="23"/>
      <c r="H733" s="23"/>
      <c r="K733" s="25">
        <f>SUM(K731:K732)</f>
        <v>0</v>
      </c>
    </row>
    <row r="735" spans="1:27" ht="45" customHeight="1" x14ac:dyDescent="0.2">
      <c r="A735" s="17" t="s">
        <v>1334</v>
      </c>
      <c r="B735" s="17" t="s">
        <v>1041</v>
      </c>
      <c r="C735" s="1" t="s">
        <v>15</v>
      </c>
      <c r="D735" s="96" t="s">
        <v>1042</v>
      </c>
      <c r="E735" s="97"/>
      <c r="F735" s="97"/>
      <c r="G735" s="1"/>
      <c r="H735" s="18" t="s">
        <v>1066</v>
      </c>
      <c r="I735" s="98">
        <v>1</v>
      </c>
      <c r="J735" s="99"/>
      <c r="K735" s="19">
        <f>ROUND(K741,2)</f>
        <v>0</v>
      </c>
      <c r="L735" s="2" t="s">
        <v>1335</v>
      </c>
      <c r="M735" s="1"/>
      <c r="N735" s="1"/>
      <c r="O735" s="1"/>
      <c r="P735" s="1"/>
      <c r="Q735" s="1"/>
      <c r="R735" s="1"/>
      <c r="S735" s="1"/>
      <c r="T735" s="1"/>
      <c r="U735" s="1"/>
      <c r="V735" s="1"/>
      <c r="W735" s="1"/>
      <c r="X735" s="1"/>
      <c r="Y735" s="1"/>
      <c r="Z735" s="1"/>
      <c r="AA735" s="1"/>
    </row>
    <row r="736" spans="1:27" x14ac:dyDescent="0.2">
      <c r="B736" s="14" t="s">
        <v>1080</v>
      </c>
    </row>
    <row r="737" spans="1:27" x14ac:dyDescent="0.2">
      <c r="B737" t="s">
        <v>1336</v>
      </c>
      <c r="C737" t="s">
        <v>1084</v>
      </c>
      <c r="D737" t="s">
        <v>1042</v>
      </c>
      <c r="E737" s="20">
        <v>0.04</v>
      </c>
      <c r="G737" t="s">
        <v>1073</v>
      </c>
      <c r="H737" s="21">
        <v>0</v>
      </c>
      <c r="I737" t="s">
        <v>1074</v>
      </c>
      <c r="J737" s="22">
        <f>ROUND(E737* H737,5)</f>
        <v>0</v>
      </c>
      <c r="K737" s="23"/>
    </row>
    <row r="738" spans="1:27" x14ac:dyDescent="0.2">
      <c r="D738" s="24" t="s">
        <v>1090</v>
      </c>
      <c r="E738" s="23"/>
      <c r="H738" s="23"/>
      <c r="K738" s="21">
        <f>SUM(J737:J737)</f>
        <v>0</v>
      </c>
    </row>
    <row r="739" spans="1:27" x14ac:dyDescent="0.2">
      <c r="D739" s="24" t="s">
        <v>1091</v>
      </c>
      <c r="E739" s="23"/>
      <c r="H739" s="23"/>
      <c r="K739" s="25">
        <f>SUM(J736:J738)</f>
        <v>0</v>
      </c>
    </row>
    <row r="740" spans="1:27" x14ac:dyDescent="0.2">
      <c r="D740" s="24" t="s">
        <v>1142</v>
      </c>
      <c r="E740" s="23"/>
      <c r="H740" s="23">
        <v>8</v>
      </c>
      <c r="I740" t="s">
        <v>1093</v>
      </c>
      <c r="K740" s="21">
        <f>ROUND(H740/100*K739,5)</f>
        <v>0</v>
      </c>
    </row>
    <row r="741" spans="1:27" x14ac:dyDescent="0.2">
      <c r="D741" s="24" t="s">
        <v>1094</v>
      </c>
      <c r="E741" s="23"/>
      <c r="H741" s="23"/>
      <c r="K741" s="25">
        <f>SUM(K739:K740)</f>
        <v>0</v>
      </c>
    </row>
    <row r="743" spans="1:27" ht="45" customHeight="1" x14ac:dyDescent="0.2">
      <c r="A743" s="17" t="s">
        <v>1337</v>
      </c>
      <c r="B743" s="17" t="s">
        <v>1027</v>
      </c>
      <c r="C743" s="1" t="s">
        <v>15</v>
      </c>
      <c r="D743" s="96" t="s">
        <v>1028</v>
      </c>
      <c r="E743" s="97"/>
      <c r="F743" s="97"/>
      <c r="G743" s="1"/>
      <c r="H743" s="18" t="s">
        <v>1066</v>
      </c>
      <c r="I743" s="98">
        <v>1</v>
      </c>
      <c r="J743" s="99"/>
      <c r="K743" s="19">
        <f>ROUND(K749,2)</f>
        <v>27.23</v>
      </c>
      <c r="L743" s="2" t="s">
        <v>1329</v>
      </c>
      <c r="M743" s="1"/>
      <c r="N743" s="1"/>
      <c r="O743" s="1"/>
      <c r="P743" s="1"/>
      <c r="Q743" s="1"/>
      <c r="R743" s="1"/>
      <c r="S743" s="1"/>
      <c r="T743" s="1"/>
      <c r="U743" s="1"/>
      <c r="V743" s="1"/>
      <c r="W743" s="1"/>
      <c r="X743" s="1"/>
      <c r="Y743" s="1"/>
      <c r="Z743" s="1"/>
      <c r="AA743" s="1"/>
    </row>
    <row r="744" spans="1:27" x14ac:dyDescent="0.2">
      <c r="B744" s="14" t="s">
        <v>1080</v>
      </c>
    </row>
    <row r="745" spans="1:27" x14ac:dyDescent="0.2">
      <c r="B745" t="s">
        <v>1338</v>
      </c>
      <c r="C745" t="s">
        <v>1084</v>
      </c>
      <c r="D745" t="s">
        <v>1028</v>
      </c>
      <c r="E745" s="20">
        <v>0.17</v>
      </c>
      <c r="G745" t="s">
        <v>1073</v>
      </c>
      <c r="H745" s="21">
        <v>148.30000000000001</v>
      </c>
      <c r="I745" t="s">
        <v>1074</v>
      </c>
      <c r="J745" s="22">
        <f>ROUND(E745* H745,5)</f>
        <v>25.210999999999999</v>
      </c>
      <c r="K745" s="23"/>
    </row>
    <row r="746" spans="1:27" x14ac:dyDescent="0.2">
      <c r="D746" s="24" t="s">
        <v>1090</v>
      </c>
      <c r="E746" s="23"/>
      <c r="H746" s="23"/>
      <c r="K746" s="21">
        <f>SUM(J745:J745)</f>
        <v>25.210999999999999</v>
      </c>
    </row>
    <row r="747" spans="1:27" x14ac:dyDescent="0.2">
      <c r="D747" s="24" t="s">
        <v>1091</v>
      </c>
      <c r="E747" s="23"/>
      <c r="H747" s="23"/>
      <c r="K747" s="25">
        <f>SUM(J744:J746)</f>
        <v>25.210999999999999</v>
      </c>
    </row>
    <row r="748" spans="1:27" x14ac:dyDescent="0.2">
      <c r="D748" s="24" t="s">
        <v>1142</v>
      </c>
      <c r="E748" s="23"/>
      <c r="H748" s="23">
        <v>8</v>
      </c>
      <c r="I748" t="s">
        <v>1093</v>
      </c>
      <c r="K748" s="21">
        <f>ROUND(H748/100*K747,5)</f>
        <v>2.01688</v>
      </c>
    </row>
    <row r="749" spans="1:27" x14ac:dyDescent="0.2">
      <c r="D749" s="24" t="s">
        <v>1094</v>
      </c>
      <c r="E749" s="23"/>
      <c r="H749" s="23"/>
      <c r="K749" s="25">
        <f>SUM(K747:K748)</f>
        <v>27.227879999999999</v>
      </c>
    </row>
    <row r="751" spans="1:27" ht="45" customHeight="1" x14ac:dyDescent="0.2">
      <c r="A751" s="17" t="s">
        <v>1339</v>
      </c>
      <c r="B751" s="17" t="s">
        <v>1023</v>
      </c>
      <c r="C751" s="1" t="s">
        <v>15</v>
      </c>
      <c r="D751" s="96" t="s">
        <v>1024</v>
      </c>
      <c r="E751" s="97"/>
      <c r="F751" s="97"/>
      <c r="G751" s="1"/>
      <c r="H751" s="18" t="s">
        <v>1066</v>
      </c>
      <c r="I751" s="98">
        <v>1</v>
      </c>
      <c r="J751" s="99"/>
      <c r="K751" s="19">
        <f>ROUND(K757,2)</f>
        <v>15.6</v>
      </c>
      <c r="L751" s="2" t="s">
        <v>1340</v>
      </c>
      <c r="M751" s="1"/>
      <c r="N751" s="1"/>
      <c r="O751" s="1"/>
      <c r="P751" s="1"/>
      <c r="Q751" s="1"/>
      <c r="R751" s="1"/>
      <c r="S751" s="1"/>
      <c r="T751" s="1"/>
      <c r="U751" s="1"/>
      <c r="V751" s="1"/>
      <c r="W751" s="1"/>
      <c r="X751" s="1"/>
      <c r="Y751" s="1"/>
      <c r="Z751" s="1"/>
      <c r="AA751" s="1"/>
    </row>
    <row r="752" spans="1:27" x14ac:dyDescent="0.2">
      <c r="B752" s="14" t="s">
        <v>1080</v>
      </c>
    </row>
    <row r="753" spans="1:27" x14ac:dyDescent="0.2">
      <c r="B753" t="s">
        <v>1341</v>
      </c>
      <c r="C753" t="s">
        <v>1084</v>
      </c>
      <c r="D753" t="s">
        <v>1024</v>
      </c>
      <c r="E753" s="20">
        <v>0.19</v>
      </c>
      <c r="G753" t="s">
        <v>1073</v>
      </c>
      <c r="H753" s="21">
        <v>76</v>
      </c>
      <c r="I753" t="s">
        <v>1074</v>
      </c>
      <c r="J753" s="22">
        <f>ROUND(E753* H753,5)</f>
        <v>14.44</v>
      </c>
      <c r="K753" s="23"/>
    </row>
    <row r="754" spans="1:27" x14ac:dyDescent="0.2">
      <c r="D754" s="24" t="s">
        <v>1090</v>
      </c>
      <c r="E754" s="23"/>
      <c r="H754" s="23"/>
      <c r="K754" s="21">
        <f>SUM(J753:J753)</f>
        <v>14.44</v>
      </c>
    </row>
    <row r="755" spans="1:27" x14ac:dyDescent="0.2">
      <c r="D755" s="24" t="s">
        <v>1091</v>
      </c>
      <c r="E755" s="23"/>
      <c r="H755" s="23"/>
      <c r="K755" s="25">
        <f>SUM(J752:J754)</f>
        <v>14.44</v>
      </c>
    </row>
    <row r="756" spans="1:27" x14ac:dyDescent="0.2">
      <c r="D756" s="24" t="s">
        <v>1142</v>
      </c>
      <c r="E756" s="23"/>
      <c r="H756" s="23">
        <v>8</v>
      </c>
      <c r="I756" t="s">
        <v>1093</v>
      </c>
      <c r="K756" s="21">
        <f>ROUND(H756/100*K755,5)</f>
        <v>1.1552</v>
      </c>
    </row>
    <row r="757" spans="1:27" x14ac:dyDescent="0.2">
      <c r="D757" s="24" t="s">
        <v>1094</v>
      </c>
      <c r="E757" s="23"/>
      <c r="H757" s="23"/>
      <c r="K757" s="25">
        <f>SUM(K755:K756)</f>
        <v>15.5952</v>
      </c>
    </row>
    <row r="759" spans="1:27" ht="45" customHeight="1" x14ac:dyDescent="0.2">
      <c r="A759" s="17" t="s">
        <v>1342</v>
      </c>
      <c r="B759" s="17" t="s">
        <v>1043</v>
      </c>
      <c r="C759" s="1" t="s">
        <v>15</v>
      </c>
      <c r="D759" s="96" t="s">
        <v>1044</v>
      </c>
      <c r="E759" s="97"/>
      <c r="F759" s="97"/>
      <c r="G759" s="1"/>
      <c r="H759" s="18" t="s">
        <v>1066</v>
      </c>
      <c r="I759" s="98">
        <v>1</v>
      </c>
      <c r="J759" s="99"/>
      <c r="K759" s="19">
        <f>ROUND(K765,2)</f>
        <v>-43.2</v>
      </c>
      <c r="L759" s="2" t="s">
        <v>1343</v>
      </c>
      <c r="M759" s="1"/>
      <c r="N759" s="1"/>
      <c r="O759" s="1"/>
      <c r="P759" s="1"/>
      <c r="Q759" s="1"/>
      <c r="R759" s="1"/>
      <c r="S759" s="1"/>
      <c r="T759" s="1"/>
      <c r="U759" s="1"/>
      <c r="V759" s="1"/>
      <c r="W759" s="1"/>
      <c r="X759" s="1"/>
      <c r="Y759" s="1"/>
      <c r="Z759" s="1"/>
      <c r="AA759" s="1"/>
    </row>
    <row r="760" spans="1:27" x14ac:dyDescent="0.2">
      <c r="B760" s="14" t="s">
        <v>1080</v>
      </c>
    </row>
    <row r="761" spans="1:27" x14ac:dyDescent="0.2">
      <c r="B761" t="s">
        <v>1344</v>
      </c>
      <c r="C761" t="s">
        <v>1084</v>
      </c>
      <c r="D761" t="s">
        <v>1044</v>
      </c>
      <c r="E761" s="20">
        <v>0.2</v>
      </c>
      <c r="G761" t="s">
        <v>1073</v>
      </c>
      <c r="H761" s="21">
        <v>-200</v>
      </c>
      <c r="I761" t="s">
        <v>1074</v>
      </c>
      <c r="J761" s="22">
        <f>ROUND(E761* H761,5)</f>
        <v>-40</v>
      </c>
      <c r="K761" s="23"/>
    </row>
    <row r="762" spans="1:27" x14ac:dyDescent="0.2">
      <c r="D762" s="24" t="s">
        <v>1090</v>
      </c>
      <c r="E762" s="23"/>
      <c r="H762" s="23"/>
      <c r="K762" s="21">
        <f>SUM(J761:J761)</f>
        <v>-40</v>
      </c>
    </row>
    <row r="763" spans="1:27" x14ac:dyDescent="0.2">
      <c r="D763" s="24" t="s">
        <v>1091</v>
      </c>
      <c r="E763" s="23"/>
      <c r="H763" s="23"/>
      <c r="K763" s="25">
        <f>SUM(J760:J762)</f>
        <v>-40</v>
      </c>
    </row>
    <row r="764" spans="1:27" x14ac:dyDescent="0.2">
      <c r="D764" s="24" t="s">
        <v>1142</v>
      </c>
      <c r="E764" s="23"/>
      <c r="H764" s="23">
        <v>8</v>
      </c>
      <c r="I764" t="s">
        <v>1093</v>
      </c>
      <c r="K764" s="21">
        <f>ROUND(H764/100*K763,5)</f>
        <v>-3.2</v>
      </c>
    </row>
    <row r="765" spans="1:27" x14ac:dyDescent="0.2">
      <c r="D765" s="24" t="s">
        <v>1094</v>
      </c>
      <c r="E765" s="23"/>
      <c r="H765" s="23"/>
      <c r="K765" s="25">
        <f>SUM(K763:K764)</f>
        <v>-43.2</v>
      </c>
    </row>
    <row r="767" spans="1:27" ht="45" customHeight="1" x14ac:dyDescent="0.2">
      <c r="A767" s="17" t="s">
        <v>1345</v>
      </c>
      <c r="B767" s="17" t="s">
        <v>1025</v>
      </c>
      <c r="C767" s="1" t="s">
        <v>15</v>
      </c>
      <c r="D767" s="96" t="s">
        <v>1026</v>
      </c>
      <c r="E767" s="97"/>
      <c r="F767" s="97"/>
      <c r="G767" s="1"/>
      <c r="H767" s="18" t="s">
        <v>1066</v>
      </c>
      <c r="I767" s="98">
        <v>1</v>
      </c>
      <c r="J767" s="99"/>
      <c r="K767" s="19">
        <f>ROUND(K773,2)</f>
        <v>0</v>
      </c>
      <c r="L767" s="2" t="s">
        <v>1346</v>
      </c>
      <c r="M767" s="1"/>
      <c r="N767" s="1"/>
      <c r="O767" s="1"/>
      <c r="P767" s="1"/>
      <c r="Q767" s="1"/>
      <c r="R767" s="1"/>
      <c r="S767" s="1"/>
      <c r="T767" s="1"/>
      <c r="U767" s="1"/>
      <c r="V767" s="1"/>
      <c r="W767" s="1"/>
      <c r="X767" s="1"/>
      <c r="Y767" s="1"/>
      <c r="Z767" s="1"/>
      <c r="AA767" s="1"/>
    </row>
    <row r="768" spans="1:27" x14ac:dyDescent="0.2">
      <c r="B768" s="14" t="s">
        <v>1080</v>
      </c>
    </row>
    <row r="769" spans="1:27" x14ac:dyDescent="0.2">
      <c r="B769" t="s">
        <v>1347</v>
      </c>
      <c r="C769" t="s">
        <v>1084</v>
      </c>
      <c r="D769" t="s">
        <v>1026</v>
      </c>
      <c r="E769" s="20">
        <v>0.7</v>
      </c>
      <c r="G769" t="s">
        <v>1073</v>
      </c>
      <c r="H769" s="21">
        <v>0</v>
      </c>
      <c r="I769" t="s">
        <v>1074</v>
      </c>
      <c r="J769" s="22">
        <f>ROUND(E769* H769,5)</f>
        <v>0</v>
      </c>
      <c r="K769" s="23"/>
    </row>
    <row r="770" spans="1:27" x14ac:dyDescent="0.2">
      <c r="D770" s="24" t="s">
        <v>1090</v>
      </c>
      <c r="E770" s="23"/>
      <c r="H770" s="23"/>
      <c r="K770" s="21">
        <f>SUM(J769:J769)</f>
        <v>0</v>
      </c>
    </row>
    <row r="771" spans="1:27" x14ac:dyDescent="0.2">
      <c r="D771" s="24" t="s">
        <v>1091</v>
      </c>
      <c r="E771" s="23"/>
      <c r="H771" s="23"/>
      <c r="K771" s="25">
        <f>SUM(J768:J770)</f>
        <v>0</v>
      </c>
    </row>
    <row r="772" spans="1:27" x14ac:dyDescent="0.2">
      <c r="D772" s="24" t="s">
        <v>1142</v>
      </c>
      <c r="E772" s="23"/>
      <c r="H772" s="23">
        <v>8</v>
      </c>
      <c r="I772" t="s">
        <v>1093</v>
      </c>
      <c r="K772" s="21">
        <f>ROUND(H772/100*K771,5)</f>
        <v>0</v>
      </c>
    </row>
    <row r="773" spans="1:27" x14ac:dyDescent="0.2">
      <c r="D773" s="24" t="s">
        <v>1094</v>
      </c>
      <c r="E773" s="23"/>
      <c r="H773" s="23"/>
      <c r="K773" s="25">
        <f>SUM(K771:K772)</f>
        <v>0</v>
      </c>
    </row>
    <row r="775" spans="1:27" ht="45" customHeight="1" x14ac:dyDescent="0.2">
      <c r="A775" s="17" t="s">
        <v>1348</v>
      </c>
      <c r="B775" s="17" t="s">
        <v>1019</v>
      </c>
      <c r="C775" s="1" t="s">
        <v>15</v>
      </c>
      <c r="D775" s="96" t="s">
        <v>1020</v>
      </c>
      <c r="E775" s="97"/>
      <c r="F775" s="97"/>
      <c r="G775" s="1"/>
      <c r="H775" s="18" t="s">
        <v>1066</v>
      </c>
      <c r="I775" s="98">
        <v>1</v>
      </c>
      <c r="J775" s="99"/>
      <c r="K775" s="19">
        <f>ROUND(K781,2)</f>
        <v>10.37</v>
      </c>
      <c r="L775" s="2" t="s">
        <v>1349</v>
      </c>
      <c r="M775" s="1"/>
      <c r="N775" s="1"/>
      <c r="O775" s="1"/>
      <c r="P775" s="1"/>
      <c r="Q775" s="1"/>
      <c r="R775" s="1"/>
      <c r="S775" s="1"/>
      <c r="T775" s="1"/>
      <c r="U775" s="1"/>
      <c r="V775" s="1"/>
      <c r="W775" s="1"/>
      <c r="X775" s="1"/>
      <c r="Y775" s="1"/>
      <c r="Z775" s="1"/>
      <c r="AA775" s="1"/>
    </row>
    <row r="776" spans="1:27" x14ac:dyDescent="0.2">
      <c r="B776" s="14" t="s">
        <v>1080</v>
      </c>
    </row>
    <row r="777" spans="1:27" x14ac:dyDescent="0.2">
      <c r="B777" t="s">
        <v>1350</v>
      </c>
      <c r="C777" t="s">
        <v>1084</v>
      </c>
      <c r="D777" t="s">
        <v>1020</v>
      </c>
      <c r="E777" s="20">
        <v>0.8</v>
      </c>
      <c r="G777" t="s">
        <v>1073</v>
      </c>
      <c r="H777" s="21">
        <v>12</v>
      </c>
      <c r="I777" t="s">
        <v>1074</v>
      </c>
      <c r="J777" s="22">
        <f>ROUND(E777* H777,5)</f>
        <v>9.6</v>
      </c>
      <c r="K777" s="23"/>
    </row>
    <row r="778" spans="1:27" x14ac:dyDescent="0.2">
      <c r="D778" s="24" t="s">
        <v>1090</v>
      </c>
      <c r="E778" s="23"/>
      <c r="H778" s="23"/>
      <c r="K778" s="21">
        <f>SUM(J777:J777)</f>
        <v>9.6</v>
      </c>
    </row>
    <row r="779" spans="1:27" x14ac:dyDescent="0.2">
      <c r="D779" s="24" t="s">
        <v>1091</v>
      </c>
      <c r="E779" s="23"/>
      <c r="H779" s="23"/>
      <c r="K779" s="25">
        <f>SUM(J776:J778)</f>
        <v>9.6</v>
      </c>
    </row>
    <row r="780" spans="1:27" x14ac:dyDescent="0.2">
      <c r="D780" s="24" t="s">
        <v>1142</v>
      </c>
      <c r="E780" s="23"/>
      <c r="H780" s="23">
        <v>8</v>
      </c>
      <c r="I780" t="s">
        <v>1093</v>
      </c>
      <c r="K780" s="21">
        <f>ROUND(H780/100*K779,5)</f>
        <v>0.76800000000000002</v>
      </c>
    </row>
    <row r="781" spans="1:27" x14ac:dyDescent="0.2">
      <c r="D781" s="24" t="s">
        <v>1094</v>
      </c>
      <c r="E781" s="23"/>
      <c r="H781" s="23"/>
      <c r="K781" s="25">
        <f>SUM(K779:K780)</f>
        <v>10.368</v>
      </c>
    </row>
    <row r="783" spans="1:27" ht="45" customHeight="1" x14ac:dyDescent="0.2">
      <c r="A783" s="17" t="s">
        <v>1351</v>
      </c>
      <c r="B783" s="17" t="s">
        <v>1049</v>
      </c>
      <c r="C783" s="1" t="s">
        <v>103</v>
      </c>
      <c r="D783" s="96" t="s">
        <v>1050</v>
      </c>
      <c r="E783" s="97"/>
      <c r="F783" s="97"/>
      <c r="G783" s="1"/>
      <c r="H783" s="18" t="s">
        <v>1066</v>
      </c>
      <c r="I783" s="98">
        <v>1</v>
      </c>
      <c r="J783" s="99"/>
      <c r="K783" s="19">
        <f>ROUND(K789,2)</f>
        <v>0.27</v>
      </c>
      <c r="L783" s="2" t="s">
        <v>1329</v>
      </c>
      <c r="M783" s="1"/>
      <c r="N783" s="1"/>
      <c r="O783" s="1"/>
      <c r="P783" s="1"/>
      <c r="Q783" s="1"/>
      <c r="R783" s="1"/>
      <c r="S783" s="1"/>
      <c r="T783" s="1"/>
      <c r="U783" s="1"/>
      <c r="V783" s="1"/>
      <c r="W783" s="1"/>
      <c r="X783" s="1"/>
      <c r="Y783" s="1"/>
      <c r="Z783" s="1"/>
      <c r="AA783" s="1"/>
    </row>
    <row r="784" spans="1:27" x14ac:dyDescent="0.2">
      <c r="B784" s="14" t="s">
        <v>1080</v>
      </c>
    </row>
    <row r="785" spans="1:27" x14ac:dyDescent="0.2">
      <c r="B785" t="s">
        <v>1352</v>
      </c>
      <c r="C785" t="s">
        <v>103</v>
      </c>
      <c r="D785" t="s">
        <v>1050</v>
      </c>
      <c r="E785" s="20">
        <v>1</v>
      </c>
      <c r="G785" t="s">
        <v>1073</v>
      </c>
      <c r="H785" s="21">
        <v>0.25</v>
      </c>
      <c r="I785" t="s">
        <v>1074</v>
      </c>
      <c r="J785" s="22">
        <f>ROUND(E785* H785,5)</f>
        <v>0.25</v>
      </c>
      <c r="K785" s="23"/>
    </row>
    <row r="786" spans="1:27" x14ac:dyDescent="0.2">
      <c r="D786" s="24" t="s">
        <v>1090</v>
      </c>
      <c r="E786" s="23"/>
      <c r="H786" s="23"/>
      <c r="K786" s="21">
        <f>SUM(J785:J785)</f>
        <v>0.25</v>
      </c>
    </row>
    <row r="787" spans="1:27" x14ac:dyDescent="0.2">
      <c r="D787" s="24" t="s">
        <v>1091</v>
      </c>
      <c r="E787" s="23"/>
      <c r="H787" s="23"/>
      <c r="K787" s="25">
        <f>SUM(J784:J786)</f>
        <v>0.25</v>
      </c>
    </row>
    <row r="788" spans="1:27" x14ac:dyDescent="0.2">
      <c r="D788" s="24" t="s">
        <v>1142</v>
      </c>
      <c r="E788" s="23"/>
      <c r="H788" s="23">
        <v>8</v>
      </c>
      <c r="I788" t="s">
        <v>1093</v>
      </c>
      <c r="K788" s="21">
        <f>ROUND(H788/100*K787,5)</f>
        <v>0.02</v>
      </c>
    </row>
    <row r="789" spans="1:27" x14ac:dyDescent="0.2">
      <c r="D789" s="24" t="s">
        <v>1094</v>
      </c>
      <c r="E789" s="23"/>
      <c r="H789" s="23"/>
      <c r="K789" s="25">
        <f>SUM(K787:K788)</f>
        <v>0.27</v>
      </c>
    </row>
    <row r="791" spans="1:27" ht="45" customHeight="1" x14ac:dyDescent="0.2">
      <c r="A791" s="17" t="s">
        <v>1353</v>
      </c>
      <c r="B791" s="17" t="s">
        <v>1021</v>
      </c>
      <c r="C791" s="1" t="s">
        <v>15</v>
      </c>
      <c r="D791" s="96" t="s">
        <v>1022</v>
      </c>
      <c r="E791" s="97"/>
      <c r="F791" s="97"/>
      <c r="G791" s="1"/>
      <c r="H791" s="18" t="s">
        <v>1066</v>
      </c>
      <c r="I791" s="98">
        <v>1</v>
      </c>
      <c r="J791" s="99"/>
      <c r="K791" s="19">
        <f>ROUND(K797,2)</f>
        <v>14.88</v>
      </c>
      <c r="L791" s="2" t="s">
        <v>1354</v>
      </c>
      <c r="M791" s="1"/>
      <c r="N791" s="1"/>
      <c r="O791" s="1"/>
      <c r="P791" s="1"/>
      <c r="Q791" s="1"/>
      <c r="R791" s="1"/>
      <c r="S791" s="1"/>
      <c r="T791" s="1"/>
      <c r="U791" s="1"/>
      <c r="V791" s="1"/>
      <c r="W791" s="1"/>
      <c r="X791" s="1"/>
      <c r="Y791" s="1"/>
      <c r="Z791" s="1"/>
      <c r="AA791" s="1"/>
    </row>
    <row r="792" spans="1:27" x14ac:dyDescent="0.2">
      <c r="B792" s="14" t="s">
        <v>1080</v>
      </c>
    </row>
    <row r="793" spans="1:27" x14ac:dyDescent="0.2">
      <c r="B793" t="s">
        <v>1355</v>
      </c>
      <c r="C793" t="s">
        <v>1084</v>
      </c>
      <c r="D793" t="s">
        <v>1022</v>
      </c>
      <c r="E793" s="20">
        <v>1.45</v>
      </c>
      <c r="G793" t="s">
        <v>1073</v>
      </c>
      <c r="H793" s="21">
        <v>9.5</v>
      </c>
      <c r="I793" t="s">
        <v>1074</v>
      </c>
      <c r="J793" s="22">
        <f>ROUND(E793* H793,5)</f>
        <v>13.775</v>
      </c>
      <c r="K793" s="23"/>
    </row>
    <row r="794" spans="1:27" x14ac:dyDescent="0.2">
      <c r="D794" s="24" t="s">
        <v>1090</v>
      </c>
      <c r="E794" s="23"/>
      <c r="H794" s="23"/>
      <c r="K794" s="21">
        <f>SUM(J793:J793)</f>
        <v>13.775</v>
      </c>
    </row>
    <row r="795" spans="1:27" x14ac:dyDescent="0.2">
      <c r="D795" s="24" t="s">
        <v>1091</v>
      </c>
      <c r="E795" s="23"/>
      <c r="H795" s="23"/>
      <c r="K795" s="25">
        <f>SUM(J792:J794)</f>
        <v>13.775</v>
      </c>
    </row>
    <row r="796" spans="1:27" x14ac:dyDescent="0.2">
      <c r="D796" s="24" t="s">
        <v>1142</v>
      </c>
      <c r="E796" s="23"/>
      <c r="H796" s="23">
        <v>8</v>
      </c>
      <c r="I796" t="s">
        <v>1093</v>
      </c>
      <c r="K796" s="21">
        <f>ROUND(H796/100*K795,5)</f>
        <v>1.1020000000000001</v>
      </c>
    </row>
    <row r="797" spans="1:27" x14ac:dyDescent="0.2">
      <c r="D797" s="24" t="s">
        <v>1094</v>
      </c>
      <c r="E797" s="23"/>
      <c r="H797" s="23"/>
      <c r="K797" s="25">
        <f>SUM(K795:K796)</f>
        <v>14.877000000000001</v>
      </c>
    </row>
    <row r="799" spans="1:27" ht="45" customHeight="1" x14ac:dyDescent="0.2">
      <c r="A799" s="17" t="s">
        <v>1356</v>
      </c>
      <c r="B799" s="17" t="s">
        <v>1035</v>
      </c>
      <c r="C799" s="1" t="s">
        <v>15</v>
      </c>
      <c r="D799" s="96" t="s">
        <v>1036</v>
      </c>
      <c r="E799" s="97"/>
      <c r="F799" s="97"/>
      <c r="G799" s="1"/>
      <c r="H799" s="18" t="s">
        <v>1066</v>
      </c>
      <c r="I799" s="98">
        <v>1</v>
      </c>
      <c r="J799" s="99"/>
      <c r="K799" s="19">
        <f>ROUND(K805,2)</f>
        <v>9.18</v>
      </c>
      <c r="L799" s="2" t="s">
        <v>1357</v>
      </c>
      <c r="M799" s="1"/>
      <c r="N799" s="1"/>
      <c r="O799" s="1"/>
      <c r="P799" s="1"/>
      <c r="Q799" s="1"/>
      <c r="R799" s="1"/>
      <c r="S799" s="1"/>
      <c r="T799" s="1"/>
      <c r="U799" s="1"/>
      <c r="V799" s="1"/>
      <c r="W799" s="1"/>
      <c r="X799" s="1"/>
      <c r="Y799" s="1"/>
      <c r="Z799" s="1"/>
      <c r="AA799" s="1"/>
    </row>
    <row r="800" spans="1:27" x14ac:dyDescent="0.2">
      <c r="B800" s="14" t="s">
        <v>1080</v>
      </c>
    </row>
    <row r="801" spans="1:27" x14ac:dyDescent="0.2">
      <c r="B801" t="s">
        <v>1358</v>
      </c>
      <c r="C801" t="s">
        <v>1084</v>
      </c>
      <c r="D801" t="s">
        <v>1036</v>
      </c>
      <c r="E801" s="20">
        <v>1.6</v>
      </c>
      <c r="G801" t="s">
        <v>1073</v>
      </c>
      <c r="H801" s="21">
        <v>5.31</v>
      </c>
      <c r="I801" t="s">
        <v>1074</v>
      </c>
      <c r="J801" s="22">
        <f>ROUND(E801* H801,5)</f>
        <v>8.4960000000000004</v>
      </c>
      <c r="K801" s="23"/>
    </row>
    <row r="802" spans="1:27" x14ac:dyDescent="0.2">
      <c r="D802" s="24" t="s">
        <v>1090</v>
      </c>
      <c r="E802" s="23"/>
      <c r="H802" s="23"/>
      <c r="K802" s="21">
        <f>SUM(J801:J801)</f>
        <v>8.4960000000000004</v>
      </c>
    </row>
    <row r="803" spans="1:27" x14ac:dyDescent="0.2">
      <c r="D803" s="24" t="s">
        <v>1091</v>
      </c>
      <c r="E803" s="23"/>
      <c r="H803" s="23"/>
      <c r="K803" s="25">
        <f>SUM(J800:J802)</f>
        <v>8.4960000000000004</v>
      </c>
    </row>
    <row r="804" spans="1:27" x14ac:dyDescent="0.2">
      <c r="D804" s="24" t="s">
        <v>1142</v>
      </c>
      <c r="E804" s="23"/>
      <c r="H804" s="23">
        <v>8</v>
      </c>
      <c r="I804" t="s">
        <v>1093</v>
      </c>
      <c r="K804" s="21">
        <f>ROUND(H804/100*K803,5)</f>
        <v>0.67967999999999995</v>
      </c>
    </row>
    <row r="805" spans="1:27" x14ac:dyDescent="0.2">
      <c r="D805" s="24" t="s">
        <v>1094</v>
      </c>
      <c r="E805" s="23"/>
      <c r="H805" s="23"/>
      <c r="K805" s="25">
        <f>SUM(K803:K804)</f>
        <v>9.1756799999999998</v>
      </c>
    </row>
    <row r="807" spans="1:27" ht="45" customHeight="1" x14ac:dyDescent="0.2">
      <c r="A807" s="17" t="s">
        <v>1359</v>
      </c>
      <c r="B807" s="17" t="s">
        <v>102</v>
      </c>
      <c r="C807" s="1" t="s">
        <v>103</v>
      </c>
      <c r="D807" s="96" t="s">
        <v>104</v>
      </c>
      <c r="E807" s="97"/>
      <c r="F807" s="97"/>
      <c r="G807" s="1"/>
      <c r="H807" s="18" t="s">
        <v>1066</v>
      </c>
      <c r="I807" s="98">
        <v>1</v>
      </c>
      <c r="J807" s="99"/>
      <c r="K807" s="19">
        <f>ROUND(K822,2)</f>
        <v>1.9</v>
      </c>
      <c r="L807" s="2" t="s">
        <v>1360</v>
      </c>
      <c r="M807" s="1"/>
      <c r="N807" s="1"/>
      <c r="O807" s="1"/>
      <c r="P807" s="1"/>
      <c r="Q807" s="1"/>
      <c r="R807" s="1"/>
      <c r="S807" s="1"/>
      <c r="T807" s="1"/>
      <c r="U807" s="1"/>
      <c r="V807" s="1"/>
      <c r="W807" s="1"/>
      <c r="X807" s="1"/>
      <c r="Y807" s="1"/>
      <c r="Z807" s="1"/>
      <c r="AA807" s="1"/>
    </row>
    <row r="808" spans="1:27" x14ac:dyDescent="0.2">
      <c r="B808" s="14" t="s">
        <v>1068</v>
      </c>
    </row>
    <row r="809" spans="1:27" x14ac:dyDescent="0.2">
      <c r="B809" t="s">
        <v>1125</v>
      </c>
      <c r="C809" t="s">
        <v>1070</v>
      </c>
      <c r="D809" t="s">
        <v>1126</v>
      </c>
      <c r="E809" s="20">
        <v>8.0000000000000002E-3</v>
      </c>
      <c r="F809" t="s">
        <v>1072</v>
      </c>
      <c r="G809" t="s">
        <v>1073</v>
      </c>
      <c r="H809" s="21">
        <v>26.12</v>
      </c>
      <c r="I809" t="s">
        <v>1074</v>
      </c>
      <c r="J809" s="22">
        <f>ROUND(E809/I807* H809,5)</f>
        <v>0.20896000000000001</v>
      </c>
      <c r="K809" s="23"/>
    </row>
    <row r="810" spans="1:27" x14ac:dyDescent="0.2">
      <c r="B810" t="s">
        <v>1123</v>
      </c>
      <c r="C810" t="s">
        <v>1070</v>
      </c>
      <c r="D810" t="s">
        <v>1124</v>
      </c>
      <c r="E810" s="20">
        <v>6.0000000000000001E-3</v>
      </c>
      <c r="F810" t="s">
        <v>1072</v>
      </c>
      <c r="G810" t="s">
        <v>1073</v>
      </c>
      <c r="H810" s="21">
        <v>29.42</v>
      </c>
      <c r="I810" t="s">
        <v>1074</v>
      </c>
      <c r="J810" s="22">
        <f>ROUND(E810/I807* H810,5)</f>
        <v>0.17652000000000001</v>
      </c>
      <c r="K810" s="23"/>
    </row>
    <row r="811" spans="1:27" x14ac:dyDescent="0.2">
      <c r="D811" s="24" t="s">
        <v>1075</v>
      </c>
      <c r="E811" s="23"/>
      <c r="H811" s="23"/>
      <c r="K811" s="21">
        <f>SUM(J809:J810)</f>
        <v>0.38548000000000004</v>
      </c>
    </row>
    <row r="812" spans="1:27" x14ac:dyDescent="0.2">
      <c r="B812" s="14" t="s">
        <v>1080</v>
      </c>
      <c r="E812" s="23"/>
      <c r="H812" s="23"/>
      <c r="K812" s="23"/>
    </row>
    <row r="813" spans="1:27" x14ac:dyDescent="0.2">
      <c r="B813" t="s">
        <v>1129</v>
      </c>
      <c r="C813" t="s">
        <v>103</v>
      </c>
      <c r="D813" t="s">
        <v>1130</v>
      </c>
      <c r="E813" s="20">
        <v>5.1000000000000004E-3</v>
      </c>
      <c r="G813" t="s">
        <v>1073</v>
      </c>
      <c r="H813" s="21">
        <v>1.87</v>
      </c>
      <c r="I813" t="s">
        <v>1074</v>
      </c>
      <c r="J813" s="22">
        <f>ROUND(E813* H813,5)</f>
        <v>9.5399999999999999E-3</v>
      </c>
      <c r="K813" s="23"/>
    </row>
    <row r="814" spans="1:27" x14ac:dyDescent="0.2">
      <c r="D814" s="24" t="s">
        <v>1090</v>
      </c>
      <c r="E814" s="23"/>
      <c r="H814" s="23"/>
      <c r="K814" s="21">
        <f>SUM(J813:J813)</f>
        <v>9.5399999999999999E-3</v>
      </c>
    </row>
    <row r="815" spans="1:27" x14ac:dyDescent="0.2">
      <c r="B815" s="14" t="s">
        <v>1063</v>
      </c>
      <c r="E815" s="23"/>
      <c r="H815" s="23"/>
      <c r="K815" s="23"/>
    </row>
    <row r="816" spans="1:27" x14ac:dyDescent="0.2">
      <c r="B816" t="s">
        <v>1120</v>
      </c>
      <c r="C816" t="s">
        <v>103</v>
      </c>
      <c r="D816" t="s">
        <v>1121</v>
      </c>
      <c r="E816" s="20">
        <v>1</v>
      </c>
      <c r="G816" t="s">
        <v>1073</v>
      </c>
      <c r="H816" s="21">
        <v>1.36005</v>
      </c>
      <c r="I816" t="s">
        <v>1074</v>
      </c>
      <c r="J816" s="22">
        <f>ROUND(E816* H816,5)</f>
        <v>1.36005</v>
      </c>
      <c r="K816" s="23"/>
    </row>
    <row r="817" spans="1:27" x14ac:dyDescent="0.2">
      <c r="D817" s="24" t="s">
        <v>1361</v>
      </c>
      <c r="E817" s="23"/>
      <c r="H817" s="23"/>
      <c r="K817" s="21">
        <f>SUM(J816:J816)</f>
        <v>1.36005</v>
      </c>
    </row>
    <row r="818" spans="1:27" x14ac:dyDescent="0.2">
      <c r="E818" s="23"/>
      <c r="H818" s="23"/>
      <c r="K818" s="23"/>
    </row>
    <row r="819" spans="1:27" x14ac:dyDescent="0.2">
      <c r="D819" s="24" t="s">
        <v>1092</v>
      </c>
      <c r="E819" s="23"/>
      <c r="H819" s="23">
        <v>1.5</v>
      </c>
      <c r="I819" t="s">
        <v>1093</v>
      </c>
      <c r="J819">
        <f>ROUND(H819/100*K811,5)</f>
        <v>5.7800000000000004E-3</v>
      </c>
      <c r="K819" s="23"/>
    </row>
    <row r="820" spans="1:27" x14ac:dyDescent="0.2">
      <c r="D820" s="24" t="s">
        <v>1091</v>
      </c>
      <c r="E820" s="23"/>
      <c r="H820" s="23"/>
      <c r="K820" s="25">
        <f>SUM(J808:J819)</f>
        <v>1.7608499999999998</v>
      </c>
    </row>
    <row r="821" spans="1:27" x14ac:dyDescent="0.2">
      <c r="D821" s="24" t="s">
        <v>1142</v>
      </c>
      <c r="E821" s="23"/>
      <c r="H821" s="23">
        <v>8</v>
      </c>
      <c r="I821" t="s">
        <v>1093</v>
      </c>
      <c r="K821" s="21">
        <f>ROUND(H821/100*K820,5)</f>
        <v>0.14087</v>
      </c>
    </row>
    <row r="822" spans="1:27" x14ac:dyDescent="0.2">
      <c r="D822" s="24" t="s">
        <v>1094</v>
      </c>
      <c r="E822" s="23"/>
      <c r="H822" s="23"/>
      <c r="K822" s="25">
        <f>SUM(K820:K821)</f>
        <v>1.9017199999999999</v>
      </c>
    </row>
    <row r="824" spans="1:27" ht="45" customHeight="1" x14ac:dyDescent="0.2">
      <c r="A824" s="17" t="s">
        <v>1362</v>
      </c>
      <c r="B824" s="17" t="s">
        <v>98</v>
      </c>
      <c r="C824" s="1" t="s">
        <v>15</v>
      </c>
      <c r="D824" s="96" t="s">
        <v>99</v>
      </c>
      <c r="E824" s="97"/>
      <c r="F824" s="97"/>
      <c r="G824" s="1"/>
      <c r="H824" s="18" t="s">
        <v>1066</v>
      </c>
      <c r="I824" s="98">
        <v>1</v>
      </c>
      <c r="J824" s="99"/>
      <c r="K824" s="19">
        <f>ROUND(K839,2)</f>
        <v>163.75</v>
      </c>
      <c r="L824" s="2" t="s">
        <v>1363</v>
      </c>
      <c r="M824" s="1"/>
      <c r="N824" s="1"/>
      <c r="O824" s="1"/>
      <c r="P824" s="1"/>
      <c r="Q824" s="1"/>
      <c r="R824" s="1"/>
      <c r="S824" s="1"/>
      <c r="T824" s="1"/>
      <c r="U824" s="1"/>
      <c r="V824" s="1"/>
      <c r="W824" s="1"/>
      <c r="X824" s="1"/>
      <c r="Y824" s="1"/>
      <c r="Z824" s="1"/>
      <c r="AA824" s="1"/>
    </row>
    <row r="825" spans="1:27" x14ac:dyDescent="0.2">
      <c r="B825" s="14" t="s">
        <v>1068</v>
      </c>
    </row>
    <row r="826" spans="1:27" x14ac:dyDescent="0.2">
      <c r="B826" t="s">
        <v>1205</v>
      </c>
      <c r="C826" t="s">
        <v>1070</v>
      </c>
      <c r="D826" t="s">
        <v>1206</v>
      </c>
      <c r="E826" s="20">
        <v>0.4</v>
      </c>
      <c r="F826" t="s">
        <v>1072</v>
      </c>
      <c r="G826" t="s">
        <v>1073</v>
      </c>
      <c r="H826" s="21">
        <v>24.55</v>
      </c>
      <c r="I826" t="s">
        <v>1074</v>
      </c>
      <c r="J826" s="22">
        <f>ROUND(E826/I824* H826,5)</f>
        <v>9.82</v>
      </c>
      <c r="K826" s="23"/>
    </row>
    <row r="827" spans="1:27" x14ac:dyDescent="0.2">
      <c r="B827" t="s">
        <v>1364</v>
      </c>
      <c r="C827" t="s">
        <v>1070</v>
      </c>
      <c r="D827" t="s">
        <v>1365</v>
      </c>
      <c r="E827" s="20">
        <v>0.1</v>
      </c>
      <c r="F827" t="s">
        <v>1072</v>
      </c>
      <c r="G827" t="s">
        <v>1073</v>
      </c>
      <c r="H827" s="21">
        <v>29.42</v>
      </c>
      <c r="I827" t="s">
        <v>1074</v>
      </c>
      <c r="J827" s="22">
        <f>ROUND(E827/I824* H827,5)</f>
        <v>2.9420000000000002</v>
      </c>
      <c r="K827" s="23"/>
    </row>
    <row r="828" spans="1:27" x14ac:dyDescent="0.2">
      <c r="D828" s="24" t="s">
        <v>1075</v>
      </c>
      <c r="E828" s="23"/>
      <c r="H828" s="23"/>
      <c r="K828" s="21">
        <f>SUM(J826:J827)</f>
        <v>12.762</v>
      </c>
    </row>
    <row r="829" spans="1:27" x14ac:dyDescent="0.2">
      <c r="B829" s="14" t="s">
        <v>1076</v>
      </c>
      <c r="E829" s="23"/>
      <c r="H829" s="23"/>
      <c r="K829" s="23"/>
    </row>
    <row r="830" spans="1:27" x14ac:dyDescent="0.2">
      <c r="B830" t="s">
        <v>1366</v>
      </c>
      <c r="C830" t="s">
        <v>1070</v>
      </c>
      <c r="D830" t="s">
        <v>1367</v>
      </c>
      <c r="E830" s="20">
        <v>0.15</v>
      </c>
      <c r="F830" t="s">
        <v>1072</v>
      </c>
      <c r="G830" t="s">
        <v>1073</v>
      </c>
      <c r="H830" s="21">
        <v>168.95</v>
      </c>
      <c r="I830" t="s">
        <v>1074</v>
      </c>
      <c r="J830" s="22">
        <f>ROUND(E830/I824* H830,5)</f>
        <v>25.342500000000001</v>
      </c>
      <c r="K830" s="23"/>
    </row>
    <row r="831" spans="1:27" x14ac:dyDescent="0.2">
      <c r="D831" s="24" t="s">
        <v>1079</v>
      </c>
      <c r="E831" s="23"/>
      <c r="H831" s="23"/>
      <c r="K831" s="21">
        <f>SUM(J830:J830)</f>
        <v>25.342500000000001</v>
      </c>
    </row>
    <row r="832" spans="1:27" x14ac:dyDescent="0.2">
      <c r="B832" s="14" t="s">
        <v>1080</v>
      </c>
      <c r="E832" s="23"/>
      <c r="H832" s="23"/>
      <c r="K832" s="23"/>
    </row>
    <row r="833" spans="1:27" x14ac:dyDescent="0.2">
      <c r="B833" t="s">
        <v>1368</v>
      </c>
      <c r="C833" t="s">
        <v>15</v>
      </c>
      <c r="D833" t="s">
        <v>1369</v>
      </c>
      <c r="E833" s="20">
        <v>1.1000000000000001</v>
      </c>
      <c r="G833" t="s">
        <v>1073</v>
      </c>
      <c r="H833" s="21">
        <v>103.02</v>
      </c>
      <c r="I833" t="s">
        <v>1074</v>
      </c>
      <c r="J833" s="22">
        <f>ROUND(E833* H833,5)</f>
        <v>113.322</v>
      </c>
      <c r="K833" s="23"/>
    </row>
    <row r="834" spans="1:27" x14ac:dyDescent="0.2">
      <c r="D834" s="24" t="s">
        <v>1090</v>
      </c>
      <c r="E834" s="23"/>
      <c r="H834" s="23"/>
      <c r="K834" s="21">
        <f>SUM(J833:J833)</f>
        <v>113.322</v>
      </c>
    </row>
    <row r="835" spans="1:27" x14ac:dyDescent="0.2">
      <c r="E835" s="23"/>
      <c r="H835" s="23"/>
      <c r="K835" s="23"/>
    </row>
    <row r="836" spans="1:27" x14ac:dyDescent="0.2">
      <c r="D836" s="24" t="s">
        <v>1092</v>
      </c>
      <c r="E836" s="23"/>
      <c r="H836" s="23">
        <v>1.5</v>
      </c>
      <c r="I836" t="s">
        <v>1093</v>
      </c>
      <c r="J836">
        <f>ROUND(H836/100*K828,5)</f>
        <v>0.19142999999999999</v>
      </c>
      <c r="K836" s="23"/>
    </row>
    <row r="837" spans="1:27" x14ac:dyDescent="0.2">
      <c r="D837" s="24" t="s">
        <v>1091</v>
      </c>
      <c r="E837" s="23"/>
      <c r="H837" s="23"/>
      <c r="K837" s="25">
        <f>SUM(J825:J836)</f>
        <v>151.61793</v>
      </c>
    </row>
    <row r="838" spans="1:27" x14ac:dyDescent="0.2">
      <c r="D838" s="24" t="s">
        <v>1142</v>
      </c>
      <c r="E838" s="23"/>
      <c r="H838" s="23">
        <v>8</v>
      </c>
      <c r="I838" t="s">
        <v>1093</v>
      </c>
      <c r="K838" s="21">
        <f>ROUND(H838/100*K837,5)</f>
        <v>12.129429999999999</v>
      </c>
    </row>
    <row r="839" spans="1:27" x14ac:dyDescent="0.2">
      <c r="D839" s="24" t="s">
        <v>1094</v>
      </c>
      <c r="E839" s="23"/>
      <c r="H839" s="23"/>
      <c r="K839" s="25">
        <f>SUM(K837:K838)</f>
        <v>163.74736000000001</v>
      </c>
    </row>
    <row r="841" spans="1:27" ht="45" customHeight="1" x14ac:dyDescent="0.2">
      <c r="A841" s="17" t="s">
        <v>1370</v>
      </c>
      <c r="B841" s="17" t="s">
        <v>94</v>
      </c>
      <c r="C841" s="1" t="s">
        <v>15</v>
      </c>
      <c r="D841" s="96" t="s">
        <v>95</v>
      </c>
      <c r="E841" s="97"/>
      <c r="F841" s="97"/>
      <c r="G841" s="1"/>
      <c r="H841" s="18" t="s">
        <v>1066</v>
      </c>
      <c r="I841" s="98">
        <v>1</v>
      </c>
      <c r="J841" s="99"/>
      <c r="K841" s="19">
        <f>ROUND(K853,2)</f>
        <v>128.26</v>
      </c>
      <c r="L841" s="2" t="s">
        <v>1371</v>
      </c>
      <c r="M841" s="1"/>
      <c r="N841" s="1"/>
      <c r="O841" s="1"/>
      <c r="P841" s="1"/>
      <c r="Q841" s="1"/>
      <c r="R841" s="1"/>
      <c r="S841" s="1"/>
      <c r="T841" s="1"/>
      <c r="U841" s="1"/>
      <c r="V841" s="1"/>
      <c r="W841" s="1"/>
      <c r="X841" s="1"/>
      <c r="Y841" s="1"/>
      <c r="Z841" s="1"/>
      <c r="AA841" s="1"/>
    </row>
    <row r="842" spans="1:27" x14ac:dyDescent="0.2">
      <c r="B842" s="14" t="s">
        <v>1068</v>
      </c>
    </row>
    <row r="843" spans="1:27" x14ac:dyDescent="0.2">
      <c r="B843" t="s">
        <v>1364</v>
      </c>
      <c r="C843" t="s">
        <v>1070</v>
      </c>
      <c r="D843" t="s">
        <v>1365</v>
      </c>
      <c r="E843" s="20">
        <v>6.25E-2</v>
      </c>
      <c r="F843" t="s">
        <v>1072</v>
      </c>
      <c r="G843" t="s">
        <v>1073</v>
      </c>
      <c r="H843" s="21">
        <v>29.42</v>
      </c>
      <c r="I843" t="s">
        <v>1074</v>
      </c>
      <c r="J843" s="22">
        <f>ROUND(E843/I841* H843,5)</f>
        <v>1.8387500000000001</v>
      </c>
      <c r="K843" s="23"/>
    </row>
    <row r="844" spans="1:27" x14ac:dyDescent="0.2">
      <c r="B844" t="s">
        <v>1205</v>
      </c>
      <c r="C844" t="s">
        <v>1070</v>
      </c>
      <c r="D844" t="s">
        <v>1206</v>
      </c>
      <c r="E844" s="20">
        <v>0.25</v>
      </c>
      <c r="F844" t="s">
        <v>1072</v>
      </c>
      <c r="G844" t="s">
        <v>1073</v>
      </c>
      <c r="H844" s="21">
        <v>24.55</v>
      </c>
      <c r="I844" t="s">
        <v>1074</v>
      </c>
      <c r="J844" s="22">
        <f>ROUND(E844/I841* H844,5)</f>
        <v>6.1375000000000002</v>
      </c>
      <c r="K844" s="23"/>
    </row>
    <row r="845" spans="1:27" x14ac:dyDescent="0.2">
      <c r="D845" s="24" t="s">
        <v>1075</v>
      </c>
      <c r="E845" s="23"/>
      <c r="H845" s="23"/>
      <c r="K845" s="21">
        <f>SUM(J843:J844)</f>
        <v>7.9762500000000003</v>
      </c>
    </row>
    <row r="846" spans="1:27" x14ac:dyDescent="0.2">
      <c r="B846" s="14" t="s">
        <v>1080</v>
      </c>
      <c r="E846" s="23"/>
      <c r="H846" s="23"/>
      <c r="K846" s="23"/>
    </row>
    <row r="847" spans="1:27" x14ac:dyDescent="0.2">
      <c r="B847" t="s">
        <v>1372</v>
      </c>
      <c r="C847" t="s">
        <v>15</v>
      </c>
      <c r="D847" t="s">
        <v>1373</v>
      </c>
      <c r="E847" s="20">
        <v>1.1000000000000001</v>
      </c>
      <c r="G847" t="s">
        <v>1073</v>
      </c>
      <c r="H847" s="21">
        <v>100.6</v>
      </c>
      <c r="I847" t="s">
        <v>1074</v>
      </c>
      <c r="J847" s="22">
        <f>ROUND(E847* H847,5)</f>
        <v>110.66</v>
      </c>
      <c r="K847" s="23"/>
    </row>
    <row r="848" spans="1:27" x14ac:dyDescent="0.2">
      <c r="D848" s="24" t="s">
        <v>1090</v>
      </c>
      <c r="E848" s="23"/>
      <c r="H848" s="23"/>
      <c r="K848" s="21">
        <f>SUM(J847:J847)</f>
        <v>110.66</v>
      </c>
    </row>
    <row r="849" spans="1:27" x14ac:dyDescent="0.2">
      <c r="E849" s="23"/>
      <c r="H849" s="23"/>
      <c r="K849" s="23"/>
    </row>
    <row r="850" spans="1:27" x14ac:dyDescent="0.2">
      <c r="D850" s="24" t="s">
        <v>1092</v>
      </c>
      <c r="E850" s="23"/>
      <c r="H850" s="23">
        <v>1.5</v>
      </c>
      <c r="I850" t="s">
        <v>1093</v>
      </c>
      <c r="J850">
        <f>ROUND(H850/100*K845,5)</f>
        <v>0.11964</v>
      </c>
      <c r="K850" s="23"/>
    </row>
    <row r="851" spans="1:27" x14ac:dyDescent="0.2">
      <c r="D851" s="24" t="s">
        <v>1091</v>
      </c>
      <c r="E851" s="23"/>
      <c r="H851" s="23"/>
      <c r="K851" s="25">
        <f>SUM(J842:J850)</f>
        <v>118.75588999999999</v>
      </c>
    </row>
    <row r="852" spans="1:27" x14ac:dyDescent="0.2">
      <c r="D852" s="24" t="s">
        <v>1142</v>
      </c>
      <c r="E852" s="23"/>
      <c r="H852" s="23">
        <v>8</v>
      </c>
      <c r="I852" t="s">
        <v>1093</v>
      </c>
      <c r="K852" s="21">
        <f>ROUND(H852/100*K851,5)</f>
        <v>9.50047</v>
      </c>
    </row>
    <row r="853" spans="1:27" x14ac:dyDescent="0.2">
      <c r="D853" s="24" t="s">
        <v>1094</v>
      </c>
      <c r="E853" s="23"/>
      <c r="H853" s="23"/>
      <c r="K853" s="25">
        <f>SUM(K851:K852)</f>
        <v>128.25636</v>
      </c>
    </row>
    <row r="855" spans="1:27" ht="45" customHeight="1" x14ac:dyDescent="0.2">
      <c r="A855" s="17" t="s">
        <v>1374</v>
      </c>
      <c r="B855" s="17" t="s">
        <v>109</v>
      </c>
      <c r="C855" s="1" t="s">
        <v>103</v>
      </c>
      <c r="D855" s="96" t="s">
        <v>110</v>
      </c>
      <c r="E855" s="97"/>
      <c r="F855" s="97"/>
      <c r="G855" s="1"/>
      <c r="H855" s="18" t="s">
        <v>1066</v>
      </c>
      <c r="I855" s="98">
        <v>1</v>
      </c>
      <c r="J855" s="99"/>
      <c r="K855" s="19">
        <f>ROUND(K870,2)</f>
        <v>2.0299999999999998</v>
      </c>
      <c r="L855" s="2" t="s">
        <v>1375</v>
      </c>
      <c r="M855" s="1"/>
      <c r="N855" s="1"/>
      <c r="O855" s="1"/>
      <c r="P855" s="1"/>
      <c r="Q855" s="1"/>
      <c r="R855" s="1"/>
      <c r="S855" s="1"/>
      <c r="T855" s="1"/>
      <c r="U855" s="1"/>
      <c r="V855" s="1"/>
      <c r="W855" s="1"/>
      <c r="X855" s="1"/>
      <c r="Y855" s="1"/>
      <c r="Z855" s="1"/>
      <c r="AA855" s="1"/>
    </row>
    <row r="856" spans="1:27" x14ac:dyDescent="0.2">
      <c r="B856" s="14" t="s">
        <v>1068</v>
      </c>
    </row>
    <row r="857" spans="1:27" x14ac:dyDescent="0.2">
      <c r="B857" t="s">
        <v>1123</v>
      </c>
      <c r="C857" t="s">
        <v>1070</v>
      </c>
      <c r="D857" t="s">
        <v>1124</v>
      </c>
      <c r="E857" s="20">
        <v>8.0000000000000002E-3</v>
      </c>
      <c r="F857" t="s">
        <v>1072</v>
      </c>
      <c r="G857" t="s">
        <v>1073</v>
      </c>
      <c r="H857" s="21">
        <v>29.42</v>
      </c>
      <c r="I857" t="s">
        <v>1074</v>
      </c>
      <c r="J857" s="22">
        <f>ROUND(E857/I855* H857,5)</f>
        <v>0.23536000000000001</v>
      </c>
      <c r="K857" s="23"/>
    </row>
    <row r="858" spans="1:27" x14ac:dyDescent="0.2">
      <c r="B858" t="s">
        <v>1125</v>
      </c>
      <c r="C858" t="s">
        <v>1070</v>
      </c>
      <c r="D858" t="s">
        <v>1126</v>
      </c>
      <c r="E858" s="20">
        <v>0.01</v>
      </c>
      <c r="F858" t="s">
        <v>1072</v>
      </c>
      <c r="G858" t="s">
        <v>1073</v>
      </c>
      <c r="H858" s="21">
        <v>26.12</v>
      </c>
      <c r="I858" t="s">
        <v>1074</v>
      </c>
      <c r="J858" s="22">
        <f>ROUND(E858/I855* H858,5)</f>
        <v>0.26119999999999999</v>
      </c>
      <c r="K858" s="23"/>
    </row>
    <row r="859" spans="1:27" x14ac:dyDescent="0.2">
      <c r="D859" s="24" t="s">
        <v>1075</v>
      </c>
      <c r="E859" s="23"/>
      <c r="H859" s="23"/>
      <c r="K859" s="21">
        <f>SUM(J857:J858)</f>
        <v>0.49656</v>
      </c>
    </row>
    <row r="860" spans="1:27" x14ac:dyDescent="0.2">
      <c r="B860" s="14" t="s">
        <v>1080</v>
      </c>
      <c r="E860" s="23"/>
      <c r="H860" s="23"/>
      <c r="K860" s="23"/>
    </row>
    <row r="861" spans="1:27" x14ac:dyDescent="0.2">
      <c r="B861" t="s">
        <v>1129</v>
      </c>
      <c r="C861" t="s">
        <v>103</v>
      </c>
      <c r="D861" t="s">
        <v>1130</v>
      </c>
      <c r="E861" s="20">
        <v>6.1199999999999996E-3</v>
      </c>
      <c r="G861" t="s">
        <v>1073</v>
      </c>
      <c r="H861" s="21">
        <v>1.87</v>
      </c>
      <c r="I861" t="s">
        <v>1074</v>
      </c>
      <c r="J861" s="22">
        <f>ROUND(E861* H861,5)</f>
        <v>1.1440000000000001E-2</v>
      </c>
      <c r="K861" s="23"/>
    </row>
    <row r="862" spans="1:27" x14ac:dyDescent="0.2">
      <c r="D862" s="24" t="s">
        <v>1090</v>
      </c>
      <c r="E862" s="23"/>
      <c r="H862" s="23"/>
      <c r="K862" s="21">
        <f>SUM(J861:J861)</f>
        <v>1.1440000000000001E-2</v>
      </c>
    </row>
    <row r="863" spans="1:27" x14ac:dyDescent="0.2">
      <c r="B863" s="14" t="s">
        <v>1063</v>
      </c>
      <c r="E863" s="23"/>
      <c r="H863" s="23"/>
      <c r="K863" s="23"/>
    </row>
    <row r="864" spans="1:27" x14ac:dyDescent="0.2">
      <c r="B864" t="s">
        <v>1120</v>
      </c>
      <c r="C864" t="s">
        <v>103</v>
      </c>
      <c r="D864" t="s">
        <v>1121</v>
      </c>
      <c r="E864" s="20">
        <v>1</v>
      </c>
      <c r="G864" t="s">
        <v>1073</v>
      </c>
      <c r="H864" s="21">
        <v>1.36005</v>
      </c>
      <c r="I864" t="s">
        <v>1074</v>
      </c>
      <c r="J864" s="22">
        <f>ROUND(E864* H864,5)</f>
        <v>1.36005</v>
      </c>
      <c r="K864" s="23"/>
    </row>
    <row r="865" spans="1:27" x14ac:dyDescent="0.2">
      <c r="D865" s="24" t="s">
        <v>1361</v>
      </c>
      <c r="E865" s="23"/>
      <c r="H865" s="23"/>
      <c r="K865" s="21">
        <f>SUM(J864:J864)</f>
        <v>1.36005</v>
      </c>
    </row>
    <row r="866" spans="1:27" x14ac:dyDescent="0.2">
      <c r="E866" s="23"/>
      <c r="H866" s="23"/>
      <c r="K866" s="23"/>
    </row>
    <row r="867" spans="1:27" x14ac:dyDescent="0.2">
      <c r="D867" s="24" t="s">
        <v>1092</v>
      </c>
      <c r="E867" s="23"/>
      <c r="H867" s="23">
        <v>1.5</v>
      </c>
      <c r="I867" t="s">
        <v>1093</v>
      </c>
      <c r="J867">
        <f>ROUND(H867/100*K859,5)</f>
        <v>7.45E-3</v>
      </c>
      <c r="K867" s="23"/>
    </row>
    <row r="868" spans="1:27" x14ac:dyDescent="0.2">
      <c r="D868" s="24" t="s">
        <v>1091</v>
      </c>
      <c r="E868" s="23"/>
      <c r="H868" s="23"/>
      <c r="K868" s="25">
        <f>SUM(J856:J867)</f>
        <v>1.8754999999999999</v>
      </c>
    </row>
    <row r="869" spans="1:27" x14ac:dyDescent="0.2">
      <c r="D869" s="24" t="s">
        <v>1142</v>
      </c>
      <c r="E869" s="23"/>
      <c r="H869" s="23">
        <v>8</v>
      </c>
      <c r="I869" t="s">
        <v>1093</v>
      </c>
      <c r="K869" s="21">
        <f>ROUND(H869/100*K868,5)</f>
        <v>0.15004000000000001</v>
      </c>
    </row>
    <row r="870" spans="1:27" x14ac:dyDescent="0.2">
      <c r="D870" s="24" t="s">
        <v>1094</v>
      </c>
      <c r="E870" s="23"/>
      <c r="H870" s="23"/>
      <c r="K870" s="25">
        <f>SUM(K868:K869)</f>
        <v>2.0255399999999999</v>
      </c>
    </row>
    <row r="872" spans="1:27" ht="45" customHeight="1" x14ac:dyDescent="0.2">
      <c r="A872" s="17" t="s">
        <v>1376</v>
      </c>
      <c r="B872" s="17" t="s">
        <v>111</v>
      </c>
      <c r="C872" s="1" t="s">
        <v>18</v>
      </c>
      <c r="D872" s="96" t="s">
        <v>112</v>
      </c>
      <c r="E872" s="97"/>
      <c r="F872" s="97"/>
      <c r="G872" s="1"/>
      <c r="H872" s="18" t="s">
        <v>1066</v>
      </c>
      <c r="I872" s="98">
        <v>1</v>
      </c>
      <c r="J872" s="99"/>
      <c r="K872" s="19">
        <f>ROUND(K889,2)</f>
        <v>32.51</v>
      </c>
      <c r="L872" s="2" t="s">
        <v>1377</v>
      </c>
      <c r="M872" s="1"/>
      <c r="N872" s="1"/>
      <c r="O872" s="1"/>
      <c r="P872" s="1"/>
      <c r="Q872" s="1"/>
      <c r="R872" s="1"/>
      <c r="S872" s="1"/>
      <c r="T872" s="1"/>
      <c r="U872" s="1"/>
      <c r="V872" s="1"/>
      <c r="W872" s="1"/>
      <c r="X872" s="1"/>
      <c r="Y872" s="1"/>
      <c r="Z872" s="1"/>
      <c r="AA872" s="1"/>
    </row>
    <row r="873" spans="1:27" x14ac:dyDescent="0.2">
      <c r="B873" s="14" t="s">
        <v>1068</v>
      </c>
    </row>
    <row r="874" spans="1:27" x14ac:dyDescent="0.2">
      <c r="B874" t="s">
        <v>1378</v>
      </c>
      <c r="C874" t="s">
        <v>1070</v>
      </c>
      <c r="D874" t="s">
        <v>1379</v>
      </c>
      <c r="E874" s="20">
        <v>0.5</v>
      </c>
      <c r="F874" t="s">
        <v>1072</v>
      </c>
      <c r="G874" t="s">
        <v>1073</v>
      </c>
      <c r="H874" s="21">
        <v>26.12</v>
      </c>
      <c r="I874" t="s">
        <v>1074</v>
      </c>
      <c r="J874" s="22">
        <f>ROUND(E874/I872* H874,5)</f>
        <v>13.06</v>
      </c>
      <c r="K874" s="23"/>
    </row>
    <row r="875" spans="1:27" x14ac:dyDescent="0.2">
      <c r="B875" t="s">
        <v>1380</v>
      </c>
      <c r="C875" t="s">
        <v>1070</v>
      </c>
      <c r="D875" t="s">
        <v>1381</v>
      </c>
      <c r="E875" s="20">
        <v>0.45</v>
      </c>
      <c r="F875" t="s">
        <v>1072</v>
      </c>
      <c r="G875" t="s">
        <v>1073</v>
      </c>
      <c r="H875" s="21">
        <v>29.42</v>
      </c>
      <c r="I875" t="s">
        <v>1074</v>
      </c>
      <c r="J875" s="22">
        <f>ROUND(E875/I872* H875,5)</f>
        <v>13.239000000000001</v>
      </c>
      <c r="K875" s="23"/>
    </row>
    <row r="876" spans="1:27" x14ac:dyDescent="0.2">
      <c r="D876" s="24" t="s">
        <v>1075</v>
      </c>
      <c r="E876" s="23"/>
      <c r="H876" s="23"/>
      <c r="K876" s="21">
        <f>SUM(J874:J875)</f>
        <v>26.298999999999999</v>
      </c>
    </row>
    <row r="877" spans="1:27" x14ac:dyDescent="0.2">
      <c r="B877" s="14" t="s">
        <v>1080</v>
      </c>
      <c r="E877" s="23"/>
      <c r="H877" s="23"/>
      <c r="K877" s="23"/>
    </row>
    <row r="878" spans="1:27" x14ac:dyDescent="0.2">
      <c r="B878" t="s">
        <v>1384</v>
      </c>
      <c r="C878" t="s">
        <v>1210</v>
      </c>
      <c r="D878" t="s">
        <v>1385</v>
      </c>
      <c r="E878" s="20">
        <v>0.08</v>
      </c>
      <c r="G878" t="s">
        <v>1073</v>
      </c>
      <c r="H878" s="21">
        <v>2.89</v>
      </c>
      <c r="I878" t="s">
        <v>1074</v>
      </c>
      <c r="J878" s="22">
        <f t="shared" ref="J878:J883" si="0">ROUND(E878* H878,5)</f>
        <v>0.23119999999999999</v>
      </c>
      <c r="K878" s="23"/>
    </row>
    <row r="879" spans="1:27" x14ac:dyDescent="0.2">
      <c r="B879" t="s">
        <v>1388</v>
      </c>
      <c r="C879" t="s">
        <v>103</v>
      </c>
      <c r="D879" t="s">
        <v>1389</v>
      </c>
      <c r="E879" s="20">
        <v>0.1</v>
      </c>
      <c r="G879" t="s">
        <v>1073</v>
      </c>
      <c r="H879" s="21">
        <v>1.83</v>
      </c>
      <c r="I879" t="s">
        <v>1074</v>
      </c>
      <c r="J879" s="22">
        <f t="shared" si="0"/>
        <v>0.183</v>
      </c>
      <c r="K879" s="23"/>
    </row>
    <row r="880" spans="1:27" x14ac:dyDescent="0.2">
      <c r="B880" t="s">
        <v>1390</v>
      </c>
      <c r="C880" t="s">
        <v>36</v>
      </c>
      <c r="D880" t="s">
        <v>1391</v>
      </c>
      <c r="E880" s="20">
        <v>1.4993000000000001</v>
      </c>
      <c r="G880" t="s">
        <v>1073</v>
      </c>
      <c r="H880" s="21">
        <v>0.45</v>
      </c>
      <c r="I880" t="s">
        <v>1074</v>
      </c>
      <c r="J880" s="22">
        <f t="shared" si="0"/>
        <v>0.67469000000000001</v>
      </c>
      <c r="K880" s="23"/>
    </row>
    <row r="881" spans="1:27" x14ac:dyDescent="0.2">
      <c r="B881" t="s">
        <v>1386</v>
      </c>
      <c r="C881" t="s">
        <v>18</v>
      </c>
      <c r="D881" t="s">
        <v>1387</v>
      </c>
      <c r="E881" s="20">
        <v>1.1220000000000001</v>
      </c>
      <c r="G881" t="s">
        <v>1073</v>
      </c>
      <c r="H881" s="21">
        <v>1.2</v>
      </c>
      <c r="I881" t="s">
        <v>1074</v>
      </c>
      <c r="J881" s="22">
        <f t="shared" si="0"/>
        <v>1.3464</v>
      </c>
      <c r="K881" s="23"/>
    </row>
    <row r="882" spans="1:27" x14ac:dyDescent="0.2">
      <c r="B882" t="s">
        <v>1382</v>
      </c>
      <c r="C882" t="s">
        <v>23</v>
      </c>
      <c r="D882" t="s">
        <v>1383</v>
      </c>
      <c r="E882" s="20">
        <v>1</v>
      </c>
      <c r="G882" t="s">
        <v>1073</v>
      </c>
      <c r="H882" s="21">
        <v>0.56000000000000005</v>
      </c>
      <c r="I882" t="s">
        <v>1074</v>
      </c>
      <c r="J882" s="22">
        <f t="shared" si="0"/>
        <v>0.56000000000000005</v>
      </c>
      <c r="K882" s="23"/>
    </row>
    <row r="883" spans="1:27" x14ac:dyDescent="0.2">
      <c r="B883" t="s">
        <v>1392</v>
      </c>
      <c r="C883" t="s">
        <v>1393</v>
      </c>
      <c r="D883" t="s">
        <v>1394</v>
      </c>
      <c r="E883" s="20">
        <v>1.0070000000000001E-2</v>
      </c>
      <c r="G883" t="s">
        <v>1073</v>
      </c>
      <c r="H883" s="21">
        <v>14.48</v>
      </c>
      <c r="I883" t="s">
        <v>1074</v>
      </c>
      <c r="J883" s="22">
        <f t="shared" si="0"/>
        <v>0.14581</v>
      </c>
      <c r="K883" s="23"/>
    </row>
    <row r="884" spans="1:27" x14ac:dyDescent="0.2">
      <c r="D884" s="24" t="s">
        <v>1090</v>
      </c>
      <c r="E884" s="23"/>
      <c r="H884" s="23"/>
      <c r="K884" s="21">
        <f>SUM(J878:J883)</f>
        <v>3.1411000000000002</v>
      </c>
    </row>
    <row r="885" spans="1:27" x14ac:dyDescent="0.2">
      <c r="E885" s="23"/>
      <c r="H885" s="23"/>
      <c r="K885" s="23"/>
    </row>
    <row r="886" spans="1:27" x14ac:dyDescent="0.2">
      <c r="D886" s="24" t="s">
        <v>1092</v>
      </c>
      <c r="E886" s="23"/>
      <c r="H886" s="23">
        <v>2.5</v>
      </c>
      <c r="I886" t="s">
        <v>1093</v>
      </c>
      <c r="J886">
        <f>ROUND(H886/100*K876,5)</f>
        <v>0.65747999999999995</v>
      </c>
      <c r="K886" s="23"/>
    </row>
    <row r="887" spans="1:27" x14ac:dyDescent="0.2">
      <c r="D887" s="24" t="s">
        <v>1091</v>
      </c>
      <c r="E887" s="23"/>
      <c r="H887" s="23"/>
      <c r="K887" s="25">
        <f>SUM(J873:J886)</f>
        <v>30.097579999999997</v>
      </c>
    </row>
    <row r="888" spans="1:27" x14ac:dyDescent="0.2">
      <c r="D888" s="24" t="s">
        <v>1142</v>
      </c>
      <c r="E888" s="23"/>
      <c r="H888" s="23">
        <v>8</v>
      </c>
      <c r="I888" t="s">
        <v>1093</v>
      </c>
      <c r="K888" s="21">
        <f>ROUND(H888/100*K887,5)</f>
        <v>2.40781</v>
      </c>
    </row>
    <row r="889" spans="1:27" x14ac:dyDescent="0.2">
      <c r="D889" s="24" t="s">
        <v>1094</v>
      </c>
      <c r="E889" s="23"/>
      <c r="H889" s="23"/>
      <c r="K889" s="25">
        <f>SUM(K887:K888)</f>
        <v>32.505389999999998</v>
      </c>
    </row>
    <row r="891" spans="1:27" ht="45" customHeight="1" x14ac:dyDescent="0.2">
      <c r="A891" s="17" t="s">
        <v>1395</v>
      </c>
      <c r="B891" s="17" t="s">
        <v>107</v>
      </c>
      <c r="C891" s="1" t="s">
        <v>15</v>
      </c>
      <c r="D891" s="96" t="s">
        <v>108</v>
      </c>
      <c r="E891" s="97"/>
      <c r="F891" s="97"/>
      <c r="G891" s="1"/>
      <c r="H891" s="18" t="s">
        <v>1066</v>
      </c>
      <c r="I891" s="98">
        <v>1</v>
      </c>
      <c r="J891" s="99"/>
      <c r="K891" s="19">
        <f>ROUND(K906,2)</f>
        <v>147.63999999999999</v>
      </c>
      <c r="L891" s="2" t="s">
        <v>1396</v>
      </c>
      <c r="M891" s="1"/>
      <c r="N891" s="1"/>
      <c r="O891" s="1"/>
      <c r="P891" s="1"/>
      <c r="Q891" s="1"/>
      <c r="R891" s="1"/>
      <c r="S891" s="1"/>
      <c r="T891" s="1"/>
      <c r="U891" s="1"/>
      <c r="V891" s="1"/>
      <c r="W891" s="1"/>
      <c r="X891" s="1"/>
      <c r="Y891" s="1"/>
      <c r="Z891" s="1"/>
      <c r="AA891" s="1"/>
    </row>
    <row r="892" spans="1:27" x14ac:dyDescent="0.2">
      <c r="B892" s="14" t="s">
        <v>1068</v>
      </c>
    </row>
    <row r="893" spans="1:27" x14ac:dyDescent="0.2">
      <c r="B893" t="s">
        <v>1364</v>
      </c>
      <c r="C893" t="s">
        <v>1070</v>
      </c>
      <c r="D893" t="s">
        <v>1365</v>
      </c>
      <c r="E893" s="20">
        <v>0.06</v>
      </c>
      <c r="F893" t="s">
        <v>1072</v>
      </c>
      <c r="G893" t="s">
        <v>1073</v>
      </c>
      <c r="H893" s="21">
        <v>29.42</v>
      </c>
      <c r="I893" t="s">
        <v>1074</v>
      </c>
      <c r="J893" s="22">
        <f>ROUND(E893/I891* H893,5)</f>
        <v>1.7652000000000001</v>
      </c>
      <c r="K893" s="23"/>
    </row>
    <row r="894" spans="1:27" x14ac:dyDescent="0.2">
      <c r="B894" t="s">
        <v>1205</v>
      </c>
      <c r="C894" t="s">
        <v>1070</v>
      </c>
      <c r="D894" t="s">
        <v>1206</v>
      </c>
      <c r="E894" s="20">
        <v>0.24</v>
      </c>
      <c r="F894" t="s">
        <v>1072</v>
      </c>
      <c r="G894" t="s">
        <v>1073</v>
      </c>
      <c r="H894" s="21">
        <v>24.55</v>
      </c>
      <c r="I894" t="s">
        <v>1074</v>
      </c>
      <c r="J894" s="22">
        <f>ROUND(E894/I891* H894,5)</f>
        <v>5.8920000000000003</v>
      </c>
      <c r="K894" s="23"/>
    </row>
    <row r="895" spans="1:27" x14ac:dyDescent="0.2">
      <c r="D895" s="24" t="s">
        <v>1075</v>
      </c>
      <c r="E895" s="23"/>
      <c r="H895" s="23"/>
      <c r="K895" s="21">
        <f>SUM(J893:J894)</f>
        <v>7.6572000000000005</v>
      </c>
    </row>
    <row r="896" spans="1:27" x14ac:dyDescent="0.2">
      <c r="B896" s="14" t="s">
        <v>1076</v>
      </c>
      <c r="E896" s="23"/>
      <c r="H896" s="23"/>
      <c r="K896" s="23"/>
    </row>
    <row r="897" spans="1:27" x14ac:dyDescent="0.2">
      <c r="B897" t="s">
        <v>1366</v>
      </c>
      <c r="C897" t="s">
        <v>1070</v>
      </c>
      <c r="D897" t="s">
        <v>1367</v>
      </c>
      <c r="E897" s="20">
        <v>0.1</v>
      </c>
      <c r="F897" t="s">
        <v>1072</v>
      </c>
      <c r="G897" t="s">
        <v>1073</v>
      </c>
      <c r="H897" s="21">
        <v>168.95</v>
      </c>
      <c r="I897" t="s">
        <v>1074</v>
      </c>
      <c r="J897" s="22">
        <f>ROUND(E897/I891* H897,5)</f>
        <v>16.895</v>
      </c>
      <c r="K897" s="23"/>
    </row>
    <row r="898" spans="1:27" x14ac:dyDescent="0.2">
      <c r="D898" s="24" t="s">
        <v>1079</v>
      </c>
      <c r="E898" s="23"/>
      <c r="H898" s="23"/>
      <c r="K898" s="21">
        <f>SUM(J897:J897)</f>
        <v>16.895</v>
      </c>
    </row>
    <row r="899" spans="1:27" x14ac:dyDescent="0.2">
      <c r="B899" s="14" t="s">
        <v>1080</v>
      </c>
      <c r="E899" s="23"/>
      <c r="H899" s="23"/>
      <c r="K899" s="23"/>
    </row>
    <row r="900" spans="1:27" x14ac:dyDescent="0.2">
      <c r="B900" t="s">
        <v>1397</v>
      </c>
      <c r="C900" t="s">
        <v>15</v>
      </c>
      <c r="D900" t="s">
        <v>1398</v>
      </c>
      <c r="E900" s="20">
        <v>1.05</v>
      </c>
      <c r="G900" t="s">
        <v>1073</v>
      </c>
      <c r="H900" s="21">
        <v>106.63</v>
      </c>
      <c r="I900" t="s">
        <v>1074</v>
      </c>
      <c r="J900" s="22">
        <f>ROUND(E900* H900,5)</f>
        <v>111.9615</v>
      </c>
      <c r="K900" s="23"/>
    </row>
    <row r="901" spans="1:27" x14ac:dyDescent="0.2">
      <c r="D901" s="24" t="s">
        <v>1090</v>
      </c>
      <c r="E901" s="23"/>
      <c r="H901" s="23"/>
      <c r="K901" s="21">
        <f>SUM(J900:J900)</f>
        <v>111.9615</v>
      </c>
    </row>
    <row r="902" spans="1:27" x14ac:dyDescent="0.2">
      <c r="E902" s="23"/>
      <c r="H902" s="23"/>
      <c r="K902" s="23"/>
    </row>
    <row r="903" spans="1:27" x14ac:dyDescent="0.2">
      <c r="D903" s="24" t="s">
        <v>1092</v>
      </c>
      <c r="E903" s="23"/>
      <c r="H903" s="23">
        <v>2.5</v>
      </c>
      <c r="I903" t="s">
        <v>1093</v>
      </c>
      <c r="J903">
        <f>ROUND(H903/100*K895,5)</f>
        <v>0.19142999999999999</v>
      </c>
      <c r="K903" s="23"/>
    </row>
    <row r="904" spans="1:27" x14ac:dyDescent="0.2">
      <c r="D904" s="24" t="s">
        <v>1091</v>
      </c>
      <c r="E904" s="23"/>
      <c r="H904" s="23"/>
      <c r="K904" s="25">
        <f>SUM(J892:J903)</f>
        <v>136.70513</v>
      </c>
    </row>
    <row r="905" spans="1:27" x14ac:dyDescent="0.2">
      <c r="D905" s="24" t="s">
        <v>1142</v>
      </c>
      <c r="E905" s="23"/>
      <c r="H905" s="23">
        <v>8</v>
      </c>
      <c r="I905" t="s">
        <v>1093</v>
      </c>
      <c r="K905" s="21">
        <f>ROUND(H905/100*K904,5)</f>
        <v>10.93641</v>
      </c>
    </row>
    <row r="906" spans="1:27" x14ac:dyDescent="0.2">
      <c r="D906" s="24" t="s">
        <v>1094</v>
      </c>
      <c r="E906" s="23"/>
      <c r="H906" s="23"/>
      <c r="K906" s="25">
        <f>SUM(K904:K905)</f>
        <v>147.64153999999999</v>
      </c>
    </row>
    <row r="908" spans="1:27" ht="45" customHeight="1" x14ac:dyDescent="0.2">
      <c r="A908" s="17" t="s">
        <v>1399</v>
      </c>
      <c r="B908" s="17" t="s">
        <v>176</v>
      </c>
      <c r="C908" s="1" t="s">
        <v>18</v>
      </c>
      <c r="D908" s="96" t="s">
        <v>177</v>
      </c>
      <c r="E908" s="97"/>
      <c r="F908" s="97"/>
      <c r="G908" s="1"/>
      <c r="H908" s="18" t="s">
        <v>1066</v>
      </c>
      <c r="I908" s="98">
        <v>1</v>
      </c>
      <c r="J908" s="99"/>
      <c r="K908" s="19">
        <f>ROUND(K921,2)</f>
        <v>5.05</v>
      </c>
      <c r="L908" s="2" t="s">
        <v>1400</v>
      </c>
      <c r="M908" s="1"/>
      <c r="N908" s="1"/>
      <c r="O908" s="1"/>
      <c r="P908" s="1"/>
      <c r="Q908" s="1"/>
      <c r="R908" s="1"/>
      <c r="S908" s="1"/>
      <c r="T908" s="1"/>
      <c r="U908" s="1"/>
      <c r="V908" s="1"/>
      <c r="W908" s="1"/>
      <c r="X908" s="1"/>
      <c r="Y908" s="1"/>
      <c r="Z908" s="1"/>
      <c r="AA908" s="1"/>
    </row>
    <row r="909" spans="1:27" x14ac:dyDescent="0.2">
      <c r="B909" s="14" t="s">
        <v>1068</v>
      </c>
    </row>
    <row r="910" spans="1:27" x14ac:dyDescent="0.2">
      <c r="B910" t="s">
        <v>1123</v>
      </c>
      <c r="C910" t="s">
        <v>1070</v>
      </c>
      <c r="D910" t="s">
        <v>1124</v>
      </c>
      <c r="E910" s="20">
        <v>2.5999999999999999E-2</v>
      </c>
      <c r="F910" t="s">
        <v>1072</v>
      </c>
      <c r="G910" t="s">
        <v>1073</v>
      </c>
      <c r="H910" s="21">
        <v>29.42</v>
      </c>
      <c r="I910" t="s">
        <v>1074</v>
      </c>
      <c r="J910" s="22">
        <f>ROUND(E910/I908* H910,5)</f>
        <v>0.76492000000000004</v>
      </c>
      <c r="K910" s="23"/>
    </row>
    <row r="911" spans="1:27" x14ac:dyDescent="0.2">
      <c r="B911" t="s">
        <v>1125</v>
      </c>
      <c r="C911" t="s">
        <v>1070</v>
      </c>
      <c r="D911" t="s">
        <v>1126</v>
      </c>
      <c r="E911" s="20">
        <v>2.5999999999999999E-2</v>
      </c>
      <c r="F911" t="s">
        <v>1072</v>
      </c>
      <c r="G911" t="s">
        <v>1073</v>
      </c>
      <c r="H911" s="21">
        <v>26.12</v>
      </c>
      <c r="I911" t="s">
        <v>1074</v>
      </c>
      <c r="J911" s="22">
        <f>ROUND(E911/I908* H911,5)</f>
        <v>0.67911999999999995</v>
      </c>
      <c r="K911" s="23"/>
    </row>
    <row r="912" spans="1:27" x14ac:dyDescent="0.2">
      <c r="D912" s="24" t="s">
        <v>1075</v>
      </c>
      <c r="E912" s="23"/>
      <c r="H912" s="23"/>
      <c r="K912" s="21">
        <f>SUM(J910:J911)</f>
        <v>1.44404</v>
      </c>
    </row>
    <row r="913" spans="1:27" x14ac:dyDescent="0.2">
      <c r="B913" s="14" t="s">
        <v>1080</v>
      </c>
      <c r="E913" s="23"/>
      <c r="H913" s="23"/>
      <c r="K913" s="23"/>
    </row>
    <row r="914" spans="1:27" x14ac:dyDescent="0.2">
      <c r="B914" t="s">
        <v>1401</v>
      </c>
      <c r="C914" t="s">
        <v>18</v>
      </c>
      <c r="D914" t="s">
        <v>1402</v>
      </c>
      <c r="E914" s="20">
        <v>1.2</v>
      </c>
      <c r="G914" t="s">
        <v>1073</v>
      </c>
      <c r="H914" s="21">
        <v>2.65</v>
      </c>
      <c r="I914" t="s">
        <v>1074</v>
      </c>
      <c r="J914" s="22">
        <f>ROUND(E914* H914,5)</f>
        <v>3.18</v>
      </c>
      <c r="K914" s="23"/>
    </row>
    <row r="915" spans="1:27" x14ac:dyDescent="0.2">
      <c r="B915" t="s">
        <v>1129</v>
      </c>
      <c r="C915" t="s">
        <v>103</v>
      </c>
      <c r="D915" t="s">
        <v>1130</v>
      </c>
      <c r="E915" s="20">
        <v>1.8360000000000001E-2</v>
      </c>
      <c r="G915" t="s">
        <v>1073</v>
      </c>
      <c r="H915" s="21">
        <v>1.87</v>
      </c>
      <c r="I915" t="s">
        <v>1074</v>
      </c>
      <c r="J915" s="22">
        <f>ROUND(E915* H915,5)</f>
        <v>3.4329999999999999E-2</v>
      </c>
      <c r="K915" s="23"/>
    </row>
    <row r="916" spans="1:27" x14ac:dyDescent="0.2">
      <c r="D916" s="24" t="s">
        <v>1090</v>
      </c>
      <c r="E916" s="23"/>
      <c r="H916" s="23"/>
      <c r="K916" s="21">
        <f>SUM(J914:J915)</f>
        <v>3.2143300000000004</v>
      </c>
    </row>
    <row r="917" spans="1:27" x14ac:dyDescent="0.2">
      <c r="E917" s="23"/>
      <c r="H917" s="23"/>
      <c r="K917" s="23"/>
    </row>
    <row r="918" spans="1:27" x14ac:dyDescent="0.2">
      <c r="D918" s="24" t="s">
        <v>1092</v>
      </c>
      <c r="E918" s="23"/>
      <c r="H918" s="23">
        <v>1.5</v>
      </c>
      <c r="I918" t="s">
        <v>1093</v>
      </c>
      <c r="J918">
        <f>ROUND(H918/100*K912,5)</f>
        <v>2.1659999999999999E-2</v>
      </c>
      <c r="K918" s="23"/>
    </row>
    <row r="919" spans="1:27" x14ac:dyDescent="0.2">
      <c r="D919" s="24" t="s">
        <v>1091</v>
      </c>
      <c r="E919" s="23"/>
      <c r="H919" s="23"/>
      <c r="K919" s="25">
        <f>SUM(J909:J918)</f>
        <v>4.6800299999999995</v>
      </c>
    </row>
    <row r="920" spans="1:27" x14ac:dyDescent="0.2">
      <c r="D920" s="24" t="s">
        <v>1142</v>
      </c>
      <c r="E920" s="23"/>
      <c r="H920" s="23">
        <v>8</v>
      </c>
      <c r="I920" t="s">
        <v>1093</v>
      </c>
      <c r="K920" s="21">
        <f>ROUND(H920/100*K919,5)</f>
        <v>0.37440000000000001</v>
      </c>
    </row>
    <row r="921" spans="1:27" x14ac:dyDescent="0.2">
      <c r="D921" s="24" t="s">
        <v>1094</v>
      </c>
      <c r="E921" s="23"/>
      <c r="H921" s="23"/>
      <c r="K921" s="25">
        <f>SUM(K919:K920)</f>
        <v>5.0544299999999991</v>
      </c>
    </row>
    <row r="923" spans="1:27" ht="45" customHeight="1" x14ac:dyDescent="0.2">
      <c r="A923" s="17"/>
      <c r="B923" s="17" t="s">
        <v>1403</v>
      </c>
      <c r="C923" s="1" t="s">
        <v>18</v>
      </c>
      <c r="D923" s="96" t="s">
        <v>1404</v>
      </c>
      <c r="E923" s="97"/>
      <c r="F923" s="97"/>
      <c r="G923" s="1"/>
      <c r="H923" s="18" t="s">
        <v>1066</v>
      </c>
      <c r="I923" s="98">
        <v>1</v>
      </c>
      <c r="J923" s="99"/>
      <c r="K923" s="19">
        <f>ROUND(K935,2)</f>
        <v>17.53</v>
      </c>
      <c r="L923" s="2" t="s">
        <v>1405</v>
      </c>
      <c r="M923" s="1"/>
      <c r="N923" s="1"/>
      <c r="O923" s="1"/>
      <c r="P923" s="1"/>
      <c r="Q923" s="1"/>
      <c r="R923" s="1"/>
      <c r="S923" s="1"/>
      <c r="T923" s="1"/>
      <c r="U923" s="1"/>
      <c r="V923" s="1"/>
      <c r="W923" s="1"/>
      <c r="X923" s="1"/>
      <c r="Y923" s="1"/>
      <c r="Z923" s="1"/>
      <c r="AA923" s="1"/>
    </row>
    <row r="924" spans="1:27" x14ac:dyDescent="0.2">
      <c r="B924" s="14" t="s">
        <v>1068</v>
      </c>
    </row>
    <row r="925" spans="1:27" x14ac:dyDescent="0.2">
      <c r="B925" t="s">
        <v>1364</v>
      </c>
      <c r="C925" t="s">
        <v>1070</v>
      </c>
      <c r="D925" t="s">
        <v>1365</v>
      </c>
      <c r="E925" s="20">
        <v>7.4999999999999997E-2</v>
      </c>
      <c r="F925" t="s">
        <v>1072</v>
      </c>
      <c r="G925" t="s">
        <v>1073</v>
      </c>
      <c r="H925" s="21">
        <v>29.42</v>
      </c>
      <c r="I925" t="s">
        <v>1074</v>
      </c>
      <c r="J925" s="22">
        <f>ROUND(E925/I923* H925,5)</f>
        <v>2.2065000000000001</v>
      </c>
      <c r="K925" s="23"/>
    </row>
    <row r="926" spans="1:27" x14ac:dyDescent="0.2">
      <c r="B926" t="s">
        <v>1205</v>
      </c>
      <c r="C926" t="s">
        <v>1070</v>
      </c>
      <c r="D926" t="s">
        <v>1206</v>
      </c>
      <c r="E926" s="20">
        <v>0.15</v>
      </c>
      <c r="F926" t="s">
        <v>1072</v>
      </c>
      <c r="G926" t="s">
        <v>1073</v>
      </c>
      <c r="H926" s="21">
        <v>24.55</v>
      </c>
      <c r="I926" t="s">
        <v>1074</v>
      </c>
      <c r="J926" s="22">
        <f>ROUND(E926/I923* H926,5)</f>
        <v>3.6825000000000001</v>
      </c>
      <c r="K926" s="23"/>
    </row>
    <row r="927" spans="1:27" x14ac:dyDescent="0.2">
      <c r="D927" s="24" t="s">
        <v>1075</v>
      </c>
      <c r="E927" s="23"/>
      <c r="H927" s="23"/>
      <c r="K927" s="21">
        <f>SUM(J925:J926)</f>
        <v>5.8890000000000002</v>
      </c>
    </row>
    <row r="928" spans="1:27" x14ac:dyDescent="0.2">
      <c r="B928" s="14" t="s">
        <v>1080</v>
      </c>
      <c r="E928" s="23"/>
      <c r="H928" s="23"/>
      <c r="K928" s="23"/>
    </row>
    <row r="929" spans="1:27" x14ac:dyDescent="0.2">
      <c r="B929" t="s">
        <v>1406</v>
      </c>
      <c r="C929" t="s">
        <v>15</v>
      </c>
      <c r="D929" t="s">
        <v>1407</v>
      </c>
      <c r="E929" s="20">
        <v>0.105</v>
      </c>
      <c r="G929" t="s">
        <v>1073</v>
      </c>
      <c r="H929" s="21">
        <v>97.62</v>
      </c>
      <c r="I929" t="s">
        <v>1074</v>
      </c>
      <c r="J929" s="22">
        <f>ROUND(E929* H929,5)</f>
        <v>10.2501</v>
      </c>
      <c r="K929" s="23"/>
    </row>
    <row r="930" spans="1:27" x14ac:dyDescent="0.2">
      <c r="D930" s="24" t="s">
        <v>1090</v>
      </c>
      <c r="E930" s="23"/>
      <c r="H930" s="23"/>
      <c r="K930" s="21">
        <f>SUM(J929:J929)</f>
        <v>10.2501</v>
      </c>
    </row>
    <row r="931" spans="1:27" x14ac:dyDescent="0.2">
      <c r="E931" s="23"/>
      <c r="H931" s="23"/>
      <c r="K931" s="23"/>
    </row>
    <row r="932" spans="1:27" x14ac:dyDescent="0.2">
      <c r="D932" s="24" t="s">
        <v>1092</v>
      </c>
      <c r="E932" s="23"/>
      <c r="H932" s="23">
        <v>1.5</v>
      </c>
      <c r="I932" t="s">
        <v>1093</v>
      </c>
      <c r="J932">
        <f>ROUND(H932/100*K927,5)</f>
        <v>8.8340000000000002E-2</v>
      </c>
      <c r="K932" s="23"/>
    </row>
    <row r="933" spans="1:27" x14ac:dyDescent="0.2">
      <c r="D933" s="24" t="s">
        <v>1091</v>
      </c>
      <c r="E933" s="23"/>
      <c r="H933" s="23"/>
      <c r="K933" s="25">
        <f>SUM(J924:J932)</f>
        <v>16.227439999999998</v>
      </c>
    </row>
    <row r="934" spans="1:27" x14ac:dyDescent="0.2">
      <c r="D934" s="24" t="s">
        <v>1142</v>
      </c>
      <c r="E934" s="23"/>
      <c r="H934" s="23">
        <v>8</v>
      </c>
      <c r="I934" t="s">
        <v>1093</v>
      </c>
      <c r="K934" s="21">
        <f>ROUND(H934/100*K933,5)</f>
        <v>1.2982</v>
      </c>
    </row>
    <row r="935" spans="1:27" x14ac:dyDescent="0.2">
      <c r="D935" s="24" t="s">
        <v>1094</v>
      </c>
      <c r="E935" s="23"/>
      <c r="H935" s="23"/>
      <c r="K935" s="25">
        <f>SUM(K933:K934)</f>
        <v>17.525639999999999</v>
      </c>
    </row>
    <row r="937" spans="1:27" ht="45" customHeight="1" x14ac:dyDescent="0.2">
      <c r="A937" s="17" t="s">
        <v>1408</v>
      </c>
      <c r="B937" s="17" t="s">
        <v>100</v>
      </c>
      <c r="C937" s="1" t="s">
        <v>18</v>
      </c>
      <c r="D937" s="96" t="s">
        <v>101</v>
      </c>
      <c r="E937" s="97"/>
      <c r="F937" s="97"/>
      <c r="G937" s="1"/>
      <c r="H937" s="18" t="s">
        <v>1066</v>
      </c>
      <c r="I937" s="98">
        <v>1</v>
      </c>
      <c r="J937" s="99"/>
      <c r="K937" s="19">
        <f>ROUND(K949,2)</f>
        <v>20.059999999999999</v>
      </c>
      <c r="L937" s="2" t="s">
        <v>1409</v>
      </c>
      <c r="M937" s="1"/>
      <c r="N937" s="1"/>
      <c r="O937" s="1"/>
      <c r="P937" s="1"/>
      <c r="Q937" s="1"/>
      <c r="R937" s="1"/>
      <c r="S937" s="1"/>
      <c r="T937" s="1"/>
      <c r="U937" s="1"/>
      <c r="V937" s="1"/>
      <c r="W937" s="1"/>
      <c r="X937" s="1"/>
      <c r="Y937" s="1"/>
      <c r="Z937" s="1"/>
      <c r="AA937" s="1"/>
    </row>
    <row r="938" spans="1:27" x14ac:dyDescent="0.2">
      <c r="B938" s="14" t="s">
        <v>1068</v>
      </c>
    </row>
    <row r="939" spans="1:27" x14ac:dyDescent="0.2">
      <c r="B939" t="s">
        <v>1364</v>
      </c>
      <c r="C939" t="s">
        <v>1070</v>
      </c>
      <c r="D939" t="s">
        <v>1365</v>
      </c>
      <c r="E939" s="20">
        <v>0.1</v>
      </c>
      <c r="F939" t="s">
        <v>1072</v>
      </c>
      <c r="G939" t="s">
        <v>1073</v>
      </c>
      <c r="H939" s="21">
        <v>29.42</v>
      </c>
      <c r="I939" t="s">
        <v>1074</v>
      </c>
      <c r="J939" s="22">
        <f>ROUND(E939/I937* H939,5)</f>
        <v>2.9420000000000002</v>
      </c>
      <c r="K939" s="23"/>
    </row>
    <row r="940" spans="1:27" x14ac:dyDescent="0.2">
      <c r="B940" t="s">
        <v>1205</v>
      </c>
      <c r="C940" t="s">
        <v>1070</v>
      </c>
      <c r="D940" t="s">
        <v>1206</v>
      </c>
      <c r="E940" s="20">
        <v>0.2</v>
      </c>
      <c r="F940" t="s">
        <v>1072</v>
      </c>
      <c r="G940" t="s">
        <v>1073</v>
      </c>
      <c r="H940" s="21">
        <v>24.55</v>
      </c>
      <c r="I940" t="s">
        <v>1074</v>
      </c>
      <c r="J940" s="22">
        <f>ROUND(E940/I937* H940,5)</f>
        <v>4.91</v>
      </c>
      <c r="K940" s="23"/>
    </row>
    <row r="941" spans="1:27" x14ac:dyDescent="0.2">
      <c r="D941" s="24" t="s">
        <v>1075</v>
      </c>
      <c r="E941" s="23"/>
      <c r="H941" s="23"/>
      <c r="K941" s="21">
        <f>SUM(J939:J940)</f>
        <v>7.8520000000000003</v>
      </c>
    </row>
    <row r="942" spans="1:27" x14ac:dyDescent="0.2">
      <c r="B942" s="14" t="s">
        <v>1080</v>
      </c>
      <c r="E942" s="23"/>
      <c r="H942" s="23"/>
      <c r="K942" s="23"/>
    </row>
    <row r="943" spans="1:27" x14ac:dyDescent="0.2">
      <c r="B943" t="s">
        <v>1410</v>
      </c>
      <c r="C943" t="s">
        <v>15</v>
      </c>
      <c r="D943" t="s">
        <v>1411</v>
      </c>
      <c r="E943" s="20">
        <v>0.1075</v>
      </c>
      <c r="G943" t="s">
        <v>1073</v>
      </c>
      <c r="H943" s="21">
        <v>98.64</v>
      </c>
      <c r="I943" t="s">
        <v>1074</v>
      </c>
      <c r="J943" s="22">
        <f>ROUND(E943* H943,5)</f>
        <v>10.6038</v>
      </c>
      <c r="K943" s="23"/>
    </row>
    <row r="944" spans="1:27" x14ac:dyDescent="0.2">
      <c r="D944" s="24" t="s">
        <v>1090</v>
      </c>
      <c r="E944" s="23"/>
      <c r="H944" s="23"/>
      <c r="K944" s="21">
        <f>SUM(J943:J943)</f>
        <v>10.6038</v>
      </c>
    </row>
    <row r="945" spans="1:27" x14ac:dyDescent="0.2">
      <c r="E945" s="23"/>
      <c r="H945" s="23"/>
      <c r="K945" s="23"/>
    </row>
    <row r="946" spans="1:27" x14ac:dyDescent="0.2">
      <c r="D946" s="24" t="s">
        <v>1092</v>
      </c>
      <c r="E946" s="23"/>
      <c r="H946" s="23">
        <v>1.5</v>
      </c>
      <c r="I946" t="s">
        <v>1093</v>
      </c>
      <c r="J946">
        <f>ROUND(H946/100*K941,5)</f>
        <v>0.11778</v>
      </c>
      <c r="K946" s="23"/>
    </row>
    <row r="947" spans="1:27" x14ac:dyDescent="0.2">
      <c r="D947" s="24" t="s">
        <v>1091</v>
      </c>
      <c r="E947" s="23"/>
      <c r="H947" s="23"/>
      <c r="K947" s="25">
        <f>SUM(J938:J946)</f>
        <v>18.57358</v>
      </c>
    </row>
    <row r="948" spans="1:27" x14ac:dyDescent="0.2">
      <c r="D948" s="24" t="s">
        <v>1142</v>
      </c>
      <c r="E948" s="23"/>
      <c r="H948" s="23">
        <v>8</v>
      </c>
      <c r="I948" t="s">
        <v>1093</v>
      </c>
      <c r="K948" s="21">
        <f>ROUND(H948/100*K947,5)</f>
        <v>1.4858899999999999</v>
      </c>
    </row>
    <row r="949" spans="1:27" x14ac:dyDescent="0.2">
      <c r="D949" s="24" t="s">
        <v>1094</v>
      </c>
      <c r="E949" s="23"/>
      <c r="H949" s="23"/>
      <c r="K949" s="25">
        <f>SUM(K947:K948)</f>
        <v>20.059470000000001</v>
      </c>
    </row>
    <row r="951" spans="1:27" ht="45" customHeight="1" x14ac:dyDescent="0.2">
      <c r="A951" s="17" t="s">
        <v>1412</v>
      </c>
      <c r="B951" s="17" t="s">
        <v>124</v>
      </c>
      <c r="C951" s="1" t="s">
        <v>15</v>
      </c>
      <c r="D951" s="96" t="s">
        <v>125</v>
      </c>
      <c r="E951" s="97"/>
      <c r="F951" s="97"/>
      <c r="G951" s="1"/>
      <c r="H951" s="18" t="s">
        <v>1066</v>
      </c>
      <c r="I951" s="98">
        <v>1</v>
      </c>
      <c r="J951" s="99"/>
      <c r="K951" s="19">
        <f>ROUND(K966,2)</f>
        <v>2010.1</v>
      </c>
      <c r="L951" s="2" t="s">
        <v>1413</v>
      </c>
      <c r="M951" s="1"/>
      <c r="N951" s="1"/>
      <c r="O951" s="1"/>
      <c r="P951" s="1"/>
      <c r="Q951" s="1"/>
      <c r="R951" s="1"/>
      <c r="S951" s="1"/>
      <c r="T951" s="1"/>
      <c r="U951" s="1"/>
      <c r="V951" s="1"/>
      <c r="W951" s="1"/>
      <c r="X951" s="1"/>
      <c r="Y951" s="1"/>
      <c r="Z951" s="1"/>
      <c r="AA951" s="1"/>
    </row>
    <row r="952" spans="1:27" x14ac:dyDescent="0.2">
      <c r="B952" s="14" t="s">
        <v>1068</v>
      </c>
    </row>
    <row r="953" spans="1:27" x14ac:dyDescent="0.2">
      <c r="B953" t="s">
        <v>1414</v>
      </c>
      <c r="C953" t="s">
        <v>1070</v>
      </c>
      <c r="D953" t="s">
        <v>1415</v>
      </c>
      <c r="E953" s="20">
        <v>6</v>
      </c>
      <c r="F953" t="s">
        <v>1072</v>
      </c>
      <c r="G953" t="s">
        <v>1073</v>
      </c>
      <c r="H953" s="21">
        <v>29.94</v>
      </c>
      <c r="I953" t="s">
        <v>1074</v>
      </c>
      <c r="J953" s="22">
        <f>ROUND(E953/I951* H953,5)</f>
        <v>179.64</v>
      </c>
      <c r="K953" s="23"/>
    </row>
    <row r="954" spans="1:27" x14ac:dyDescent="0.2">
      <c r="B954" t="s">
        <v>1245</v>
      </c>
      <c r="C954" t="s">
        <v>1070</v>
      </c>
      <c r="D954" t="s">
        <v>1246</v>
      </c>
      <c r="E954" s="20">
        <v>3</v>
      </c>
      <c r="F954" t="s">
        <v>1072</v>
      </c>
      <c r="G954" t="s">
        <v>1073</v>
      </c>
      <c r="H954" s="21">
        <v>26.33</v>
      </c>
      <c r="I954" t="s">
        <v>1074</v>
      </c>
      <c r="J954" s="22">
        <f>ROUND(E954/I951* H954,5)</f>
        <v>78.989999999999995</v>
      </c>
      <c r="K954" s="23"/>
    </row>
    <row r="955" spans="1:27" x14ac:dyDescent="0.2">
      <c r="D955" s="24" t="s">
        <v>1075</v>
      </c>
      <c r="E955" s="23"/>
      <c r="H955" s="23"/>
      <c r="K955" s="21">
        <f>SUM(J953:J954)</f>
        <v>258.63</v>
      </c>
    </row>
    <row r="956" spans="1:27" x14ac:dyDescent="0.2">
      <c r="B956" s="14" t="s">
        <v>1076</v>
      </c>
      <c r="E956" s="23"/>
      <c r="H956" s="23"/>
      <c r="K956" s="23"/>
    </row>
    <row r="957" spans="1:27" x14ac:dyDescent="0.2">
      <c r="B957" t="s">
        <v>1416</v>
      </c>
      <c r="C957" t="s">
        <v>1070</v>
      </c>
      <c r="D957" t="s">
        <v>1417</v>
      </c>
      <c r="E957" s="20">
        <v>3</v>
      </c>
      <c r="F957" t="s">
        <v>1072</v>
      </c>
      <c r="G957" t="s">
        <v>1073</v>
      </c>
      <c r="H957" s="21">
        <v>62.06</v>
      </c>
      <c r="I957" t="s">
        <v>1074</v>
      </c>
      <c r="J957" s="22">
        <f>ROUND(E957/I951* H957,5)</f>
        <v>186.18</v>
      </c>
      <c r="K957" s="23"/>
    </row>
    <row r="958" spans="1:27" x14ac:dyDescent="0.2">
      <c r="D958" s="24" t="s">
        <v>1079</v>
      </c>
      <c r="E958" s="23"/>
      <c r="H958" s="23"/>
      <c r="K958" s="21">
        <f>SUM(J957:J957)</f>
        <v>186.18</v>
      </c>
    </row>
    <row r="959" spans="1:27" x14ac:dyDescent="0.2">
      <c r="B959" s="14" t="s">
        <v>1080</v>
      </c>
      <c r="E959" s="23"/>
      <c r="H959" s="23"/>
      <c r="K959" s="23"/>
    </row>
    <row r="960" spans="1:27" x14ac:dyDescent="0.2">
      <c r="B960" t="s">
        <v>1418</v>
      </c>
      <c r="C960" t="s">
        <v>15</v>
      </c>
      <c r="D960" t="s">
        <v>1419</v>
      </c>
      <c r="E960" s="20">
        <v>1</v>
      </c>
      <c r="G960" t="s">
        <v>1073</v>
      </c>
      <c r="H960" s="21">
        <v>1412.51</v>
      </c>
      <c r="I960" t="s">
        <v>1074</v>
      </c>
      <c r="J960" s="22">
        <f>ROUND(E960* H960,5)</f>
        <v>1412.51</v>
      </c>
      <c r="K960" s="23"/>
    </row>
    <row r="961" spans="1:27" x14ac:dyDescent="0.2">
      <c r="D961" s="24" t="s">
        <v>1090</v>
      </c>
      <c r="E961" s="23"/>
      <c r="H961" s="23"/>
      <c r="K961" s="21">
        <f>SUM(J960:J960)</f>
        <v>1412.51</v>
      </c>
    </row>
    <row r="962" spans="1:27" x14ac:dyDescent="0.2">
      <c r="E962" s="23"/>
      <c r="H962" s="23"/>
      <c r="K962" s="23"/>
    </row>
    <row r="963" spans="1:27" x14ac:dyDescent="0.2">
      <c r="D963" s="24" t="s">
        <v>1092</v>
      </c>
      <c r="E963" s="23"/>
      <c r="H963" s="23">
        <v>1.5</v>
      </c>
      <c r="I963" t="s">
        <v>1093</v>
      </c>
      <c r="J963">
        <f>ROUND(H963/100*K955,5)</f>
        <v>3.8794499999999998</v>
      </c>
      <c r="K963" s="23"/>
    </row>
    <row r="964" spans="1:27" x14ac:dyDescent="0.2">
      <c r="D964" s="24" t="s">
        <v>1091</v>
      </c>
      <c r="E964" s="23"/>
      <c r="H964" s="23"/>
      <c r="K964" s="25">
        <f>SUM(J952:J963)</f>
        <v>1861.1994499999998</v>
      </c>
    </row>
    <row r="965" spans="1:27" x14ac:dyDescent="0.2">
      <c r="D965" s="24" t="s">
        <v>1142</v>
      </c>
      <c r="E965" s="23"/>
      <c r="H965" s="23">
        <v>8</v>
      </c>
      <c r="I965" t="s">
        <v>1093</v>
      </c>
      <c r="K965" s="21">
        <f>ROUND(H965/100*K964,5)</f>
        <v>148.89596</v>
      </c>
    </row>
    <row r="966" spans="1:27" x14ac:dyDescent="0.2">
      <c r="D966" s="24" t="s">
        <v>1094</v>
      </c>
      <c r="E966" s="23"/>
      <c r="H966" s="23"/>
      <c r="K966" s="25">
        <f>SUM(K964:K965)</f>
        <v>2010.0954099999999</v>
      </c>
    </row>
    <row r="968" spans="1:27" ht="45" customHeight="1" x14ac:dyDescent="0.2">
      <c r="A968" s="17" t="s">
        <v>1420</v>
      </c>
      <c r="B968" s="17" t="s">
        <v>120</v>
      </c>
      <c r="C968" s="1" t="s">
        <v>23</v>
      </c>
      <c r="D968" s="96" t="s">
        <v>121</v>
      </c>
      <c r="E968" s="97"/>
      <c r="F968" s="97"/>
      <c r="G968" s="1"/>
      <c r="H968" s="18" t="s">
        <v>1066</v>
      </c>
      <c r="I968" s="98">
        <v>1</v>
      </c>
      <c r="J968" s="99"/>
      <c r="K968" s="19">
        <f>ROUND(K980,2)</f>
        <v>288.18</v>
      </c>
      <c r="L968" s="2" t="s">
        <v>121</v>
      </c>
      <c r="M968" s="1"/>
      <c r="N968" s="1"/>
      <c r="O968" s="1"/>
      <c r="P968" s="1"/>
      <c r="Q968" s="1"/>
      <c r="R968" s="1"/>
      <c r="S968" s="1"/>
      <c r="T968" s="1"/>
      <c r="U968" s="1"/>
      <c r="V968" s="1"/>
      <c r="W968" s="1"/>
      <c r="X968" s="1"/>
      <c r="Y968" s="1"/>
      <c r="Z968" s="1"/>
      <c r="AA968" s="1"/>
    </row>
    <row r="969" spans="1:27" x14ac:dyDescent="0.2">
      <c r="B969" s="14" t="s">
        <v>1068</v>
      </c>
    </row>
    <row r="970" spans="1:27" x14ac:dyDescent="0.2">
      <c r="B970" t="s">
        <v>1414</v>
      </c>
      <c r="C970" t="s">
        <v>1070</v>
      </c>
      <c r="D970" t="s">
        <v>1415</v>
      </c>
      <c r="E970" s="20">
        <v>6</v>
      </c>
      <c r="F970" t="s">
        <v>1072</v>
      </c>
      <c r="G970" t="s">
        <v>1073</v>
      </c>
      <c r="H970" s="21">
        <v>29.94</v>
      </c>
      <c r="I970" t="s">
        <v>1074</v>
      </c>
      <c r="J970" s="22">
        <f>ROUND(E970/I968* H970,5)</f>
        <v>179.64</v>
      </c>
      <c r="K970" s="23"/>
    </row>
    <row r="971" spans="1:27" x14ac:dyDescent="0.2">
      <c r="B971" t="s">
        <v>1245</v>
      </c>
      <c r="C971" t="s">
        <v>1070</v>
      </c>
      <c r="D971" t="s">
        <v>1246</v>
      </c>
      <c r="E971" s="20">
        <v>3</v>
      </c>
      <c r="F971" t="s">
        <v>1072</v>
      </c>
      <c r="G971" t="s">
        <v>1073</v>
      </c>
      <c r="H971" s="21">
        <v>26.33</v>
      </c>
      <c r="I971" t="s">
        <v>1074</v>
      </c>
      <c r="J971" s="22">
        <f>ROUND(E971/I968* H971,5)</f>
        <v>78.989999999999995</v>
      </c>
      <c r="K971" s="23"/>
    </row>
    <row r="972" spans="1:27" x14ac:dyDescent="0.2">
      <c r="D972" s="24" t="s">
        <v>1075</v>
      </c>
      <c r="E972" s="23"/>
      <c r="H972" s="23"/>
      <c r="K972" s="21">
        <f>SUM(J970:J971)</f>
        <v>258.63</v>
      </c>
    </row>
    <row r="973" spans="1:27" x14ac:dyDescent="0.2">
      <c r="B973" s="14" t="s">
        <v>1080</v>
      </c>
      <c r="E973" s="23"/>
      <c r="H973" s="23"/>
      <c r="K973" s="23"/>
    </row>
    <row r="974" spans="1:27" x14ac:dyDescent="0.2">
      <c r="B974" t="s">
        <v>1421</v>
      </c>
      <c r="C974" t="s">
        <v>23</v>
      </c>
      <c r="D974" t="s">
        <v>1422</v>
      </c>
      <c r="E974" s="20">
        <v>1</v>
      </c>
      <c r="G974" t="s">
        <v>1073</v>
      </c>
      <c r="H974" s="21">
        <v>4.32</v>
      </c>
      <c r="I974" t="s">
        <v>1074</v>
      </c>
      <c r="J974" s="22">
        <f>ROUND(E974* H974,5)</f>
        <v>4.32</v>
      </c>
      <c r="K974" s="23"/>
    </row>
    <row r="975" spans="1:27" x14ac:dyDescent="0.2">
      <c r="D975" s="24" t="s">
        <v>1090</v>
      </c>
      <c r="E975" s="23"/>
      <c r="H975" s="23"/>
      <c r="K975" s="21">
        <f>SUM(J974:J974)</f>
        <v>4.32</v>
      </c>
    </row>
    <row r="976" spans="1:27" x14ac:dyDescent="0.2">
      <c r="E976" s="23"/>
      <c r="H976" s="23"/>
      <c r="K976" s="23"/>
    </row>
    <row r="977" spans="1:27" x14ac:dyDescent="0.2">
      <c r="D977" s="24" t="s">
        <v>1092</v>
      </c>
      <c r="E977" s="23"/>
      <c r="H977" s="23">
        <v>1.5</v>
      </c>
      <c r="I977" t="s">
        <v>1093</v>
      </c>
      <c r="J977">
        <f>ROUND(H977/100*K972,5)</f>
        <v>3.8794499999999998</v>
      </c>
      <c r="K977" s="23"/>
    </row>
    <row r="978" spans="1:27" x14ac:dyDescent="0.2">
      <c r="D978" s="24" t="s">
        <v>1091</v>
      </c>
      <c r="E978" s="23"/>
      <c r="H978" s="23"/>
      <c r="K978" s="25">
        <f>SUM(J969:J977)</f>
        <v>266.82945000000001</v>
      </c>
    </row>
    <row r="979" spans="1:27" x14ac:dyDescent="0.2">
      <c r="D979" s="24" t="s">
        <v>1142</v>
      </c>
      <c r="E979" s="23"/>
      <c r="H979" s="23">
        <v>8</v>
      </c>
      <c r="I979" t="s">
        <v>1093</v>
      </c>
      <c r="K979" s="21">
        <f>ROUND(H979/100*K978,5)</f>
        <v>21.346360000000001</v>
      </c>
    </row>
    <row r="980" spans="1:27" x14ac:dyDescent="0.2">
      <c r="D980" s="24" t="s">
        <v>1094</v>
      </c>
      <c r="E980" s="23"/>
      <c r="H980" s="23"/>
      <c r="K980" s="25">
        <f>SUM(K978:K979)</f>
        <v>288.17581000000001</v>
      </c>
    </row>
    <row r="982" spans="1:27" ht="45" customHeight="1" x14ac:dyDescent="0.2">
      <c r="A982" s="17" t="s">
        <v>1423</v>
      </c>
      <c r="B982" s="17" t="s">
        <v>134</v>
      </c>
      <c r="C982" s="1" t="s">
        <v>15</v>
      </c>
      <c r="D982" s="96" t="s">
        <v>135</v>
      </c>
      <c r="E982" s="97"/>
      <c r="F982" s="97"/>
      <c r="G982" s="1"/>
      <c r="H982" s="18" t="s">
        <v>1066</v>
      </c>
      <c r="I982" s="98">
        <v>1</v>
      </c>
      <c r="J982" s="99"/>
      <c r="K982" s="19">
        <f>ROUND(K991,2)</f>
        <v>307.14</v>
      </c>
      <c r="L982" s="2" t="s">
        <v>135</v>
      </c>
      <c r="M982" s="1"/>
      <c r="N982" s="1"/>
      <c r="O982" s="1"/>
      <c r="P982" s="1"/>
      <c r="Q982" s="1"/>
      <c r="R982" s="1"/>
      <c r="S982" s="1"/>
      <c r="T982" s="1"/>
      <c r="U982" s="1"/>
      <c r="V982" s="1"/>
      <c r="W982" s="1"/>
      <c r="X982" s="1"/>
      <c r="Y982" s="1"/>
      <c r="Z982" s="1"/>
      <c r="AA982" s="1"/>
    </row>
    <row r="983" spans="1:27" x14ac:dyDescent="0.2">
      <c r="B983" s="14" t="s">
        <v>1068</v>
      </c>
    </row>
    <row r="984" spans="1:27" x14ac:dyDescent="0.2">
      <c r="B984" t="s">
        <v>1245</v>
      </c>
      <c r="C984" t="s">
        <v>1070</v>
      </c>
      <c r="D984" t="s">
        <v>1246</v>
      </c>
      <c r="E984" s="20">
        <v>3.25</v>
      </c>
      <c r="F984" t="s">
        <v>1072</v>
      </c>
      <c r="G984" t="s">
        <v>1073</v>
      </c>
      <c r="H984" s="21">
        <v>26.33</v>
      </c>
      <c r="I984" t="s">
        <v>1074</v>
      </c>
      <c r="J984" s="22">
        <f>ROUND(E984/I982* H984,5)</f>
        <v>85.572500000000005</v>
      </c>
      <c r="K984" s="23"/>
    </row>
    <row r="985" spans="1:27" x14ac:dyDescent="0.2">
      <c r="B985" t="s">
        <v>1414</v>
      </c>
      <c r="C985" t="s">
        <v>1070</v>
      </c>
      <c r="D985" t="s">
        <v>1415</v>
      </c>
      <c r="E985" s="20">
        <v>6.5</v>
      </c>
      <c r="F985" t="s">
        <v>1072</v>
      </c>
      <c r="G985" t="s">
        <v>1073</v>
      </c>
      <c r="H985" s="21">
        <v>29.94</v>
      </c>
      <c r="I985" t="s">
        <v>1074</v>
      </c>
      <c r="J985" s="22">
        <f>ROUND(E985/I982* H985,5)</f>
        <v>194.61</v>
      </c>
      <c r="K985" s="23"/>
    </row>
    <row r="986" spans="1:27" x14ac:dyDescent="0.2">
      <c r="D986" s="24" t="s">
        <v>1075</v>
      </c>
      <c r="E986" s="23"/>
      <c r="H986" s="23"/>
      <c r="K986" s="21">
        <f>SUM(J984:J985)</f>
        <v>280.1825</v>
      </c>
    </row>
    <row r="987" spans="1:27" x14ac:dyDescent="0.2">
      <c r="E987" s="23"/>
      <c r="H987" s="23"/>
      <c r="K987" s="23"/>
    </row>
    <row r="988" spans="1:27" x14ac:dyDescent="0.2">
      <c r="D988" s="24" t="s">
        <v>1092</v>
      </c>
      <c r="E988" s="23"/>
      <c r="H988" s="23">
        <v>1.5</v>
      </c>
      <c r="I988" t="s">
        <v>1093</v>
      </c>
      <c r="J988">
        <f>ROUND(H988/100*K986,5)</f>
        <v>4.2027400000000004</v>
      </c>
      <c r="K988" s="23"/>
    </row>
    <row r="989" spans="1:27" x14ac:dyDescent="0.2">
      <c r="D989" s="24" t="s">
        <v>1091</v>
      </c>
      <c r="E989" s="23"/>
      <c r="H989" s="23"/>
      <c r="K989" s="25">
        <f>SUM(J983:J988)</f>
        <v>284.38524000000001</v>
      </c>
    </row>
    <row r="990" spans="1:27" x14ac:dyDescent="0.2">
      <c r="D990" s="24" t="s">
        <v>1142</v>
      </c>
      <c r="E990" s="23"/>
      <c r="H990" s="23">
        <v>8</v>
      </c>
      <c r="I990" t="s">
        <v>1093</v>
      </c>
      <c r="K990" s="21">
        <f>ROUND(H990/100*K989,5)</f>
        <v>22.750820000000001</v>
      </c>
    </row>
    <row r="991" spans="1:27" x14ac:dyDescent="0.2">
      <c r="D991" s="24" t="s">
        <v>1094</v>
      </c>
      <c r="E991" s="23"/>
      <c r="H991" s="23"/>
      <c r="K991" s="25">
        <f>SUM(K989:K990)</f>
        <v>307.13605999999999</v>
      </c>
    </row>
    <row r="993" spans="1:27" ht="45" customHeight="1" x14ac:dyDescent="0.2">
      <c r="A993" s="17" t="s">
        <v>1424</v>
      </c>
      <c r="B993" s="17" t="s">
        <v>130</v>
      </c>
      <c r="C993" s="1" t="s">
        <v>15</v>
      </c>
      <c r="D993" s="96" t="s">
        <v>131</v>
      </c>
      <c r="E993" s="97"/>
      <c r="F993" s="97"/>
      <c r="G993" s="1"/>
      <c r="H993" s="18" t="s">
        <v>1066</v>
      </c>
      <c r="I993" s="98">
        <v>1</v>
      </c>
      <c r="J993" s="99"/>
      <c r="K993" s="19">
        <f>ROUND(K1005,2)</f>
        <v>1792.98</v>
      </c>
      <c r="L993" s="2" t="s">
        <v>1425</v>
      </c>
      <c r="M993" s="1"/>
      <c r="N993" s="1"/>
      <c r="O993" s="1"/>
      <c r="P993" s="1"/>
      <c r="Q993" s="1"/>
      <c r="R993" s="1"/>
      <c r="S993" s="1"/>
      <c r="T993" s="1"/>
      <c r="U993" s="1"/>
      <c r="V993" s="1"/>
      <c r="W993" s="1"/>
      <c r="X993" s="1"/>
      <c r="Y993" s="1"/>
      <c r="Z993" s="1"/>
      <c r="AA993" s="1"/>
    </row>
    <row r="994" spans="1:27" x14ac:dyDescent="0.2">
      <c r="B994" s="14" t="s">
        <v>1068</v>
      </c>
    </row>
    <row r="995" spans="1:27" x14ac:dyDescent="0.2">
      <c r="B995" t="s">
        <v>1414</v>
      </c>
      <c r="C995" t="s">
        <v>1070</v>
      </c>
      <c r="D995" t="s">
        <v>1415</v>
      </c>
      <c r="E995" s="20">
        <v>6.5</v>
      </c>
      <c r="F995" t="s">
        <v>1072</v>
      </c>
      <c r="G995" t="s">
        <v>1073</v>
      </c>
      <c r="H995" s="21">
        <v>29.94</v>
      </c>
      <c r="I995" t="s">
        <v>1074</v>
      </c>
      <c r="J995" s="22">
        <f>ROUND(E995/I993* H995,5)</f>
        <v>194.61</v>
      </c>
      <c r="K995" s="23"/>
    </row>
    <row r="996" spans="1:27" x14ac:dyDescent="0.2">
      <c r="B996" t="s">
        <v>1245</v>
      </c>
      <c r="C996" t="s">
        <v>1070</v>
      </c>
      <c r="D996" t="s">
        <v>1246</v>
      </c>
      <c r="E996" s="20">
        <v>3.25</v>
      </c>
      <c r="F996" t="s">
        <v>1072</v>
      </c>
      <c r="G996" t="s">
        <v>1073</v>
      </c>
      <c r="H996" s="21">
        <v>26.33</v>
      </c>
      <c r="I996" t="s">
        <v>1074</v>
      </c>
      <c r="J996" s="22">
        <f>ROUND(E996/I993* H996,5)</f>
        <v>85.572500000000005</v>
      </c>
      <c r="K996" s="23"/>
    </row>
    <row r="997" spans="1:27" x14ac:dyDescent="0.2">
      <c r="D997" s="24" t="s">
        <v>1075</v>
      </c>
      <c r="E997" s="23"/>
      <c r="H997" s="23"/>
      <c r="K997" s="21">
        <f>SUM(J995:J996)</f>
        <v>280.1825</v>
      </c>
    </row>
    <row r="998" spans="1:27" x14ac:dyDescent="0.2">
      <c r="B998" s="14" t="s">
        <v>1080</v>
      </c>
      <c r="E998" s="23"/>
      <c r="H998" s="23"/>
      <c r="K998" s="23"/>
    </row>
    <row r="999" spans="1:27" x14ac:dyDescent="0.2">
      <c r="B999" t="s">
        <v>1426</v>
      </c>
      <c r="C999" t="s">
        <v>15</v>
      </c>
      <c r="D999" t="s">
        <v>1427</v>
      </c>
      <c r="E999" s="20">
        <v>1</v>
      </c>
      <c r="G999" t="s">
        <v>1073</v>
      </c>
      <c r="H999" s="21">
        <v>1375.78</v>
      </c>
      <c r="I999" t="s">
        <v>1074</v>
      </c>
      <c r="J999" s="22">
        <f>ROUND(E999* H999,5)</f>
        <v>1375.78</v>
      </c>
      <c r="K999" s="23"/>
    </row>
    <row r="1000" spans="1:27" x14ac:dyDescent="0.2">
      <c r="D1000" s="24" t="s">
        <v>1090</v>
      </c>
      <c r="E1000" s="23"/>
      <c r="H1000" s="23"/>
      <c r="K1000" s="21">
        <f>SUM(J999:J999)</f>
        <v>1375.78</v>
      </c>
    </row>
    <row r="1001" spans="1:27" x14ac:dyDescent="0.2">
      <c r="E1001" s="23"/>
      <c r="H1001" s="23"/>
      <c r="K1001" s="23"/>
    </row>
    <row r="1002" spans="1:27" x14ac:dyDescent="0.2">
      <c r="D1002" s="24" t="s">
        <v>1092</v>
      </c>
      <c r="E1002" s="23"/>
      <c r="H1002" s="23">
        <v>1.5</v>
      </c>
      <c r="I1002" t="s">
        <v>1093</v>
      </c>
      <c r="J1002">
        <f>ROUND(H1002/100*K997,5)</f>
        <v>4.2027400000000004</v>
      </c>
      <c r="K1002" s="23"/>
    </row>
    <row r="1003" spans="1:27" x14ac:dyDescent="0.2">
      <c r="D1003" s="24" t="s">
        <v>1091</v>
      </c>
      <c r="E1003" s="23"/>
      <c r="H1003" s="23"/>
      <c r="K1003" s="25">
        <f>SUM(J994:J1002)</f>
        <v>1660.16524</v>
      </c>
    </row>
    <row r="1004" spans="1:27" x14ac:dyDescent="0.2">
      <c r="D1004" s="24" t="s">
        <v>1142</v>
      </c>
      <c r="E1004" s="23"/>
      <c r="H1004" s="23">
        <v>8</v>
      </c>
      <c r="I1004" t="s">
        <v>1093</v>
      </c>
      <c r="K1004" s="21">
        <f>ROUND(H1004/100*K1003,5)</f>
        <v>132.81322</v>
      </c>
    </row>
    <row r="1005" spans="1:27" x14ac:dyDescent="0.2">
      <c r="D1005" s="24" t="s">
        <v>1094</v>
      </c>
      <c r="E1005" s="23"/>
      <c r="H1005" s="23"/>
      <c r="K1005" s="25">
        <f>SUM(K1003:K1004)</f>
        <v>1792.97846</v>
      </c>
    </row>
    <row r="1007" spans="1:27" ht="45" customHeight="1" x14ac:dyDescent="0.2">
      <c r="A1007" s="17"/>
      <c r="B1007" s="17" t="s">
        <v>1428</v>
      </c>
      <c r="C1007" s="1" t="s">
        <v>15</v>
      </c>
      <c r="D1007" s="96" t="s">
        <v>1429</v>
      </c>
      <c r="E1007" s="97"/>
      <c r="F1007" s="97"/>
      <c r="G1007" s="1"/>
      <c r="H1007" s="18" t="s">
        <v>1066</v>
      </c>
      <c r="I1007" s="98">
        <v>1</v>
      </c>
      <c r="J1007" s="99"/>
      <c r="K1007" s="19">
        <f>ROUND(K1020,2)</f>
        <v>2285.48</v>
      </c>
      <c r="L1007" s="2" t="s">
        <v>1430</v>
      </c>
      <c r="M1007" s="1"/>
      <c r="N1007" s="1"/>
      <c r="O1007" s="1"/>
      <c r="P1007" s="1"/>
      <c r="Q1007" s="1"/>
      <c r="R1007" s="1"/>
      <c r="S1007" s="1"/>
      <c r="T1007" s="1"/>
      <c r="U1007" s="1"/>
      <c r="V1007" s="1"/>
      <c r="W1007" s="1"/>
      <c r="X1007" s="1"/>
      <c r="Y1007" s="1"/>
      <c r="Z1007" s="1"/>
      <c r="AA1007" s="1"/>
    </row>
    <row r="1008" spans="1:27" x14ac:dyDescent="0.2">
      <c r="B1008" s="14" t="s">
        <v>1068</v>
      </c>
    </row>
    <row r="1009" spans="1:27" x14ac:dyDescent="0.2">
      <c r="B1009" t="s">
        <v>1245</v>
      </c>
      <c r="C1009" t="s">
        <v>1070</v>
      </c>
      <c r="D1009" t="s">
        <v>1246</v>
      </c>
      <c r="E1009" s="20">
        <v>17.5</v>
      </c>
      <c r="F1009" t="s">
        <v>1072</v>
      </c>
      <c r="G1009" t="s">
        <v>1073</v>
      </c>
      <c r="H1009" s="21">
        <v>26.33</v>
      </c>
      <c r="I1009" t="s">
        <v>1074</v>
      </c>
      <c r="J1009" s="22">
        <f>ROUND(E1009/I1007* H1009,5)</f>
        <v>460.77499999999998</v>
      </c>
      <c r="K1009" s="23"/>
    </row>
    <row r="1010" spans="1:27" x14ac:dyDescent="0.2">
      <c r="B1010" t="s">
        <v>1414</v>
      </c>
      <c r="C1010" t="s">
        <v>1070</v>
      </c>
      <c r="D1010" t="s">
        <v>1415</v>
      </c>
      <c r="E1010" s="20">
        <v>35</v>
      </c>
      <c r="F1010" t="s">
        <v>1072</v>
      </c>
      <c r="G1010" t="s">
        <v>1073</v>
      </c>
      <c r="H1010" s="21">
        <v>29.94</v>
      </c>
      <c r="I1010" t="s">
        <v>1074</v>
      </c>
      <c r="J1010" s="22">
        <f>ROUND(E1010/I1007* H1010,5)</f>
        <v>1047.9000000000001</v>
      </c>
      <c r="K1010" s="23"/>
    </row>
    <row r="1011" spans="1:27" x14ac:dyDescent="0.2">
      <c r="D1011" s="24" t="s">
        <v>1075</v>
      </c>
      <c r="E1011" s="23"/>
      <c r="H1011" s="23"/>
      <c r="K1011" s="21">
        <f>SUM(J1009:J1010)</f>
        <v>1508.6750000000002</v>
      </c>
    </row>
    <row r="1012" spans="1:27" x14ac:dyDescent="0.2">
      <c r="B1012" s="14" t="s">
        <v>1080</v>
      </c>
      <c r="E1012" s="23"/>
      <c r="H1012" s="23"/>
      <c r="K1012" s="23"/>
    </row>
    <row r="1013" spans="1:27" x14ac:dyDescent="0.2">
      <c r="B1013" t="s">
        <v>1431</v>
      </c>
      <c r="C1013" t="s">
        <v>15</v>
      </c>
      <c r="D1013" t="s">
        <v>1432</v>
      </c>
      <c r="E1013" s="20">
        <v>1</v>
      </c>
      <c r="G1013" t="s">
        <v>1073</v>
      </c>
      <c r="H1013" s="21">
        <v>562.28</v>
      </c>
      <c r="I1013" t="s">
        <v>1074</v>
      </c>
      <c r="J1013" s="22">
        <f>ROUND(E1013* H1013,5)</f>
        <v>562.28</v>
      </c>
      <c r="K1013" s="23"/>
    </row>
    <row r="1014" spans="1:27" x14ac:dyDescent="0.2">
      <c r="B1014" t="s">
        <v>1433</v>
      </c>
      <c r="C1014" t="s">
        <v>103</v>
      </c>
      <c r="D1014" t="s">
        <v>1434</v>
      </c>
      <c r="E1014" s="20">
        <v>10</v>
      </c>
      <c r="G1014" t="s">
        <v>1073</v>
      </c>
      <c r="H1014" s="21">
        <v>2.2599999999999998</v>
      </c>
      <c r="I1014" t="s">
        <v>1074</v>
      </c>
      <c r="J1014" s="22">
        <f>ROUND(E1014* H1014,5)</f>
        <v>22.6</v>
      </c>
      <c r="K1014" s="23"/>
    </row>
    <row r="1015" spans="1:27" x14ac:dyDescent="0.2">
      <c r="D1015" s="24" t="s">
        <v>1090</v>
      </c>
      <c r="E1015" s="23"/>
      <c r="H1015" s="23"/>
      <c r="K1015" s="21">
        <f>SUM(J1013:J1014)</f>
        <v>584.88</v>
      </c>
    </row>
    <row r="1016" spans="1:27" x14ac:dyDescent="0.2">
      <c r="E1016" s="23"/>
      <c r="H1016" s="23"/>
      <c r="K1016" s="23"/>
    </row>
    <row r="1017" spans="1:27" x14ac:dyDescent="0.2">
      <c r="D1017" s="24" t="s">
        <v>1092</v>
      </c>
      <c r="E1017" s="23"/>
      <c r="H1017" s="23">
        <v>1.5</v>
      </c>
      <c r="I1017" t="s">
        <v>1093</v>
      </c>
      <c r="J1017">
        <f>ROUND(H1017/100*K1011,5)</f>
        <v>22.630130000000001</v>
      </c>
      <c r="K1017" s="23"/>
    </row>
    <row r="1018" spans="1:27" x14ac:dyDescent="0.2">
      <c r="D1018" s="24" t="s">
        <v>1091</v>
      </c>
      <c r="E1018" s="23"/>
      <c r="H1018" s="23"/>
      <c r="K1018" s="25">
        <f>SUM(J1008:J1017)</f>
        <v>2116.1851299999998</v>
      </c>
    </row>
    <row r="1019" spans="1:27" x14ac:dyDescent="0.2">
      <c r="D1019" s="24" t="s">
        <v>1142</v>
      </c>
      <c r="E1019" s="23"/>
      <c r="H1019" s="23">
        <v>8</v>
      </c>
      <c r="I1019" t="s">
        <v>1093</v>
      </c>
      <c r="K1019" s="21">
        <f>ROUND(H1019/100*K1018,5)</f>
        <v>169.29481000000001</v>
      </c>
    </row>
    <row r="1020" spans="1:27" x14ac:dyDescent="0.2">
      <c r="D1020" s="24" t="s">
        <v>1094</v>
      </c>
      <c r="E1020" s="23"/>
      <c r="H1020" s="23"/>
      <c r="K1020" s="25">
        <f>SUM(K1018:K1019)</f>
        <v>2285.4799399999997</v>
      </c>
    </row>
    <row r="1022" spans="1:27" ht="45" customHeight="1" x14ac:dyDescent="0.2">
      <c r="A1022" s="17" t="s">
        <v>1435</v>
      </c>
      <c r="B1022" s="17" t="s">
        <v>118</v>
      </c>
      <c r="C1022" s="1" t="s">
        <v>18</v>
      </c>
      <c r="D1022" s="96" t="s">
        <v>119</v>
      </c>
      <c r="E1022" s="97"/>
      <c r="F1022" s="97"/>
      <c r="G1022" s="1"/>
      <c r="H1022" s="18" t="s">
        <v>1066</v>
      </c>
      <c r="I1022" s="98">
        <v>1</v>
      </c>
      <c r="J1022" s="99"/>
      <c r="K1022" s="19">
        <f>ROUND(K1035,2)</f>
        <v>229.03</v>
      </c>
      <c r="L1022" s="2" t="s">
        <v>1436</v>
      </c>
      <c r="M1022" s="1"/>
      <c r="N1022" s="1"/>
      <c r="O1022" s="1"/>
      <c r="P1022" s="1"/>
      <c r="Q1022" s="1"/>
      <c r="R1022" s="1"/>
      <c r="S1022" s="1"/>
      <c r="T1022" s="1"/>
      <c r="U1022" s="1"/>
      <c r="V1022" s="1"/>
      <c r="W1022" s="1"/>
      <c r="X1022" s="1"/>
      <c r="Y1022" s="1"/>
      <c r="Z1022" s="1"/>
      <c r="AA1022" s="1"/>
    </row>
    <row r="1023" spans="1:27" x14ac:dyDescent="0.2">
      <c r="B1023" s="14" t="s">
        <v>1068</v>
      </c>
    </row>
    <row r="1024" spans="1:27" x14ac:dyDescent="0.2">
      <c r="B1024" t="s">
        <v>1138</v>
      </c>
      <c r="C1024" t="s">
        <v>1070</v>
      </c>
      <c r="D1024" t="s">
        <v>1139</v>
      </c>
      <c r="E1024" s="20">
        <v>0.48</v>
      </c>
      <c r="F1024" t="s">
        <v>1072</v>
      </c>
      <c r="G1024" t="s">
        <v>1073</v>
      </c>
      <c r="H1024" s="21">
        <v>26.12</v>
      </c>
      <c r="I1024" t="s">
        <v>1074</v>
      </c>
      <c r="J1024" s="22">
        <f>ROUND(E1024/I1022* H1024,5)</f>
        <v>12.537599999999999</v>
      </c>
      <c r="K1024" s="23"/>
    </row>
    <row r="1025" spans="1:27" x14ac:dyDescent="0.2">
      <c r="B1025" t="s">
        <v>1136</v>
      </c>
      <c r="C1025" t="s">
        <v>1070</v>
      </c>
      <c r="D1025" t="s">
        <v>1137</v>
      </c>
      <c r="E1025" s="20">
        <v>0.24</v>
      </c>
      <c r="F1025" t="s">
        <v>1072</v>
      </c>
      <c r="G1025" t="s">
        <v>1073</v>
      </c>
      <c r="H1025" s="21">
        <v>30.41</v>
      </c>
      <c r="I1025" t="s">
        <v>1074</v>
      </c>
      <c r="J1025" s="22">
        <f>ROUND(E1025/I1022* H1025,5)</f>
        <v>7.2984</v>
      </c>
      <c r="K1025" s="23"/>
    </row>
    <row r="1026" spans="1:27" x14ac:dyDescent="0.2">
      <c r="D1026" s="24" t="s">
        <v>1075</v>
      </c>
      <c r="E1026" s="23"/>
      <c r="H1026" s="23"/>
      <c r="K1026" s="21">
        <f>SUM(J1024:J1025)</f>
        <v>19.835999999999999</v>
      </c>
    </row>
    <row r="1027" spans="1:27" x14ac:dyDescent="0.2">
      <c r="B1027" s="14" t="s">
        <v>1080</v>
      </c>
      <c r="E1027" s="23"/>
      <c r="H1027" s="23"/>
      <c r="K1027" s="23"/>
    </row>
    <row r="1028" spans="1:27" x14ac:dyDescent="0.2">
      <c r="B1028" t="s">
        <v>1421</v>
      </c>
      <c r="C1028" t="s">
        <v>23</v>
      </c>
      <c r="D1028" t="s">
        <v>1422</v>
      </c>
      <c r="E1028" s="20">
        <v>1</v>
      </c>
      <c r="G1028" t="s">
        <v>1073</v>
      </c>
      <c r="H1028" s="21">
        <v>4.32</v>
      </c>
      <c r="I1028" t="s">
        <v>1074</v>
      </c>
      <c r="J1028" s="22">
        <f>ROUND(E1028* H1028,5)</f>
        <v>4.32</v>
      </c>
      <c r="K1028" s="23"/>
    </row>
    <row r="1029" spans="1:27" x14ac:dyDescent="0.2">
      <c r="B1029" t="s">
        <v>1437</v>
      </c>
      <c r="C1029" t="s">
        <v>18</v>
      </c>
      <c r="D1029" t="s">
        <v>1438</v>
      </c>
      <c r="E1029" s="20">
        <v>1</v>
      </c>
      <c r="G1029" t="s">
        <v>1073</v>
      </c>
      <c r="H1029" s="21">
        <v>187.61</v>
      </c>
      <c r="I1029" t="s">
        <v>1074</v>
      </c>
      <c r="J1029" s="22">
        <f>ROUND(E1029* H1029,5)</f>
        <v>187.61</v>
      </c>
      <c r="K1029" s="23"/>
    </row>
    <row r="1030" spans="1:27" x14ac:dyDescent="0.2">
      <c r="D1030" s="24" t="s">
        <v>1090</v>
      </c>
      <c r="E1030" s="23"/>
      <c r="H1030" s="23"/>
      <c r="K1030" s="21">
        <f>SUM(J1028:J1029)</f>
        <v>191.93</v>
      </c>
    </row>
    <row r="1031" spans="1:27" x14ac:dyDescent="0.2">
      <c r="E1031" s="23"/>
      <c r="H1031" s="23"/>
      <c r="K1031" s="23"/>
    </row>
    <row r="1032" spans="1:27" x14ac:dyDescent="0.2">
      <c r="D1032" s="24" t="s">
        <v>1092</v>
      </c>
      <c r="E1032" s="23"/>
      <c r="H1032" s="23">
        <v>1.5</v>
      </c>
      <c r="I1032" t="s">
        <v>1093</v>
      </c>
      <c r="J1032">
        <f>ROUND(H1032/100*K1026,5)</f>
        <v>0.29754000000000003</v>
      </c>
      <c r="K1032" s="23"/>
    </row>
    <row r="1033" spans="1:27" x14ac:dyDescent="0.2">
      <c r="D1033" s="24" t="s">
        <v>1091</v>
      </c>
      <c r="E1033" s="23"/>
      <c r="H1033" s="23"/>
      <c r="K1033" s="25">
        <f>SUM(J1023:J1032)</f>
        <v>212.06354000000002</v>
      </c>
    </row>
    <row r="1034" spans="1:27" x14ac:dyDescent="0.2">
      <c r="D1034" s="24" t="s">
        <v>1142</v>
      </c>
      <c r="E1034" s="23"/>
      <c r="H1034" s="23">
        <v>8</v>
      </c>
      <c r="I1034" t="s">
        <v>1093</v>
      </c>
      <c r="K1034" s="21">
        <f>ROUND(H1034/100*K1033,5)</f>
        <v>16.96508</v>
      </c>
    </row>
    <row r="1035" spans="1:27" x14ac:dyDescent="0.2">
      <c r="D1035" s="24" t="s">
        <v>1094</v>
      </c>
      <c r="E1035" s="23"/>
      <c r="H1035" s="23"/>
      <c r="K1035" s="25">
        <f>SUM(K1033:K1034)</f>
        <v>229.02862000000002</v>
      </c>
    </row>
    <row r="1037" spans="1:27" ht="45" customHeight="1" x14ac:dyDescent="0.2">
      <c r="A1037" s="17" t="s">
        <v>1439</v>
      </c>
      <c r="B1037" s="17" t="s">
        <v>116</v>
      </c>
      <c r="C1037" s="1" t="s">
        <v>15</v>
      </c>
      <c r="D1037" s="96" t="s">
        <v>117</v>
      </c>
      <c r="E1037" s="97"/>
      <c r="F1037" s="97"/>
      <c r="G1037" s="1"/>
      <c r="H1037" s="18" t="s">
        <v>1066</v>
      </c>
      <c r="I1037" s="98">
        <v>1</v>
      </c>
      <c r="J1037" s="99"/>
      <c r="K1037" s="19">
        <f>ROUND(K1049,2)</f>
        <v>1863.86</v>
      </c>
      <c r="L1037" s="2" t="s">
        <v>1440</v>
      </c>
      <c r="M1037" s="1"/>
      <c r="N1037" s="1"/>
      <c r="O1037" s="1"/>
      <c r="P1037" s="1"/>
      <c r="Q1037" s="1"/>
      <c r="R1037" s="1"/>
      <c r="S1037" s="1"/>
      <c r="T1037" s="1"/>
      <c r="U1037" s="1"/>
      <c r="V1037" s="1"/>
      <c r="W1037" s="1"/>
      <c r="X1037" s="1"/>
      <c r="Y1037" s="1"/>
      <c r="Z1037" s="1"/>
      <c r="AA1037" s="1"/>
    </row>
    <row r="1038" spans="1:27" x14ac:dyDescent="0.2">
      <c r="B1038" s="14" t="s">
        <v>1068</v>
      </c>
    </row>
    <row r="1039" spans="1:27" x14ac:dyDescent="0.2">
      <c r="B1039" t="s">
        <v>1414</v>
      </c>
      <c r="C1039" t="s">
        <v>1070</v>
      </c>
      <c r="D1039" t="s">
        <v>1415</v>
      </c>
      <c r="E1039" s="20">
        <v>8</v>
      </c>
      <c r="F1039" t="s">
        <v>1072</v>
      </c>
      <c r="G1039" t="s">
        <v>1073</v>
      </c>
      <c r="H1039" s="21">
        <v>29.94</v>
      </c>
      <c r="I1039" t="s">
        <v>1074</v>
      </c>
      <c r="J1039" s="22">
        <f>ROUND(E1039/I1037* H1039,5)</f>
        <v>239.52</v>
      </c>
      <c r="K1039" s="23"/>
    </row>
    <row r="1040" spans="1:27" x14ac:dyDescent="0.2">
      <c r="B1040" t="s">
        <v>1245</v>
      </c>
      <c r="C1040" t="s">
        <v>1070</v>
      </c>
      <c r="D1040" t="s">
        <v>1246</v>
      </c>
      <c r="E1040" s="20">
        <v>4</v>
      </c>
      <c r="F1040" t="s">
        <v>1072</v>
      </c>
      <c r="G1040" t="s">
        <v>1073</v>
      </c>
      <c r="H1040" s="21">
        <v>26.33</v>
      </c>
      <c r="I1040" t="s">
        <v>1074</v>
      </c>
      <c r="J1040" s="22">
        <f>ROUND(E1040/I1037* H1040,5)</f>
        <v>105.32</v>
      </c>
      <c r="K1040" s="23"/>
    </row>
    <row r="1041" spans="1:27" x14ac:dyDescent="0.2">
      <c r="D1041" s="24" t="s">
        <v>1075</v>
      </c>
      <c r="E1041" s="23"/>
      <c r="H1041" s="23"/>
      <c r="K1041" s="21">
        <f>SUM(J1039:J1040)</f>
        <v>344.84000000000003</v>
      </c>
    </row>
    <row r="1042" spans="1:27" x14ac:dyDescent="0.2">
      <c r="B1042" s="14" t="s">
        <v>1080</v>
      </c>
      <c r="E1042" s="23"/>
      <c r="H1042" s="23"/>
      <c r="K1042" s="23"/>
    </row>
    <row r="1043" spans="1:27" x14ac:dyDescent="0.2">
      <c r="B1043" t="s">
        <v>1426</v>
      </c>
      <c r="C1043" t="s">
        <v>15</v>
      </c>
      <c r="D1043" t="s">
        <v>1427</v>
      </c>
      <c r="E1043" s="20">
        <v>1</v>
      </c>
      <c r="G1043" t="s">
        <v>1073</v>
      </c>
      <c r="H1043" s="21">
        <v>1375.78</v>
      </c>
      <c r="I1043" t="s">
        <v>1074</v>
      </c>
      <c r="J1043" s="22">
        <f>ROUND(E1043* H1043,5)</f>
        <v>1375.78</v>
      </c>
      <c r="K1043" s="23"/>
    </row>
    <row r="1044" spans="1:27" x14ac:dyDescent="0.2">
      <c r="D1044" s="24" t="s">
        <v>1090</v>
      </c>
      <c r="E1044" s="23"/>
      <c r="H1044" s="23"/>
      <c r="K1044" s="21">
        <f>SUM(J1043:J1043)</f>
        <v>1375.78</v>
      </c>
    </row>
    <row r="1045" spans="1:27" x14ac:dyDescent="0.2">
      <c r="E1045" s="23"/>
      <c r="H1045" s="23"/>
      <c r="K1045" s="23"/>
    </row>
    <row r="1046" spans="1:27" x14ac:dyDescent="0.2">
      <c r="D1046" s="24" t="s">
        <v>1092</v>
      </c>
      <c r="E1046" s="23"/>
      <c r="H1046" s="23">
        <v>1.5</v>
      </c>
      <c r="I1046" t="s">
        <v>1093</v>
      </c>
      <c r="J1046">
        <f>ROUND(H1046/100*K1041,5)</f>
        <v>5.1726000000000001</v>
      </c>
      <c r="K1046" s="23"/>
    </row>
    <row r="1047" spans="1:27" x14ac:dyDescent="0.2">
      <c r="D1047" s="24" t="s">
        <v>1091</v>
      </c>
      <c r="E1047" s="23"/>
      <c r="H1047" s="23"/>
      <c r="K1047" s="25">
        <f>SUM(J1038:J1046)</f>
        <v>1725.7926</v>
      </c>
    </row>
    <row r="1048" spans="1:27" x14ac:dyDescent="0.2">
      <c r="D1048" s="24" t="s">
        <v>1142</v>
      </c>
      <c r="E1048" s="23"/>
      <c r="H1048" s="23">
        <v>8</v>
      </c>
      <c r="I1048" t="s">
        <v>1093</v>
      </c>
      <c r="K1048" s="21">
        <f>ROUND(H1048/100*K1047,5)</f>
        <v>138.06341</v>
      </c>
    </row>
    <row r="1049" spans="1:27" x14ac:dyDescent="0.2">
      <c r="D1049" s="24" t="s">
        <v>1094</v>
      </c>
      <c r="E1049" s="23"/>
      <c r="H1049" s="23"/>
      <c r="K1049" s="25">
        <f>SUM(K1047:K1048)</f>
        <v>1863.85601</v>
      </c>
    </row>
    <row r="1051" spans="1:27" ht="45" customHeight="1" x14ac:dyDescent="0.2">
      <c r="A1051" s="17" t="s">
        <v>1441</v>
      </c>
      <c r="B1051" s="17" t="s">
        <v>128</v>
      </c>
      <c r="C1051" s="1" t="s">
        <v>18</v>
      </c>
      <c r="D1051" s="96" t="s">
        <v>129</v>
      </c>
      <c r="E1051" s="97"/>
      <c r="F1051" s="97"/>
      <c r="G1051" s="1"/>
      <c r="H1051" s="18" t="s">
        <v>1066</v>
      </c>
      <c r="I1051" s="98">
        <v>1</v>
      </c>
      <c r="J1051" s="99"/>
      <c r="K1051" s="19">
        <f>ROUND(K1064,2)</f>
        <v>247.46</v>
      </c>
      <c r="L1051" s="2" t="s">
        <v>1442</v>
      </c>
      <c r="M1051" s="1"/>
      <c r="N1051" s="1"/>
      <c r="O1051" s="1"/>
      <c r="P1051" s="1"/>
      <c r="Q1051" s="1"/>
      <c r="R1051" s="1"/>
      <c r="S1051" s="1"/>
      <c r="T1051" s="1"/>
      <c r="U1051" s="1"/>
      <c r="V1051" s="1"/>
      <c r="W1051" s="1"/>
      <c r="X1051" s="1"/>
      <c r="Y1051" s="1"/>
      <c r="Z1051" s="1"/>
      <c r="AA1051" s="1"/>
    </row>
    <row r="1052" spans="1:27" x14ac:dyDescent="0.2">
      <c r="B1052" s="14" t="s">
        <v>1068</v>
      </c>
    </row>
    <row r="1053" spans="1:27" x14ac:dyDescent="0.2">
      <c r="B1053" t="s">
        <v>1138</v>
      </c>
      <c r="C1053" t="s">
        <v>1070</v>
      </c>
      <c r="D1053" t="s">
        <v>1139</v>
      </c>
      <c r="E1053" s="20">
        <v>0.4</v>
      </c>
      <c r="F1053" t="s">
        <v>1072</v>
      </c>
      <c r="G1053" t="s">
        <v>1073</v>
      </c>
      <c r="H1053" s="21">
        <v>26.12</v>
      </c>
      <c r="I1053" t="s">
        <v>1074</v>
      </c>
      <c r="J1053" s="22">
        <f>ROUND(E1053/I1051* H1053,5)</f>
        <v>10.448</v>
      </c>
      <c r="K1053" s="23"/>
    </row>
    <row r="1054" spans="1:27" x14ac:dyDescent="0.2">
      <c r="B1054" t="s">
        <v>1136</v>
      </c>
      <c r="C1054" t="s">
        <v>1070</v>
      </c>
      <c r="D1054" t="s">
        <v>1137</v>
      </c>
      <c r="E1054" s="20">
        <v>0.2</v>
      </c>
      <c r="F1054" t="s">
        <v>1072</v>
      </c>
      <c r="G1054" t="s">
        <v>1073</v>
      </c>
      <c r="H1054" s="21">
        <v>30.41</v>
      </c>
      <c r="I1054" t="s">
        <v>1074</v>
      </c>
      <c r="J1054" s="22">
        <f>ROUND(E1054/I1051* H1054,5)</f>
        <v>6.0819999999999999</v>
      </c>
      <c r="K1054" s="23"/>
    </row>
    <row r="1055" spans="1:27" x14ac:dyDescent="0.2">
      <c r="D1055" s="24" t="s">
        <v>1075</v>
      </c>
      <c r="E1055" s="23"/>
      <c r="H1055" s="23"/>
      <c r="K1055" s="21">
        <f>SUM(J1053:J1054)</f>
        <v>16.53</v>
      </c>
    </row>
    <row r="1056" spans="1:27" x14ac:dyDescent="0.2">
      <c r="B1056" s="14" t="s">
        <v>1080</v>
      </c>
      <c r="E1056" s="23"/>
      <c r="H1056" s="23"/>
      <c r="K1056" s="23"/>
    </row>
    <row r="1057" spans="1:27" x14ac:dyDescent="0.2">
      <c r="B1057" t="s">
        <v>1421</v>
      </c>
      <c r="C1057" t="s">
        <v>23</v>
      </c>
      <c r="D1057" t="s">
        <v>1422</v>
      </c>
      <c r="E1057" s="20">
        <v>1</v>
      </c>
      <c r="G1057" t="s">
        <v>1073</v>
      </c>
      <c r="H1057" s="21">
        <v>4.32</v>
      </c>
      <c r="I1057" t="s">
        <v>1074</v>
      </c>
      <c r="J1057" s="22">
        <f>ROUND(E1057* H1057,5)</f>
        <v>4.32</v>
      </c>
      <c r="K1057" s="23"/>
    </row>
    <row r="1058" spans="1:27" x14ac:dyDescent="0.2">
      <c r="B1058" t="s">
        <v>1443</v>
      </c>
      <c r="C1058" t="s">
        <v>18</v>
      </c>
      <c r="D1058" t="s">
        <v>1444</v>
      </c>
      <c r="E1058" s="20">
        <v>1</v>
      </c>
      <c r="G1058" t="s">
        <v>1073</v>
      </c>
      <c r="H1058" s="21">
        <v>208.03</v>
      </c>
      <c r="I1058" t="s">
        <v>1074</v>
      </c>
      <c r="J1058" s="22">
        <f>ROUND(E1058* H1058,5)</f>
        <v>208.03</v>
      </c>
      <c r="K1058" s="23"/>
    </row>
    <row r="1059" spans="1:27" x14ac:dyDescent="0.2">
      <c r="D1059" s="24" t="s">
        <v>1090</v>
      </c>
      <c r="E1059" s="23"/>
      <c r="H1059" s="23"/>
      <c r="K1059" s="21">
        <f>SUM(J1057:J1058)</f>
        <v>212.35</v>
      </c>
    </row>
    <row r="1060" spans="1:27" x14ac:dyDescent="0.2">
      <c r="E1060" s="23"/>
      <c r="H1060" s="23"/>
      <c r="K1060" s="23"/>
    </row>
    <row r="1061" spans="1:27" x14ac:dyDescent="0.2">
      <c r="D1061" s="24" t="s">
        <v>1092</v>
      </c>
      <c r="E1061" s="23"/>
      <c r="H1061" s="23">
        <v>1.5</v>
      </c>
      <c r="I1061" t="s">
        <v>1093</v>
      </c>
      <c r="J1061">
        <f>ROUND(H1061/100*K1055,5)</f>
        <v>0.24795</v>
      </c>
      <c r="K1061" s="23"/>
    </row>
    <row r="1062" spans="1:27" x14ac:dyDescent="0.2">
      <c r="D1062" s="24" t="s">
        <v>1091</v>
      </c>
      <c r="E1062" s="23"/>
      <c r="H1062" s="23"/>
      <c r="K1062" s="25">
        <f>SUM(J1052:J1061)</f>
        <v>229.12795</v>
      </c>
    </row>
    <row r="1063" spans="1:27" x14ac:dyDescent="0.2">
      <c r="D1063" s="24" t="s">
        <v>1142</v>
      </c>
      <c r="E1063" s="23"/>
      <c r="H1063" s="23">
        <v>8</v>
      </c>
      <c r="I1063" t="s">
        <v>1093</v>
      </c>
      <c r="K1063" s="21">
        <f>ROUND(H1063/100*K1062,5)</f>
        <v>18.33024</v>
      </c>
    </row>
    <row r="1064" spans="1:27" x14ac:dyDescent="0.2">
      <c r="D1064" s="24" t="s">
        <v>1094</v>
      </c>
      <c r="E1064" s="23"/>
      <c r="H1064" s="23"/>
      <c r="K1064" s="25">
        <f>SUM(K1062:K1063)</f>
        <v>247.45819</v>
      </c>
    </row>
    <row r="1066" spans="1:27" ht="45" customHeight="1" x14ac:dyDescent="0.2">
      <c r="A1066" s="17" t="s">
        <v>1445</v>
      </c>
      <c r="B1066" s="17" t="s">
        <v>156</v>
      </c>
      <c r="C1066" s="1" t="s">
        <v>18</v>
      </c>
      <c r="D1066" s="96" t="s">
        <v>157</v>
      </c>
      <c r="E1066" s="97"/>
      <c r="F1066" s="97"/>
      <c r="G1066" s="1"/>
      <c r="H1066" s="18" t="s">
        <v>1066</v>
      </c>
      <c r="I1066" s="98">
        <v>1</v>
      </c>
      <c r="J1066" s="99"/>
      <c r="K1066" s="19">
        <f>ROUND(K1079,2)</f>
        <v>225.4</v>
      </c>
      <c r="L1066" s="2" t="s">
        <v>1446</v>
      </c>
      <c r="M1066" s="1"/>
      <c r="N1066" s="1"/>
      <c r="O1066" s="1"/>
      <c r="P1066" s="1"/>
      <c r="Q1066" s="1"/>
      <c r="R1066" s="1"/>
      <c r="S1066" s="1"/>
      <c r="T1066" s="1"/>
      <c r="U1066" s="1"/>
      <c r="V1066" s="1"/>
      <c r="W1066" s="1"/>
      <c r="X1066" s="1"/>
      <c r="Y1066" s="1"/>
      <c r="Z1066" s="1"/>
      <c r="AA1066" s="1"/>
    </row>
    <row r="1067" spans="1:27" x14ac:dyDescent="0.2">
      <c r="B1067" s="14" t="s">
        <v>1068</v>
      </c>
    </row>
    <row r="1068" spans="1:27" x14ac:dyDescent="0.2">
      <c r="B1068" t="s">
        <v>1136</v>
      </c>
      <c r="C1068" t="s">
        <v>1070</v>
      </c>
      <c r="D1068" t="s">
        <v>1137</v>
      </c>
      <c r="E1068" s="20">
        <v>0.2</v>
      </c>
      <c r="F1068" t="s">
        <v>1072</v>
      </c>
      <c r="G1068" t="s">
        <v>1073</v>
      </c>
      <c r="H1068" s="21">
        <v>30.41</v>
      </c>
      <c r="I1068" t="s">
        <v>1074</v>
      </c>
      <c r="J1068" s="22">
        <f>ROUND(E1068/I1066* H1068,5)</f>
        <v>6.0819999999999999</v>
      </c>
      <c r="K1068" s="23"/>
    </row>
    <row r="1069" spans="1:27" x14ac:dyDescent="0.2">
      <c r="B1069" t="s">
        <v>1138</v>
      </c>
      <c r="C1069" t="s">
        <v>1070</v>
      </c>
      <c r="D1069" t="s">
        <v>1139</v>
      </c>
      <c r="E1069" s="20">
        <v>0.4</v>
      </c>
      <c r="F1069" t="s">
        <v>1072</v>
      </c>
      <c r="G1069" t="s">
        <v>1073</v>
      </c>
      <c r="H1069" s="21">
        <v>26.12</v>
      </c>
      <c r="I1069" t="s">
        <v>1074</v>
      </c>
      <c r="J1069" s="22">
        <f>ROUND(E1069/I1066* H1069,5)</f>
        <v>10.448</v>
      </c>
      <c r="K1069" s="23"/>
    </row>
    <row r="1070" spans="1:27" x14ac:dyDescent="0.2">
      <c r="D1070" s="24" t="s">
        <v>1075</v>
      </c>
      <c r="E1070" s="23"/>
      <c r="H1070" s="23"/>
      <c r="K1070" s="21">
        <f>SUM(J1068:J1069)</f>
        <v>16.53</v>
      </c>
    </row>
    <row r="1071" spans="1:27" x14ac:dyDescent="0.2">
      <c r="B1071" s="14" t="s">
        <v>1080</v>
      </c>
      <c r="E1071" s="23"/>
      <c r="H1071" s="23"/>
      <c r="K1071" s="23"/>
    </row>
    <row r="1072" spans="1:27" x14ac:dyDescent="0.2">
      <c r="B1072" t="s">
        <v>1447</v>
      </c>
      <c r="C1072" t="s">
        <v>18</v>
      </c>
      <c r="D1072" t="s">
        <v>1448</v>
      </c>
      <c r="E1072" s="20">
        <v>1</v>
      </c>
      <c r="G1072" t="s">
        <v>1073</v>
      </c>
      <c r="H1072" s="21">
        <v>187.61</v>
      </c>
      <c r="I1072" t="s">
        <v>1074</v>
      </c>
      <c r="J1072" s="22">
        <f>ROUND(E1072* H1072,5)</f>
        <v>187.61</v>
      </c>
      <c r="K1072" s="23"/>
    </row>
    <row r="1073" spans="1:27" x14ac:dyDescent="0.2">
      <c r="B1073" t="s">
        <v>1421</v>
      </c>
      <c r="C1073" t="s">
        <v>23</v>
      </c>
      <c r="D1073" t="s">
        <v>1422</v>
      </c>
      <c r="E1073" s="20">
        <v>1</v>
      </c>
      <c r="G1073" t="s">
        <v>1073</v>
      </c>
      <c r="H1073" s="21">
        <v>4.32</v>
      </c>
      <c r="I1073" t="s">
        <v>1074</v>
      </c>
      <c r="J1073" s="22">
        <f>ROUND(E1073* H1073,5)</f>
        <v>4.32</v>
      </c>
      <c r="K1073" s="23"/>
    </row>
    <row r="1074" spans="1:27" x14ac:dyDescent="0.2">
      <c r="D1074" s="24" t="s">
        <v>1090</v>
      </c>
      <c r="E1074" s="23"/>
      <c r="H1074" s="23"/>
      <c r="K1074" s="21">
        <f>SUM(J1072:J1073)</f>
        <v>191.93</v>
      </c>
    </row>
    <row r="1075" spans="1:27" x14ac:dyDescent="0.2">
      <c r="E1075" s="23"/>
      <c r="H1075" s="23"/>
      <c r="K1075" s="23"/>
    </row>
    <row r="1076" spans="1:27" x14ac:dyDescent="0.2">
      <c r="D1076" s="24" t="s">
        <v>1092</v>
      </c>
      <c r="E1076" s="23"/>
      <c r="H1076" s="23">
        <v>1.5</v>
      </c>
      <c r="I1076" t="s">
        <v>1093</v>
      </c>
      <c r="J1076">
        <f>ROUND(H1076/100*K1070,5)</f>
        <v>0.24795</v>
      </c>
      <c r="K1076" s="23"/>
    </row>
    <row r="1077" spans="1:27" x14ac:dyDescent="0.2">
      <c r="D1077" s="24" t="s">
        <v>1091</v>
      </c>
      <c r="E1077" s="23"/>
      <c r="H1077" s="23"/>
      <c r="K1077" s="25">
        <f>SUM(J1067:J1076)</f>
        <v>208.70795000000001</v>
      </c>
    </row>
    <row r="1078" spans="1:27" x14ac:dyDescent="0.2">
      <c r="D1078" s="24" t="s">
        <v>1142</v>
      </c>
      <c r="E1078" s="23"/>
      <c r="H1078" s="23">
        <v>8</v>
      </c>
      <c r="I1078" t="s">
        <v>1093</v>
      </c>
      <c r="K1078" s="21">
        <f>ROUND(H1078/100*K1077,5)</f>
        <v>16.696639999999999</v>
      </c>
    </row>
    <row r="1079" spans="1:27" x14ac:dyDescent="0.2">
      <c r="D1079" s="24" t="s">
        <v>1094</v>
      </c>
      <c r="E1079" s="23"/>
      <c r="H1079" s="23"/>
      <c r="K1079" s="25">
        <f>SUM(K1077:K1078)</f>
        <v>225.40459000000001</v>
      </c>
    </row>
    <row r="1081" spans="1:27" ht="45" customHeight="1" x14ac:dyDescent="0.2">
      <c r="A1081" s="17" t="s">
        <v>1449</v>
      </c>
      <c r="B1081" s="17" t="s">
        <v>164</v>
      </c>
      <c r="C1081" s="1" t="s">
        <v>23</v>
      </c>
      <c r="D1081" s="96" t="s">
        <v>3999</v>
      </c>
      <c r="E1081" s="97"/>
      <c r="F1081" s="97"/>
      <c r="G1081" s="1"/>
      <c r="H1081" s="18" t="s">
        <v>1066</v>
      </c>
      <c r="I1081" s="98">
        <v>1</v>
      </c>
      <c r="J1081" s="99"/>
      <c r="K1081" s="19">
        <v>432</v>
      </c>
      <c r="L1081" s="2" t="s">
        <v>4032</v>
      </c>
      <c r="M1081" s="1"/>
      <c r="N1081" s="1"/>
      <c r="O1081" s="1"/>
      <c r="P1081" s="1"/>
      <c r="Q1081" s="1"/>
      <c r="R1081" s="1"/>
      <c r="S1081" s="1"/>
      <c r="T1081" s="1"/>
      <c r="U1081" s="1"/>
      <c r="V1081" s="1"/>
      <c r="W1081" s="1"/>
      <c r="X1081" s="1"/>
      <c r="Y1081" s="1"/>
      <c r="Z1081" s="1"/>
      <c r="AA1081" s="1"/>
    </row>
    <row r="1082" spans="1:27" ht="45" customHeight="1" x14ac:dyDescent="0.2">
      <c r="A1082" s="17" t="s">
        <v>1450</v>
      </c>
      <c r="B1082" s="17" t="s">
        <v>973</v>
      </c>
      <c r="C1082" s="1" t="s">
        <v>23</v>
      </c>
      <c r="D1082" s="96" t="s">
        <v>4009</v>
      </c>
      <c r="E1082" s="97"/>
      <c r="F1082" s="97"/>
      <c r="G1082" s="1"/>
      <c r="H1082" s="18" t="s">
        <v>1066</v>
      </c>
      <c r="I1082" s="98">
        <v>1</v>
      </c>
      <c r="J1082" s="99"/>
      <c r="K1082" s="19">
        <v>2700</v>
      </c>
      <c r="L1082" s="2" t="s">
        <v>4033</v>
      </c>
      <c r="M1082" s="1"/>
      <c r="N1082" s="1"/>
      <c r="O1082" s="1"/>
      <c r="P1082" s="1"/>
      <c r="Q1082" s="1"/>
      <c r="R1082" s="1"/>
      <c r="S1082" s="1"/>
      <c r="T1082" s="1"/>
      <c r="U1082" s="1"/>
      <c r="V1082" s="1"/>
      <c r="W1082" s="1"/>
      <c r="X1082" s="1"/>
      <c r="Y1082" s="1"/>
      <c r="Z1082" s="1"/>
      <c r="AA1082" s="1"/>
    </row>
    <row r="1083" spans="1:27" ht="45" customHeight="1" x14ac:dyDescent="0.2">
      <c r="A1083" s="17" t="s">
        <v>1451</v>
      </c>
      <c r="B1083" s="17" t="s">
        <v>161</v>
      </c>
      <c r="C1083" s="1" t="s">
        <v>23</v>
      </c>
      <c r="D1083" s="96" t="s">
        <v>4034</v>
      </c>
      <c r="E1083" s="97"/>
      <c r="F1083" s="97"/>
      <c r="G1083" s="1"/>
      <c r="H1083" s="18" t="s">
        <v>1066</v>
      </c>
      <c r="I1083" s="98">
        <v>1</v>
      </c>
      <c r="J1083" s="99"/>
      <c r="K1083" s="19">
        <v>3240</v>
      </c>
      <c r="L1083" s="2" t="s">
        <v>1454</v>
      </c>
      <c r="M1083" s="1"/>
      <c r="N1083" s="1"/>
      <c r="O1083" s="1"/>
      <c r="P1083" s="1"/>
      <c r="Q1083" s="1"/>
      <c r="R1083" s="1"/>
      <c r="S1083" s="1"/>
      <c r="T1083" s="1"/>
      <c r="U1083" s="1"/>
      <c r="V1083" s="1"/>
      <c r="W1083" s="1"/>
      <c r="X1083" s="1"/>
      <c r="Y1083" s="1"/>
      <c r="Z1083" s="1"/>
      <c r="AA1083" s="1"/>
    </row>
    <row r="1084" spans="1:27" ht="45" customHeight="1" x14ac:dyDescent="0.2">
      <c r="A1084" s="17" t="s">
        <v>1452</v>
      </c>
      <c r="B1084" s="17" t="s">
        <v>142</v>
      </c>
      <c r="C1084" s="1" t="s">
        <v>103</v>
      </c>
      <c r="D1084" s="96" t="s">
        <v>143</v>
      </c>
      <c r="E1084" s="97"/>
      <c r="F1084" s="97"/>
      <c r="G1084" s="1"/>
      <c r="H1084" s="18" t="s">
        <v>1066</v>
      </c>
      <c r="I1084" s="98">
        <v>1</v>
      </c>
      <c r="J1084" s="99"/>
      <c r="K1084" s="19">
        <f>ROUND(K1099,2)</f>
        <v>2.4900000000000002</v>
      </c>
      <c r="L1084" s="2" t="s">
        <v>1459</v>
      </c>
      <c r="M1084" s="1"/>
      <c r="N1084" s="1"/>
      <c r="O1084" s="1"/>
      <c r="P1084" s="1"/>
      <c r="Q1084" s="1"/>
      <c r="R1084" s="1"/>
      <c r="S1084" s="1"/>
      <c r="T1084" s="1"/>
      <c r="U1084" s="1"/>
      <c r="V1084" s="1"/>
      <c r="W1084" s="1"/>
      <c r="X1084" s="1"/>
      <c r="Y1084" s="1"/>
      <c r="Z1084" s="1"/>
      <c r="AA1084" s="1"/>
    </row>
    <row r="1085" spans="1:27" x14ac:dyDescent="0.2">
      <c r="B1085" s="14" t="s">
        <v>1068</v>
      </c>
    </row>
    <row r="1086" spans="1:27" x14ac:dyDescent="0.2">
      <c r="B1086" t="s">
        <v>1462</v>
      </c>
      <c r="C1086" t="s">
        <v>1070</v>
      </c>
      <c r="D1086" t="s">
        <v>1463</v>
      </c>
      <c r="E1086" s="20">
        <v>1.7999999999999999E-2</v>
      </c>
      <c r="F1086" t="s">
        <v>1072</v>
      </c>
      <c r="G1086" t="s">
        <v>1073</v>
      </c>
      <c r="H1086" s="21">
        <v>29.9</v>
      </c>
      <c r="I1086" t="s">
        <v>1074</v>
      </c>
      <c r="J1086" s="22">
        <f>ROUND(E1086/I1084* H1086,5)</f>
        <v>0.53820000000000001</v>
      </c>
      <c r="K1086" s="23"/>
    </row>
    <row r="1087" spans="1:27" x14ac:dyDescent="0.2">
      <c r="B1087" t="s">
        <v>1460</v>
      </c>
      <c r="C1087" t="s">
        <v>1070</v>
      </c>
      <c r="D1087" t="s">
        <v>1461</v>
      </c>
      <c r="E1087" s="20">
        <v>0.01</v>
      </c>
      <c r="F1087" t="s">
        <v>1072</v>
      </c>
      <c r="G1087" t="s">
        <v>1073</v>
      </c>
      <c r="H1087" s="21">
        <v>26.12</v>
      </c>
      <c r="I1087" t="s">
        <v>1074</v>
      </c>
      <c r="J1087" s="22">
        <f>ROUND(E1087/I1084* H1087,5)</f>
        <v>0.26119999999999999</v>
      </c>
      <c r="K1087" s="23"/>
    </row>
    <row r="1088" spans="1:27" x14ac:dyDescent="0.2">
      <c r="D1088" s="24" t="s">
        <v>1075</v>
      </c>
      <c r="E1088" s="23"/>
      <c r="H1088" s="23"/>
      <c r="K1088" s="21">
        <f>SUM(J1086:J1087)</f>
        <v>0.7994</v>
      </c>
    </row>
    <row r="1089" spans="1:27" x14ac:dyDescent="0.2">
      <c r="B1089" s="14" t="s">
        <v>1076</v>
      </c>
      <c r="E1089" s="23"/>
      <c r="H1089" s="23"/>
      <c r="K1089" s="23"/>
    </row>
    <row r="1090" spans="1:27" x14ac:dyDescent="0.2">
      <c r="B1090" t="s">
        <v>1464</v>
      </c>
      <c r="C1090" t="s">
        <v>1070</v>
      </c>
      <c r="D1090" t="s">
        <v>1465</v>
      </c>
      <c r="E1090" s="20">
        <v>1.7999999999999999E-2</v>
      </c>
      <c r="F1090" t="s">
        <v>1072</v>
      </c>
      <c r="G1090" t="s">
        <v>1073</v>
      </c>
      <c r="H1090" s="21">
        <v>3.42</v>
      </c>
      <c r="I1090" t="s">
        <v>1074</v>
      </c>
      <c r="J1090" s="22">
        <f>ROUND(E1090/I1084* H1090,5)</f>
        <v>6.1559999999999997E-2</v>
      </c>
      <c r="K1090" s="23"/>
    </row>
    <row r="1091" spans="1:27" x14ac:dyDescent="0.2">
      <c r="D1091" s="24" t="s">
        <v>1079</v>
      </c>
      <c r="E1091" s="23"/>
      <c r="H1091" s="23"/>
      <c r="K1091" s="21">
        <f>SUM(J1090:J1090)</f>
        <v>6.1559999999999997E-2</v>
      </c>
    </row>
    <row r="1092" spans="1:27" x14ac:dyDescent="0.2">
      <c r="B1092" s="14" t="s">
        <v>1080</v>
      </c>
      <c r="E1092" s="23"/>
      <c r="H1092" s="23"/>
      <c r="K1092" s="23"/>
    </row>
    <row r="1093" spans="1:27" x14ac:dyDescent="0.2">
      <c r="B1093" t="s">
        <v>1466</v>
      </c>
      <c r="C1093" t="s">
        <v>103</v>
      </c>
      <c r="D1093" t="s">
        <v>1467</v>
      </c>
      <c r="E1093" s="20">
        <v>1</v>
      </c>
      <c r="G1093" t="s">
        <v>1073</v>
      </c>
      <c r="H1093" s="21">
        <v>1.42</v>
      </c>
      <c r="I1093" t="s">
        <v>1074</v>
      </c>
      <c r="J1093" s="22">
        <f>ROUND(E1093* H1093,5)</f>
        <v>1.42</v>
      </c>
      <c r="K1093" s="23"/>
    </row>
    <row r="1094" spans="1:27" x14ac:dyDescent="0.2">
      <c r="D1094" s="24" t="s">
        <v>1090</v>
      </c>
      <c r="E1094" s="23"/>
      <c r="H1094" s="23"/>
      <c r="K1094" s="21">
        <f>SUM(J1093:J1093)</f>
        <v>1.42</v>
      </c>
    </row>
    <row r="1095" spans="1:27" x14ac:dyDescent="0.2">
      <c r="E1095" s="23"/>
      <c r="H1095" s="23"/>
      <c r="K1095" s="23"/>
    </row>
    <row r="1096" spans="1:27" x14ac:dyDescent="0.2">
      <c r="D1096" s="24" t="s">
        <v>1092</v>
      </c>
      <c r="E1096" s="23"/>
      <c r="H1096" s="23">
        <v>2.5</v>
      </c>
      <c r="I1096" t="s">
        <v>1093</v>
      </c>
      <c r="J1096">
        <f>ROUND(H1096/100*K1088,5)</f>
        <v>1.9990000000000001E-2</v>
      </c>
      <c r="K1096" s="23"/>
    </row>
    <row r="1097" spans="1:27" x14ac:dyDescent="0.2">
      <c r="D1097" s="24" t="s">
        <v>1091</v>
      </c>
      <c r="E1097" s="23"/>
      <c r="H1097" s="23"/>
      <c r="K1097" s="25">
        <f>SUM(J1085:J1096)</f>
        <v>2.3009499999999998</v>
      </c>
    </row>
    <row r="1098" spans="1:27" x14ac:dyDescent="0.2">
      <c r="D1098" s="24" t="s">
        <v>1142</v>
      </c>
      <c r="E1098" s="23"/>
      <c r="H1098" s="23">
        <v>8</v>
      </c>
      <c r="I1098" t="s">
        <v>1093</v>
      </c>
      <c r="K1098" s="21">
        <f>ROUND(H1098/100*K1097,5)</f>
        <v>0.18407999999999999</v>
      </c>
    </row>
    <row r="1099" spans="1:27" x14ac:dyDescent="0.2">
      <c r="D1099" s="24" t="s">
        <v>1094</v>
      </c>
      <c r="E1099" s="23"/>
      <c r="H1099" s="23"/>
      <c r="K1099" s="25">
        <f>SUM(K1097:K1098)</f>
        <v>2.4850299999999996</v>
      </c>
    </row>
    <row r="1101" spans="1:27" ht="45" customHeight="1" x14ac:dyDescent="0.2">
      <c r="A1101" s="17" t="s">
        <v>1453</v>
      </c>
      <c r="B1101" s="17" t="s">
        <v>174</v>
      </c>
      <c r="C1101" s="1" t="s">
        <v>15</v>
      </c>
      <c r="D1101" s="96" t="s">
        <v>175</v>
      </c>
      <c r="E1101" s="97"/>
      <c r="F1101" s="97"/>
      <c r="G1101" s="1"/>
      <c r="H1101" s="18" t="s">
        <v>1066</v>
      </c>
      <c r="I1101" s="98">
        <v>1</v>
      </c>
      <c r="J1101" s="99"/>
      <c r="K1101" s="19">
        <f>ROUND(K1116,2)</f>
        <v>141.80000000000001</v>
      </c>
      <c r="L1101" s="2" t="s">
        <v>1469</v>
      </c>
      <c r="M1101" s="1"/>
      <c r="N1101" s="1"/>
      <c r="O1101" s="1"/>
      <c r="P1101" s="1"/>
      <c r="Q1101" s="1"/>
      <c r="R1101" s="1"/>
      <c r="S1101" s="1"/>
      <c r="T1101" s="1"/>
      <c r="U1101" s="1"/>
      <c r="V1101" s="1"/>
      <c r="W1101" s="1"/>
      <c r="X1101" s="1"/>
      <c r="Y1101" s="1"/>
      <c r="Z1101" s="1"/>
      <c r="AA1101" s="1"/>
    </row>
    <row r="1102" spans="1:27" x14ac:dyDescent="0.2">
      <c r="B1102" s="14" t="s">
        <v>1068</v>
      </c>
    </row>
    <row r="1103" spans="1:27" x14ac:dyDescent="0.2">
      <c r="B1103" t="s">
        <v>1205</v>
      </c>
      <c r="C1103" t="s">
        <v>1070</v>
      </c>
      <c r="D1103" t="s">
        <v>1206</v>
      </c>
      <c r="E1103" s="20">
        <v>0.216</v>
      </c>
      <c r="F1103" t="s">
        <v>1072</v>
      </c>
      <c r="G1103" t="s">
        <v>1073</v>
      </c>
      <c r="H1103" s="21">
        <v>24.55</v>
      </c>
      <c r="I1103" t="s">
        <v>1074</v>
      </c>
      <c r="J1103" s="22">
        <f>ROUND(E1103/I1101* H1103,5)</f>
        <v>5.3028000000000004</v>
      </c>
      <c r="K1103" s="23"/>
    </row>
    <row r="1104" spans="1:27" x14ac:dyDescent="0.2">
      <c r="B1104" t="s">
        <v>1364</v>
      </c>
      <c r="C1104" t="s">
        <v>1070</v>
      </c>
      <c r="D1104" t="s">
        <v>1365</v>
      </c>
      <c r="E1104" s="20">
        <v>5.3999999999999999E-2</v>
      </c>
      <c r="F1104" t="s">
        <v>1072</v>
      </c>
      <c r="G1104" t="s">
        <v>1073</v>
      </c>
      <c r="H1104" s="21">
        <v>29.42</v>
      </c>
      <c r="I1104" t="s">
        <v>1074</v>
      </c>
      <c r="J1104" s="22">
        <f>ROUND(E1104/I1101* H1104,5)</f>
        <v>1.5886800000000001</v>
      </c>
      <c r="K1104" s="23"/>
    </row>
    <row r="1105" spans="1:27" x14ac:dyDescent="0.2">
      <c r="D1105" s="24" t="s">
        <v>1075</v>
      </c>
      <c r="E1105" s="23"/>
      <c r="H1105" s="23"/>
      <c r="K1105" s="21">
        <f>SUM(J1103:J1104)</f>
        <v>6.8914800000000005</v>
      </c>
    </row>
    <row r="1106" spans="1:27" x14ac:dyDescent="0.2">
      <c r="B1106" s="14" t="s">
        <v>1076</v>
      </c>
      <c r="E1106" s="23"/>
      <c r="H1106" s="23"/>
      <c r="K1106" s="23"/>
    </row>
    <row r="1107" spans="1:27" x14ac:dyDescent="0.2">
      <c r="B1107" t="s">
        <v>1366</v>
      </c>
      <c r="C1107" t="s">
        <v>1070</v>
      </c>
      <c r="D1107" t="s">
        <v>1367</v>
      </c>
      <c r="E1107" s="20">
        <v>0.09</v>
      </c>
      <c r="F1107" t="s">
        <v>1072</v>
      </c>
      <c r="G1107" t="s">
        <v>1073</v>
      </c>
      <c r="H1107" s="21">
        <v>168.95</v>
      </c>
      <c r="I1107" t="s">
        <v>1074</v>
      </c>
      <c r="J1107" s="22">
        <f>ROUND(E1107/I1101* H1107,5)</f>
        <v>15.205500000000001</v>
      </c>
      <c r="K1107" s="23"/>
    </row>
    <row r="1108" spans="1:27" x14ac:dyDescent="0.2">
      <c r="D1108" s="24" t="s">
        <v>1079</v>
      </c>
      <c r="E1108" s="23"/>
      <c r="H1108" s="23"/>
      <c r="K1108" s="21">
        <f>SUM(J1107:J1107)</f>
        <v>15.205500000000001</v>
      </c>
    </row>
    <row r="1109" spans="1:27" x14ac:dyDescent="0.2">
      <c r="B1109" s="14" t="s">
        <v>1080</v>
      </c>
      <c r="E1109" s="23"/>
      <c r="H1109" s="23"/>
      <c r="K1109" s="23"/>
    </row>
    <row r="1110" spans="1:27" x14ac:dyDescent="0.2">
      <c r="B1110" t="s">
        <v>1470</v>
      </c>
      <c r="C1110" t="s">
        <v>15</v>
      </c>
      <c r="D1110" t="s">
        <v>1471</v>
      </c>
      <c r="E1110" s="20">
        <v>1.02</v>
      </c>
      <c r="G1110" t="s">
        <v>1073</v>
      </c>
      <c r="H1110" s="21">
        <v>106.89</v>
      </c>
      <c r="I1110" t="s">
        <v>1074</v>
      </c>
      <c r="J1110" s="22">
        <f>ROUND(E1110* H1110,5)</f>
        <v>109.0278</v>
      </c>
      <c r="K1110" s="23"/>
    </row>
    <row r="1111" spans="1:27" x14ac:dyDescent="0.2">
      <c r="D1111" s="24" t="s">
        <v>1090</v>
      </c>
      <c r="E1111" s="23"/>
      <c r="H1111" s="23"/>
      <c r="K1111" s="21">
        <f>SUM(J1110:J1110)</f>
        <v>109.0278</v>
      </c>
    </row>
    <row r="1112" spans="1:27" x14ac:dyDescent="0.2">
      <c r="E1112" s="23"/>
      <c r="H1112" s="23"/>
      <c r="K1112" s="23"/>
    </row>
    <row r="1113" spans="1:27" x14ac:dyDescent="0.2">
      <c r="D1113" s="24" t="s">
        <v>1092</v>
      </c>
      <c r="E1113" s="23"/>
      <c r="H1113" s="23">
        <v>2.5</v>
      </c>
      <c r="I1113" t="s">
        <v>1093</v>
      </c>
      <c r="J1113">
        <f>ROUND(H1113/100*K1105,5)</f>
        <v>0.17229</v>
      </c>
      <c r="K1113" s="23"/>
    </row>
    <row r="1114" spans="1:27" x14ac:dyDescent="0.2">
      <c r="D1114" s="24" t="s">
        <v>1091</v>
      </c>
      <c r="E1114" s="23"/>
      <c r="H1114" s="23"/>
      <c r="K1114" s="25">
        <f>SUM(J1102:J1113)</f>
        <v>131.29706999999999</v>
      </c>
    </row>
    <row r="1115" spans="1:27" x14ac:dyDescent="0.2">
      <c r="D1115" s="24" t="s">
        <v>1142</v>
      </c>
      <c r="E1115" s="23"/>
      <c r="H1115" s="23">
        <v>8</v>
      </c>
      <c r="I1115" t="s">
        <v>1093</v>
      </c>
      <c r="K1115" s="21">
        <f>ROUND(H1115/100*K1114,5)</f>
        <v>10.503769999999999</v>
      </c>
    </row>
    <row r="1116" spans="1:27" x14ac:dyDescent="0.2">
      <c r="D1116" s="24" t="s">
        <v>1094</v>
      </c>
      <c r="E1116" s="23"/>
      <c r="H1116" s="23"/>
      <c r="K1116" s="25">
        <f>SUM(K1114:K1115)</f>
        <v>141.80083999999999</v>
      </c>
    </row>
    <row r="1118" spans="1:27" ht="45" customHeight="1" x14ac:dyDescent="0.2">
      <c r="A1118" s="17" t="s">
        <v>1455</v>
      </c>
      <c r="B1118" s="17" t="s">
        <v>136</v>
      </c>
      <c r="C1118" s="1" t="s">
        <v>15</v>
      </c>
      <c r="D1118" s="96" t="s">
        <v>137</v>
      </c>
      <c r="E1118" s="97"/>
      <c r="F1118" s="97"/>
      <c r="G1118" s="1"/>
      <c r="H1118" s="18" t="s">
        <v>1066</v>
      </c>
      <c r="I1118" s="98">
        <v>1</v>
      </c>
      <c r="J1118" s="99"/>
      <c r="K1118" s="19">
        <f>ROUND(K1130,2)</f>
        <v>314.49</v>
      </c>
      <c r="L1118" s="2" t="s">
        <v>1473</v>
      </c>
      <c r="M1118" s="1"/>
      <c r="N1118" s="1"/>
      <c r="O1118" s="1"/>
      <c r="P1118" s="1"/>
      <c r="Q1118" s="1"/>
      <c r="R1118" s="1"/>
      <c r="S1118" s="1"/>
      <c r="T1118" s="1"/>
      <c r="U1118" s="1"/>
      <c r="V1118" s="1"/>
      <c r="W1118" s="1"/>
      <c r="X1118" s="1"/>
      <c r="Y1118" s="1"/>
      <c r="Z1118" s="1"/>
      <c r="AA1118" s="1"/>
    </row>
    <row r="1119" spans="1:27" x14ac:dyDescent="0.2">
      <c r="B1119" s="14" t="s">
        <v>1068</v>
      </c>
    </row>
    <row r="1120" spans="1:27" x14ac:dyDescent="0.2">
      <c r="B1120" t="s">
        <v>1205</v>
      </c>
      <c r="C1120" t="s">
        <v>1070</v>
      </c>
      <c r="D1120" t="s">
        <v>1206</v>
      </c>
      <c r="E1120" s="20">
        <v>2.052</v>
      </c>
      <c r="F1120" t="s">
        <v>1072</v>
      </c>
      <c r="G1120" t="s">
        <v>1073</v>
      </c>
      <c r="H1120" s="21">
        <v>24.55</v>
      </c>
      <c r="I1120" t="s">
        <v>1074</v>
      </c>
      <c r="J1120" s="22">
        <f>ROUND(E1120/I1118* H1120,5)</f>
        <v>50.376600000000003</v>
      </c>
      <c r="K1120" s="23"/>
    </row>
    <row r="1121" spans="1:27" x14ac:dyDescent="0.2">
      <c r="B1121" t="s">
        <v>1364</v>
      </c>
      <c r="C1121" t="s">
        <v>1070</v>
      </c>
      <c r="D1121" t="s">
        <v>1365</v>
      </c>
      <c r="E1121" s="20">
        <v>0.51300000000000001</v>
      </c>
      <c r="F1121" t="s">
        <v>1072</v>
      </c>
      <c r="G1121" t="s">
        <v>1073</v>
      </c>
      <c r="H1121" s="21">
        <v>29.42</v>
      </c>
      <c r="I1121" t="s">
        <v>1074</v>
      </c>
      <c r="J1121" s="22">
        <f>ROUND(E1121/I1118* H1121,5)</f>
        <v>15.092460000000001</v>
      </c>
      <c r="K1121" s="23"/>
    </row>
    <row r="1122" spans="1:27" x14ac:dyDescent="0.2">
      <c r="D1122" s="24" t="s">
        <v>1075</v>
      </c>
      <c r="E1122" s="23"/>
      <c r="H1122" s="23"/>
      <c r="K1122" s="21">
        <f>SUM(J1120:J1121)</f>
        <v>65.469059999999999</v>
      </c>
    </row>
    <row r="1123" spans="1:27" x14ac:dyDescent="0.2">
      <c r="B1123" s="14" t="s">
        <v>1063</v>
      </c>
      <c r="E1123" s="23"/>
      <c r="H1123" s="23"/>
      <c r="K1123" s="23"/>
    </row>
    <row r="1124" spans="1:27" x14ac:dyDescent="0.2">
      <c r="B1124" t="s">
        <v>1064</v>
      </c>
      <c r="C1124" t="s">
        <v>15</v>
      </c>
      <c r="D1124" t="s">
        <v>1065</v>
      </c>
      <c r="E1124" s="20">
        <v>1.05</v>
      </c>
      <c r="G1124" t="s">
        <v>1073</v>
      </c>
      <c r="H1124" s="21">
        <v>213.41679999999999</v>
      </c>
      <c r="I1124" t="s">
        <v>1074</v>
      </c>
      <c r="J1124" s="22">
        <f>ROUND(E1124* H1124,5)</f>
        <v>224.08763999999999</v>
      </c>
      <c r="K1124" s="23"/>
    </row>
    <row r="1125" spans="1:27" x14ac:dyDescent="0.2">
      <c r="D1125" s="24" t="s">
        <v>1361</v>
      </c>
      <c r="E1125" s="23"/>
      <c r="H1125" s="23"/>
      <c r="K1125" s="21">
        <f>SUM(J1124:J1124)</f>
        <v>224.08763999999999</v>
      </c>
    </row>
    <row r="1126" spans="1:27" x14ac:dyDescent="0.2">
      <c r="E1126" s="23"/>
      <c r="H1126" s="23"/>
      <c r="K1126" s="23"/>
    </row>
    <row r="1127" spans="1:27" x14ac:dyDescent="0.2">
      <c r="D1127" s="24" t="s">
        <v>1092</v>
      </c>
      <c r="E1127" s="23"/>
      <c r="H1127" s="23">
        <v>2.5</v>
      </c>
      <c r="I1127" t="s">
        <v>1093</v>
      </c>
      <c r="J1127">
        <f>ROUND(H1127/100*K1122,5)</f>
        <v>1.63673</v>
      </c>
      <c r="K1127" s="23"/>
    </row>
    <row r="1128" spans="1:27" x14ac:dyDescent="0.2">
      <c r="D1128" s="24" t="s">
        <v>1091</v>
      </c>
      <c r="E1128" s="23"/>
      <c r="H1128" s="23"/>
      <c r="K1128" s="25">
        <f>SUM(J1119:J1127)</f>
        <v>291.19342999999998</v>
      </c>
    </row>
    <row r="1129" spans="1:27" x14ac:dyDescent="0.2">
      <c r="D1129" s="24" t="s">
        <v>1142</v>
      </c>
      <c r="E1129" s="23"/>
      <c r="H1129" s="23">
        <v>8</v>
      </c>
      <c r="I1129" t="s">
        <v>1093</v>
      </c>
      <c r="K1129" s="21">
        <f>ROUND(H1129/100*K1128,5)</f>
        <v>23.295470000000002</v>
      </c>
    </row>
    <row r="1130" spans="1:27" x14ac:dyDescent="0.2">
      <c r="D1130" s="24" t="s">
        <v>1094</v>
      </c>
      <c r="E1130" s="23"/>
      <c r="H1130" s="23"/>
      <c r="K1130" s="25">
        <f>SUM(K1128:K1129)</f>
        <v>314.4889</v>
      </c>
    </row>
    <row r="1132" spans="1:27" ht="45" customHeight="1" x14ac:dyDescent="0.2">
      <c r="A1132" s="17" t="s">
        <v>1457</v>
      </c>
      <c r="B1132" s="17" t="s">
        <v>4035</v>
      </c>
      <c r="C1132" s="1" t="s">
        <v>15</v>
      </c>
      <c r="D1132" s="96" t="s">
        <v>4010</v>
      </c>
      <c r="E1132" s="97"/>
      <c r="F1132" s="97"/>
      <c r="G1132" s="1"/>
      <c r="H1132" s="18" t="s">
        <v>1066</v>
      </c>
      <c r="I1132" s="98">
        <v>1</v>
      </c>
      <c r="J1132" s="99"/>
      <c r="K1132" s="19">
        <f>ROUND(K1147,2)</f>
        <v>706.12</v>
      </c>
      <c r="L1132" s="2" t="s">
        <v>4036</v>
      </c>
      <c r="M1132" s="1"/>
      <c r="N1132" s="1"/>
      <c r="O1132" s="1"/>
      <c r="P1132" s="1"/>
      <c r="Q1132" s="1"/>
      <c r="R1132" s="1"/>
      <c r="S1132" s="1"/>
      <c r="T1132" s="1"/>
      <c r="U1132" s="1"/>
      <c r="V1132" s="1"/>
      <c r="W1132" s="1"/>
      <c r="X1132" s="1"/>
      <c r="Y1132" s="1"/>
      <c r="Z1132" s="1"/>
      <c r="AA1132" s="1"/>
    </row>
    <row r="1133" spans="1:27" x14ac:dyDescent="0.2">
      <c r="B1133" s="14" t="s">
        <v>1068</v>
      </c>
    </row>
    <row r="1134" spans="1:27" x14ac:dyDescent="0.2">
      <c r="B1134" t="s">
        <v>1205</v>
      </c>
      <c r="C1134" t="s">
        <v>1070</v>
      </c>
      <c r="D1134" t="s">
        <v>1206</v>
      </c>
      <c r="E1134" s="20">
        <v>5.1749999999999998</v>
      </c>
      <c r="F1134" t="s">
        <v>1072</v>
      </c>
      <c r="G1134" t="s">
        <v>1073</v>
      </c>
      <c r="H1134" s="21">
        <v>24.55</v>
      </c>
      <c r="I1134" t="s">
        <v>1074</v>
      </c>
      <c r="J1134" s="22">
        <f>ROUND(E1134/I1132* H1134,5)</f>
        <v>127.04625</v>
      </c>
      <c r="K1134" s="23"/>
    </row>
    <row r="1135" spans="1:27" x14ac:dyDescent="0.2">
      <c r="B1135" t="s">
        <v>1364</v>
      </c>
      <c r="C1135" t="s">
        <v>1070</v>
      </c>
      <c r="D1135" t="s">
        <v>1365</v>
      </c>
      <c r="E1135" s="20">
        <v>10.35</v>
      </c>
      <c r="F1135" t="s">
        <v>1072</v>
      </c>
      <c r="G1135" t="s">
        <v>1073</v>
      </c>
      <c r="H1135" s="21">
        <v>29.42</v>
      </c>
      <c r="I1135" t="s">
        <v>1074</v>
      </c>
      <c r="J1135" s="22">
        <f>ROUND(E1135/I1132* H1135,5)</f>
        <v>304.49700000000001</v>
      </c>
      <c r="K1135" s="23"/>
    </row>
    <row r="1136" spans="1:27" x14ac:dyDescent="0.2">
      <c r="D1136" s="24" t="s">
        <v>1075</v>
      </c>
      <c r="E1136" s="23"/>
      <c r="H1136" s="23"/>
      <c r="K1136" s="21">
        <f>SUM(J1134:J1135)</f>
        <v>431.54325</v>
      </c>
    </row>
    <row r="1137" spans="1:27" x14ac:dyDescent="0.2">
      <c r="B1137" s="14" t="s">
        <v>1080</v>
      </c>
      <c r="E1137" s="23"/>
      <c r="H1137" s="23"/>
      <c r="K1137" s="23"/>
    </row>
    <row r="1138" spans="1:27" x14ac:dyDescent="0.2">
      <c r="B1138" t="s">
        <v>1475</v>
      </c>
      <c r="C1138" t="s">
        <v>23</v>
      </c>
      <c r="D1138" t="s">
        <v>1476</v>
      </c>
      <c r="E1138" s="20">
        <v>456.34921000000003</v>
      </c>
      <c r="G1138" t="s">
        <v>1073</v>
      </c>
      <c r="H1138" s="21">
        <v>0.41</v>
      </c>
      <c r="I1138" t="s">
        <v>1074</v>
      </c>
      <c r="J1138" s="22">
        <f>ROUND(E1138* H1138,5)</f>
        <v>187.10318000000001</v>
      </c>
      <c r="K1138" s="23"/>
    </row>
    <row r="1139" spans="1:27" x14ac:dyDescent="0.2">
      <c r="D1139" s="24" t="s">
        <v>1090</v>
      </c>
      <c r="E1139" s="23"/>
      <c r="H1139" s="23"/>
      <c r="K1139" s="21">
        <f>SUM(J1138:J1138)</f>
        <v>187.10318000000001</v>
      </c>
    </row>
    <row r="1140" spans="1:27" x14ac:dyDescent="0.2">
      <c r="B1140" s="14" t="s">
        <v>1063</v>
      </c>
      <c r="E1140" s="23"/>
      <c r="H1140" s="23"/>
      <c r="K1140" s="23"/>
    </row>
    <row r="1141" spans="1:27" x14ac:dyDescent="0.2">
      <c r="B1141" t="s">
        <v>1113</v>
      </c>
      <c r="C1141" t="s">
        <v>15</v>
      </c>
      <c r="D1141" t="s">
        <v>1114</v>
      </c>
      <c r="E1141" s="20">
        <v>0.20707999999999999</v>
      </c>
      <c r="G1141" t="s">
        <v>1073</v>
      </c>
      <c r="H1141" s="21">
        <v>117.751</v>
      </c>
      <c r="I1141" t="s">
        <v>1074</v>
      </c>
      <c r="J1141" s="22">
        <f>ROUND(E1141* H1141,5)</f>
        <v>24.383880000000001</v>
      </c>
      <c r="K1141" s="23"/>
    </row>
    <row r="1142" spans="1:27" x14ac:dyDescent="0.2">
      <c r="D1142" s="24" t="s">
        <v>1361</v>
      </c>
      <c r="E1142" s="23"/>
      <c r="H1142" s="23"/>
      <c r="K1142" s="21">
        <f>SUM(J1141:J1141)</f>
        <v>24.383880000000001</v>
      </c>
    </row>
    <row r="1143" spans="1:27" x14ac:dyDescent="0.2">
      <c r="E1143" s="23"/>
      <c r="H1143" s="23"/>
      <c r="K1143" s="23"/>
    </row>
    <row r="1144" spans="1:27" x14ac:dyDescent="0.2">
      <c r="D1144" s="24" t="s">
        <v>1092</v>
      </c>
      <c r="E1144" s="23"/>
      <c r="H1144" s="23">
        <v>2.5</v>
      </c>
      <c r="I1144" t="s">
        <v>1093</v>
      </c>
      <c r="J1144">
        <f>ROUND(H1144/100*K1136,5)</f>
        <v>10.78858</v>
      </c>
      <c r="K1144" s="23"/>
    </row>
    <row r="1145" spans="1:27" x14ac:dyDescent="0.2">
      <c r="D1145" s="24" t="s">
        <v>1091</v>
      </c>
      <c r="E1145" s="23"/>
      <c r="H1145" s="23"/>
      <c r="K1145" s="25">
        <f>SUM(J1133:J1144)</f>
        <v>653.81889000000001</v>
      </c>
    </row>
    <row r="1146" spans="1:27" x14ac:dyDescent="0.2">
      <c r="D1146" s="24" t="s">
        <v>1142</v>
      </c>
      <c r="E1146" s="23"/>
      <c r="H1146" s="23">
        <v>8</v>
      </c>
      <c r="I1146" t="s">
        <v>1093</v>
      </c>
      <c r="K1146" s="21">
        <f>ROUND(H1146/100*K1145,5)</f>
        <v>52.305509999999998</v>
      </c>
    </row>
    <row r="1147" spans="1:27" x14ac:dyDescent="0.2">
      <c r="D1147" s="24" t="s">
        <v>1094</v>
      </c>
      <c r="E1147" s="23"/>
      <c r="H1147" s="23"/>
      <c r="K1147" s="25">
        <f>SUM(K1145:K1146)</f>
        <v>706.12440000000004</v>
      </c>
    </row>
    <row r="1149" spans="1:27" ht="45" customHeight="1" x14ac:dyDescent="0.2">
      <c r="A1149" s="17" t="s">
        <v>1458</v>
      </c>
      <c r="B1149" s="17" t="s">
        <v>3985</v>
      </c>
      <c r="C1149" s="1" t="s">
        <v>15</v>
      </c>
      <c r="D1149" s="96" t="s">
        <v>3986</v>
      </c>
      <c r="E1149" s="97"/>
      <c r="F1149" s="97"/>
      <c r="G1149" s="1"/>
      <c r="H1149" s="18" t="s">
        <v>1066</v>
      </c>
      <c r="I1149" s="98">
        <v>1</v>
      </c>
      <c r="J1149" s="99"/>
      <c r="K1149" s="19">
        <f>ROUND(K1164,2)</f>
        <v>721.41</v>
      </c>
      <c r="L1149" s="2" t="s">
        <v>4037</v>
      </c>
      <c r="M1149" s="1"/>
      <c r="N1149" s="1"/>
      <c r="O1149" s="1"/>
      <c r="P1149" s="1"/>
      <c r="Q1149" s="1"/>
      <c r="R1149" s="1"/>
      <c r="S1149" s="1"/>
      <c r="T1149" s="1"/>
      <c r="U1149" s="1"/>
      <c r="V1149" s="1"/>
      <c r="W1149" s="1"/>
      <c r="X1149" s="1"/>
      <c r="Y1149" s="1"/>
      <c r="Z1149" s="1"/>
      <c r="AA1149" s="1"/>
    </row>
    <row r="1150" spans="1:27" x14ac:dyDescent="0.2">
      <c r="B1150" s="14" t="s">
        <v>1068</v>
      </c>
    </row>
    <row r="1151" spans="1:27" x14ac:dyDescent="0.2">
      <c r="B1151" t="s">
        <v>1364</v>
      </c>
      <c r="C1151" t="s">
        <v>1070</v>
      </c>
      <c r="D1151" t="s">
        <v>1365</v>
      </c>
      <c r="E1151" s="20">
        <v>10.35</v>
      </c>
      <c r="F1151" t="s">
        <v>1072</v>
      </c>
      <c r="G1151" t="s">
        <v>1073</v>
      </c>
      <c r="H1151" s="21">
        <v>29.42</v>
      </c>
      <c r="I1151" t="s">
        <v>1074</v>
      </c>
      <c r="J1151" s="22">
        <f>ROUND(E1151/I1149* H1151,5)</f>
        <v>304.49700000000001</v>
      </c>
      <c r="K1151" s="23"/>
    </row>
    <row r="1152" spans="1:27" x14ac:dyDescent="0.2">
      <c r="B1152" t="s">
        <v>1205</v>
      </c>
      <c r="C1152" t="s">
        <v>1070</v>
      </c>
      <c r="D1152" t="s">
        <v>1206</v>
      </c>
      <c r="E1152" s="20">
        <v>5.1749999999999998</v>
      </c>
      <c r="F1152" t="s">
        <v>1072</v>
      </c>
      <c r="G1152" t="s">
        <v>1073</v>
      </c>
      <c r="H1152" s="21">
        <v>24.55</v>
      </c>
      <c r="I1152" t="s">
        <v>1074</v>
      </c>
      <c r="J1152" s="22">
        <f>ROUND(E1152/I1149* H1152,5)</f>
        <v>127.04625</v>
      </c>
      <c r="K1152" s="23"/>
    </row>
    <row r="1153" spans="1:27" x14ac:dyDescent="0.2">
      <c r="D1153" s="24" t="s">
        <v>1075</v>
      </c>
      <c r="E1153" s="23"/>
      <c r="H1153" s="23"/>
      <c r="K1153" s="21">
        <f>SUM(J1151:J1152)</f>
        <v>431.54325</v>
      </c>
    </row>
    <row r="1154" spans="1:27" x14ac:dyDescent="0.2">
      <c r="B1154" s="14" t="s">
        <v>1080</v>
      </c>
      <c r="E1154" s="23"/>
      <c r="H1154" s="23"/>
      <c r="K1154" s="23"/>
    </row>
    <row r="1155" spans="1:27" x14ac:dyDescent="0.2">
      <c r="B1155" t="s">
        <v>1475</v>
      </c>
      <c r="C1155" t="s">
        <v>23</v>
      </c>
      <c r="D1155" t="s">
        <v>1476</v>
      </c>
      <c r="E1155" s="20">
        <v>456.34921000000003</v>
      </c>
      <c r="G1155" t="s">
        <v>1073</v>
      </c>
      <c r="H1155" s="21">
        <v>0.41</v>
      </c>
      <c r="I1155" t="s">
        <v>1074</v>
      </c>
      <c r="J1155" s="22">
        <f>ROUND(E1155* H1155,5)</f>
        <v>187.10318000000001</v>
      </c>
      <c r="K1155" s="23"/>
    </row>
    <row r="1156" spans="1:27" x14ac:dyDescent="0.2">
      <c r="D1156" s="24" t="s">
        <v>1090</v>
      </c>
      <c r="E1156" s="23"/>
      <c r="H1156" s="23"/>
      <c r="K1156" s="21">
        <f>SUM(J1155:J1155)</f>
        <v>187.10318000000001</v>
      </c>
    </row>
    <row r="1157" spans="1:27" x14ac:dyDescent="0.2">
      <c r="B1157" s="14" t="s">
        <v>1063</v>
      </c>
      <c r="E1157" s="23"/>
      <c r="H1157" s="23"/>
      <c r="K1157" s="23"/>
    </row>
    <row r="1158" spans="1:27" x14ac:dyDescent="0.2">
      <c r="B1158" t="s">
        <v>4027</v>
      </c>
      <c r="C1158" t="s">
        <v>15</v>
      </c>
      <c r="D1158" t="s">
        <v>4028</v>
      </c>
      <c r="E1158" s="20">
        <v>0.20707999999999999</v>
      </c>
      <c r="G1158" t="s">
        <v>1073</v>
      </c>
      <c r="H1158" s="21">
        <v>186.10159999999999</v>
      </c>
      <c r="I1158" t="s">
        <v>1074</v>
      </c>
      <c r="J1158" s="22">
        <f>ROUND(E1158* H1158,5)</f>
        <v>38.53792</v>
      </c>
      <c r="K1158" s="23"/>
    </row>
    <row r="1159" spans="1:27" x14ac:dyDescent="0.2">
      <c r="D1159" s="24" t="s">
        <v>1361</v>
      </c>
      <c r="E1159" s="23"/>
      <c r="H1159" s="23"/>
      <c r="K1159" s="21">
        <f>SUM(J1158:J1158)</f>
        <v>38.53792</v>
      </c>
    </row>
    <row r="1160" spans="1:27" x14ac:dyDescent="0.2">
      <c r="E1160" s="23"/>
      <c r="H1160" s="23"/>
      <c r="K1160" s="23"/>
    </row>
    <row r="1161" spans="1:27" x14ac:dyDescent="0.2">
      <c r="D1161" s="24" t="s">
        <v>1092</v>
      </c>
      <c r="E1161" s="23"/>
      <c r="H1161" s="23">
        <v>2.5</v>
      </c>
      <c r="I1161" t="s">
        <v>1093</v>
      </c>
      <c r="J1161">
        <f>ROUND(H1161/100*K1153,5)</f>
        <v>10.78858</v>
      </c>
      <c r="K1161" s="23"/>
    </row>
    <row r="1162" spans="1:27" x14ac:dyDescent="0.2">
      <c r="D1162" s="24" t="s">
        <v>1091</v>
      </c>
      <c r="E1162" s="23"/>
      <c r="H1162" s="23"/>
      <c r="K1162" s="25">
        <f>SUM(J1150:J1161)</f>
        <v>667.97293000000002</v>
      </c>
    </row>
    <row r="1163" spans="1:27" x14ac:dyDescent="0.2">
      <c r="D1163" s="24" t="s">
        <v>1142</v>
      </c>
      <c r="E1163" s="23"/>
      <c r="H1163" s="23">
        <v>8</v>
      </c>
      <c r="I1163" t="s">
        <v>1093</v>
      </c>
      <c r="K1163" s="21">
        <f>ROUND(H1163/100*K1162,5)</f>
        <v>53.437829999999998</v>
      </c>
    </row>
    <row r="1164" spans="1:27" x14ac:dyDescent="0.2">
      <c r="D1164" s="24" t="s">
        <v>1094</v>
      </c>
      <c r="E1164" s="23"/>
      <c r="H1164" s="23"/>
      <c r="K1164" s="25">
        <f>SUM(K1162:K1163)</f>
        <v>721.41075999999998</v>
      </c>
    </row>
    <row r="1166" spans="1:27" ht="45" customHeight="1" x14ac:dyDescent="0.2">
      <c r="A1166" s="17" t="s">
        <v>1468</v>
      </c>
      <c r="B1166" s="17" t="s">
        <v>151</v>
      </c>
      <c r="C1166" s="1" t="s">
        <v>36</v>
      </c>
      <c r="D1166" s="96" t="s">
        <v>152</v>
      </c>
      <c r="E1166" s="97"/>
      <c r="F1166" s="97"/>
      <c r="G1166" s="1"/>
      <c r="H1166" s="18" t="s">
        <v>1066</v>
      </c>
      <c r="I1166" s="98">
        <v>1</v>
      </c>
      <c r="J1166" s="99"/>
      <c r="K1166" s="19">
        <f>ROUND(K1177,2)</f>
        <v>2.37</v>
      </c>
      <c r="L1166" s="2" t="s">
        <v>1478</v>
      </c>
      <c r="M1166" s="1"/>
      <c r="N1166" s="1"/>
      <c r="O1166" s="1"/>
      <c r="P1166" s="1"/>
      <c r="Q1166" s="1"/>
      <c r="R1166" s="1"/>
      <c r="S1166" s="1"/>
      <c r="T1166" s="1"/>
      <c r="U1166" s="1"/>
      <c r="V1166" s="1"/>
      <c r="W1166" s="1"/>
      <c r="X1166" s="1"/>
      <c r="Y1166" s="1"/>
      <c r="Z1166" s="1"/>
      <c r="AA1166" s="1"/>
    </row>
    <row r="1167" spans="1:27" x14ac:dyDescent="0.2">
      <c r="B1167" s="14" t="s">
        <v>1068</v>
      </c>
    </row>
    <row r="1168" spans="1:27" x14ac:dyDescent="0.2">
      <c r="B1168" t="s">
        <v>1364</v>
      </c>
      <c r="C1168" t="s">
        <v>1070</v>
      </c>
      <c r="D1168" t="s">
        <v>1365</v>
      </c>
      <c r="E1168" s="20">
        <v>0.03</v>
      </c>
      <c r="F1168" t="s">
        <v>1072</v>
      </c>
      <c r="G1168" t="s">
        <v>1073</v>
      </c>
      <c r="H1168" s="21">
        <v>29.42</v>
      </c>
      <c r="I1168" t="s">
        <v>1074</v>
      </c>
      <c r="J1168" s="22">
        <f>ROUND(E1168/I1166* H1168,5)</f>
        <v>0.88260000000000005</v>
      </c>
      <c r="K1168" s="23"/>
    </row>
    <row r="1169" spans="1:27" x14ac:dyDescent="0.2">
      <c r="D1169" s="24" t="s">
        <v>1075</v>
      </c>
      <c r="E1169" s="23"/>
      <c r="H1169" s="23"/>
      <c r="K1169" s="21">
        <f>SUM(J1168:J1168)</f>
        <v>0.88260000000000005</v>
      </c>
    </row>
    <row r="1170" spans="1:27" x14ac:dyDescent="0.2">
      <c r="B1170" s="14" t="s">
        <v>1080</v>
      </c>
      <c r="E1170" s="23"/>
      <c r="H1170" s="23"/>
      <c r="K1170" s="23"/>
    </row>
    <row r="1171" spans="1:27" x14ac:dyDescent="0.2">
      <c r="B1171" t="s">
        <v>1479</v>
      </c>
      <c r="C1171" t="s">
        <v>36</v>
      </c>
      <c r="D1171" t="s">
        <v>1480</v>
      </c>
      <c r="E1171" s="20">
        <v>1.05</v>
      </c>
      <c r="G1171" t="s">
        <v>1073</v>
      </c>
      <c r="H1171" s="21">
        <v>1.24</v>
      </c>
      <c r="I1171" t="s">
        <v>1074</v>
      </c>
      <c r="J1171" s="22">
        <f>ROUND(E1171* H1171,5)</f>
        <v>1.302</v>
      </c>
      <c r="K1171" s="23"/>
    </row>
    <row r="1172" spans="1:27" x14ac:dyDescent="0.2">
      <c r="D1172" s="24" t="s">
        <v>1090</v>
      </c>
      <c r="E1172" s="23"/>
      <c r="H1172" s="23"/>
      <c r="K1172" s="21">
        <f>SUM(J1171:J1171)</f>
        <v>1.302</v>
      </c>
    </row>
    <row r="1173" spans="1:27" x14ac:dyDescent="0.2">
      <c r="E1173" s="23"/>
      <c r="H1173" s="23"/>
      <c r="K1173" s="23"/>
    </row>
    <row r="1174" spans="1:27" x14ac:dyDescent="0.2">
      <c r="D1174" s="24" t="s">
        <v>1092</v>
      </c>
      <c r="E1174" s="23"/>
      <c r="H1174" s="23">
        <v>1.5</v>
      </c>
      <c r="I1174" t="s">
        <v>1093</v>
      </c>
      <c r="J1174">
        <f>ROUND(H1174/100*K1169,5)</f>
        <v>1.324E-2</v>
      </c>
      <c r="K1174" s="23"/>
    </row>
    <row r="1175" spans="1:27" x14ac:dyDescent="0.2">
      <c r="D1175" s="24" t="s">
        <v>1091</v>
      </c>
      <c r="E1175" s="23"/>
      <c r="H1175" s="23"/>
      <c r="K1175" s="25">
        <f>SUM(J1167:J1174)</f>
        <v>2.1978400000000002</v>
      </c>
    </row>
    <row r="1176" spans="1:27" x14ac:dyDescent="0.2">
      <c r="D1176" s="24" t="s">
        <v>1142</v>
      </c>
      <c r="E1176" s="23"/>
      <c r="H1176" s="23">
        <v>8</v>
      </c>
      <c r="I1176" t="s">
        <v>1093</v>
      </c>
      <c r="K1176" s="21">
        <f>ROUND(H1176/100*K1175,5)</f>
        <v>0.17582999999999999</v>
      </c>
    </row>
    <row r="1177" spans="1:27" x14ac:dyDescent="0.2">
      <c r="D1177" s="24" t="s">
        <v>1094</v>
      </c>
      <c r="E1177" s="23"/>
      <c r="H1177" s="23"/>
      <c r="K1177" s="25">
        <f>SUM(K1175:K1176)</f>
        <v>2.3736700000000002</v>
      </c>
    </row>
    <row r="1179" spans="1:27" ht="45" customHeight="1" x14ac:dyDescent="0.2">
      <c r="A1179" s="17" t="s">
        <v>1472</v>
      </c>
      <c r="B1179" s="17" t="s">
        <v>435</v>
      </c>
      <c r="C1179" s="1" t="s">
        <v>36</v>
      </c>
      <c r="D1179" s="96" t="s">
        <v>436</v>
      </c>
      <c r="E1179" s="97"/>
      <c r="F1179" s="97"/>
      <c r="G1179" s="1"/>
      <c r="H1179" s="18" t="s">
        <v>1066</v>
      </c>
      <c r="I1179" s="98">
        <v>1</v>
      </c>
      <c r="J1179" s="99"/>
      <c r="K1179" s="19">
        <f>ROUND(K1187,2)</f>
        <v>20.05</v>
      </c>
      <c r="L1179" s="2" t="s">
        <v>1482</v>
      </c>
      <c r="M1179" s="1"/>
      <c r="N1179" s="1"/>
      <c r="O1179" s="1"/>
      <c r="P1179" s="1"/>
      <c r="Q1179" s="1"/>
      <c r="R1179" s="1"/>
      <c r="S1179" s="1"/>
      <c r="T1179" s="1"/>
      <c r="U1179" s="1"/>
      <c r="V1179" s="1"/>
      <c r="W1179" s="1"/>
      <c r="X1179" s="1"/>
      <c r="Y1179" s="1"/>
      <c r="Z1179" s="1"/>
      <c r="AA1179" s="1"/>
    </row>
    <row r="1180" spans="1:27" x14ac:dyDescent="0.2">
      <c r="B1180" s="14" t="s">
        <v>1068</v>
      </c>
    </row>
    <row r="1181" spans="1:27" x14ac:dyDescent="0.2">
      <c r="B1181" t="s">
        <v>1205</v>
      </c>
      <c r="C1181" t="s">
        <v>1070</v>
      </c>
      <c r="D1181" t="s">
        <v>1206</v>
      </c>
      <c r="E1181" s="20">
        <v>0.2</v>
      </c>
      <c r="F1181" t="s">
        <v>1072</v>
      </c>
      <c r="G1181" t="s">
        <v>1073</v>
      </c>
      <c r="H1181" s="21">
        <v>24.55</v>
      </c>
      <c r="I1181" t="s">
        <v>1074</v>
      </c>
      <c r="J1181" s="22">
        <f>ROUND(E1181/I1179* H1181,5)</f>
        <v>4.91</v>
      </c>
      <c r="K1181" s="23"/>
    </row>
    <row r="1182" spans="1:27" x14ac:dyDescent="0.2">
      <c r="B1182" t="s">
        <v>1483</v>
      </c>
      <c r="C1182" t="s">
        <v>1070</v>
      </c>
      <c r="D1182" t="s">
        <v>1484</v>
      </c>
      <c r="E1182" s="20">
        <v>0.2</v>
      </c>
      <c r="F1182" t="s">
        <v>1072</v>
      </c>
      <c r="G1182" t="s">
        <v>1073</v>
      </c>
      <c r="H1182" s="21">
        <v>38.840000000000003</v>
      </c>
      <c r="I1182" t="s">
        <v>1074</v>
      </c>
      <c r="J1182" s="22">
        <f>ROUND(E1182/I1179* H1182,5)</f>
        <v>7.7679999999999998</v>
      </c>
      <c r="K1182" s="23"/>
    </row>
    <row r="1183" spans="1:27" x14ac:dyDescent="0.2">
      <c r="B1183" t="s">
        <v>1364</v>
      </c>
      <c r="C1183" t="s">
        <v>1070</v>
      </c>
      <c r="D1183" t="s">
        <v>1365</v>
      </c>
      <c r="E1183" s="20">
        <v>0.2</v>
      </c>
      <c r="F1183" t="s">
        <v>1072</v>
      </c>
      <c r="G1183" t="s">
        <v>1073</v>
      </c>
      <c r="H1183" s="21">
        <v>29.42</v>
      </c>
      <c r="I1183" t="s">
        <v>1074</v>
      </c>
      <c r="J1183" s="22">
        <f>ROUND(E1183/I1179* H1183,5)</f>
        <v>5.8840000000000003</v>
      </c>
      <c r="K1183" s="23"/>
    </row>
    <row r="1184" spans="1:27" x14ac:dyDescent="0.2">
      <c r="D1184" s="24" t="s">
        <v>1075</v>
      </c>
      <c r="E1184" s="23"/>
      <c r="H1184" s="23"/>
      <c r="K1184" s="21">
        <f>SUM(J1181:J1183)</f>
        <v>18.562000000000001</v>
      </c>
    </row>
    <row r="1185" spans="1:27" x14ac:dyDescent="0.2">
      <c r="D1185" s="24" t="s">
        <v>1091</v>
      </c>
      <c r="E1185" s="23"/>
      <c r="H1185" s="23"/>
      <c r="K1185" s="25">
        <f>SUM(J1180:J1184)</f>
        <v>18.562000000000001</v>
      </c>
    </row>
    <row r="1186" spans="1:27" x14ac:dyDescent="0.2">
      <c r="D1186" s="24" t="s">
        <v>1142</v>
      </c>
      <c r="E1186" s="23"/>
      <c r="H1186" s="23">
        <v>8</v>
      </c>
      <c r="I1186" t="s">
        <v>1093</v>
      </c>
      <c r="K1186" s="21">
        <f>ROUND(H1186/100*K1185,5)</f>
        <v>1.4849600000000001</v>
      </c>
    </row>
    <row r="1187" spans="1:27" x14ac:dyDescent="0.2">
      <c r="D1187" s="24" t="s">
        <v>1094</v>
      </c>
      <c r="E1187" s="23"/>
      <c r="H1187" s="23"/>
      <c r="K1187" s="25">
        <f>SUM(K1185:K1186)</f>
        <v>20.046960000000002</v>
      </c>
    </row>
    <row r="1189" spans="1:27" ht="45" customHeight="1" x14ac:dyDescent="0.2">
      <c r="A1189" s="17" t="s">
        <v>1474</v>
      </c>
      <c r="B1189" s="17" t="s">
        <v>431</v>
      </c>
      <c r="C1189" s="1" t="s">
        <v>18</v>
      </c>
      <c r="D1189" s="96" t="s">
        <v>432</v>
      </c>
      <c r="E1189" s="97"/>
      <c r="F1189" s="97"/>
      <c r="G1189" s="1"/>
      <c r="H1189" s="18" t="s">
        <v>1066</v>
      </c>
      <c r="I1189" s="98">
        <v>1</v>
      </c>
      <c r="J1189" s="99"/>
      <c r="K1189" s="19">
        <f>ROUND(K1197,2)</f>
        <v>14.36</v>
      </c>
      <c r="L1189" s="2" t="s">
        <v>432</v>
      </c>
      <c r="M1189" s="1"/>
      <c r="N1189" s="1"/>
      <c r="O1189" s="1"/>
      <c r="P1189" s="1"/>
      <c r="Q1189" s="1"/>
      <c r="R1189" s="1"/>
      <c r="S1189" s="1"/>
      <c r="T1189" s="1"/>
      <c r="U1189" s="1"/>
      <c r="V1189" s="1"/>
      <c r="W1189" s="1"/>
      <c r="X1189" s="1"/>
      <c r="Y1189" s="1"/>
      <c r="Z1189" s="1"/>
      <c r="AA1189" s="1"/>
    </row>
    <row r="1190" spans="1:27" x14ac:dyDescent="0.2">
      <c r="B1190" s="14" t="s">
        <v>1068</v>
      </c>
    </row>
    <row r="1191" spans="1:27" x14ac:dyDescent="0.2">
      <c r="B1191" t="s">
        <v>1069</v>
      </c>
      <c r="C1191" t="s">
        <v>1070</v>
      </c>
      <c r="D1191" t="s">
        <v>1071</v>
      </c>
      <c r="E1191" s="20">
        <v>0.2</v>
      </c>
      <c r="F1191" t="s">
        <v>1072</v>
      </c>
      <c r="G1191" t="s">
        <v>1073</v>
      </c>
      <c r="H1191" s="21">
        <v>25.38</v>
      </c>
      <c r="I1191" t="s">
        <v>1074</v>
      </c>
      <c r="J1191" s="22">
        <f>ROUND(E1191/I1189* H1191,5)</f>
        <v>5.0759999999999996</v>
      </c>
      <c r="K1191" s="23"/>
    </row>
    <row r="1192" spans="1:27" x14ac:dyDescent="0.2">
      <c r="B1192" t="s">
        <v>1486</v>
      </c>
      <c r="C1192" t="s">
        <v>1070</v>
      </c>
      <c r="D1192" t="s">
        <v>1487</v>
      </c>
      <c r="E1192" s="20">
        <v>0.1</v>
      </c>
      <c r="F1192" t="s">
        <v>1072</v>
      </c>
      <c r="G1192" t="s">
        <v>1073</v>
      </c>
      <c r="H1192" s="21">
        <v>43.38</v>
      </c>
      <c r="I1192" t="s">
        <v>1074</v>
      </c>
      <c r="J1192" s="22">
        <f>ROUND(E1192/I1189* H1192,5)</f>
        <v>4.3380000000000001</v>
      </c>
      <c r="K1192" s="23"/>
    </row>
    <row r="1193" spans="1:27" x14ac:dyDescent="0.2">
      <c r="B1193" t="s">
        <v>1483</v>
      </c>
      <c r="C1193" t="s">
        <v>1070</v>
      </c>
      <c r="D1193" t="s">
        <v>1484</v>
      </c>
      <c r="E1193" s="20">
        <v>0.1</v>
      </c>
      <c r="F1193" t="s">
        <v>1072</v>
      </c>
      <c r="G1193" t="s">
        <v>1073</v>
      </c>
      <c r="H1193" s="21">
        <v>38.840000000000003</v>
      </c>
      <c r="I1193" t="s">
        <v>1074</v>
      </c>
      <c r="J1193" s="22">
        <f>ROUND(E1193/I1189* H1193,5)</f>
        <v>3.8839999999999999</v>
      </c>
      <c r="K1193" s="23"/>
    </row>
    <row r="1194" spans="1:27" x14ac:dyDescent="0.2">
      <c r="D1194" s="24" t="s">
        <v>1075</v>
      </c>
      <c r="E1194" s="23"/>
      <c r="H1194" s="23"/>
      <c r="K1194" s="21">
        <f>SUM(J1191:J1193)</f>
        <v>13.298</v>
      </c>
    </row>
    <row r="1195" spans="1:27" x14ac:dyDescent="0.2">
      <c r="D1195" s="24" t="s">
        <v>1091</v>
      </c>
      <c r="E1195" s="23"/>
      <c r="H1195" s="23"/>
      <c r="K1195" s="25">
        <f>SUM(J1190:J1194)</f>
        <v>13.298</v>
      </c>
    </row>
    <row r="1196" spans="1:27" x14ac:dyDescent="0.2">
      <c r="D1196" s="24" t="s">
        <v>1142</v>
      </c>
      <c r="E1196" s="23"/>
      <c r="H1196" s="23">
        <v>8</v>
      </c>
      <c r="I1196" t="s">
        <v>1093</v>
      </c>
      <c r="K1196" s="21">
        <f>ROUND(H1196/100*K1195,5)</f>
        <v>1.0638399999999999</v>
      </c>
    </row>
    <row r="1197" spans="1:27" x14ac:dyDescent="0.2">
      <c r="D1197" s="24" t="s">
        <v>1094</v>
      </c>
      <c r="E1197" s="23"/>
      <c r="H1197" s="23"/>
      <c r="K1197" s="25">
        <f>SUM(K1195:K1196)</f>
        <v>14.361840000000001</v>
      </c>
    </row>
    <row r="1199" spans="1:27" ht="45" customHeight="1" x14ac:dyDescent="0.2">
      <c r="A1199" s="17" t="s">
        <v>1477</v>
      </c>
      <c r="B1199" s="17" t="s">
        <v>563</v>
      </c>
      <c r="C1199" s="1" t="s">
        <v>18</v>
      </c>
      <c r="D1199" s="96" t="s">
        <v>564</v>
      </c>
      <c r="E1199" s="97"/>
      <c r="F1199" s="97"/>
      <c r="G1199" s="1"/>
      <c r="H1199" s="18" t="s">
        <v>1066</v>
      </c>
      <c r="I1199" s="98">
        <v>1</v>
      </c>
      <c r="J1199" s="99"/>
      <c r="K1199" s="19">
        <f>ROUND(K1207,2)</f>
        <v>14.36</v>
      </c>
      <c r="L1199" s="2" t="s">
        <v>564</v>
      </c>
      <c r="M1199" s="1"/>
      <c r="N1199" s="1"/>
      <c r="O1199" s="1"/>
      <c r="P1199" s="1"/>
      <c r="Q1199" s="1"/>
      <c r="R1199" s="1"/>
      <c r="S1199" s="1"/>
      <c r="T1199" s="1"/>
      <c r="U1199" s="1"/>
      <c r="V1199" s="1"/>
      <c r="W1199" s="1"/>
      <c r="X1199" s="1"/>
      <c r="Y1199" s="1"/>
      <c r="Z1199" s="1"/>
      <c r="AA1199" s="1"/>
    </row>
    <row r="1200" spans="1:27" x14ac:dyDescent="0.2">
      <c r="B1200" s="14" t="s">
        <v>1068</v>
      </c>
    </row>
    <row r="1201" spans="1:27" x14ac:dyDescent="0.2">
      <c r="B1201" t="s">
        <v>1069</v>
      </c>
      <c r="C1201" t="s">
        <v>1070</v>
      </c>
      <c r="D1201" t="s">
        <v>1071</v>
      </c>
      <c r="E1201" s="20">
        <v>0.2</v>
      </c>
      <c r="F1201" t="s">
        <v>1072</v>
      </c>
      <c r="G1201" t="s">
        <v>1073</v>
      </c>
      <c r="H1201" s="21">
        <v>25.38</v>
      </c>
      <c r="I1201" t="s">
        <v>1074</v>
      </c>
      <c r="J1201" s="22">
        <f>ROUND(E1201/I1199* H1201,5)</f>
        <v>5.0759999999999996</v>
      </c>
      <c r="K1201" s="23"/>
    </row>
    <row r="1202" spans="1:27" x14ac:dyDescent="0.2">
      <c r="B1202" t="s">
        <v>1483</v>
      </c>
      <c r="C1202" t="s">
        <v>1070</v>
      </c>
      <c r="D1202" t="s">
        <v>1484</v>
      </c>
      <c r="E1202" s="20">
        <v>0.1</v>
      </c>
      <c r="F1202" t="s">
        <v>1072</v>
      </c>
      <c r="G1202" t="s">
        <v>1073</v>
      </c>
      <c r="H1202" s="21">
        <v>38.840000000000003</v>
      </c>
      <c r="I1202" t="s">
        <v>1074</v>
      </c>
      <c r="J1202" s="22">
        <f>ROUND(E1202/I1199* H1202,5)</f>
        <v>3.8839999999999999</v>
      </c>
      <c r="K1202" s="23"/>
    </row>
    <row r="1203" spans="1:27" x14ac:dyDescent="0.2">
      <c r="B1203" t="s">
        <v>1486</v>
      </c>
      <c r="C1203" t="s">
        <v>1070</v>
      </c>
      <c r="D1203" t="s">
        <v>1487</v>
      </c>
      <c r="E1203" s="20">
        <v>0.1</v>
      </c>
      <c r="F1203" t="s">
        <v>1072</v>
      </c>
      <c r="G1203" t="s">
        <v>1073</v>
      </c>
      <c r="H1203" s="21">
        <v>43.38</v>
      </c>
      <c r="I1203" t="s">
        <v>1074</v>
      </c>
      <c r="J1203" s="22">
        <f>ROUND(E1203/I1199* H1203,5)</f>
        <v>4.3380000000000001</v>
      </c>
      <c r="K1203" s="23"/>
    </row>
    <row r="1204" spans="1:27" x14ac:dyDescent="0.2">
      <c r="D1204" s="24" t="s">
        <v>1075</v>
      </c>
      <c r="E1204" s="23"/>
      <c r="H1204" s="23"/>
      <c r="K1204" s="21">
        <f>SUM(J1201:J1203)</f>
        <v>13.297999999999998</v>
      </c>
    </row>
    <row r="1205" spans="1:27" x14ac:dyDescent="0.2">
      <c r="D1205" s="24" t="s">
        <v>1091</v>
      </c>
      <c r="E1205" s="23"/>
      <c r="H1205" s="23"/>
      <c r="K1205" s="25">
        <f>SUM(J1200:J1204)</f>
        <v>13.297999999999998</v>
      </c>
    </row>
    <row r="1206" spans="1:27" x14ac:dyDescent="0.2">
      <c r="D1206" s="24" t="s">
        <v>1142</v>
      </c>
      <c r="E1206" s="23"/>
      <c r="H1206" s="23">
        <v>8</v>
      </c>
      <c r="I1206" t="s">
        <v>1093</v>
      </c>
      <c r="K1206" s="21">
        <f>ROUND(H1206/100*K1205,5)</f>
        <v>1.0638399999999999</v>
      </c>
    </row>
    <row r="1207" spans="1:27" x14ac:dyDescent="0.2">
      <c r="D1207" s="24" t="s">
        <v>1094</v>
      </c>
      <c r="E1207" s="23"/>
      <c r="H1207" s="23"/>
      <c r="K1207" s="25">
        <f>SUM(K1205:K1206)</f>
        <v>14.361839999999997</v>
      </c>
    </row>
    <row r="1209" spans="1:27" ht="45" customHeight="1" x14ac:dyDescent="0.2">
      <c r="A1209" s="17" t="s">
        <v>1481</v>
      </c>
      <c r="B1209" s="17" t="s">
        <v>417</v>
      </c>
      <c r="C1209" s="1" t="s">
        <v>18</v>
      </c>
      <c r="D1209" s="96" t="s">
        <v>418</v>
      </c>
      <c r="E1209" s="97"/>
      <c r="F1209" s="97"/>
      <c r="G1209" s="1"/>
      <c r="H1209" s="18" t="s">
        <v>1066</v>
      </c>
      <c r="I1209" s="98">
        <v>1</v>
      </c>
      <c r="J1209" s="99"/>
      <c r="K1209" s="19">
        <f>ROUND(K1216,2)</f>
        <v>21.27</v>
      </c>
      <c r="L1209" s="2" t="s">
        <v>418</v>
      </c>
      <c r="M1209" s="1"/>
      <c r="N1209" s="1"/>
      <c r="O1209" s="1"/>
      <c r="P1209" s="1"/>
      <c r="Q1209" s="1"/>
      <c r="R1209" s="1"/>
      <c r="S1209" s="1"/>
      <c r="T1209" s="1"/>
      <c r="U1209" s="1"/>
      <c r="V1209" s="1"/>
      <c r="W1209" s="1"/>
      <c r="X1209" s="1"/>
      <c r="Y1209" s="1"/>
      <c r="Z1209" s="1"/>
      <c r="AA1209" s="1"/>
    </row>
    <row r="1210" spans="1:27" x14ac:dyDescent="0.2">
      <c r="B1210" s="14" t="s">
        <v>1068</v>
      </c>
    </row>
    <row r="1211" spans="1:27" x14ac:dyDescent="0.2">
      <c r="B1211" t="s">
        <v>1245</v>
      </c>
      <c r="C1211" t="s">
        <v>1070</v>
      </c>
      <c r="D1211" t="s">
        <v>1246</v>
      </c>
      <c r="E1211" s="20">
        <v>0.35</v>
      </c>
      <c r="F1211" t="s">
        <v>1072</v>
      </c>
      <c r="G1211" t="s">
        <v>1073</v>
      </c>
      <c r="H1211" s="21">
        <v>26.33</v>
      </c>
      <c r="I1211" t="s">
        <v>1074</v>
      </c>
      <c r="J1211" s="22">
        <f>ROUND(E1211/I1209* H1211,5)</f>
        <v>9.2155000000000005</v>
      </c>
      <c r="K1211" s="23"/>
    </row>
    <row r="1212" spans="1:27" x14ac:dyDescent="0.2">
      <c r="B1212" t="s">
        <v>1414</v>
      </c>
      <c r="C1212" t="s">
        <v>1070</v>
      </c>
      <c r="D1212" t="s">
        <v>1415</v>
      </c>
      <c r="E1212" s="20">
        <v>0.35</v>
      </c>
      <c r="F1212" t="s">
        <v>1072</v>
      </c>
      <c r="G1212" t="s">
        <v>1073</v>
      </c>
      <c r="H1212" s="21">
        <v>29.94</v>
      </c>
      <c r="I1212" t="s">
        <v>1074</v>
      </c>
      <c r="J1212" s="22">
        <f>ROUND(E1212/I1209* H1212,5)</f>
        <v>10.478999999999999</v>
      </c>
      <c r="K1212" s="23"/>
    </row>
    <row r="1213" spans="1:27" x14ac:dyDescent="0.2">
      <c r="D1213" s="24" t="s">
        <v>1075</v>
      </c>
      <c r="E1213" s="23"/>
      <c r="H1213" s="23"/>
      <c r="K1213" s="21">
        <f>SUM(J1211:J1212)</f>
        <v>19.694499999999998</v>
      </c>
    </row>
    <row r="1214" spans="1:27" x14ac:dyDescent="0.2">
      <c r="D1214" s="24" t="s">
        <v>1091</v>
      </c>
      <c r="E1214" s="23"/>
      <c r="H1214" s="23"/>
      <c r="K1214" s="25">
        <f>SUM(J1210:J1213)</f>
        <v>19.694499999999998</v>
      </c>
    </row>
    <row r="1215" spans="1:27" x14ac:dyDescent="0.2">
      <c r="D1215" s="24" t="s">
        <v>1142</v>
      </c>
      <c r="E1215" s="23"/>
      <c r="H1215" s="23">
        <v>8</v>
      </c>
      <c r="I1215" t="s">
        <v>1093</v>
      </c>
      <c r="K1215" s="21">
        <f>ROUND(H1215/100*K1214,5)</f>
        <v>1.5755600000000001</v>
      </c>
    </row>
    <row r="1216" spans="1:27" x14ac:dyDescent="0.2">
      <c r="D1216" s="24" t="s">
        <v>1094</v>
      </c>
      <c r="E1216" s="23"/>
      <c r="H1216" s="23"/>
      <c r="K1216" s="25">
        <f>SUM(K1214:K1215)</f>
        <v>21.270059999999997</v>
      </c>
    </row>
    <row r="1218" spans="1:27" ht="45" customHeight="1" x14ac:dyDescent="0.2">
      <c r="A1218" s="17" t="s">
        <v>1485</v>
      </c>
      <c r="B1218" s="17" t="s">
        <v>433</v>
      </c>
      <c r="C1218" s="1" t="s">
        <v>18</v>
      </c>
      <c r="D1218" s="96" t="s">
        <v>434</v>
      </c>
      <c r="E1218" s="97"/>
      <c r="F1218" s="97"/>
      <c r="G1218" s="1"/>
      <c r="H1218" s="18" t="s">
        <v>1066</v>
      </c>
      <c r="I1218" s="98">
        <v>1</v>
      </c>
      <c r="J1218" s="99"/>
      <c r="K1218" s="19">
        <f>ROUND(K1230,2)</f>
        <v>43.19</v>
      </c>
      <c r="L1218" s="2" t="s">
        <v>1491</v>
      </c>
      <c r="M1218" s="1"/>
      <c r="N1218" s="1"/>
      <c r="O1218" s="1"/>
      <c r="P1218" s="1"/>
      <c r="Q1218" s="1"/>
      <c r="R1218" s="1"/>
      <c r="S1218" s="1"/>
      <c r="T1218" s="1"/>
      <c r="U1218" s="1"/>
      <c r="V1218" s="1"/>
      <c r="W1218" s="1"/>
      <c r="X1218" s="1"/>
      <c r="Y1218" s="1"/>
      <c r="Z1218" s="1"/>
      <c r="AA1218" s="1"/>
    </row>
    <row r="1219" spans="1:27" x14ac:dyDescent="0.2">
      <c r="B1219" s="14" t="s">
        <v>1068</v>
      </c>
    </row>
    <row r="1220" spans="1:27" x14ac:dyDescent="0.2">
      <c r="B1220" t="s">
        <v>1364</v>
      </c>
      <c r="C1220" t="s">
        <v>1070</v>
      </c>
      <c r="D1220" t="s">
        <v>1365</v>
      </c>
      <c r="E1220" s="20">
        <v>0.65</v>
      </c>
      <c r="F1220" t="s">
        <v>1072</v>
      </c>
      <c r="G1220" t="s">
        <v>1073</v>
      </c>
      <c r="H1220" s="21">
        <v>29.42</v>
      </c>
      <c r="I1220" t="s">
        <v>1074</v>
      </c>
      <c r="J1220" s="22">
        <f>ROUND(E1220/I1218* H1220,5)</f>
        <v>19.123000000000001</v>
      </c>
      <c r="K1220" s="23"/>
    </row>
    <row r="1221" spans="1:27" x14ac:dyDescent="0.2">
      <c r="B1221" t="s">
        <v>1205</v>
      </c>
      <c r="C1221" t="s">
        <v>1070</v>
      </c>
      <c r="D1221" t="s">
        <v>1206</v>
      </c>
      <c r="E1221" s="20">
        <v>0.33</v>
      </c>
      <c r="F1221" t="s">
        <v>1072</v>
      </c>
      <c r="G1221" t="s">
        <v>1073</v>
      </c>
      <c r="H1221" s="21">
        <v>24.55</v>
      </c>
      <c r="I1221" t="s">
        <v>1074</v>
      </c>
      <c r="J1221" s="22">
        <f>ROUND(E1221/I1218* H1221,5)</f>
        <v>8.1014999999999997</v>
      </c>
      <c r="K1221" s="23"/>
    </row>
    <row r="1222" spans="1:27" x14ac:dyDescent="0.2">
      <c r="D1222" s="24" t="s">
        <v>1075</v>
      </c>
      <c r="E1222" s="23"/>
      <c r="H1222" s="23"/>
      <c r="K1222" s="21">
        <f>SUM(J1220:J1221)</f>
        <v>27.224499999999999</v>
      </c>
    </row>
    <row r="1223" spans="1:27" x14ac:dyDescent="0.2">
      <c r="B1223" s="14" t="s">
        <v>1080</v>
      </c>
      <c r="E1223" s="23"/>
      <c r="H1223" s="23"/>
      <c r="K1223" s="23"/>
    </row>
    <row r="1224" spans="1:27" x14ac:dyDescent="0.2">
      <c r="B1224" t="s">
        <v>1492</v>
      </c>
      <c r="C1224" t="s">
        <v>23</v>
      </c>
      <c r="D1224" t="s">
        <v>1493</v>
      </c>
      <c r="E1224" s="20">
        <v>15.5</v>
      </c>
      <c r="G1224" t="s">
        <v>1073</v>
      </c>
      <c r="H1224" s="21">
        <v>0.78</v>
      </c>
      <c r="I1224" t="s">
        <v>1074</v>
      </c>
      <c r="J1224" s="22">
        <f>ROUND(E1224* H1224,5)</f>
        <v>12.09</v>
      </c>
      <c r="K1224" s="23"/>
    </row>
    <row r="1225" spans="1:27" x14ac:dyDescent="0.2">
      <c r="D1225" s="24" t="s">
        <v>1090</v>
      </c>
      <c r="E1225" s="23"/>
      <c r="H1225" s="23"/>
      <c r="K1225" s="21">
        <f>SUM(J1224:J1224)</f>
        <v>12.09</v>
      </c>
    </row>
    <row r="1226" spans="1:27" x14ac:dyDescent="0.2">
      <c r="E1226" s="23"/>
      <c r="H1226" s="23"/>
      <c r="K1226" s="23"/>
    </row>
    <row r="1227" spans="1:27" x14ac:dyDescent="0.2">
      <c r="D1227" s="24" t="s">
        <v>1092</v>
      </c>
      <c r="E1227" s="23"/>
      <c r="H1227" s="23">
        <v>2.5</v>
      </c>
      <c r="I1227" t="s">
        <v>1093</v>
      </c>
      <c r="J1227">
        <f>ROUND(H1227/100*K1222,5)</f>
        <v>0.68061000000000005</v>
      </c>
      <c r="K1227" s="23"/>
    </row>
    <row r="1228" spans="1:27" x14ac:dyDescent="0.2">
      <c r="D1228" s="24" t="s">
        <v>1091</v>
      </c>
      <c r="E1228" s="23"/>
      <c r="H1228" s="23"/>
      <c r="K1228" s="25">
        <f>SUM(J1219:J1227)</f>
        <v>39.995109999999997</v>
      </c>
    </row>
    <row r="1229" spans="1:27" x14ac:dyDescent="0.2">
      <c r="D1229" s="24" t="s">
        <v>1142</v>
      </c>
      <c r="E1229" s="23"/>
      <c r="H1229" s="23">
        <v>8</v>
      </c>
      <c r="I1229" t="s">
        <v>1093</v>
      </c>
      <c r="K1229" s="21">
        <f>ROUND(H1229/100*K1228,5)</f>
        <v>3.1996099999999998</v>
      </c>
    </row>
    <row r="1230" spans="1:27" x14ac:dyDescent="0.2">
      <c r="D1230" s="24" t="s">
        <v>1094</v>
      </c>
      <c r="E1230" s="23"/>
      <c r="H1230" s="23"/>
      <c r="K1230" s="25">
        <f>SUM(K1228:K1229)</f>
        <v>43.194719999999997</v>
      </c>
    </row>
    <row r="1232" spans="1:27" ht="45" customHeight="1" x14ac:dyDescent="0.2">
      <c r="A1232" s="17" t="s">
        <v>1488</v>
      </c>
      <c r="B1232" s="17" t="s">
        <v>425</v>
      </c>
      <c r="C1232" s="1" t="s">
        <v>18</v>
      </c>
      <c r="D1232" s="96" t="s">
        <v>426</v>
      </c>
      <c r="E1232" s="97"/>
      <c r="F1232" s="97"/>
      <c r="G1232" s="1"/>
      <c r="H1232" s="18" t="s">
        <v>1066</v>
      </c>
      <c r="I1232" s="98">
        <v>1</v>
      </c>
      <c r="J1232" s="99"/>
      <c r="K1232" s="19">
        <f>ROUND(K1245,2)</f>
        <v>15.92</v>
      </c>
      <c r="L1232" s="2" t="s">
        <v>1495</v>
      </c>
      <c r="M1232" s="1"/>
      <c r="N1232" s="1"/>
      <c r="O1232" s="1"/>
      <c r="P1232" s="1"/>
      <c r="Q1232" s="1"/>
      <c r="R1232" s="1"/>
      <c r="S1232" s="1"/>
      <c r="T1232" s="1"/>
      <c r="U1232" s="1"/>
      <c r="V1232" s="1"/>
      <c r="W1232" s="1"/>
      <c r="X1232" s="1"/>
      <c r="Y1232" s="1"/>
      <c r="Z1232" s="1"/>
      <c r="AA1232" s="1"/>
    </row>
    <row r="1233" spans="1:27" x14ac:dyDescent="0.2">
      <c r="B1233" s="14" t="s">
        <v>1068</v>
      </c>
    </row>
    <row r="1234" spans="1:27" x14ac:dyDescent="0.2">
      <c r="B1234" t="s">
        <v>1245</v>
      </c>
      <c r="C1234" t="s">
        <v>1070</v>
      </c>
      <c r="D1234" t="s">
        <v>1246</v>
      </c>
      <c r="E1234" s="20">
        <v>0.08</v>
      </c>
      <c r="F1234" t="s">
        <v>1072</v>
      </c>
      <c r="G1234" t="s">
        <v>1073</v>
      </c>
      <c r="H1234" s="21">
        <v>26.33</v>
      </c>
      <c r="I1234" t="s">
        <v>1074</v>
      </c>
      <c r="J1234" s="22">
        <f>ROUND(E1234/I1232* H1234,5)</f>
        <v>2.1063999999999998</v>
      </c>
      <c r="K1234" s="23"/>
    </row>
    <row r="1235" spans="1:27" x14ac:dyDescent="0.2">
      <c r="B1235" t="s">
        <v>1414</v>
      </c>
      <c r="C1235" t="s">
        <v>1070</v>
      </c>
      <c r="D1235" t="s">
        <v>1415</v>
      </c>
      <c r="E1235" s="20">
        <v>0.16</v>
      </c>
      <c r="F1235" t="s">
        <v>1072</v>
      </c>
      <c r="G1235" t="s">
        <v>1073</v>
      </c>
      <c r="H1235" s="21">
        <v>29.94</v>
      </c>
      <c r="I1235" t="s">
        <v>1074</v>
      </c>
      <c r="J1235" s="22">
        <f>ROUND(E1235/I1232* H1235,5)</f>
        <v>4.7904</v>
      </c>
      <c r="K1235" s="23"/>
    </row>
    <row r="1236" spans="1:27" x14ac:dyDescent="0.2">
      <c r="D1236" s="24" t="s">
        <v>1075</v>
      </c>
      <c r="E1236" s="23"/>
      <c r="H1236" s="23"/>
      <c r="K1236" s="21">
        <f>SUM(J1234:J1235)</f>
        <v>6.8967999999999998</v>
      </c>
    </row>
    <row r="1237" spans="1:27" x14ac:dyDescent="0.2">
      <c r="B1237" s="14" t="s">
        <v>1080</v>
      </c>
      <c r="E1237" s="23"/>
      <c r="H1237" s="23"/>
      <c r="K1237" s="23"/>
    </row>
    <row r="1238" spans="1:27" x14ac:dyDescent="0.2">
      <c r="B1238" t="s">
        <v>1433</v>
      </c>
      <c r="C1238" t="s">
        <v>103</v>
      </c>
      <c r="D1238" t="s">
        <v>1434</v>
      </c>
      <c r="E1238" s="20">
        <v>0.15</v>
      </c>
      <c r="G1238" t="s">
        <v>1073</v>
      </c>
      <c r="H1238" s="21">
        <v>2.2599999999999998</v>
      </c>
      <c r="I1238" t="s">
        <v>1074</v>
      </c>
      <c r="J1238" s="22">
        <f>ROUND(E1238* H1238,5)</f>
        <v>0.33900000000000002</v>
      </c>
      <c r="K1238" s="23"/>
    </row>
    <row r="1239" spans="1:27" x14ac:dyDescent="0.2">
      <c r="B1239" t="s">
        <v>1496</v>
      </c>
      <c r="C1239" t="s">
        <v>18</v>
      </c>
      <c r="D1239" t="s">
        <v>1497</v>
      </c>
      <c r="E1239" s="20">
        <v>1.03</v>
      </c>
      <c r="G1239" t="s">
        <v>1073</v>
      </c>
      <c r="H1239" s="21">
        <v>7.19</v>
      </c>
      <c r="I1239" t="s">
        <v>1074</v>
      </c>
      <c r="J1239" s="22">
        <f>ROUND(E1239* H1239,5)</f>
        <v>7.4057000000000004</v>
      </c>
      <c r="K1239" s="23"/>
    </row>
    <row r="1240" spans="1:27" x14ac:dyDescent="0.2">
      <c r="D1240" s="24" t="s">
        <v>1090</v>
      </c>
      <c r="E1240" s="23"/>
      <c r="H1240" s="23"/>
      <c r="K1240" s="21">
        <f>SUM(J1238:J1239)</f>
        <v>7.7447000000000008</v>
      </c>
    </row>
    <row r="1241" spans="1:27" x14ac:dyDescent="0.2">
      <c r="E1241" s="23"/>
      <c r="H1241" s="23"/>
      <c r="K1241" s="23"/>
    </row>
    <row r="1242" spans="1:27" x14ac:dyDescent="0.2">
      <c r="D1242" s="24" t="s">
        <v>1092</v>
      </c>
      <c r="E1242" s="23"/>
      <c r="H1242" s="23">
        <v>1.5</v>
      </c>
      <c r="I1242" t="s">
        <v>1093</v>
      </c>
      <c r="J1242">
        <f>ROUND(H1242/100*K1236,5)</f>
        <v>0.10345</v>
      </c>
      <c r="K1242" s="23"/>
    </row>
    <row r="1243" spans="1:27" x14ac:dyDescent="0.2">
      <c r="D1243" s="24" t="s">
        <v>1091</v>
      </c>
      <c r="E1243" s="23"/>
      <c r="H1243" s="23"/>
      <c r="K1243" s="25">
        <f>SUM(J1233:J1242)</f>
        <v>14.744950000000001</v>
      </c>
    </row>
    <row r="1244" spans="1:27" x14ac:dyDescent="0.2">
      <c r="D1244" s="24" t="s">
        <v>1142</v>
      </c>
      <c r="E1244" s="23"/>
      <c r="H1244" s="23">
        <v>8</v>
      </c>
      <c r="I1244" t="s">
        <v>1093</v>
      </c>
      <c r="K1244" s="21">
        <f>ROUND(H1244/100*K1243,5)</f>
        <v>1.1796</v>
      </c>
    </row>
    <row r="1245" spans="1:27" x14ac:dyDescent="0.2">
      <c r="D1245" s="24" t="s">
        <v>1094</v>
      </c>
      <c r="E1245" s="23"/>
      <c r="H1245" s="23"/>
      <c r="K1245" s="25">
        <f>SUM(K1243:K1244)</f>
        <v>15.924550000000002</v>
      </c>
    </row>
    <row r="1247" spans="1:27" ht="45" customHeight="1" x14ac:dyDescent="0.2">
      <c r="A1247" s="17" t="s">
        <v>1489</v>
      </c>
      <c r="B1247" s="17" t="s">
        <v>419</v>
      </c>
      <c r="C1247" s="1" t="s">
        <v>18</v>
      </c>
      <c r="D1247" s="96" t="s">
        <v>420</v>
      </c>
      <c r="E1247" s="97"/>
      <c r="F1247" s="97"/>
      <c r="G1247" s="1"/>
      <c r="H1247" s="18" t="s">
        <v>1066</v>
      </c>
      <c r="I1247" s="98">
        <v>1</v>
      </c>
      <c r="J1247" s="99"/>
      <c r="K1247" s="19">
        <f>ROUND(K1260,2)</f>
        <v>48.33</v>
      </c>
      <c r="L1247" s="2" t="s">
        <v>1499</v>
      </c>
      <c r="M1247" s="1"/>
      <c r="N1247" s="1"/>
      <c r="O1247" s="1"/>
      <c r="P1247" s="1"/>
      <c r="Q1247" s="1"/>
      <c r="R1247" s="1"/>
      <c r="S1247" s="1"/>
      <c r="T1247" s="1"/>
      <c r="U1247" s="1"/>
      <c r="V1247" s="1"/>
      <c r="W1247" s="1"/>
      <c r="X1247" s="1"/>
      <c r="Y1247" s="1"/>
      <c r="Z1247" s="1"/>
      <c r="AA1247" s="1"/>
    </row>
    <row r="1248" spans="1:27" x14ac:dyDescent="0.2">
      <c r="B1248" s="14" t="s">
        <v>1068</v>
      </c>
    </row>
    <row r="1249" spans="1:27" x14ac:dyDescent="0.2">
      <c r="B1249" t="s">
        <v>1414</v>
      </c>
      <c r="C1249" t="s">
        <v>1070</v>
      </c>
      <c r="D1249" t="s">
        <v>1415</v>
      </c>
      <c r="E1249" s="20">
        <v>0.56000000000000005</v>
      </c>
      <c r="F1249" t="s">
        <v>1072</v>
      </c>
      <c r="G1249" t="s">
        <v>1073</v>
      </c>
      <c r="H1249" s="21">
        <v>29.94</v>
      </c>
      <c r="I1249" t="s">
        <v>1074</v>
      </c>
      <c r="J1249" s="22">
        <f>ROUND(E1249/I1247* H1249,5)</f>
        <v>16.766400000000001</v>
      </c>
      <c r="K1249" s="23"/>
    </row>
    <row r="1250" spans="1:27" x14ac:dyDescent="0.2">
      <c r="B1250" t="s">
        <v>1245</v>
      </c>
      <c r="C1250" t="s">
        <v>1070</v>
      </c>
      <c r="D1250" t="s">
        <v>1246</v>
      </c>
      <c r="E1250" s="20">
        <v>0.33</v>
      </c>
      <c r="F1250" t="s">
        <v>1072</v>
      </c>
      <c r="G1250" t="s">
        <v>1073</v>
      </c>
      <c r="H1250" s="21">
        <v>26.33</v>
      </c>
      <c r="I1250" t="s">
        <v>1074</v>
      </c>
      <c r="J1250" s="22">
        <f>ROUND(E1250/I1247* H1250,5)</f>
        <v>8.6889000000000003</v>
      </c>
      <c r="K1250" s="23"/>
    </row>
    <row r="1251" spans="1:27" x14ac:dyDescent="0.2">
      <c r="D1251" s="24" t="s">
        <v>1075</v>
      </c>
      <c r="E1251" s="23"/>
      <c r="H1251" s="23"/>
      <c r="K1251" s="21">
        <f>SUM(J1249:J1250)</f>
        <v>25.455300000000001</v>
      </c>
    </row>
    <row r="1252" spans="1:27" x14ac:dyDescent="0.2">
      <c r="B1252" s="14" t="s">
        <v>1080</v>
      </c>
      <c r="E1252" s="23"/>
      <c r="H1252" s="23"/>
      <c r="K1252" s="23"/>
    </row>
    <row r="1253" spans="1:27" x14ac:dyDescent="0.2">
      <c r="B1253" t="s">
        <v>1433</v>
      </c>
      <c r="C1253" t="s">
        <v>103</v>
      </c>
      <c r="D1253" t="s">
        <v>1434</v>
      </c>
      <c r="E1253" s="20">
        <v>0.2</v>
      </c>
      <c r="G1253" t="s">
        <v>1073</v>
      </c>
      <c r="H1253" s="21">
        <v>2.2599999999999998</v>
      </c>
      <c r="I1253" t="s">
        <v>1074</v>
      </c>
      <c r="J1253" s="22">
        <f>ROUND(E1253* H1253,5)</f>
        <v>0.45200000000000001</v>
      </c>
      <c r="K1253" s="23"/>
    </row>
    <row r="1254" spans="1:27" x14ac:dyDescent="0.2">
      <c r="B1254" t="s">
        <v>1500</v>
      </c>
      <c r="C1254" t="s">
        <v>18</v>
      </c>
      <c r="D1254" t="s">
        <v>1501</v>
      </c>
      <c r="E1254" s="20">
        <v>1.03</v>
      </c>
      <c r="G1254" t="s">
        <v>1073</v>
      </c>
      <c r="H1254" s="21">
        <v>17.920000000000002</v>
      </c>
      <c r="I1254" t="s">
        <v>1074</v>
      </c>
      <c r="J1254" s="22">
        <f>ROUND(E1254* H1254,5)</f>
        <v>18.457599999999999</v>
      </c>
      <c r="K1254" s="23"/>
    </row>
    <row r="1255" spans="1:27" x14ac:dyDescent="0.2">
      <c r="D1255" s="24" t="s">
        <v>1090</v>
      </c>
      <c r="E1255" s="23"/>
      <c r="H1255" s="23"/>
      <c r="K1255" s="21">
        <f>SUM(J1253:J1254)</f>
        <v>18.909600000000001</v>
      </c>
    </row>
    <row r="1256" spans="1:27" x14ac:dyDescent="0.2">
      <c r="E1256" s="23"/>
      <c r="H1256" s="23"/>
      <c r="K1256" s="23"/>
    </row>
    <row r="1257" spans="1:27" x14ac:dyDescent="0.2">
      <c r="D1257" s="24" t="s">
        <v>1092</v>
      </c>
      <c r="E1257" s="23"/>
      <c r="H1257" s="23">
        <v>1.5</v>
      </c>
      <c r="I1257" t="s">
        <v>1093</v>
      </c>
      <c r="J1257">
        <f>ROUND(H1257/100*K1251,5)</f>
        <v>0.38183</v>
      </c>
      <c r="K1257" s="23"/>
    </row>
    <row r="1258" spans="1:27" x14ac:dyDescent="0.2">
      <c r="D1258" s="24" t="s">
        <v>1091</v>
      </c>
      <c r="E1258" s="23"/>
      <c r="H1258" s="23"/>
      <c r="K1258" s="25">
        <f>SUM(J1248:J1257)</f>
        <v>44.746730000000007</v>
      </c>
    </row>
    <row r="1259" spans="1:27" x14ac:dyDescent="0.2">
      <c r="D1259" s="24" t="s">
        <v>1142</v>
      </c>
      <c r="E1259" s="23"/>
      <c r="H1259" s="23">
        <v>8</v>
      </c>
      <c r="I1259" t="s">
        <v>1093</v>
      </c>
      <c r="K1259" s="21">
        <f>ROUND(H1259/100*K1258,5)</f>
        <v>3.5797400000000001</v>
      </c>
    </row>
    <row r="1260" spans="1:27" x14ac:dyDescent="0.2">
      <c r="D1260" s="24" t="s">
        <v>1094</v>
      </c>
      <c r="E1260" s="23"/>
      <c r="H1260" s="23"/>
      <c r="K1260" s="25">
        <f>SUM(K1258:K1259)</f>
        <v>48.326470000000008</v>
      </c>
    </row>
    <row r="1262" spans="1:27" ht="45" customHeight="1" x14ac:dyDescent="0.2">
      <c r="A1262" s="17" t="s">
        <v>1490</v>
      </c>
      <c r="B1262" s="17" t="s">
        <v>421</v>
      </c>
      <c r="C1262" s="1" t="s">
        <v>18</v>
      </c>
      <c r="D1262" s="96" t="s">
        <v>422</v>
      </c>
      <c r="E1262" s="97"/>
      <c r="F1262" s="97"/>
      <c r="G1262" s="1"/>
      <c r="H1262" s="18" t="s">
        <v>1066</v>
      </c>
      <c r="I1262" s="98">
        <v>1</v>
      </c>
      <c r="J1262" s="99"/>
      <c r="K1262" s="19">
        <f>ROUND(K1277,2)</f>
        <v>20.6</v>
      </c>
      <c r="L1262" s="2" t="s">
        <v>422</v>
      </c>
      <c r="M1262" s="1"/>
      <c r="N1262" s="1"/>
      <c r="O1262" s="1"/>
      <c r="P1262" s="1"/>
      <c r="Q1262" s="1"/>
      <c r="R1262" s="1"/>
      <c r="S1262" s="1"/>
      <c r="T1262" s="1"/>
      <c r="U1262" s="1"/>
      <c r="V1262" s="1"/>
      <c r="W1262" s="1"/>
      <c r="X1262" s="1"/>
      <c r="Y1262" s="1"/>
      <c r="Z1262" s="1"/>
      <c r="AA1262" s="1"/>
    </row>
    <row r="1263" spans="1:27" x14ac:dyDescent="0.2">
      <c r="B1263" s="14" t="s">
        <v>1068</v>
      </c>
    </row>
    <row r="1264" spans="1:27" x14ac:dyDescent="0.2">
      <c r="B1264" t="s">
        <v>1205</v>
      </c>
      <c r="C1264" t="s">
        <v>1070</v>
      </c>
      <c r="D1264" t="s">
        <v>1206</v>
      </c>
      <c r="E1264" s="20">
        <v>0.16</v>
      </c>
      <c r="F1264" t="s">
        <v>1072</v>
      </c>
      <c r="G1264" t="s">
        <v>1073</v>
      </c>
      <c r="H1264" s="21">
        <v>24.55</v>
      </c>
      <c r="I1264" t="s">
        <v>1074</v>
      </c>
      <c r="J1264" s="22">
        <f>ROUND(E1264/I1262* H1264,5)</f>
        <v>3.9279999999999999</v>
      </c>
      <c r="K1264" s="23"/>
    </row>
    <row r="1265" spans="1:27" x14ac:dyDescent="0.2">
      <c r="B1265" t="s">
        <v>1364</v>
      </c>
      <c r="C1265" t="s">
        <v>1070</v>
      </c>
      <c r="D1265" t="s">
        <v>1365</v>
      </c>
      <c r="E1265" s="20">
        <v>0.35</v>
      </c>
      <c r="F1265" t="s">
        <v>1072</v>
      </c>
      <c r="G1265" t="s">
        <v>1073</v>
      </c>
      <c r="H1265" s="21">
        <v>29.42</v>
      </c>
      <c r="I1265" t="s">
        <v>1074</v>
      </c>
      <c r="J1265" s="22">
        <f>ROUND(E1265/I1262* H1265,5)</f>
        <v>10.297000000000001</v>
      </c>
      <c r="K1265" s="23"/>
    </row>
    <row r="1266" spans="1:27" x14ac:dyDescent="0.2">
      <c r="D1266" s="24" t="s">
        <v>1075</v>
      </c>
      <c r="E1266" s="23"/>
      <c r="H1266" s="23"/>
      <c r="K1266" s="21">
        <f>SUM(J1264:J1265)</f>
        <v>14.225000000000001</v>
      </c>
    </row>
    <row r="1267" spans="1:27" x14ac:dyDescent="0.2">
      <c r="B1267" s="14" t="s">
        <v>1080</v>
      </c>
      <c r="E1267" s="23"/>
      <c r="H1267" s="23"/>
      <c r="K1267" s="23"/>
    </row>
    <row r="1268" spans="1:27" x14ac:dyDescent="0.2">
      <c r="B1268" t="s">
        <v>1503</v>
      </c>
      <c r="C1268" t="s">
        <v>23</v>
      </c>
      <c r="D1268" t="s">
        <v>1504</v>
      </c>
      <c r="E1268" s="20">
        <v>5.9721599999999997</v>
      </c>
      <c r="G1268" t="s">
        <v>1073</v>
      </c>
      <c r="H1268" s="21">
        <v>0.63</v>
      </c>
      <c r="I1268" t="s">
        <v>1074</v>
      </c>
      <c r="J1268" s="22">
        <f>ROUND(E1268* H1268,5)</f>
        <v>3.7624599999999999</v>
      </c>
      <c r="K1268" s="23"/>
    </row>
    <row r="1269" spans="1:27" x14ac:dyDescent="0.2">
      <c r="D1269" s="24" t="s">
        <v>1090</v>
      </c>
      <c r="E1269" s="23"/>
      <c r="H1269" s="23"/>
      <c r="K1269" s="21">
        <f>SUM(J1268:J1268)</f>
        <v>3.7624599999999999</v>
      </c>
    </row>
    <row r="1270" spans="1:27" x14ac:dyDescent="0.2">
      <c r="B1270" s="14" t="s">
        <v>1063</v>
      </c>
      <c r="E1270" s="23"/>
      <c r="H1270" s="23"/>
      <c r="K1270" s="23"/>
    </row>
    <row r="1271" spans="1:27" x14ac:dyDescent="0.2">
      <c r="B1271" t="s">
        <v>1105</v>
      </c>
      <c r="C1271" t="s">
        <v>15</v>
      </c>
      <c r="D1271" t="s">
        <v>1106</v>
      </c>
      <c r="E1271" s="20">
        <v>3.15E-3</v>
      </c>
      <c r="G1271" t="s">
        <v>1073</v>
      </c>
      <c r="H1271" s="21">
        <v>230.67294000000001</v>
      </c>
      <c r="I1271" t="s">
        <v>1074</v>
      </c>
      <c r="J1271" s="22">
        <f>ROUND(E1271* H1271,5)</f>
        <v>0.72662000000000004</v>
      </c>
      <c r="K1271" s="23"/>
    </row>
    <row r="1272" spans="1:27" x14ac:dyDescent="0.2">
      <c r="D1272" s="24" t="s">
        <v>1361</v>
      </c>
      <c r="E1272" s="23"/>
      <c r="H1272" s="23"/>
      <c r="K1272" s="21">
        <f>SUM(J1271:J1271)</f>
        <v>0.72662000000000004</v>
      </c>
    </row>
    <row r="1273" spans="1:27" x14ac:dyDescent="0.2">
      <c r="E1273" s="23"/>
      <c r="H1273" s="23"/>
      <c r="K1273" s="23"/>
    </row>
    <row r="1274" spans="1:27" x14ac:dyDescent="0.2">
      <c r="D1274" s="24" t="s">
        <v>1092</v>
      </c>
      <c r="E1274" s="23"/>
      <c r="H1274" s="23">
        <v>2.5</v>
      </c>
      <c r="I1274" t="s">
        <v>1093</v>
      </c>
      <c r="J1274">
        <f>ROUND(H1274/100*K1266,5)</f>
        <v>0.35563</v>
      </c>
      <c r="K1274" s="23"/>
    </row>
    <row r="1275" spans="1:27" x14ac:dyDescent="0.2">
      <c r="D1275" s="24" t="s">
        <v>1091</v>
      </c>
      <c r="E1275" s="23"/>
      <c r="H1275" s="23"/>
      <c r="K1275" s="25">
        <f>SUM(J1263:J1274)</f>
        <v>19.069710000000004</v>
      </c>
    </row>
    <row r="1276" spans="1:27" x14ac:dyDescent="0.2">
      <c r="D1276" s="24" t="s">
        <v>1142</v>
      </c>
      <c r="E1276" s="23"/>
      <c r="H1276" s="23">
        <v>8</v>
      </c>
      <c r="I1276" t="s">
        <v>1093</v>
      </c>
      <c r="K1276" s="21">
        <f>ROUND(H1276/100*K1275,5)</f>
        <v>1.5255799999999999</v>
      </c>
    </row>
    <row r="1277" spans="1:27" x14ac:dyDescent="0.2">
      <c r="D1277" s="24" t="s">
        <v>1094</v>
      </c>
      <c r="E1277" s="23"/>
      <c r="H1277" s="23"/>
      <c r="K1277" s="25">
        <f>SUM(K1275:K1276)</f>
        <v>20.595290000000006</v>
      </c>
    </row>
    <row r="1279" spans="1:27" ht="45" customHeight="1" x14ac:dyDescent="0.2">
      <c r="A1279" s="17" t="s">
        <v>1494</v>
      </c>
      <c r="B1279" s="17" t="s">
        <v>3940</v>
      </c>
      <c r="C1279" s="1" t="s">
        <v>15</v>
      </c>
      <c r="D1279" s="96" t="s">
        <v>3941</v>
      </c>
      <c r="E1279" s="97"/>
      <c r="F1279" s="97"/>
      <c r="G1279" s="1"/>
      <c r="H1279" s="18" t="s">
        <v>1066</v>
      </c>
      <c r="I1279" s="98">
        <v>1</v>
      </c>
      <c r="J1279" s="99"/>
      <c r="K1279" s="19">
        <f>ROUND(K1291,2)</f>
        <v>13.04</v>
      </c>
      <c r="L1279" s="2" t="s">
        <v>4038</v>
      </c>
      <c r="M1279" s="1"/>
      <c r="N1279" s="1"/>
      <c r="O1279" s="1"/>
      <c r="P1279" s="1"/>
      <c r="Q1279" s="1"/>
      <c r="R1279" s="1"/>
      <c r="S1279" s="1"/>
      <c r="T1279" s="1"/>
      <c r="U1279" s="1"/>
      <c r="V1279" s="1"/>
      <c r="W1279" s="1"/>
      <c r="X1279" s="1"/>
      <c r="Y1279" s="1"/>
      <c r="Z1279" s="1"/>
      <c r="AA1279" s="1"/>
    </row>
    <row r="1280" spans="1:27" x14ac:dyDescent="0.2">
      <c r="B1280" s="14" t="s">
        <v>1068</v>
      </c>
    </row>
    <row r="1281" spans="1:27" x14ac:dyDescent="0.2">
      <c r="B1281" t="s">
        <v>1205</v>
      </c>
      <c r="C1281" t="s">
        <v>1070</v>
      </c>
      <c r="D1281" t="s">
        <v>1206</v>
      </c>
      <c r="E1281" s="20">
        <v>0.1</v>
      </c>
      <c r="F1281" t="s">
        <v>1072</v>
      </c>
      <c r="G1281" t="s">
        <v>1073</v>
      </c>
      <c r="H1281" s="21">
        <v>24.55</v>
      </c>
      <c r="I1281" t="s">
        <v>1074</v>
      </c>
      <c r="J1281" s="22">
        <f>ROUND(E1281/I1279* H1281,5)</f>
        <v>2.4550000000000001</v>
      </c>
      <c r="K1281" s="23"/>
    </row>
    <row r="1282" spans="1:27" x14ac:dyDescent="0.2">
      <c r="B1282" t="s">
        <v>1364</v>
      </c>
      <c r="C1282" t="s">
        <v>1070</v>
      </c>
      <c r="D1282" t="s">
        <v>1365</v>
      </c>
      <c r="E1282" s="20">
        <v>0.1</v>
      </c>
      <c r="F1282" t="s">
        <v>1072</v>
      </c>
      <c r="G1282" t="s">
        <v>1073</v>
      </c>
      <c r="H1282" s="21">
        <v>29.42</v>
      </c>
      <c r="I1282" t="s">
        <v>1074</v>
      </c>
      <c r="J1282" s="22">
        <f>ROUND(E1282/I1279* H1282,5)</f>
        <v>2.9420000000000002</v>
      </c>
      <c r="K1282" s="23"/>
    </row>
    <row r="1283" spans="1:27" x14ac:dyDescent="0.2">
      <c r="D1283" s="24" t="s">
        <v>1075</v>
      </c>
      <c r="E1283" s="23"/>
      <c r="H1283" s="23"/>
      <c r="K1283" s="21">
        <f>SUM(J1281:J1282)</f>
        <v>5.3970000000000002</v>
      </c>
    </row>
    <row r="1284" spans="1:27" x14ac:dyDescent="0.2">
      <c r="B1284" s="14" t="s">
        <v>1080</v>
      </c>
      <c r="E1284" s="23"/>
      <c r="H1284" s="23"/>
      <c r="K1284" s="23"/>
    </row>
    <row r="1285" spans="1:27" x14ac:dyDescent="0.2">
      <c r="B1285" t="s">
        <v>4039</v>
      </c>
      <c r="C1285" t="s">
        <v>103</v>
      </c>
      <c r="D1285" t="s">
        <v>4040</v>
      </c>
      <c r="E1285" s="20">
        <v>1.5</v>
      </c>
      <c r="G1285" t="s">
        <v>1073</v>
      </c>
      <c r="H1285" s="21">
        <v>4.4000000000000004</v>
      </c>
      <c r="I1285" t="s">
        <v>1074</v>
      </c>
      <c r="J1285" s="22">
        <f>ROUND(E1285* H1285,5)</f>
        <v>6.6</v>
      </c>
      <c r="K1285" s="23"/>
    </row>
    <row r="1286" spans="1:27" x14ac:dyDescent="0.2">
      <c r="D1286" s="24" t="s">
        <v>1090</v>
      </c>
      <c r="E1286" s="23"/>
      <c r="H1286" s="23"/>
      <c r="K1286" s="21">
        <f>SUM(J1285:J1285)</f>
        <v>6.6</v>
      </c>
    </row>
    <row r="1287" spans="1:27" x14ac:dyDescent="0.2">
      <c r="E1287" s="23"/>
      <c r="H1287" s="23"/>
      <c r="K1287" s="23"/>
    </row>
    <row r="1288" spans="1:27" x14ac:dyDescent="0.2">
      <c r="D1288" s="24" t="s">
        <v>1092</v>
      </c>
      <c r="E1288" s="23"/>
      <c r="H1288" s="23">
        <v>1.5</v>
      </c>
      <c r="I1288" t="s">
        <v>1093</v>
      </c>
      <c r="J1288">
        <f>ROUND(H1288/100*K1283,5)</f>
        <v>8.0960000000000004E-2</v>
      </c>
      <c r="K1288" s="23"/>
    </row>
    <row r="1289" spans="1:27" x14ac:dyDescent="0.2">
      <c r="D1289" s="24" t="s">
        <v>1091</v>
      </c>
      <c r="E1289" s="23"/>
      <c r="H1289" s="23"/>
      <c r="K1289" s="25">
        <f>SUM(J1280:J1288)</f>
        <v>12.077959999999999</v>
      </c>
    </row>
    <row r="1290" spans="1:27" x14ac:dyDescent="0.2">
      <c r="D1290" s="24" t="s">
        <v>1142</v>
      </c>
      <c r="E1290" s="23"/>
      <c r="H1290" s="23">
        <v>8</v>
      </c>
      <c r="I1290" t="s">
        <v>1093</v>
      </c>
      <c r="K1290" s="21">
        <f>ROUND(H1290/100*K1289,5)</f>
        <v>0.96623999999999999</v>
      </c>
    </row>
    <row r="1291" spans="1:27" x14ac:dyDescent="0.2">
      <c r="D1291" s="24" t="s">
        <v>1094</v>
      </c>
      <c r="E1291" s="23"/>
      <c r="H1291" s="23"/>
      <c r="K1291" s="25">
        <f>SUM(K1289:K1290)</f>
        <v>13.0442</v>
      </c>
    </row>
    <row r="1293" spans="1:27" ht="45" customHeight="1" x14ac:dyDescent="0.2">
      <c r="A1293" s="17" t="s">
        <v>1498</v>
      </c>
      <c r="B1293" s="17" t="s">
        <v>560</v>
      </c>
      <c r="C1293" s="1" t="s">
        <v>15</v>
      </c>
      <c r="D1293" s="96" t="s">
        <v>3939</v>
      </c>
      <c r="E1293" s="97"/>
      <c r="F1293" s="97"/>
      <c r="G1293" s="1"/>
      <c r="H1293" s="18" t="s">
        <v>1066</v>
      </c>
      <c r="I1293" s="98">
        <v>1</v>
      </c>
      <c r="J1293" s="99"/>
      <c r="K1293" s="19">
        <f>ROUND(K1305,2)</f>
        <v>412.22</v>
      </c>
      <c r="L1293" s="2" t="s">
        <v>4041</v>
      </c>
      <c r="M1293" s="1"/>
      <c r="N1293" s="1"/>
      <c r="O1293" s="1"/>
      <c r="P1293" s="1"/>
      <c r="Q1293" s="1"/>
      <c r="R1293" s="1"/>
      <c r="S1293" s="1"/>
      <c r="T1293" s="1"/>
      <c r="U1293" s="1"/>
      <c r="V1293" s="1"/>
      <c r="W1293" s="1"/>
      <c r="X1293" s="1"/>
      <c r="Y1293" s="1"/>
      <c r="Z1293" s="1"/>
      <c r="AA1293" s="1"/>
    </row>
    <row r="1294" spans="1:27" x14ac:dyDescent="0.2">
      <c r="B1294" s="14" t="s">
        <v>1068</v>
      </c>
    </row>
    <row r="1295" spans="1:27" x14ac:dyDescent="0.2">
      <c r="B1295" t="s">
        <v>1205</v>
      </c>
      <c r="C1295" t="s">
        <v>1070</v>
      </c>
      <c r="D1295" t="s">
        <v>1206</v>
      </c>
      <c r="E1295" s="20">
        <v>3.5</v>
      </c>
      <c r="F1295" t="s">
        <v>1072</v>
      </c>
      <c r="G1295" t="s">
        <v>1073</v>
      </c>
      <c r="H1295" s="21">
        <v>24.55</v>
      </c>
      <c r="I1295" t="s">
        <v>1074</v>
      </c>
      <c r="J1295" s="22">
        <f>ROUND(E1295/I1293* H1295,5)</f>
        <v>85.924999999999997</v>
      </c>
      <c r="K1295" s="23"/>
    </row>
    <row r="1296" spans="1:27" x14ac:dyDescent="0.2">
      <c r="B1296" t="s">
        <v>1364</v>
      </c>
      <c r="C1296" t="s">
        <v>1070</v>
      </c>
      <c r="D1296" t="s">
        <v>1365</v>
      </c>
      <c r="E1296" s="20">
        <v>2.5</v>
      </c>
      <c r="F1296" t="s">
        <v>1072</v>
      </c>
      <c r="G1296" t="s">
        <v>1073</v>
      </c>
      <c r="H1296" s="21">
        <v>29.42</v>
      </c>
      <c r="I1296" t="s">
        <v>1074</v>
      </c>
      <c r="J1296" s="22">
        <f>ROUND(E1296/I1293* H1296,5)</f>
        <v>73.55</v>
      </c>
      <c r="K1296" s="23"/>
    </row>
    <row r="1297" spans="1:27" x14ac:dyDescent="0.2">
      <c r="D1297" s="24" t="s">
        <v>1075</v>
      </c>
      <c r="E1297" s="23"/>
      <c r="H1297" s="23"/>
      <c r="K1297" s="21">
        <f>SUM(J1295:J1296)</f>
        <v>159.47499999999999</v>
      </c>
    </row>
    <row r="1298" spans="1:27" x14ac:dyDescent="0.2">
      <c r="B1298" s="14" t="s">
        <v>1063</v>
      </c>
      <c r="E1298" s="23"/>
      <c r="H1298" s="23"/>
      <c r="K1298" s="23"/>
    </row>
    <row r="1299" spans="1:27" x14ac:dyDescent="0.2">
      <c r="B1299" t="s">
        <v>1064</v>
      </c>
      <c r="C1299" t="s">
        <v>15</v>
      </c>
      <c r="D1299" t="s">
        <v>1065</v>
      </c>
      <c r="E1299" s="20">
        <v>1.03</v>
      </c>
      <c r="G1299" t="s">
        <v>1073</v>
      </c>
      <c r="H1299" s="21">
        <v>213.41679999999999</v>
      </c>
      <c r="I1299" t="s">
        <v>1074</v>
      </c>
      <c r="J1299" s="22">
        <f>ROUND(E1299* H1299,5)</f>
        <v>219.8193</v>
      </c>
      <c r="K1299" s="23"/>
    </row>
    <row r="1300" spans="1:27" x14ac:dyDescent="0.2">
      <c r="D1300" s="24" t="s">
        <v>1361</v>
      </c>
      <c r="E1300" s="23"/>
      <c r="H1300" s="23"/>
      <c r="K1300" s="21">
        <f>SUM(J1299:J1299)</f>
        <v>219.8193</v>
      </c>
    </row>
    <row r="1301" spans="1:27" x14ac:dyDescent="0.2">
      <c r="E1301" s="23"/>
      <c r="H1301" s="23"/>
      <c r="K1301" s="23"/>
    </row>
    <row r="1302" spans="1:27" x14ac:dyDescent="0.2">
      <c r="D1302" s="24" t="s">
        <v>1092</v>
      </c>
      <c r="E1302" s="23"/>
      <c r="H1302" s="23">
        <v>1.5</v>
      </c>
      <c r="I1302" t="s">
        <v>1093</v>
      </c>
      <c r="J1302">
        <f>ROUND(H1302/100*K1297,5)</f>
        <v>2.3921299999999999</v>
      </c>
      <c r="K1302" s="23"/>
    </row>
    <row r="1303" spans="1:27" x14ac:dyDescent="0.2">
      <c r="D1303" s="24" t="s">
        <v>1091</v>
      </c>
      <c r="E1303" s="23"/>
      <c r="H1303" s="23"/>
      <c r="K1303" s="25">
        <f>SUM(J1294:J1302)</f>
        <v>381.68643000000003</v>
      </c>
    </row>
    <row r="1304" spans="1:27" x14ac:dyDescent="0.2">
      <c r="D1304" s="24" t="s">
        <v>1142</v>
      </c>
      <c r="E1304" s="23"/>
      <c r="H1304" s="23">
        <v>8</v>
      </c>
      <c r="I1304" t="s">
        <v>1093</v>
      </c>
      <c r="K1304" s="21">
        <f>ROUND(H1304/100*K1303,5)</f>
        <v>30.53491</v>
      </c>
    </row>
    <row r="1305" spans="1:27" x14ac:dyDescent="0.2">
      <c r="D1305" s="24" t="s">
        <v>1094</v>
      </c>
      <c r="E1305" s="23"/>
      <c r="H1305" s="23"/>
      <c r="K1305" s="25">
        <f>SUM(K1303:K1304)</f>
        <v>412.22134000000005</v>
      </c>
    </row>
    <row r="1307" spans="1:27" ht="45" customHeight="1" x14ac:dyDescent="0.2">
      <c r="A1307" s="17" t="s">
        <v>1502</v>
      </c>
      <c r="B1307" s="17" t="s">
        <v>429</v>
      </c>
      <c r="C1307" s="1" t="s">
        <v>18</v>
      </c>
      <c r="D1307" s="96" t="s">
        <v>430</v>
      </c>
      <c r="E1307" s="97"/>
      <c r="F1307" s="97"/>
      <c r="G1307" s="1"/>
      <c r="H1307" s="18" t="s">
        <v>1066</v>
      </c>
      <c r="I1307" s="98">
        <v>1</v>
      </c>
      <c r="J1307" s="99"/>
      <c r="K1307" s="19">
        <f>ROUND(K1320,2)</f>
        <v>50.61</v>
      </c>
      <c r="L1307" s="2" t="s">
        <v>1507</v>
      </c>
      <c r="M1307" s="1"/>
      <c r="N1307" s="1"/>
      <c r="O1307" s="1"/>
      <c r="P1307" s="1"/>
      <c r="Q1307" s="1"/>
      <c r="R1307" s="1"/>
      <c r="S1307" s="1"/>
      <c r="T1307" s="1"/>
      <c r="U1307" s="1"/>
      <c r="V1307" s="1"/>
      <c r="W1307" s="1"/>
      <c r="X1307" s="1"/>
      <c r="Y1307" s="1"/>
      <c r="Z1307" s="1"/>
      <c r="AA1307" s="1"/>
    </row>
    <row r="1308" spans="1:27" x14ac:dyDescent="0.2">
      <c r="B1308" s="14" t="s">
        <v>1068</v>
      </c>
    </row>
    <row r="1309" spans="1:27" x14ac:dyDescent="0.2">
      <c r="B1309" t="s">
        <v>1414</v>
      </c>
      <c r="C1309" t="s">
        <v>1070</v>
      </c>
      <c r="D1309" t="s">
        <v>1415</v>
      </c>
      <c r="E1309" s="20">
        <v>0.6</v>
      </c>
      <c r="F1309" t="s">
        <v>1072</v>
      </c>
      <c r="G1309" t="s">
        <v>1073</v>
      </c>
      <c r="H1309" s="21">
        <v>29.94</v>
      </c>
      <c r="I1309" t="s">
        <v>1074</v>
      </c>
      <c r="J1309" s="22">
        <f>ROUND(E1309/I1307* H1309,5)</f>
        <v>17.963999999999999</v>
      </c>
      <c r="K1309" s="23"/>
    </row>
    <row r="1310" spans="1:27" x14ac:dyDescent="0.2">
      <c r="B1310" t="s">
        <v>1245</v>
      </c>
      <c r="C1310" t="s">
        <v>1070</v>
      </c>
      <c r="D1310" t="s">
        <v>1246</v>
      </c>
      <c r="E1310" s="20">
        <v>0.6</v>
      </c>
      <c r="F1310" t="s">
        <v>1072</v>
      </c>
      <c r="G1310" t="s">
        <v>1073</v>
      </c>
      <c r="H1310" s="21">
        <v>26.33</v>
      </c>
      <c r="I1310" t="s">
        <v>1074</v>
      </c>
      <c r="J1310" s="22">
        <f>ROUND(E1310/I1307* H1310,5)</f>
        <v>15.798</v>
      </c>
      <c r="K1310" s="23"/>
    </row>
    <row r="1311" spans="1:27" x14ac:dyDescent="0.2">
      <c r="D1311" s="24" t="s">
        <v>1075</v>
      </c>
      <c r="E1311" s="23"/>
      <c r="H1311" s="23"/>
      <c r="K1311" s="21">
        <f>SUM(J1309:J1310)</f>
        <v>33.762</v>
      </c>
    </row>
    <row r="1312" spans="1:27" x14ac:dyDescent="0.2">
      <c r="B1312" s="14" t="s">
        <v>1080</v>
      </c>
      <c r="E1312" s="23"/>
      <c r="H1312" s="23"/>
      <c r="K1312" s="23"/>
    </row>
    <row r="1313" spans="1:27" x14ac:dyDescent="0.2">
      <c r="B1313" t="s">
        <v>1508</v>
      </c>
      <c r="C1313" t="s">
        <v>15</v>
      </c>
      <c r="D1313" t="s">
        <v>1509</v>
      </c>
      <c r="E1313" s="20">
        <v>0.03</v>
      </c>
      <c r="G1313" t="s">
        <v>1073</v>
      </c>
      <c r="H1313" s="21">
        <v>398.31</v>
      </c>
      <c r="I1313" t="s">
        <v>1074</v>
      </c>
      <c r="J1313" s="22">
        <f>ROUND(E1313* H1313,5)</f>
        <v>11.949299999999999</v>
      </c>
      <c r="K1313" s="23"/>
    </row>
    <row r="1314" spans="1:27" x14ac:dyDescent="0.2">
      <c r="B1314" t="s">
        <v>1433</v>
      </c>
      <c r="C1314" t="s">
        <v>103</v>
      </c>
      <c r="D1314" t="s">
        <v>1434</v>
      </c>
      <c r="E1314" s="20">
        <v>0.13500000000000001</v>
      </c>
      <c r="G1314" t="s">
        <v>1073</v>
      </c>
      <c r="H1314" s="21">
        <v>2.2599999999999998</v>
      </c>
      <c r="I1314" t="s">
        <v>1074</v>
      </c>
      <c r="J1314" s="22">
        <f>ROUND(E1314* H1314,5)</f>
        <v>0.30509999999999998</v>
      </c>
      <c r="K1314" s="23"/>
    </row>
    <row r="1315" spans="1:27" x14ac:dyDescent="0.2">
      <c r="D1315" s="24" t="s">
        <v>1090</v>
      </c>
      <c r="E1315" s="23"/>
      <c r="H1315" s="23"/>
      <c r="K1315" s="21">
        <f>SUM(J1313:J1314)</f>
        <v>12.254399999999999</v>
      </c>
    </row>
    <row r="1316" spans="1:27" x14ac:dyDescent="0.2">
      <c r="E1316" s="23"/>
      <c r="H1316" s="23"/>
      <c r="K1316" s="23"/>
    </row>
    <row r="1317" spans="1:27" x14ac:dyDescent="0.2">
      <c r="D1317" s="24" t="s">
        <v>1092</v>
      </c>
      <c r="E1317" s="23"/>
      <c r="H1317" s="23">
        <v>2.5</v>
      </c>
      <c r="I1317" t="s">
        <v>1093</v>
      </c>
      <c r="J1317">
        <f>ROUND(H1317/100*K1311,5)</f>
        <v>0.84404999999999997</v>
      </c>
      <c r="K1317" s="23"/>
    </row>
    <row r="1318" spans="1:27" x14ac:dyDescent="0.2">
      <c r="D1318" s="24" t="s">
        <v>1091</v>
      </c>
      <c r="E1318" s="23"/>
      <c r="H1318" s="23"/>
      <c r="K1318" s="25">
        <f>SUM(J1308:J1317)</f>
        <v>46.860450000000007</v>
      </c>
    </row>
    <row r="1319" spans="1:27" x14ac:dyDescent="0.2">
      <c r="D1319" s="24" t="s">
        <v>1142</v>
      </c>
      <c r="E1319" s="23"/>
      <c r="H1319" s="23">
        <v>8</v>
      </c>
      <c r="I1319" t="s">
        <v>1093</v>
      </c>
      <c r="K1319" s="21">
        <f>ROUND(H1319/100*K1318,5)</f>
        <v>3.74884</v>
      </c>
    </row>
    <row r="1320" spans="1:27" x14ac:dyDescent="0.2">
      <c r="D1320" s="24" t="s">
        <v>1094</v>
      </c>
      <c r="E1320" s="23"/>
      <c r="H1320" s="23"/>
      <c r="K1320" s="25">
        <f>SUM(K1318:K1319)</f>
        <v>50.609290000000009</v>
      </c>
    </row>
    <row r="1322" spans="1:27" ht="45" customHeight="1" x14ac:dyDescent="0.2">
      <c r="A1322" s="17" t="s">
        <v>1505</v>
      </c>
      <c r="B1322" s="17" t="s">
        <v>441</v>
      </c>
      <c r="C1322" s="1" t="s">
        <v>36</v>
      </c>
      <c r="D1322" s="96" t="s">
        <v>442</v>
      </c>
      <c r="E1322" s="97"/>
      <c r="F1322" s="97"/>
      <c r="G1322" s="1"/>
      <c r="H1322" s="18" t="s">
        <v>1066</v>
      </c>
      <c r="I1322" s="98">
        <v>1</v>
      </c>
      <c r="J1322" s="99"/>
      <c r="K1322" s="19">
        <f>ROUND(K1335,2)</f>
        <v>22.26</v>
      </c>
      <c r="L1322" s="2" t="s">
        <v>1511</v>
      </c>
      <c r="M1322" s="1"/>
      <c r="N1322" s="1"/>
      <c r="O1322" s="1"/>
      <c r="P1322" s="1"/>
      <c r="Q1322" s="1"/>
      <c r="R1322" s="1"/>
      <c r="S1322" s="1"/>
      <c r="T1322" s="1"/>
      <c r="U1322" s="1"/>
      <c r="V1322" s="1"/>
      <c r="W1322" s="1"/>
      <c r="X1322" s="1"/>
      <c r="Y1322" s="1"/>
      <c r="Z1322" s="1"/>
      <c r="AA1322" s="1"/>
    </row>
    <row r="1323" spans="1:27" x14ac:dyDescent="0.2">
      <c r="B1323" s="14" t="s">
        <v>1068</v>
      </c>
    </row>
    <row r="1324" spans="1:27" x14ac:dyDescent="0.2">
      <c r="B1324" t="s">
        <v>1512</v>
      </c>
      <c r="C1324" t="s">
        <v>1070</v>
      </c>
      <c r="D1324" t="s">
        <v>1513</v>
      </c>
      <c r="E1324" s="20">
        <v>0.2</v>
      </c>
      <c r="F1324" t="s">
        <v>1072</v>
      </c>
      <c r="G1324" t="s">
        <v>1073</v>
      </c>
      <c r="H1324" s="21">
        <v>29.42</v>
      </c>
      <c r="I1324" t="s">
        <v>1074</v>
      </c>
      <c r="J1324" s="22">
        <f>ROUND(E1324/I1322* H1324,5)</f>
        <v>5.8840000000000003</v>
      </c>
      <c r="K1324" s="23"/>
    </row>
    <row r="1325" spans="1:27" x14ac:dyDescent="0.2">
      <c r="B1325" t="s">
        <v>1205</v>
      </c>
      <c r="C1325" t="s">
        <v>1070</v>
      </c>
      <c r="D1325" t="s">
        <v>1206</v>
      </c>
      <c r="E1325" s="20">
        <v>0.1</v>
      </c>
      <c r="F1325" t="s">
        <v>1072</v>
      </c>
      <c r="G1325" t="s">
        <v>1073</v>
      </c>
      <c r="H1325" s="21">
        <v>24.55</v>
      </c>
      <c r="I1325" t="s">
        <v>1074</v>
      </c>
      <c r="J1325" s="22">
        <f>ROUND(E1325/I1322* H1325,5)</f>
        <v>2.4550000000000001</v>
      </c>
      <c r="K1325" s="23"/>
    </row>
    <row r="1326" spans="1:27" x14ac:dyDescent="0.2">
      <c r="D1326" s="24" t="s">
        <v>1075</v>
      </c>
      <c r="E1326" s="23"/>
      <c r="H1326" s="23"/>
      <c r="K1326" s="21">
        <f>SUM(J1324:J1325)</f>
        <v>8.3390000000000004</v>
      </c>
    </row>
    <row r="1327" spans="1:27" x14ac:dyDescent="0.2">
      <c r="B1327" s="14" t="s">
        <v>1080</v>
      </c>
      <c r="E1327" s="23"/>
      <c r="H1327" s="23"/>
      <c r="K1327" s="23"/>
    </row>
    <row r="1328" spans="1:27" x14ac:dyDescent="0.2">
      <c r="B1328" t="s">
        <v>1516</v>
      </c>
      <c r="C1328" t="s">
        <v>23</v>
      </c>
      <c r="D1328" t="s">
        <v>1517</v>
      </c>
      <c r="E1328" s="20">
        <v>4</v>
      </c>
      <c r="G1328" t="s">
        <v>1073</v>
      </c>
      <c r="H1328" s="21">
        <v>0.1</v>
      </c>
      <c r="I1328" t="s">
        <v>1074</v>
      </c>
      <c r="J1328" s="22">
        <f>ROUND(E1328* H1328,5)</f>
        <v>0.4</v>
      </c>
      <c r="K1328" s="23"/>
    </row>
    <row r="1329" spans="1:27" x14ac:dyDescent="0.2">
      <c r="B1329" t="s">
        <v>1514</v>
      </c>
      <c r="C1329" t="s">
        <v>36</v>
      </c>
      <c r="D1329" t="s">
        <v>1515</v>
      </c>
      <c r="E1329" s="20">
        <v>1.02</v>
      </c>
      <c r="G1329" t="s">
        <v>1073</v>
      </c>
      <c r="H1329" s="21">
        <v>11.52</v>
      </c>
      <c r="I1329" t="s">
        <v>1074</v>
      </c>
      <c r="J1329" s="22">
        <f>ROUND(E1329* H1329,5)</f>
        <v>11.750400000000001</v>
      </c>
      <c r="K1329" s="23"/>
    </row>
    <row r="1330" spans="1:27" x14ac:dyDescent="0.2">
      <c r="D1330" s="24" t="s">
        <v>1090</v>
      </c>
      <c r="E1330" s="23"/>
      <c r="H1330" s="23"/>
      <c r="K1330" s="21">
        <f>SUM(J1328:J1329)</f>
        <v>12.150400000000001</v>
      </c>
    </row>
    <row r="1331" spans="1:27" x14ac:dyDescent="0.2">
      <c r="E1331" s="23"/>
      <c r="H1331" s="23"/>
      <c r="K1331" s="23"/>
    </row>
    <row r="1332" spans="1:27" x14ac:dyDescent="0.2">
      <c r="D1332" s="24" t="s">
        <v>1092</v>
      </c>
      <c r="E1332" s="23"/>
      <c r="H1332" s="23">
        <v>1.5</v>
      </c>
      <c r="I1332" t="s">
        <v>1093</v>
      </c>
      <c r="J1332">
        <f>ROUND(H1332/100*K1326,5)</f>
        <v>0.12509000000000001</v>
      </c>
      <c r="K1332" s="23"/>
    </row>
    <row r="1333" spans="1:27" x14ac:dyDescent="0.2">
      <c r="D1333" s="24" t="s">
        <v>1091</v>
      </c>
      <c r="E1333" s="23"/>
      <c r="H1333" s="23"/>
      <c r="K1333" s="25">
        <f>SUM(J1323:J1332)</f>
        <v>20.614490000000004</v>
      </c>
    </row>
    <row r="1334" spans="1:27" x14ac:dyDescent="0.2">
      <c r="D1334" s="24" t="s">
        <v>1142</v>
      </c>
      <c r="E1334" s="23"/>
      <c r="H1334" s="23">
        <v>8</v>
      </c>
      <c r="I1334" t="s">
        <v>1093</v>
      </c>
      <c r="K1334" s="21">
        <f>ROUND(H1334/100*K1333,5)</f>
        <v>1.64916</v>
      </c>
    </row>
    <row r="1335" spans="1:27" x14ac:dyDescent="0.2">
      <c r="D1335" s="24" t="s">
        <v>1094</v>
      </c>
      <c r="E1335" s="23"/>
      <c r="H1335" s="23"/>
      <c r="K1335" s="25">
        <f>SUM(K1333:K1334)</f>
        <v>22.263650000000002</v>
      </c>
    </row>
    <row r="1337" spans="1:27" ht="45" customHeight="1" x14ac:dyDescent="0.2">
      <c r="A1337" s="17" t="s">
        <v>1506</v>
      </c>
      <c r="B1337" s="17" t="s">
        <v>437</v>
      </c>
      <c r="C1337" s="1" t="s">
        <v>36</v>
      </c>
      <c r="D1337" s="96" t="s">
        <v>438</v>
      </c>
      <c r="E1337" s="97"/>
      <c r="F1337" s="97"/>
      <c r="G1337" s="1"/>
      <c r="H1337" s="18" t="s">
        <v>1066</v>
      </c>
      <c r="I1337" s="98">
        <v>1</v>
      </c>
      <c r="J1337" s="99"/>
      <c r="K1337" s="19">
        <f>ROUND(K1352,2)</f>
        <v>61.73</v>
      </c>
      <c r="L1337" s="2" t="s">
        <v>1519</v>
      </c>
      <c r="M1337" s="1"/>
      <c r="N1337" s="1"/>
      <c r="O1337" s="1"/>
      <c r="P1337" s="1"/>
      <c r="Q1337" s="1"/>
      <c r="R1337" s="1"/>
      <c r="S1337" s="1"/>
      <c r="T1337" s="1"/>
      <c r="U1337" s="1"/>
      <c r="V1337" s="1"/>
      <c r="W1337" s="1"/>
      <c r="X1337" s="1"/>
      <c r="Y1337" s="1"/>
      <c r="Z1337" s="1"/>
      <c r="AA1337" s="1"/>
    </row>
    <row r="1338" spans="1:27" x14ac:dyDescent="0.2">
      <c r="B1338" s="14" t="s">
        <v>1068</v>
      </c>
    </row>
    <row r="1339" spans="1:27" x14ac:dyDescent="0.2">
      <c r="B1339" t="s">
        <v>1512</v>
      </c>
      <c r="C1339" t="s">
        <v>1070</v>
      </c>
      <c r="D1339" t="s">
        <v>1513</v>
      </c>
      <c r="E1339" s="20">
        <v>0.2</v>
      </c>
      <c r="F1339" t="s">
        <v>1072</v>
      </c>
      <c r="G1339" t="s">
        <v>1073</v>
      </c>
      <c r="H1339" s="21">
        <v>29.42</v>
      </c>
      <c r="I1339" t="s">
        <v>1074</v>
      </c>
      <c r="J1339" s="22">
        <f>ROUND(E1339/I1337* H1339,5)</f>
        <v>5.8840000000000003</v>
      </c>
      <c r="K1339" s="23"/>
    </row>
    <row r="1340" spans="1:27" x14ac:dyDescent="0.2">
      <c r="B1340" t="s">
        <v>1364</v>
      </c>
      <c r="C1340" t="s">
        <v>1070</v>
      </c>
      <c r="D1340" t="s">
        <v>1365</v>
      </c>
      <c r="E1340" s="20">
        <v>0.3</v>
      </c>
      <c r="F1340" t="s">
        <v>1072</v>
      </c>
      <c r="G1340" t="s">
        <v>1073</v>
      </c>
      <c r="H1340" s="21">
        <v>29.42</v>
      </c>
      <c r="I1340" t="s">
        <v>1074</v>
      </c>
      <c r="J1340" s="22">
        <f>ROUND(E1340/I1337* H1340,5)</f>
        <v>8.8260000000000005</v>
      </c>
      <c r="K1340" s="23"/>
    </row>
    <row r="1341" spans="1:27" x14ac:dyDescent="0.2">
      <c r="B1341" t="s">
        <v>1205</v>
      </c>
      <c r="C1341" t="s">
        <v>1070</v>
      </c>
      <c r="D1341" t="s">
        <v>1206</v>
      </c>
      <c r="E1341" s="20">
        <v>0.15</v>
      </c>
      <c r="F1341" t="s">
        <v>1072</v>
      </c>
      <c r="G1341" t="s">
        <v>1073</v>
      </c>
      <c r="H1341" s="21">
        <v>24.55</v>
      </c>
      <c r="I1341" t="s">
        <v>1074</v>
      </c>
      <c r="J1341" s="22">
        <f>ROUND(E1341/I1337* H1341,5)</f>
        <v>3.6825000000000001</v>
      </c>
      <c r="K1341" s="23"/>
    </row>
    <row r="1342" spans="1:27" x14ac:dyDescent="0.2">
      <c r="D1342" s="24" t="s">
        <v>1075</v>
      </c>
      <c r="E1342" s="23"/>
      <c r="H1342" s="23"/>
      <c r="K1342" s="21">
        <f>SUM(J1339:J1341)</f>
        <v>18.392500000000002</v>
      </c>
    </row>
    <row r="1343" spans="1:27" x14ac:dyDescent="0.2">
      <c r="B1343" s="14" t="s">
        <v>1080</v>
      </c>
      <c r="E1343" s="23"/>
      <c r="H1343" s="23"/>
      <c r="K1343" s="23"/>
    </row>
    <row r="1344" spans="1:27" x14ac:dyDescent="0.2">
      <c r="B1344" t="s">
        <v>1524</v>
      </c>
      <c r="C1344" t="s">
        <v>23</v>
      </c>
      <c r="D1344" t="s">
        <v>1525</v>
      </c>
      <c r="E1344" s="20">
        <v>5.5</v>
      </c>
      <c r="G1344" t="s">
        <v>1073</v>
      </c>
      <c r="H1344" s="21">
        <v>0.25</v>
      </c>
      <c r="I1344" t="s">
        <v>1074</v>
      </c>
      <c r="J1344" s="22">
        <f>ROUND(E1344* H1344,5)</f>
        <v>1.375</v>
      </c>
      <c r="K1344" s="23"/>
    </row>
    <row r="1345" spans="1:27" x14ac:dyDescent="0.2">
      <c r="B1345" t="s">
        <v>1520</v>
      </c>
      <c r="C1345" t="s">
        <v>36</v>
      </c>
      <c r="D1345" t="s">
        <v>1521</v>
      </c>
      <c r="E1345" s="20">
        <v>1.2995000000000001</v>
      </c>
      <c r="G1345" t="s">
        <v>1073</v>
      </c>
      <c r="H1345" s="21">
        <v>22.07</v>
      </c>
      <c r="I1345" t="s">
        <v>1074</v>
      </c>
      <c r="J1345" s="22">
        <f>ROUND(E1345* H1345,5)</f>
        <v>28.679970000000001</v>
      </c>
      <c r="K1345" s="23"/>
    </row>
    <row r="1346" spans="1:27" x14ac:dyDescent="0.2">
      <c r="B1346" t="s">
        <v>1522</v>
      </c>
      <c r="C1346" t="s">
        <v>23</v>
      </c>
      <c r="D1346" t="s">
        <v>1523</v>
      </c>
      <c r="E1346" s="20">
        <v>3</v>
      </c>
      <c r="G1346" t="s">
        <v>1073</v>
      </c>
      <c r="H1346" s="21">
        <v>2.72</v>
      </c>
      <c r="I1346" t="s">
        <v>1074</v>
      </c>
      <c r="J1346" s="22">
        <f>ROUND(E1346* H1346,5)</f>
        <v>8.16</v>
      </c>
      <c r="K1346" s="23"/>
    </row>
    <row r="1347" spans="1:27" x14ac:dyDescent="0.2">
      <c r="D1347" s="24" t="s">
        <v>1090</v>
      </c>
      <c r="E1347" s="23"/>
      <c r="H1347" s="23"/>
      <c r="K1347" s="21">
        <f>SUM(J1344:J1346)</f>
        <v>38.214970000000001</v>
      </c>
    </row>
    <row r="1348" spans="1:27" x14ac:dyDescent="0.2">
      <c r="E1348" s="23"/>
      <c r="H1348" s="23"/>
      <c r="K1348" s="23"/>
    </row>
    <row r="1349" spans="1:27" x14ac:dyDescent="0.2">
      <c r="D1349" s="24" t="s">
        <v>1092</v>
      </c>
      <c r="E1349" s="23"/>
      <c r="H1349" s="23">
        <v>3</v>
      </c>
      <c r="I1349" t="s">
        <v>1093</v>
      </c>
      <c r="J1349">
        <f>ROUND(H1349/100*K1342,5)</f>
        <v>0.55178000000000005</v>
      </c>
      <c r="K1349" s="23"/>
    </row>
    <row r="1350" spans="1:27" x14ac:dyDescent="0.2">
      <c r="D1350" s="24" t="s">
        <v>1091</v>
      </c>
      <c r="E1350" s="23"/>
      <c r="H1350" s="23"/>
      <c r="K1350" s="25">
        <f>SUM(J1338:J1349)</f>
        <v>57.159250000000007</v>
      </c>
    </row>
    <row r="1351" spans="1:27" x14ac:dyDescent="0.2">
      <c r="D1351" s="24" t="s">
        <v>1142</v>
      </c>
      <c r="E1351" s="23"/>
      <c r="H1351" s="23">
        <v>8</v>
      </c>
      <c r="I1351" t="s">
        <v>1093</v>
      </c>
      <c r="K1351" s="21">
        <f>ROUND(H1351/100*K1350,5)</f>
        <v>4.5727399999999996</v>
      </c>
    </row>
    <row r="1352" spans="1:27" x14ac:dyDescent="0.2">
      <c r="D1352" s="24" t="s">
        <v>1094</v>
      </c>
      <c r="E1352" s="23"/>
      <c r="H1352" s="23"/>
      <c r="K1352" s="25">
        <f>SUM(K1350:K1351)</f>
        <v>61.73199000000001</v>
      </c>
    </row>
    <row r="1354" spans="1:27" ht="45" customHeight="1" x14ac:dyDescent="0.2">
      <c r="A1354" s="17" t="s">
        <v>1510</v>
      </c>
      <c r="B1354" s="17" t="s">
        <v>138</v>
      </c>
      <c r="C1354" s="1" t="s">
        <v>18</v>
      </c>
      <c r="D1354" s="96" t="s">
        <v>139</v>
      </c>
      <c r="E1354" s="97"/>
      <c r="F1354" s="97"/>
      <c r="G1354" s="1"/>
      <c r="H1354" s="18" t="s">
        <v>1066</v>
      </c>
      <c r="I1354" s="98">
        <v>1</v>
      </c>
      <c r="J1354" s="99"/>
      <c r="K1354" s="19">
        <f>ROUND(K1366,2)</f>
        <v>17.2</v>
      </c>
      <c r="L1354" s="2" t="s">
        <v>139</v>
      </c>
      <c r="M1354" s="1"/>
      <c r="N1354" s="1"/>
      <c r="O1354" s="1"/>
      <c r="P1354" s="1"/>
      <c r="Q1354" s="1"/>
      <c r="R1354" s="1"/>
      <c r="S1354" s="1"/>
      <c r="T1354" s="1"/>
      <c r="U1354" s="1"/>
      <c r="V1354" s="1"/>
      <c r="W1354" s="1"/>
      <c r="X1354" s="1"/>
      <c r="Y1354" s="1"/>
      <c r="Z1354" s="1"/>
      <c r="AA1354" s="1"/>
    </row>
    <row r="1355" spans="1:27" x14ac:dyDescent="0.2">
      <c r="B1355" s="14" t="s">
        <v>1068</v>
      </c>
    </row>
    <row r="1356" spans="1:27" x14ac:dyDescent="0.2">
      <c r="B1356" t="s">
        <v>1527</v>
      </c>
      <c r="C1356" t="s">
        <v>1070</v>
      </c>
      <c r="D1356" t="s">
        <v>1528</v>
      </c>
      <c r="E1356" s="20">
        <v>0.16500000000000001</v>
      </c>
      <c r="F1356" t="s">
        <v>1072</v>
      </c>
      <c r="G1356" t="s">
        <v>1073</v>
      </c>
      <c r="H1356" s="21">
        <v>26.12</v>
      </c>
      <c r="I1356" t="s">
        <v>1074</v>
      </c>
      <c r="J1356" s="22">
        <f>ROUND(E1356/I1354* H1356,5)</f>
        <v>4.3098000000000001</v>
      </c>
      <c r="K1356" s="23"/>
    </row>
    <row r="1357" spans="1:27" x14ac:dyDescent="0.2">
      <c r="B1357" t="s">
        <v>1512</v>
      </c>
      <c r="C1357" t="s">
        <v>1070</v>
      </c>
      <c r="D1357" t="s">
        <v>1513</v>
      </c>
      <c r="E1357" s="20">
        <v>0.33</v>
      </c>
      <c r="F1357" t="s">
        <v>1072</v>
      </c>
      <c r="G1357" t="s">
        <v>1073</v>
      </c>
      <c r="H1357" s="21">
        <v>29.42</v>
      </c>
      <c r="I1357" t="s">
        <v>1074</v>
      </c>
      <c r="J1357" s="22">
        <f>ROUND(E1357/I1354* H1357,5)</f>
        <v>9.7086000000000006</v>
      </c>
      <c r="K1357" s="23"/>
    </row>
    <row r="1358" spans="1:27" x14ac:dyDescent="0.2">
      <c r="D1358" s="24" t="s">
        <v>1075</v>
      </c>
      <c r="E1358" s="23"/>
      <c r="H1358" s="23"/>
      <c r="K1358" s="21">
        <f>SUM(J1356:J1357)</f>
        <v>14.0184</v>
      </c>
    </row>
    <row r="1359" spans="1:27" x14ac:dyDescent="0.2">
      <c r="B1359" s="14" t="s">
        <v>1080</v>
      </c>
      <c r="E1359" s="23"/>
      <c r="H1359" s="23"/>
      <c r="K1359" s="23"/>
    </row>
    <row r="1360" spans="1:27" x14ac:dyDescent="0.2">
      <c r="B1360" t="s">
        <v>1529</v>
      </c>
      <c r="C1360" t="s">
        <v>18</v>
      </c>
      <c r="D1360" t="s">
        <v>1530</v>
      </c>
      <c r="E1360" s="20">
        <v>1.21</v>
      </c>
      <c r="G1360" t="s">
        <v>1073</v>
      </c>
      <c r="H1360" s="21">
        <v>1.4</v>
      </c>
      <c r="I1360" t="s">
        <v>1074</v>
      </c>
      <c r="J1360" s="22">
        <f>ROUND(E1360* H1360,5)</f>
        <v>1.694</v>
      </c>
      <c r="K1360" s="23"/>
    </row>
    <row r="1361" spans="1:27" x14ac:dyDescent="0.2">
      <c r="D1361" s="24" t="s">
        <v>1090</v>
      </c>
      <c r="E1361" s="23"/>
      <c r="H1361" s="23"/>
      <c r="K1361" s="21">
        <f>SUM(J1360:J1360)</f>
        <v>1.694</v>
      </c>
    </row>
    <row r="1362" spans="1:27" x14ac:dyDescent="0.2">
      <c r="E1362" s="23"/>
      <c r="H1362" s="23"/>
      <c r="K1362" s="23"/>
    </row>
    <row r="1363" spans="1:27" x14ac:dyDescent="0.2">
      <c r="D1363" s="24" t="s">
        <v>1092</v>
      </c>
      <c r="E1363" s="23"/>
      <c r="H1363" s="23">
        <v>1.5</v>
      </c>
      <c r="I1363" t="s">
        <v>1093</v>
      </c>
      <c r="J1363">
        <f>ROUND(H1363/100*K1358,5)</f>
        <v>0.21027999999999999</v>
      </c>
      <c r="K1363" s="23"/>
    </row>
    <row r="1364" spans="1:27" x14ac:dyDescent="0.2">
      <c r="D1364" s="24" t="s">
        <v>1091</v>
      </c>
      <c r="E1364" s="23"/>
      <c r="H1364" s="23"/>
      <c r="K1364" s="25">
        <f>SUM(J1355:J1363)</f>
        <v>15.922679999999998</v>
      </c>
    </row>
    <row r="1365" spans="1:27" x14ac:dyDescent="0.2">
      <c r="D1365" s="24" t="s">
        <v>1142</v>
      </c>
      <c r="E1365" s="23"/>
      <c r="H1365" s="23">
        <v>8</v>
      </c>
      <c r="I1365" t="s">
        <v>1093</v>
      </c>
      <c r="K1365" s="21">
        <f>ROUND(H1365/100*K1364,5)</f>
        <v>1.2738100000000001</v>
      </c>
    </row>
    <row r="1366" spans="1:27" x14ac:dyDescent="0.2">
      <c r="D1366" s="24" t="s">
        <v>1094</v>
      </c>
      <c r="E1366" s="23"/>
      <c r="H1366" s="23"/>
      <c r="K1366" s="25">
        <f>SUM(K1364:K1365)</f>
        <v>17.196489999999997</v>
      </c>
    </row>
    <row r="1368" spans="1:27" ht="45" customHeight="1" x14ac:dyDescent="0.2">
      <c r="A1368" s="17" t="s">
        <v>1518</v>
      </c>
      <c r="B1368" s="17" t="s">
        <v>427</v>
      </c>
      <c r="C1368" s="1" t="s">
        <v>18</v>
      </c>
      <c r="D1368" s="96" t="s">
        <v>428</v>
      </c>
      <c r="E1368" s="97"/>
      <c r="F1368" s="97"/>
      <c r="G1368" s="1"/>
      <c r="H1368" s="18" t="s">
        <v>1066</v>
      </c>
      <c r="I1368" s="98">
        <v>1</v>
      </c>
      <c r="J1368" s="99"/>
      <c r="K1368" s="19">
        <f>ROUND(K1380,2)</f>
        <v>9.6</v>
      </c>
      <c r="L1368" s="2" t="s">
        <v>1132</v>
      </c>
      <c r="M1368" s="1"/>
      <c r="N1368" s="1"/>
      <c r="O1368" s="1"/>
      <c r="P1368" s="1"/>
      <c r="Q1368" s="1"/>
      <c r="R1368" s="1"/>
      <c r="S1368" s="1"/>
      <c r="T1368" s="1"/>
      <c r="U1368" s="1"/>
      <c r="V1368" s="1"/>
      <c r="W1368" s="1"/>
      <c r="X1368" s="1"/>
      <c r="Y1368" s="1"/>
      <c r="Z1368" s="1"/>
      <c r="AA1368" s="1"/>
    </row>
    <row r="1369" spans="1:27" x14ac:dyDescent="0.2">
      <c r="B1369" s="14" t="s">
        <v>1068</v>
      </c>
    </row>
    <row r="1370" spans="1:27" x14ac:dyDescent="0.2">
      <c r="B1370" t="s">
        <v>1527</v>
      </c>
      <c r="C1370" t="s">
        <v>1070</v>
      </c>
      <c r="D1370" t="s">
        <v>1528</v>
      </c>
      <c r="E1370" s="20">
        <v>0.05</v>
      </c>
      <c r="F1370" t="s">
        <v>1072</v>
      </c>
      <c r="G1370" t="s">
        <v>1073</v>
      </c>
      <c r="H1370" s="21">
        <v>26.12</v>
      </c>
      <c r="I1370" t="s">
        <v>1074</v>
      </c>
      <c r="J1370" s="22">
        <f>ROUND(E1370/I1368* H1370,5)</f>
        <v>1.306</v>
      </c>
      <c r="K1370" s="23"/>
    </row>
    <row r="1371" spans="1:27" x14ac:dyDescent="0.2">
      <c r="B1371" t="s">
        <v>1512</v>
      </c>
      <c r="C1371" t="s">
        <v>1070</v>
      </c>
      <c r="D1371" t="s">
        <v>1513</v>
      </c>
      <c r="E1371" s="20">
        <v>0.05</v>
      </c>
      <c r="F1371" t="s">
        <v>1072</v>
      </c>
      <c r="G1371" t="s">
        <v>1073</v>
      </c>
      <c r="H1371" s="21">
        <v>29.42</v>
      </c>
      <c r="I1371" t="s">
        <v>1074</v>
      </c>
      <c r="J1371" s="22">
        <f>ROUND(E1371/I1368* H1371,5)</f>
        <v>1.4710000000000001</v>
      </c>
      <c r="K1371" s="23"/>
    </row>
    <row r="1372" spans="1:27" x14ac:dyDescent="0.2">
      <c r="D1372" s="24" t="s">
        <v>1075</v>
      </c>
      <c r="E1372" s="23"/>
      <c r="H1372" s="23"/>
      <c r="K1372" s="21">
        <f>SUM(J1370:J1371)</f>
        <v>2.7770000000000001</v>
      </c>
    </row>
    <row r="1373" spans="1:27" x14ac:dyDescent="0.2">
      <c r="B1373" s="14" t="s">
        <v>1063</v>
      </c>
      <c r="E1373" s="23"/>
      <c r="H1373" s="23"/>
      <c r="K1373" s="23"/>
    </row>
    <row r="1374" spans="1:27" x14ac:dyDescent="0.2">
      <c r="B1374" t="s">
        <v>1131</v>
      </c>
      <c r="C1374" t="s">
        <v>18</v>
      </c>
      <c r="D1374" t="s">
        <v>428</v>
      </c>
      <c r="E1374" s="20">
        <v>1.1000000000000001</v>
      </c>
      <c r="G1374" t="s">
        <v>1073</v>
      </c>
      <c r="H1374" s="21">
        <v>5.52</v>
      </c>
      <c r="I1374" t="s">
        <v>1074</v>
      </c>
      <c r="J1374" s="22">
        <f>ROUND(E1374* H1374,5)</f>
        <v>6.0720000000000001</v>
      </c>
      <c r="K1374" s="23"/>
    </row>
    <row r="1375" spans="1:27" x14ac:dyDescent="0.2">
      <c r="D1375" s="24" t="s">
        <v>1361</v>
      </c>
      <c r="E1375" s="23"/>
      <c r="H1375" s="23"/>
      <c r="K1375" s="21">
        <f>SUM(J1374:J1374)</f>
        <v>6.0720000000000001</v>
      </c>
    </row>
    <row r="1376" spans="1:27" x14ac:dyDescent="0.2">
      <c r="E1376" s="23"/>
      <c r="H1376" s="23"/>
      <c r="K1376" s="23"/>
    </row>
    <row r="1377" spans="1:27" x14ac:dyDescent="0.2">
      <c r="D1377" s="24" t="s">
        <v>1092</v>
      </c>
      <c r="E1377" s="23"/>
      <c r="H1377" s="23">
        <v>1.5</v>
      </c>
      <c r="I1377" t="s">
        <v>1093</v>
      </c>
      <c r="J1377">
        <f>ROUND(H1377/100*K1372,5)</f>
        <v>4.1660000000000003E-2</v>
      </c>
      <c r="K1377" s="23"/>
    </row>
    <row r="1378" spans="1:27" x14ac:dyDescent="0.2">
      <c r="D1378" s="24" t="s">
        <v>1091</v>
      </c>
      <c r="E1378" s="23"/>
      <c r="H1378" s="23"/>
      <c r="K1378" s="25">
        <f>SUM(J1369:J1377)</f>
        <v>8.8906600000000005</v>
      </c>
    </row>
    <row r="1379" spans="1:27" x14ac:dyDescent="0.2">
      <c r="D1379" s="24" t="s">
        <v>1142</v>
      </c>
      <c r="E1379" s="23"/>
      <c r="H1379" s="23">
        <v>8</v>
      </c>
      <c r="I1379" t="s">
        <v>1093</v>
      </c>
      <c r="K1379" s="21">
        <f>ROUND(H1379/100*K1378,5)</f>
        <v>0.71125000000000005</v>
      </c>
    </row>
    <row r="1380" spans="1:27" x14ac:dyDescent="0.2">
      <c r="D1380" s="24" t="s">
        <v>1094</v>
      </c>
      <c r="E1380" s="23"/>
      <c r="H1380" s="23"/>
      <c r="K1380" s="25">
        <f>SUM(K1378:K1379)</f>
        <v>9.6019100000000002</v>
      </c>
    </row>
    <row r="1382" spans="1:27" ht="45" customHeight="1" x14ac:dyDescent="0.2">
      <c r="A1382" s="17" t="s">
        <v>1526</v>
      </c>
      <c r="B1382" s="17" t="s">
        <v>535</v>
      </c>
      <c r="C1382" s="1" t="s">
        <v>18</v>
      </c>
      <c r="D1382" s="96" t="s">
        <v>536</v>
      </c>
      <c r="E1382" s="97"/>
      <c r="F1382" s="97"/>
      <c r="G1382" s="1"/>
      <c r="H1382" s="18" t="s">
        <v>1066</v>
      </c>
      <c r="I1382" s="98">
        <v>1</v>
      </c>
      <c r="J1382" s="99"/>
      <c r="K1382" s="19">
        <f>ROUND(K1395,2)</f>
        <v>3.07</v>
      </c>
      <c r="L1382" s="2" t="s">
        <v>1533</v>
      </c>
      <c r="M1382" s="1"/>
      <c r="N1382" s="1"/>
      <c r="O1382" s="1"/>
      <c r="P1382" s="1"/>
      <c r="Q1382" s="1"/>
      <c r="R1382" s="1"/>
      <c r="S1382" s="1"/>
      <c r="T1382" s="1"/>
      <c r="U1382" s="1"/>
      <c r="V1382" s="1"/>
      <c r="W1382" s="1"/>
      <c r="X1382" s="1"/>
      <c r="Y1382" s="1"/>
      <c r="Z1382" s="1"/>
      <c r="AA1382" s="1"/>
    </row>
    <row r="1383" spans="1:27" x14ac:dyDescent="0.2">
      <c r="B1383" s="14" t="s">
        <v>1068</v>
      </c>
    </row>
    <row r="1384" spans="1:27" x14ac:dyDescent="0.2">
      <c r="B1384" t="s">
        <v>1512</v>
      </c>
      <c r="C1384" t="s">
        <v>1070</v>
      </c>
      <c r="D1384" t="s">
        <v>1513</v>
      </c>
      <c r="E1384" s="20">
        <v>0.03</v>
      </c>
      <c r="F1384" t="s">
        <v>1072</v>
      </c>
      <c r="G1384" t="s">
        <v>1073</v>
      </c>
      <c r="H1384" s="21">
        <v>29.42</v>
      </c>
      <c r="I1384" t="s">
        <v>1074</v>
      </c>
      <c r="J1384" s="22">
        <f>ROUND(E1384/I1382* H1384,5)</f>
        <v>0.88260000000000005</v>
      </c>
      <c r="K1384" s="23"/>
    </row>
    <row r="1385" spans="1:27" x14ac:dyDescent="0.2">
      <c r="B1385" t="s">
        <v>1527</v>
      </c>
      <c r="C1385" t="s">
        <v>1070</v>
      </c>
      <c r="D1385" t="s">
        <v>1528</v>
      </c>
      <c r="E1385" s="20">
        <v>1.4999999999999999E-2</v>
      </c>
      <c r="F1385" t="s">
        <v>1072</v>
      </c>
      <c r="G1385" t="s">
        <v>1073</v>
      </c>
      <c r="H1385" s="21">
        <v>26.12</v>
      </c>
      <c r="I1385" t="s">
        <v>1074</v>
      </c>
      <c r="J1385" s="22">
        <f>ROUND(E1385/I1382* H1385,5)</f>
        <v>0.39179999999999998</v>
      </c>
      <c r="K1385" s="23"/>
    </row>
    <row r="1386" spans="1:27" x14ac:dyDescent="0.2">
      <c r="D1386" s="24" t="s">
        <v>1075</v>
      </c>
      <c r="E1386" s="23"/>
      <c r="H1386" s="23"/>
      <c r="K1386" s="21">
        <f>SUM(J1384:J1385)</f>
        <v>1.2744</v>
      </c>
    </row>
    <row r="1387" spans="1:27" x14ac:dyDescent="0.2">
      <c r="B1387" s="14" t="s">
        <v>1080</v>
      </c>
      <c r="E1387" s="23"/>
      <c r="H1387" s="23"/>
      <c r="K1387" s="23"/>
    </row>
    <row r="1388" spans="1:27" x14ac:dyDescent="0.2">
      <c r="B1388" t="s">
        <v>1536</v>
      </c>
      <c r="C1388" t="s">
        <v>23</v>
      </c>
      <c r="D1388" t="s">
        <v>1537</v>
      </c>
      <c r="E1388" s="20">
        <v>3</v>
      </c>
      <c r="G1388" t="s">
        <v>1073</v>
      </c>
      <c r="H1388" s="21">
        <v>0.44</v>
      </c>
      <c r="I1388" t="s">
        <v>1074</v>
      </c>
      <c r="J1388" s="22">
        <f>ROUND(E1388* H1388,5)</f>
        <v>1.32</v>
      </c>
      <c r="K1388" s="23"/>
    </row>
    <row r="1389" spans="1:27" x14ac:dyDescent="0.2">
      <c r="B1389" t="s">
        <v>1534</v>
      </c>
      <c r="C1389" t="s">
        <v>18</v>
      </c>
      <c r="D1389" t="s">
        <v>1535</v>
      </c>
      <c r="E1389" s="20">
        <v>1.1000000000000001</v>
      </c>
      <c r="G1389" t="s">
        <v>1073</v>
      </c>
      <c r="H1389" s="21">
        <v>0.21</v>
      </c>
      <c r="I1389" t="s">
        <v>1074</v>
      </c>
      <c r="J1389" s="22">
        <f>ROUND(E1389* H1389,5)</f>
        <v>0.23100000000000001</v>
      </c>
      <c r="K1389" s="23"/>
    </row>
    <row r="1390" spans="1:27" x14ac:dyDescent="0.2">
      <c r="D1390" s="24" t="s">
        <v>1090</v>
      </c>
      <c r="E1390" s="23"/>
      <c r="H1390" s="23"/>
      <c r="K1390" s="21">
        <f>SUM(J1388:J1389)</f>
        <v>1.5510000000000002</v>
      </c>
    </row>
    <row r="1391" spans="1:27" x14ac:dyDescent="0.2">
      <c r="E1391" s="23"/>
      <c r="H1391" s="23"/>
      <c r="K1391" s="23"/>
    </row>
    <row r="1392" spans="1:27" x14ac:dyDescent="0.2">
      <c r="D1392" s="24" t="s">
        <v>1092</v>
      </c>
      <c r="E1392" s="23"/>
      <c r="H1392" s="23">
        <v>1.5</v>
      </c>
      <c r="I1392" t="s">
        <v>1093</v>
      </c>
      <c r="J1392">
        <f>ROUND(H1392/100*K1386,5)</f>
        <v>1.9120000000000002E-2</v>
      </c>
      <c r="K1392" s="23"/>
    </row>
    <row r="1393" spans="1:27" x14ac:dyDescent="0.2">
      <c r="D1393" s="24" t="s">
        <v>1091</v>
      </c>
      <c r="E1393" s="23"/>
      <c r="H1393" s="23"/>
      <c r="K1393" s="25">
        <f>SUM(J1383:J1392)</f>
        <v>2.8445200000000002</v>
      </c>
    </row>
    <row r="1394" spans="1:27" x14ac:dyDescent="0.2">
      <c r="D1394" s="24" t="s">
        <v>1142</v>
      </c>
      <c r="E1394" s="23"/>
      <c r="H1394" s="23">
        <v>8</v>
      </c>
      <c r="I1394" t="s">
        <v>1093</v>
      </c>
      <c r="K1394" s="21">
        <f>ROUND(H1394/100*K1393,5)</f>
        <v>0.22756000000000001</v>
      </c>
    </row>
    <row r="1395" spans="1:27" x14ac:dyDescent="0.2">
      <c r="D1395" s="24" t="s">
        <v>1094</v>
      </c>
      <c r="E1395" s="23"/>
      <c r="H1395" s="23"/>
      <c r="K1395" s="25">
        <f>SUM(K1393:K1394)</f>
        <v>3.0720800000000001</v>
      </c>
    </row>
    <row r="1397" spans="1:27" ht="45" customHeight="1" x14ac:dyDescent="0.2">
      <c r="A1397" s="17"/>
      <c r="B1397" s="17" t="s">
        <v>1538</v>
      </c>
      <c r="C1397" s="1" t="s">
        <v>18</v>
      </c>
      <c r="D1397" s="96" t="s">
        <v>1539</v>
      </c>
      <c r="E1397" s="97"/>
      <c r="F1397" s="97"/>
      <c r="G1397" s="1"/>
      <c r="H1397" s="18" t="s">
        <v>1066</v>
      </c>
      <c r="I1397" s="98">
        <v>1</v>
      </c>
      <c r="J1397" s="99"/>
      <c r="K1397" s="19">
        <f>ROUND(K1409,2)</f>
        <v>3.11</v>
      </c>
      <c r="L1397" s="2" t="s">
        <v>1540</v>
      </c>
      <c r="M1397" s="1"/>
      <c r="N1397" s="1"/>
      <c r="O1397" s="1"/>
      <c r="P1397" s="1"/>
      <c r="Q1397" s="1"/>
      <c r="R1397" s="1"/>
      <c r="S1397" s="1"/>
      <c r="T1397" s="1"/>
      <c r="U1397" s="1"/>
      <c r="V1397" s="1"/>
      <c r="W1397" s="1"/>
      <c r="X1397" s="1"/>
      <c r="Y1397" s="1"/>
      <c r="Z1397" s="1"/>
      <c r="AA1397" s="1"/>
    </row>
    <row r="1398" spans="1:27" x14ac:dyDescent="0.2">
      <c r="B1398" s="14" t="s">
        <v>1068</v>
      </c>
    </row>
    <row r="1399" spans="1:27" x14ac:dyDescent="0.2">
      <c r="B1399" t="s">
        <v>1527</v>
      </c>
      <c r="C1399" t="s">
        <v>1070</v>
      </c>
      <c r="D1399" t="s">
        <v>1528</v>
      </c>
      <c r="E1399" s="20">
        <v>0.02</v>
      </c>
      <c r="F1399" t="s">
        <v>1072</v>
      </c>
      <c r="G1399" t="s">
        <v>1073</v>
      </c>
      <c r="H1399" s="21">
        <v>26.12</v>
      </c>
      <c r="I1399" t="s">
        <v>1074</v>
      </c>
      <c r="J1399" s="22">
        <f>ROUND(E1399/I1397* H1399,5)</f>
        <v>0.52239999999999998</v>
      </c>
      <c r="K1399" s="23"/>
    </row>
    <row r="1400" spans="1:27" x14ac:dyDescent="0.2">
      <c r="B1400" t="s">
        <v>1512</v>
      </c>
      <c r="C1400" t="s">
        <v>1070</v>
      </c>
      <c r="D1400" t="s">
        <v>1513</v>
      </c>
      <c r="E1400" s="20">
        <v>0.04</v>
      </c>
      <c r="F1400" t="s">
        <v>1072</v>
      </c>
      <c r="G1400" t="s">
        <v>1073</v>
      </c>
      <c r="H1400" s="21">
        <v>29.42</v>
      </c>
      <c r="I1400" t="s">
        <v>1074</v>
      </c>
      <c r="J1400" s="22">
        <f>ROUND(E1400/I1397* H1400,5)</f>
        <v>1.1768000000000001</v>
      </c>
      <c r="K1400" s="23"/>
    </row>
    <row r="1401" spans="1:27" x14ac:dyDescent="0.2">
      <c r="D1401" s="24" t="s">
        <v>1075</v>
      </c>
      <c r="E1401" s="23"/>
      <c r="H1401" s="23"/>
      <c r="K1401" s="21">
        <f>SUM(J1399:J1400)</f>
        <v>1.6992</v>
      </c>
    </row>
    <row r="1402" spans="1:27" x14ac:dyDescent="0.2">
      <c r="B1402" s="14" t="s">
        <v>1080</v>
      </c>
      <c r="E1402" s="23"/>
      <c r="H1402" s="23"/>
      <c r="K1402" s="23"/>
    </row>
    <row r="1403" spans="1:27" x14ac:dyDescent="0.2">
      <c r="B1403" t="s">
        <v>1541</v>
      </c>
      <c r="C1403" t="s">
        <v>18</v>
      </c>
      <c r="D1403" t="s">
        <v>1542</v>
      </c>
      <c r="E1403" s="20">
        <v>1.1000000000000001</v>
      </c>
      <c r="G1403" t="s">
        <v>1073</v>
      </c>
      <c r="H1403" s="21">
        <v>1.05</v>
      </c>
      <c r="I1403" t="s">
        <v>1074</v>
      </c>
      <c r="J1403" s="22">
        <f>ROUND(E1403* H1403,5)</f>
        <v>1.155</v>
      </c>
      <c r="K1403" s="23"/>
    </row>
    <row r="1404" spans="1:27" x14ac:dyDescent="0.2">
      <c r="D1404" s="24" t="s">
        <v>1090</v>
      </c>
      <c r="E1404" s="23"/>
      <c r="H1404" s="23"/>
      <c r="K1404" s="21">
        <f>SUM(J1403:J1403)</f>
        <v>1.155</v>
      </c>
    </row>
    <row r="1405" spans="1:27" x14ac:dyDescent="0.2">
      <c r="E1405" s="23"/>
      <c r="H1405" s="23"/>
      <c r="K1405" s="23"/>
    </row>
    <row r="1406" spans="1:27" x14ac:dyDescent="0.2">
      <c r="D1406" s="24" t="s">
        <v>1092</v>
      </c>
      <c r="E1406" s="23"/>
      <c r="H1406" s="23">
        <v>1.5</v>
      </c>
      <c r="I1406" t="s">
        <v>1093</v>
      </c>
      <c r="J1406">
        <f>ROUND(H1406/100*K1401,5)</f>
        <v>2.5489999999999999E-2</v>
      </c>
      <c r="K1406" s="23"/>
    </row>
    <row r="1407" spans="1:27" x14ac:dyDescent="0.2">
      <c r="D1407" s="24" t="s">
        <v>1091</v>
      </c>
      <c r="E1407" s="23"/>
      <c r="H1407" s="23"/>
      <c r="K1407" s="25">
        <f>SUM(J1398:J1406)</f>
        <v>2.8796900000000001</v>
      </c>
    </row>
    <row r="1408" spans="1:27" x14ac:dyDescent="0.2">
      <c r="D1408" s="24" t="s">
        <v>1142</v>
      </c>
      <c r="E1408" s="23"/>
      <c r="H1408" s="23">
        <v>8</v>
      </c>
      <c r="I1408" t="s">
        <v>1093</v>
      </c>
      <c r="K1408" s="21">
        <f>ROUND(H1408/100*K1407,5)</f>
        <v>0.23038</v>
      </c>
    </row>
    <row r="1409" spans="1:27" x14ac:dyDescent="0.2">
      <c r="D1409" s="24" t="s">
        <v>1094</v>
      </c>
      <c r="E1409" s="23"/>
      <c r="H1409" s="23"/>
      <c r="K1409" s="25">
        <f>SUM(K1407:K1408)</f>
        <v>3.1100699999999999</v>
      </c>
    </row>
    <row r="1411" spans="1:27" ht="45" customHeight="1" x14ac:dyDescent="0.2">
      <c r="A1411" s="17" t="s">
        <v>1531</v>
      </c>
      <c r="B1411" s="17" t="s">
        <v>168</v>
      </c>
      <c r="C1411" s="1" t="s">
        <v>18</v>
      </c>
      <c r="D1411" s="96" t="s">
        <v>169</v>
      </c>
      <c r="E1411" s="97"/>
      <c r="F1411" s="97"/>
      <c r="G1411" s="1"/>
      <c r="H1411" s="18" t="s">
        <v>1066</v>
      </c>
      <c r="I1411" s="98">
        <v>1</v>
      </c>
      <c r="J1411" s="99"/>
      <c r="K1411" s="19">
        <f>ROUND(K1423,2)</f>
        <v>4</v>
      </c>
      <c r="L1411" s="2" t="s">
        <v>1544</v>
      </c>
      <c r="M1411" s="1"/>
      <c r="N1411" s="1"/>
      <c r="O1411" s="1"/>
      <c r="P1411" s="1"/>
      <c r="Q1411" s="1"/>
      <c r="R1411" s="1"/>
      <c r="S1411" s="1"/>
      <c r="T1411" s="1"/>
      <c r="U1411" s="1"/>
      <c r="V1411" s="1"/>
      <c r="W1411" s="1"/>
      <c r="X1411" s="1"/>
      <c r="Y1411" s="1"/>
      <c r="Z1411" s="1"/>
      <c r="AA1411" s="1"/>
    </row>
    <row r="1412" spans="1:27" x14ac:dyDescent="0.2">
      <c r="B1412" s="14" t="s">
        <v>1068</v>
      </c>
    </row>
    <row r="1413" spans="1:27" x14ac:dyDescent="0.2">
      <c r="B1413" t="s">
        <v>1527</v>
      </c>
      <c r="C1413" t="s">
        <v>1070</v>
      </c>
      <c r="D1413" t="s">
        <v>1528</v>
      </c>
      <c r="E1413" s="20">
        <v>0.02</v>
      </c>
      <c r="F1413" t="s">
        <v>1072</v>
      </c>
      <c r="G1413" t="s">
        <v>1073</v>
      </c>
      <c r="H1413" s="21">
        <v>26.12</v>
      </c>
      <c r="I1413" t="s">
        <v>1074</v>
      </c>
      <c r="J1413" s="22">
        <f>ROUND(E1413/I1411* H1413,5)</f>
        <v>0.52239999999999998</v>
      </c>
      <c r="K1413" s="23"/>
    </row>
    <row r="1414" spans="1:27" x14ac:dyDescent="0.2">
      <c r="B1414" t="s">
        <v>1512</v>
      </c>
      <c r="C1414" t="s">
        <v>1070</v>
      </c>
      <c r="D1414" t="s">
        <v>1513</v>
      </c>
      <c r="E1414" s="20">
        <v>0.04</v>
      </c>
      <c r="F1414" t="s">
        <v>1072</v>
      </c>
      <c r="G1414" t="s">
        <v>1073</v>
      </c>
      <c r="H1414" s="21">
        <v>29.42</v>
      </c>
      <c r="I1414" t="s">
        <v>1074</v>
      </c>
      <c r="J1414" s="22">
        <f>ROUND(E1414/I1411* H1414,5)</f>
        <v>1.1768000000000001</v>
      </c>
      <c r="K1414" s="23"/>
    </row>
    <row r="1415" spans="1:27" x14ac:dyDescent="0.2">
      <c r="D1415" s="24" t="s">
        <v>1075</v>
      </c>
      <c r="E1415" s="23"/>
      <c r="H1415" s="23"/>
      <c r="K1415" s="21">
        <f>SUM(J1413:J1414)</f>
        <v>1.6992</v>
      </c>
    </row>
    <row r="1416" spans="1:27" x14ac:dyDescent="0.2">
      <c r="B1416" s="14" t="s">
        <v>1080</v>
      </c>
      <c r="E1416" s="23"/>
      <c r="H1416" s="23"/>
      <c r="K1416" s="23"/>
    </row>
    <row r="1417" spans="1:27" x14ac:dyDescent="0.2">
      <c r="B1417" t="s">
        <v>1545</v>
      </c>
      <c r="C1417" t="s">
        <v>18</v>
      </c>
      <c r="D1417" t="s">
        <v>1546</v>
      </c>
      <c r="E1417" s="20">
        <v>1.1000000000000001</v>
      </c>
      <c r="G1417" t="s">
        <v>1073</v>
      </c>
      <c r="H1417" s="21">
        <v>1.8</v>
      </c>
      <c r="I1417" t="s">
        <v>1074</v>
      </c>
      <c r="J1417" s="22">
        <f>ROUND(E1417* H1417,5)</f>
        <v>1.98</v>
      </c>
      <c r="K1417" s="23"/>
    </row>
    <row r="1418" spans="1:27" x14ac:dyDescent="0.2">
      <c r="D1418" s="24" t="s">
        <v>1090</v>
      </c>
      <c r="E1418" s="23"/>
      <c r="H1418" s="23"/>
      <c r="K1418" s="21">
        <f>SUM(J1417:J1417)</f>
        <v>1.98</v>
      </c>
    </row>
    <row r="1419" spans="1:27" x14ac:dyDescent="0.2">
      <c r="E1419" s="23"/>
      <c r="H1419" s="23"/>
      <c r="K1419" s="23"/>
    </row>
    <row r="1420" spans="1:27" x14ac:dyDescent="0.2">
      <c r="D1420" s="24" t="s">
        <v>1092</v>
      </c>
      <c r="E1420" s="23"/>
      <c r="H1420" s="23">
        <v>1.5</v>
      </c>
      <c r="I1420" t="s">
        <v>1093</v>
      </c>
      <c r="J1420">
        <f>ROUND(H1420/100*K1415,5)</f>
        <v>2.5489999999999999E-2</v>
      </c>
      <c r="K1420" s="23"/>
    </row>
    <row r="1421" spans="1:27" x14ac:dyDescent="0.2">
      <c r="D1421" s="24" t="s">
        <v>1091</v>
      </c>
      <c r="E1421" s="23"/>
      <c r="H1421" s="23"/>
      <c r="K1421" s="25">
        <f>SUM(J1412:J1420)</f>
        <v>3.7046899999999998</v>
      </c>
    </row>
    <row r="1422" spans="1:27" x14ac:dyDescent="0.2">
      <c r="D1422" s="24" t="s">
        <v>1142</v>
      </c>
      <c r="E1422" s="23"/>
      <c r="H1422" s="23">
        <v>8</v>
      </c>
      <c r="I1422" t="s">
        <v>1093</v>
      </c>
      <c r="K1422" s="21">
        <f>ROUND(H1422/100*K1421,5)</f>
        <v>0.29637999999999998</v>
      </c>
    </row>
    <row r="1423" spans="1:27" x14ac:dyDescent="0.2">
      <c r="D1423" s="24" t="s">
        <v>1094</v>
      </c>
      <c r="E1423" s="23"/>
      <c r="H1423" s="23"/>
      <c r="K1423" s="25">
        <f>SUM(K1421:K1422)</f>
        <v>4.0010699999999995</v>
      </c>
    </row>
    <row r="1425" spans="1:27" ht="45" customHeight="1" x14ac:dyDescent="0.2">
      <c r="A1425" s="17" t="s">
        <v>1532</v>
      </c>
      <c r="B1425" s="17" t="s">
        <v>4015</v>
      </c>
      <c r="C1425" s="1" t="s">
        <v>18</v>
      </c>
      <c r="D1425" s="96" t="s">
        <v>4016</v>
      </c>
      <c r="E1425" s="97"/>
      <c r="F1425" s="97"/>
      <c r="G1425" s="1"/>
      <c r="H1425" s="18" t="s">
        <v>1066</v>
      </c>
      <c r="I1425" s="98">
        <v>1</v>
      </c>
      <c r="J1425" s="99"/>
      <c r="K1425" s="19">
        <f>ROUND(K1437,2)</f>
        <v>4.1900000000000004</v>
      </c>
      <c r="L1425" s="2" t="s">
        <v>4016</v>
      </c>
      <c r="M1425" s="1"/>
      <c r="N1425" s="1"/>
      <c r="O1425" s="1"/>
      <c r="P1425" s="1"/>
      <c r="Q1425" s="1"/>
      <c r="R1425" s="1"/>
      <c r="S1425" s="1"/>
      <c r="T1425" s="1"/>
      <c r="U1425" s="1"/>
      <c r="V1425" s="1"/>
      <c r="W1425" s="1"/>
      <c r="X1425" s="1"/>
      <c r="Y1425" s="1"/>
      <c r="Z1425" s="1"/>
      <c r="AA1425" s="1"/>
    </row>
    <row r="1426" spans="1:27" x14ac:dyDescent="0.2">
      <c r="B1426" s="14" t="s">
        <v>1068</v>
      </c>
    </row>
    <row r="1427" spans="1:27" x14ac:dyDescent="0.2">
      <c r="B1427" t="s">
        <v>1512</v>
      </c>
      <c r="C1427" t="s">
        <v>1070</v>
      </c>
      <c r="D1427" t="s">
        <v>1513</v>
      </c>
      <c r="E1427" s="20">
        <v>0.04</v>
      </c>
      <c r="F1427" t="s">
        <v>1072</v>
      </c>
      <c r="G1427" t="s">
        <v>1073</v>
      </c>
      <c r="H1427" s="21">
        <v>29.42</v>
      </c>
      <c r="I1427" t="s">
        <v>1074</v>
      </c>
      <c r="J1427" s="22">
        <f>ROUND(E1427/I1425* H1427,5)</f>
        <v>1.1768000000000001</v>
      </c>
      <c r="K1427" s="23"/>
    </row>
    <row r="1428" spans="1:27" x14ac:dyDescent="0.2">
      <c r="B1428" t="s">
        <v>1527</v>
      </c>
      <c r="C1428" t="s">
        <v>1070</v>
      </c>
      <c r="D1428" t="s">
        <v>1528</v>
      </c>
      <c r="E1428" s="20">
        <v>0.02</v>
      </c>
      <c r="F1428" t="s">
        <v>1072</v>
      </c>
      <c r="G1428" t="s">
        <v>1073</v>
      </c>
      <c r="H1428" s="21">
        <v>26.12</v>
      </c>
      <c r="I1428" t="s">
        <v>1074</v>
      </c>
      <c r="J1428" s="22">
        <f>ROUND(E1428/I1425* H1428,5)</f>
        <v>0.52239999999999998</v>
      </c>
      <c r="K1428" s="23"/>
    </row>
    <row r="1429" spans="1:27" x14ac:dyDescent="0.2">
      <c r="D1429" s="24" t="s">
        <v>1075</v>
      </c>
      <c r="E1429" s="23"/>
      <c r="H1429" s="23"/>
      <c r="K1429" s="21">
        <f>SUM(J1427:J1428)</f>
        <v>1.6992</v>
      </c>
    </row>
    <row r="1430" spans="1:27" x14ac:dyDescent="0.2">
      <c r="B1430" s="14" t="s">
        <v>1080</v>
      </c>
      <c r="E1430" s="23"/>
      <c r="H1430" s="23"/>
      <c r="K1430" s="23"/>
    </row>
    <row r="1431" spans="1:27" x14ac:dyDescent="0.2">
      <c r="B1431" t="s">
        <v>4042</v>
      </c>
      <c r="C1431" t="s">
        <v>18</v>
      </c>
      <c r="D1431" t="s">
        <v>4043</v>
      </c>
      <c r="E1431" s="20">
        <v>1.1000000000000001</v>
      </c>
      <c r="G1431" t="s">
        <v>1073</v>
      </c>
      <c r="H1431" s="21">
        <v>1.96</v>
      </c>
      <c r="I1431" t="s">
        <v>1074</v>
      </c>
      <c r="J1431" s="22">
        <f>ROUND(E1431* H1431,5)</f>
        <v>2.1560000000000001</v>
      </c>
      <c r="K1431" s="23"/>
    </row>
    <row r="1432" spans="1:27" x14ac:dyDescent="0.2">
      <c r="D1432" s="24" t="s">
        <v>1090</v>
      </c>
      <c r="E1432" s="23"/>
      <c r="H1432" s="23"/>
      <c r="K1432" s="21">
        <f>SUM(J1431:J1431)</f>
        <v>2.1560000000000001</v>
      </c>
    </row>
    <row r="1433" spans="1:27" x14ac:dyDescent="0.2">
      <c r="E1433" s="23"/>
      <c r="H1433" s="23"/>
      <c r="K1433" s="23"/>
    </row>
    <row r="1434" spans="1:27" x14ac:dyDescent="0.2">
      <c r="D1434" s="24" t="s">
        <v>1092</v>
      </c>
      <c r="E1434" s="23"/>
      <c r="H1434" s="23">
        <v>1.5</v>
      </c>
      <c r="I1434" t="s">
        <v>1093</v>
      </c>
      <c r="J1434">
        <f>ROUND(H1434/100*K1429,5)</f>
        <v>2.5489999999999999E-2</v>
      </c>
      <c r="K1434" s="23"/>
    </row>
    <row r="1435" spans="1:27" x14ac:dyDescent="0.2">
      <c r="D1435" s="24" t="s">
        <v>1091</v>
      </c>
      <c r="E1435" s="23"/>
      <c r="H1435" s="23"/>
      <c r="K1435" s="25">
        <f>SUM(J1426:J1434)</f>
        <v>3.88069</v>
      </c>
    </row>
    <row r="1436" spans="1:27" x14ac:dyDescent="0.2">
      <c r="D1436" s="24" t="s">
        <v>1142</v>
      </c>
      <c r="E1436" s="23"/>
      <c r="H1436" s="23">
        <v>8</v>
      </c>
      <c r="I1436" t="s">
        <v>1093</v>
      </c>
      <c r="K1436" s="21">
        <f>ROUND(H1436/100*K1435,5)</f>
        <v>0.31046000000000001</v>
      </c>
    </row>
    <row r="1437" spans="1:27" x14ac:dyDescent="0.2">
      <c r="D1437" s="24" t="s">
        <v>1094</v>
      </c>
      <c r="E1437" s="23"/>
      <c r="H1437" s="23"/>
      <c r="K1437" s="25">
        <f>SUM(K1435:K1436)</f>
        <v>4.1911500000000004</v>
      </c>
    </row>
    <row r="1439" spans="1:27" ht="45" customHeight="1" x14ac:dyDescent="0.2">
      <c r="A1439" s="17" t="s">
        <v>1543</v>
      </c>
      <c r="B1439" s="17" t="s">
        <v>537</v>
      </c>
      <c r="C1439" s="1" t="s">
        <v>18</v>
      </c>
      <c r="D1439" s="96" t="s">
        <v>538</v>
      </c>
      <c r="E1439" s="97"/>
      <c r="F1439" s="97"/>
      <c r="G1439" s="1"/>
      <c r="H1439" s="18" t="s">
        <v>1066</v>
      </c>
      <c r="I1439" s="98">
        <v>1</v>
      </c>
      <c r="J1439" s="99"/>
      <c r="K1439" s="19">
        <f>ROUND(K1452,2)</f>
        <v>22.02</v>
      </c>
      <c r="L1439" s="2" t="s">
        <v>1548</v>
      </c>
      <c r="M1439" s="1"/>
      <c r="N1439" s="1"/>
      <c r="O1439" s="1"/>
      <c r="P1439" s="1"/>
      <c r="Q1439" s="1"/>
      <c r="R1439" s="1"/>
      <c r="S1439" s="1"/>
      <c r="T1439" s="1"/>
      <c r="U1439" s="1"/>
      <c r="V1439" s="1"/>
      <c r="W1439" s="1"/>
      <c r="X1439" s="1"/>
      <c r="Y1439" s="1"/>
      <c r="Z1439" s="1"/>
      <c r="AA1439" s="1"/>
    </row>
    <row r="1440" spans="1:27" x14ac:dyDescent="0.2">
      <c r="B1440" s="14" t="s">
        <v>1068</v>
      </c>
    </row>
    <row r="1441" spans="1:27" x14ac:dyDescent="0.2">
      <c r="B1441" t="s">
        <v>1205</v>
      </c>
      <c r="C1441" t="s">
        <v>1070</v>
      </c>
      <c r="D1441" t="s">
        <v>1206</v>
      </c>
      <c r="E1441" s="20">
        <v>0.04</v>
      </c>
      <c r="F1441" t="s">
        <v>1072</v>
      </c>
      <c r="G1441" t="s">
        <v>1073</v>
      </c>
      <c r="H1441" s="21">
        <v>24.55</v>
      </c>
      <c r="I1441" t="s">
        <v>1074</v>
      </c>
      <c r="J1441" s="22">
        <f>ROUND(E1441/I1439* H1441,5)</f>
        <v>0.98199999999999998</v>
      </c>
      <c r="K1441" s="23"/>
    </row>
    <row r="1442" spans="1:27" x14ac:dyDescent="0.2">
      <c r="B1442" t="s">
        <v>1364</v>
      </c>
      <c r="C1442" t="s">
        <v>1070</v>
      </c>
      <c r="D1442" t="s">
        <v>1365</v>
      </c>
      <c r="E1442" s="20">
        <v>0.08</v>
      </c>
      <c r="F1442" t="s">
        <v>1072</v>
      </c>
      <c r="G1442" t="s">
        <v>1073</v>
      </c>
      <c r="H1442" s="21">
        <v>29.42</v>
      </c>
      <c r="I1442" t="s">
        <v>1074</v>
      </c>
      <c r="J1442" s="22">
        <f>ROUND(E1442/I1439* H1442,5)</f>
        <v>2.3536000000000001</v>
      </c>
      <c r="K1442" s="23"/>
    </row>
    <row r="1443" spans="1:27" x14ac:dyDescent="0.2">
      <c r="D1443" s="24" t="s">
        <v>1075</v>
      </c>
      <c r="E1443" s="23"/>
      <c r="H1443" s="23"/>
      <c r="K1443" s="21">
        <f>SUM(J1441:J1442)</f>
        <v>3.3356000000000003</v>
      </c>
    </row>
    <row r="1444" spans="1:27" x14ac:dyDescent="0.2">
      <c r="B1444" s="14" t="s">
        <v>1080</v>
      </c>
      <c r="E1444" s="23"/>
      <c r="H1444" s="23"/>
      <c r="K1444" s="23"/>
    </row>
    <row r="1445" spans="1:27" x14ac:dyDescent="0.2">
      <c r="B1445" t="s">
        <v>1549</v>
      </c>
      <c r="C1445" t="s">
        <v>18</v>
      </c>
      <c r="D1445" t="s">
        <v>1550</v>
      </c>
      <c r="E1445" s="20">
        <v>1.05</v>
      </c>
      <c r="G1445" t="s">
        <v>1073</v>
      </c>
      <c r="H1445" s="21">
        <v>14.94</v>
      </c>
      <c r="I1445" t="s">
        <v>1074</v>
      </c>
      <c r="J1445" s="22">
        <f>ROUND(E1445* H1445,5)</f>
        <v>15.686999999999999</v>
      </c>
      <c r="K1445" s="23"/>
    </row>
    <row r="1446" spans="1:27" x14ac:dyDescent="0.2">
      <c r="B1446" t="s">
        <v>1536</v>
      </c>
      <c r="C1446" t="s">
        <v>23</v>
      </c>
      <c r="D1446" t="s">
        <v>1537</v>
      </c>
      <c r="E1446" s="20">
        <v>3</v>
      </c>
      <c r="G1446" t="s">
        <v>1073</v>
      </c>
      <c r="H1446" s="21">
        <v>0.44</v>
      </c>
      <c r="I1446" t="s">
        <v>1074</v>
      </c>
      <c r="J1446" s="22">
        <f>ROUND(E1446* H1446,5)</f>
        <v>1.32</v>
      </c>
      <c r="K1446" s="23"/>
    </row>
    <row r="1447" spans="1:27" x14ac:dyDescent="0.2">
      <c r="D1447" s="24" t="s">
        <v>1090</v>
      </c>
      <c r="E1447" s="23"/>
      <c r="H1447" s="23"/>
      <c r="K1447" s="21">
        <f>SUM(J1445:J1446)</f>
        <v>17.006999999999998</v>
      </c>
    </row>
    <row r="1448" spans="1:27" x14ac:dyDescent="0.2">
      <c r="E1448" s="23"/>
      <c r="H1448" s="23"/>
      <c r="K1448" s="23"/>
    </row>
    <row r="1449" spans="1:27" x14ac:dyDescent="0.2">
      <c r="D1449" s="24" t="s">
        <v>1092</v>
      </c>
      <c r="E1449" s="23"/>
      <c r="H1449" s="23">
        <v>1.5</v>
      </c>
      <c r="I1449" t="s">
        <v>1093</v>
      </c>
      <c r="J1449">
        <f>ROUND(H1449/100*K1443,5)</f>
        <v>5.0029999999999998E-2</v>
      </c>
      <c r="K1449" s="23"/>
    </row>
    <row r="1450" spans="1:27" x14ac:dyDescent="0.2">
      <c r="D1450" s="24" t="s">
        <v>1091</v>
      </c>
      <c r="E1450" s="23"/>
      <c r="H1450" s="23"/>
      <c r="K1450" s="25">
        <f>SUM(J1440:J1449)</f>
        <v>20.39263</v>
      </c>
    </row>
    <row r="1451" spans="1:27" x14ac:dyDescent="0.2">
      <c r="D1451" s="24" t="s">
        <v>1142</v>
      </c>
      <c r="E1451" s="23"/>
      <c r="H1451" s="23">
        <v>8</v>
      </c>
      <c r="I1451" t="s">
        <v>1093</v>
      </c>
      <c r="K1451" s="21">
        <f>ROUND(H1451/100*K1450,5)</f>
        <v>1.63141</v>
      </c>
    </row>
    <row r="1452" spans="1:27" x14ac:dyDescent="0.2">
      <c r="D1452" s="24" t="s">
        <v>1094</v>
      </c>
      <c r="E1452" s="23"/>
      <c r="H1452" s="23"/>
      <c r="K1452" s="25">
        <f>SUM(K1450:K1451)</f>
        <v>22.024039999999999</v>
      </c>
    </row>
    <row r="1454" spans="1:27" ht="45" customHeight="1" x14ac:dyDescent="0.2">
      <c r="A1454" s="17" t="s">
        <v>1547</v>
      </c>
      <c r="B1454" s="17" t="s">
        <v>423</v>
      </c>
      <c r="C1454" s="1" t="s">
        <v>18</v>
      </c>
      <c r="D1454" s="96" t="s">
        <v>424</v>
      </c>
      <c r="E1454" s="97"/>
      <c r="F1454" s="97"/>
      <c r="G1454" s="1"/>
      <c r="H1454" s="18" t="s">
        <v>1066</v>
      </c>
      <c r="I1454" s="98">
        <v>1</v>
      </c>
      <c r="J1454" s="99"/>
      <c r="K1454" s="19">
        <f>ROUND(K1467,2)</f>
        <v>46.93</v>
      </c>
      <c r="L1454" s="2" t="s">
        <v>1552</v>
      </c>
      <c r="M1454" s="1"/>
      <c r="N1454" s="1"/>
      <c r="O1454" s="1"/>
      <c r="P1454" s="1"/>
      <c r="Q1454" s="1"/>
      <c r="R1454" s="1"/>
      <c r="S1454" s="1"/>
      <c r="T1454" s="1"/>
      <c r="U1454" s="1"/>
      <c r="V1454" s="1"/>
      <c r="W1454" s="1"/>
      <c r="X1454" s="1"/>
      <c r="Y1454" s="1"/>
      <c r="Z1454" s="1"/>
      <c r="AA1454" s="1"/>
    </row>
    <row r="1455" spans="1:27" x14ac:dyDescent="0.2">
      <c r="B1455" s="14" t="s">
        <v>1068</v>
      </c>
    </row>
    <row r="1456" spans="1:27" x14ac:dyDescent="0.2">
      <c r="B1456" t="s">
        <v>1364</v>
      </c>
      <c r="C1456" t="s">
        <v>1070</v>
      </c>
      <c r="D1456" t="s">
        <v>1365</v>
      </c>
      <c r="E1456" s="20">
        <v>0.16</v>
      </c>
      <c r="F1456" t="s">
        <v>1072</v>
      </c>
      <c r="G1456" t="s">
        <v>1073</v>
      </c>
      <c r="H1456" s="21">
        <v>29.42</v>
      </c>
      <c r="I1456" t="s">
        <v>1074</v>
      </c>
      <c r="J1456" s="22">
        <f>ROUND(E1456/I1454* H1456,5)</f>
        <v>4.7072000000000003</v>
      </c>
      <c r="K1456" s="23"/>
    </row>
    <row r="1457" spans="1:27" x14ac:dyDescent="0.2">
      <c r="B1457" t="s">
        <v>1205</v>
      </c>
      <c r="C1457" t="s">
        <v>1070</v>
      </c>
      <c r="D1457" t="s">
        <v>1206</v>
      </c>
      <c r="E1457" s="20">
        <v>0.08</v>
      </c>
      <c r="F1457" t="s">
        <v>1072</v>
      </c>
      <c r="G1457" t="s">
        <v>1073</v>
      </c>
      <c r="H1457" s="21">
        <v>24.55</v>
      </c>
      <c r="I1457" t="s">
        <v>1074</v>
      </c>
      <c r="J1457" s="22">
        <f>ROUND(E1457/I1454* H1457,5)</f>
        <v>1.964</v>
      </c>
      <c r="K1457" s="23"/>
    </row>
    <row r="1458" spans="1:27" x14ac:dyDescent="0.2">
      <c r="D1458" s="24" t="s">
        <v>1075</v>
      </c>
      <c r="E1458" s="23"/>
      <c r="H1458" s="23"/>
      <c r="K1458" s="21">
        <f>SUM(J1456:J1457)</f>
        <v>6.6712000000000007</v>
      </c>
    </row>
    <row r="1459" spans="1:27" x14ac:dyDescent="0.2">
      <c r="B1459" s="14" t="s">
        <v>1080</v>
      </c>
      <c r="E1459" s="23"/>
      <c r="H1459" s="23"/>
      <c r="K1459" s="23"/>
    </row>
    <row r="1460" spans="1:27" x14ac:dyDescent="0.2">
      <c r="B1460" t="s">
        <v>1553</v>
      </c>
      <c r="C1460" t="s">
        <v>18</v>
      </c>
      <c r="D1460" t="s">
        <v>1554</v>
      </c>
      <c r="E1460" s="20">
        <v>2.1</v>
      </c>
      <c r="G1460" t="s">
        <v>1073</v>
      </c>
      <c r="H1460" s="21">
        <v>16.21</v>
      </c>
      <c r="I1460" t="s">
        <v>1074</v>
      </c>
      <c r="J1460" s="22">
        <f>ROUND(E1460* H1460,5)</f>
        <v>34.040999999999997</v>
      </c>
      <c r="K1460" s="23"/>
    </row>
    <row r="1461" spans="1:27" x14ac:dyDescent="0.2">
      <c r="B1461" t="s">
        <v>1536</v>
      </c>
      <c r="C1461" t="s">
        <v>23</v>
      </c>
      <c r="D1461" t="s">
        <v>1537</v>
      </c>
      <c r="E1461" s="20">
        <v>6</v>
      </c>
      <c r="G1461" t="s">
        <v>1073</v>
      </c>
      <c r="H1461" s="21">
        <v>0.44</v>
      </c>
      <c r="I1461" t="s">
        <v>1074</v>
      </c>
      <c r="J1461" s="22">
        <f>ROUND(E1461* H1461,5)</f>
        <v>2.64</v>
      </c>
      <c r="K1461" s="23"/>
    </row>
    <row r="1462" spans="1:27" x14ac:dyDescent="0.2">
      <c r="D1462" s="24" t="s">
        <v>1090</v>
      </c>
      <c r="E1462" s="23"/>
      <c r="H1462" s="23"/>
      <c r="K1462" s="21">
        <f>SUM(J1460:J1461)</f>
        <v>36.680999999999997</v>
      </c>
    </row>
    <row r="1463" spans="1:27" x14ac:dyDescent="0.2">
      <c r="E1463" s="23"/>
      <c r="H1463" s="23"/>
      <c r="K1463" s="23"/>
    </row>
    <row r="1464" spans="1:27" x14ac:dyDescent="0.2">
      <c r="D1464" s="24" t="s">
        <v>1092</v>
      </c>
      <c r="E1464" s="23"/>
      <c r="H1464" s="23">
        <v>1.5</v>
      </c>
      <c r="I1464" t="s">
        <v>1093</v>
      </c>
      <c r="J1464">
        <f>ROUND(H1464/100*K1458,5)</f>
        <v>0.10007000000000001</v>
      </c>
      <c r="K1464" s="23"/>
    </row>
    <row r="1465" spans="1:27" x14ac:dyDescent="0.2">
      <c r="D1465" s="24" t="s">
        <v>1091</v>
      </c>
      <c r="E1465" s="23"/>
      <c r="H1465" s="23"/>
      <c r="K1465" s="25">
        <f>SUM(J1455:J1464)</f>
        <v>43.452269999999999</v>
      </c>
    </row>
    <row r="1466" spans="1:27" x14ac:dyDescent="0.2">
      <c r="D1466" s="24" t="s">
        <v>1142</v>
      </c>
      <c r="E1466" s="23"/>
      <c r="H1466" s="23">
        <v>8</v>
      </c>
      <c r="I1466" t="s">
        <v>1093</v>
      </c>
      <c r="K1466" s="21">
        <f>ROUND(H1466/100*K1465,5)</f>
        <v>3.4761799999999998</v>
      </c>
    </row>
    <row r="1467" spans="1:27" x14ac:dyDescent="0.2">
      <c r="D1467" s="24" t="s">
        <v>1094</v>
      </c>
      <c r="E1467" s="23"/>
      <c r="H1467" s="23"/>
      <c r="K1467" s="25">
        <f>SUM(K1465:K1466)</f>
        <v>46.928449999999998</v>
      </c>
    </row>
    <row r="1469" spans="1:27" ht="45" customHeight="1" x14ac:dyDescent="0.2">
      <c r="A1469" s="17" t="s">
        <v>1551</v>
      </c>
      <c r="B1469" s="17" t="s">
        <v>525</v>
      </c>
      <c r="C1469" s="1" t="s">
        <v>18</v>
      </c>
      <c r="D1469" s="96" t="s">
        <v>526</v>
      </c>
      <c r="E1469" s="97"/>
      <c r="F1469" s="97"/>
      <c r="G1469" s="1"/>
      <c r="H1469" s="18" t="s">
        <v>1066</v>
      </c>
      <c r="I1469" s="98">
        <v>1</v>
      </c>
      <c r="J1469" s="99"/>
      <c r="K1469" s="19">
        <f>ROUND(K1482,2)</f>
        <v>37.22</v>
      </c>
      <c r="L1469" s="2" t="s">
        <v>1556</v>
      </c>
      <c r="M1469" s="1"/>
      <c r="N1469" s="1"/>
      <c r="O1469" s="1"/>
      <c r="P1469" s="1"/>
      <c r="Q1469" s="1"/>
      <c r="R1469" s="1"/>
      <c r="S1469" s="1"/>
      <c r="T1469" s="1"/>
      <c r="U1469" s="1"/>
      <c r="V1469" s="1"/>
      <c r="W1469" s="1"/>
      <c r="X1469" s="1"/>
      <c r="Y1469" s="1"/>
      <c r="Z1469" s="1"/>
      <c r="AA1469" s="1"/>
    </row>
    <row r="1470" spans="1:27" x14ac:dyDescent="0.2">
      <c r="B1470" s="14" t="s">
        <v>1068</v>
      </c>
    </row>
    <row r="1471" spans="1:27" x14ac:dyDescent="0.2">
      <c r="B1471" t="s">
        <v>1364</v>
      </c>
      <c r="C1471" t="s">
        <v>1070</v>
      </c>
      <c r="D1471" t="s">
        <v>1365</v>
      </c>
      <c r="E1471" s="20">
        <v>0.1</v>
      </c>
      <c r="F1471" t="s">
        <v>1072</v>
      </c>
      <c r="G1471" t="s">
        <v>1073</v>
      </c>
      <c r="H1471" s="21">
        <v>29.42</v>
      </c>
      <c r="I1471" t="s">
        <v>1074</v>
      </c>
      <c r="J1471" s="22">
        <f>ROUND(E1471/I1469* H1471,5)</f>
        <v>2.9420000000000002</v>
      </c>
      <c r="K1471" s="23"/>
    </row>
    <row r="1472" spans="1:27" x14ac:dyDescent="0.2">
      <c r="B1472" t="s">
        <v>1205</v>
      </c>
      <c r="C1472" t="s">
        <v>1070</v>
      </c>
      <c r="D1472" t="s">
        <v>1206</v>
      </c>
      <c r="E1472" s="20">
        <v>0.05</v>
      </c>
      <c r="F1472" t="s">
        <v>1072</v>
      </c>
      <c r="G1472" t="s">
        <v>1073</v>
      </c>
      <c r="H1472" s="21">
        <v>24.55</v>
      </c>
      <c r="I1472" t="s">
        <v>1074</v>
      </c>
      <c r="J1472" s="22">
        <f>ROUND(E1472/I1469* H1472,5)</f>
        <v>1.2275</v>
      </c>
      <c r="K1472" s="23"/>
    </row>
    <row r="1473" spans="1:27" x14ac:dyDescent="0.2">
      <c r="D1473" s="24" t="s">
        <v>1075</v>
      </c>
      <c r="E1473" s="23"/>
      <c r="H1473" s="23"/>
      <c r="K1473" s="21">
        <f>SUM(J1471:J1472)</f>
        <v>4.1695000000000002</v>
      </c>
    </row>
    <row r="1474" spans="1:27" x14ac:dyDescent="0.2">
      <c r="B1474" s="14" t="s">
        <v>1080</v>
      </c>
      <c r="E1474" s="23"/>
      <c r="H1474" s="23"/>
      <c r="K1474" s="23"/>
    </row>
    <row r="1475" spans="1:27" x14ac:dyDescent="0.2">
      <c r="B1475" t="s">
        <v>1557</v>
      </c>
      <c r="C1475" t="s">
        <v>18</v>
      </c>
      <c r="D1475" t="s">
        <v>1558</v>
      </c>
      <c r="E1475" s="20">
        <v>1.05</v>
      </c>
      <c r="G1475" t="s">
        <v>1073</v>
      </c>
      <c r="H1475" s="21">
        <v>27.02</v>
      </c>
      <c r="I1475" t="s">
        <v>1074</v>
      </c>
      <c r="J1475" s="22">
        <f>ROUND(E1475* H1475,5)</f>
        <v>28.370999999999999</v>
      </c>
      <c r="K1475" s="23"/>
    </row>
    <row r="1476" spans="1:27" x14ac:dyDescent="0.2">
      <c r="B1476" t="s">
        <v>1559</v>
      </c>
      <c r="C1476" t="s">
        <v>23</v>
      </c>
      <c r="D1476" t="s">
        <v>1560</v>
      </c>
      <c r="E1476" s="20">
        <v>3</v>
      </c>
      <c r="G1476" t="s">
        <v>1073</v>
      </c>
      <c r="H1476" s="21">
        <v>0.62</v>
      </c>
      <c r="I1476" t="s">
        <v>1074</v>
      </c>
      <c r="J1476" s="22">
        <f>ROUND(E1476* H1476,5)</f>
        <v>1.86</v>
      </c>
      <c r="K1476" s="23"/>
    </row>
    <row r="1477" spans="1:27" x14ac:dyDescent="0.2">
      <c r="D1477" s="24" t="s">
        <v>1090</v>
      </c>
      <c r="E1477" s="23"/>
      <c r="H1477" s="23"/>
      <c r="K1477" s="21">
        <f>SUM(J1475:J1476)</f>
        <v>30.230999999999998</v>
      </c>
    </row>
    <row r="1478" spans="1:27" x14ac:dyDescent="0.2">
      <c r="E1478" s="23"/>
      <c r="H1478" s="23"/>
      <c r="K1478" s="23"/>
    </row>
    <row r="1479" spans="1:27" x14ac:dyDescent="0.2">
      <c r="D1479" s="24" t="s">
        <v>1092</v>
      </c>
      <c r="E1479" s="23"/>
      <c r="H1479" s="23">
        <v>1.5</v>
      </c>
      <c r="I1479" t="s">
        <v>1093</v>
      </c>
      <c r="J1479">
        <f>ROUND(H1479/100*K1473,5)</f>
        <v>6.2539999999999998E-2</v>
      </c>
      <c r="K1479" s="23"/>
    </row>
    <row r="1480" spans="1:27" x14ac:dyDescent="0.2">
      <c r="D1480" s="24" t="s">
        <v>1091</v>
      </c>
      <c r="E1480" s="23"/>
      <c r="H1480" s="23"/>
      <c r="K1480" s="25">
        <f>SUM(J1470:J1479)</f>
        <v>34.463039999999999</v>
      </c>
    </row>
    <row r="1481" spans="1:27" x14ac:dyDescent="0.2">
      <c r="D1481" s="24" t="s">
        <v>1142</v>
      </c>
      <c r="E1481" s="23"/>
      <c r="H1481" s="23">
        <v>8</v>
      </c>
      <c r="I1481" t="s">
        <v>1093</v>
      </c>
      <c r="K1481" s="21">
        <f>ROUND(H1481/100*K1480,5)</f>
        <v>2.7570399999999999</v>
      </c>
    </row>
    <row r="1482" spans="1:27" x14ac:dyDescent="0.2">
      <c r="D1482" s="24" t="s">
        <v>1094</v>
      </c>
      <c r="E1482" s="23"/>
      <c r="H1482" s="23"/>
      <c r="K1482" s="25">
        <f>SUM(K1480:K1481)</f>
        <v>37.220079999999996</v>
      </c>
    </row>
    <row r="1484" spans="1:27" ht="45" customHeight="1" x14ac:dyDescent="0.2">
      <c r="A1484" s="17" t="s">
        <v>1555</v>
      </c>
      <c r="B1484" s="17" t="s">
        <v>567</v>
      </c>
      <c r="C1484" s="1" t="s">
        <v>18</v>
      </c>
      <c r="D1484" s="96" t="s">
        <v>568</v>
      </c>
      <c r="E1484" s="97"/>
      <c r="F1484" s="97"/>
      <c r="G1484" s="1"/>
      <c r="H1484" s="18" t="s">
        <v>1066</v>
      </c>
      <c r="I1484" s="98">
        <v>1</v>
      </c>
      <c r="J1484" s="99"/>
      <c r="K1484" s="19">
        <f>ROUND(K1497,2)</f>
        <v>6.18</v>
      </c>
      <c r="L1484" s="2" t="s">
        <v>1562</v>
      </c>
      <c r="M1484" s="1"/>
      <c r="N1484" s="1"/>
      <c r="O1484" s="1"/>
      <c r="P1484" s="1"/>
      <c r="Q1484" s="1"/>
      <c r="R1484" s="1"/>
      <c r="S1484" s="1"/>
      <c r="T1484" s="1"/>
      <c r="U1484" s="1"/>
      <c r="V1484" s="1"/>
      <c r="W1484" s="1"/>
      <c r="X1484" s="1"/>
      <c r="Y1484" s="1"/>
      <c r="Z1484" s="1"/>
      <c r="AA1484" s="1"/>
    </row>
    <row r="1485" spans="1:27" x14ac:dyDescent="0.2">
      <c r="B1485" s="14" t="s">
        <v>1068</v>
      </c>
    </row>
    <row r="1486" spans="1:27" x14ac:dyDescent="0.2">
      <c r="B1486" t="s">
        <v>1512</v>
      </c>
      <c r="C1486" t="s">
        <v>1070</v>
      </c>
      <c r="D1486" t="s">
        <v>1513</v>
      </c>
      <c r="E1486" s="20">
        <v>4.4999999999999998E-2</v>
      </c>
      <c r="F1486" t="s">
        <v>1072</v>
      </c>
      <c r="G1486" t="s">
        <v>1073</v>
      </c>
      <c r="H1486" s="21">
        <v>29.42</v>
      </c>
      <c r="I1486" t="s">
        <v>1074</v>
      </c>
      <c r="J1486" s="22">
        <f>ROUND(E1486/I1484* H1486,5)</f>
        <v>1.3239000000000001</v>
      </c>
      <c r="K1486" s="23"/>
    </row>
    <row r="1487" spans="1:27" x14ac:dyDescent="0.2">
      <c r="B1487" t="s">
        <v>1527</v>
      </c>
      <c r="C1487" t="s">
        <v>1070</v>
      </c>
      <c r="D1487" t="s">
        <v>1528</v>
      </c>
      <c r="E1487" s="20">
        <v>2.3E-2</v>
      </c>
      <c r="F1487" t="s">
        <v>1072</v>
      </c>
      <c r="G1487" t="s">
        <v>1073</v>
      </c>
      <c r="H1487" s="21">
        <v>26.12</v>
      </c>
      <c r="I1487" t="s">
        <v>1074</v>
      </c>
      <c r="J1487" s="22">
        <f>ROUND(E1487/I1484* H1487,5)</f>
        <v>0.60075999999999996</v>
      </c>
      <c r="K1487" s="23"/>
    </row>
    <row r="1488" spans="1:27" x14ac:dyDescent="0.2">
      <c r="D1488" s="24" t="s">
        <v>1075</v>
      </c>
      <c r="E1488" s="23"/>
      <c r="H1488" s="23"/>
      <c r="K1488" s="21">
        <f>SUM(J1486:J1487)</f>
        <v>1.92466</v>
      </c>
    </row>
    <row r="1489" spans="1:27" x14ac:dyDescent="0.2">
      <c r="B1489" s="14" t="s">
        <v>1080</v>
      </c>
      <c r="E1489" s="23"/>
      <c r="H1489" s="23"/>
      <c r="K1489" s="23"/>
    </row>
    <row r="1490" spans="1:27" x14ac:dyDescent="0.2">
      <c r="B1490" t="s">
        <v>1565</v>
      </c>
      <c r="C1490" t="s">
        <v>36</v>
      </c>
      <c r="D1490" t="s">
        <v>1566</v>
      </c>
      <c r="E1490" s="20">
        <v>0.46200000000000002</v>
      </c>
      <c r="G1490" t="s">
        <v>1073</v>
      </c>
      <c r="H1490" s="21">
        <v>1.1399999999999999</v>
      </c>
      <c r="I1490" t="s">
        <v>1074</v>
      </c>
      <c r="J1490" s="22">
        <f>ROUND(E1490* H1490,5)</f>
        <v>0.52668000000000004</v>
      </c>
      <c r="K1490" s="23"/>
    </row>
    <row r="1491" spans="1:27" x14ac:dyDescent="0.2">
      <c r="B1491" t="s">
        <v>1563</v>
      </c>
      <c r="C1491" t="s">
        <v>18</v>
      </c>
      <c r="D1491" t="s">
        <v>1564</v>
      </c>
      <c r="E1491" s="20">
        <v>1.1000000000000001</v>
      </c>
      <c r="G1491" t="s">
        <v>1073</v>
      </c>
      <c r="H1491" s="21">
        <v>2.95</v>
      </c>
      <c r="I1491" t="s">
        <v>1074</v>
      </c>
      <c r="J1491" s="22">
        <f>ROUND(E1491* H1491,5)</f>
        <v>3.2450000000000001</v>
      </c>
      <c r="K1491" s="23"/>
    </row>
    <row r="1492" spans="1:27" x14ac:dyDescent="0.2">
      <c r="D1492" s="24" t="s">
        <v>1090</v>
      </c>
      <c r="E1492" s="23"/>
      <c r="H1492" s="23"/>
      <c r="K1492" s="21">
        <f>SUM(J1490:J1491)</f>
        <v>3.7716799999999999</v>
      </c>
    </row>
    <row r="1493" spans="1:27" x14ac:dyDescent="0.2">
      <c r="E1493" s="23"/>
      <c r="H1493" s="23"/>
      <c r="K1493" s="23"/>
    </row>
    <row r="1494" spans="1:27" x14ac:dyDescent="0.2">
      <c r="D1494" s="24" t="s">
        <v>1092</v>
      </c>
      <c r="E1494" s="23"/>
      <c r="H1494" s="23">
        <v>1.5</v>
      </c>
      <c r="I1494" t="s">
        <v>1093</v>
      </c>
      <c r="J1494">
        <f>ROUND(H1494/100*K1488,5)</f>
        <v>2.887E-2</v>
      </c>
      <c r="K1494" s="23"/>
    </row>
    <row r="1495" spans="1:27" x14ac:dyDescent="0.2">
      <c r="D1495" s="24" t="s">
        <v>1091</v>
      </c>
      <c r="E1495" s="23"/>
      <c r="H1495" s="23"/>
      <c r="K1495" s="25">
        <f>SUM(J1485:J1494)</f>
        <v>5.7252100000000006</v>
      </c>
    </row>
    <row r="1496" spans="1:27" x14ac:dyDescent="0.2">
      <c r="D1496" s="24" t="s">
        <v>1142</v>
      </c>
      <c r="E1496" s="23"/>
      <c r="H1496" s="23">
        <v>8</v>
      </c>
      <c r="I1496" t="s">
        <v>1093</v>
      </c>
      <c r="K1496" s="21">
        <f>ROUND(H1496/100*K1495,5)</f>
        <v>0.45801999999999998</v>
      </c>
    </row>
    <row r="1497" spans="1:27" x14ac:dyDescent="0.2">
      <c r="D1497" s="24" t="s">
        <v>1094</v>
      </c>
      <c r="E1497" s="23"/>
      <c r="H1497" s="23"/>
      <c r="K1497" s="25">
        <f>SUM(K1495:K1496)</f>
        <v>6.1832300000000009</v>
      </c>
    </row>
    <row r="1499" spans="1:27" ht="45" customHeight="1" x14ac:dyDescent="0.2">
      <c r="A1499" s="17" t="s">
        <v>1561</v>
      </c>
      <c r="B1499" s="17" t="s">
        <v>144</v>
      </c>
      <c r="C1499" s="1" t="s">
        <v>18</v>
      </c>
      <c r="D1499" s="96" t="s">
        <v>145</v>
      </c>
      <c r="E1499" s="97"/>
      <c r="F1499" s="97"/>
      <c r="G1499" s="1"/>
      <c r="H1499" s="18" t="s">
        <v>1066</v>
      </c>
      <c r="I1499" s="98">
        <v>1</v>
      </c>
      <c r="J1499" s="99"/>
      <c r="K1499" s="19">
        <f>ROUND(K1512,2)</f>
        <v>55.53</v>
      </c>
      <c r="L1499" s="2" t="s">
        <v>1568</v>
      </c>
      <c r="M1499" s="1"/>
      <c r="N1499" s="1"/>
      <c r="O1499" s="1"/>
      <c r="P1499" s="1"/>
      <c r="Q1499" s="1"/>
      <c r="R1499" s="1"/>
      <c r="S1499" s="1"/>
      <c r="T1499" s="1"/>
      <c r="U1499" s="1"/>
      <c r="V1499" s="1"/>
      <c r="W1499" s="1"/>
      <c r="X1499" s="1"/>
      <c r="Y1499" s="1"/>
      <c r="Z1499" s="1"/>
      <c r="AA1499" s="1"/>
    </row>
    <row r="1500" spans="1:27" x14ac:dyDescent="0.2">
      <c r="B1500" s="14" t="s">
        <v>1068</v>
      </c>
    </row>
    <row r="1501" spans="1:27" x14ac:dyDescent="0.2">
      <c r="B1501" t="s">
        <v>1569</v>
      </c>
      <c r="C1501" t="s">
        <v>1070</v>
      </c>
      <c r="D1501" t="s">
        <v>1570</v>
      </c>
      <c r="E1501" s="20">
        <v>7.4999999999999997E-2</v>
      </c>
      <c r="F1501" t="s">
        <v>1072</v>
      </c>
      <c r="G1501" t="s">
        <v>1073</v>
      </c>
      <c r="H1501" s="21">
        <v>26.12</v>
      </c>
      <c r="I1501" t="s">
        <v>1074</v>
      </c>
      <c r="J1501" s="22">
        <f>ROUND(E1501/I1499* H1501,5)</f>
        <v>1.9590000000000001</v>
      </c>
      <c r="K1501" s="23"/>
    </row>
    <row r="1502" spans="1:27" x14ac:dyDescent="0.2">
      <c r="B1502" t="s">
        <v>1571</v>
      </c>
      <c r="C1502" t="s">
        <v>1070</v>
      </c>
      <c r="D1502" t="s">
        <v>1572</v>
      </c>
      <c r="E1502" s="20">
        <v>0.77</v>
      </c>
      <c r="F1502" t="s">
        <v>1072</v>
      </c>
      <c r="G1502" t="s">
        <v>1073</v>
      </c>
      <c r="H1502" s="21">
        <v>29.42</v>
      </c>
      <c r="I1502" t="s">
        <v>1074</v>
      </c>
      <c r="J1502" s="22">
        <f>ROUND(E1502/I1499* H1502,5)</f>
        <v>22.653400000000001</v>
      </c>
      <c r="K1502" s="23"/>
    </row>
    <row r="1503" spans="1:27" x14ac:dyDescent="0.2">
      <c r="D1503" s="24" t="s">
        <v>1075</v>
      </c>
      <c r="E1503" s="23"/>
      <c r="H1503" s="23"/>
      <c r="K1503" s="21">
        <f>SUM(J1501:J1502)</f>
        <v>24.612400000000001</v>
      </c>
    </row>
    <row r="1504" spans="1:27" x14ac:dyDescent="0.2">
      <c r="B1504" s="14" t="s">
        <v>1080</v>
      </c>
      <c r="E1504" s="23"/>
      <c r="H1504" s="23"/>
      <c r="K1504" s="23"/>
    </row>
    <row r="1505" spans="1:27" x14ac:dyDescent="0.2">
      <c r="B1505" t="s">
        <v>1575</v>
      </c>
      <c r="C1505" t="s">
        <v>103</v>
      </c>
      <c r="D1505" t="s">
        <v>1576</v>
      </c>
      <c r="E1505" s="20">
        <v>0.1701</v>
      </c>
      <c r="G1505" t="s">
        <v>1073</v>
      </c>
      <c r="H1505" s="21">
        <v>21.38</v>
      </c>
      <c r="I1505" t="s">
        <v>1074</v>
      </c>
      <c r="J1505" s="22">
        <f>ROUND(E1505* H1505,5)</f>
        <v>3.6367400000000001</v>
      </c>
      <c r="K1505" s="23"/>
    </row>
    <row r="1506" spans="1:27" x14ac:dyDescent="0.2">
      <c r="B1506" t="s">
        <v>1573</v>
      </c>
      <c r="C1506" t="s">
        <v>103</v>
      </c>
      <c r="D1506" t="s">
        <v>1574</v>
      </c>
      <c r="E1506" s="20">
        <v>2.1524999999999999</v>
      </c>
      <c r="G1506" t="s">
        <v>1073</v>
      </c>
      <c r="H1506" s="21">
        <v>10.59</v>
      </c>
      <c r="I1506" t="s">
        <v>1074</v>
      </c>
      <c r="J1506" s="22">
        <f>ROUND(E1506* H1506,5)</f>
        <v>22.794979999999999</v>
      </c>
      <c r="K1506" s="23"/>
    </row>
    <row r="1507" spans="1:27" x14ac:dyDescent="0.2">
      <c r="D1507" s="24" t="s">
        <v>1090</v>
      </c>
      <c r="E1507" s="23"/>
      <c r="H1507" s="23"/>
      <c r="K1507" s="21">
        <f>SUM(J1505:J1506)</f>
        <v>26.431719999999999</v>
      </c>
    </row>
    <row r="1508" spans="1:27" x14ac:dyDescent="0.2">
      <c r="E1508" s="23"/>
      <c r="H1508" s="23"/>
      <c r="K1508" s="23"/>
    </row>
    <row r="1509" spans="1:27" x14ac:dyDescent="0.2">
      <c r="D1509" s="24" t="s">
        <v>1092</v>
      </c>
      <c r="E1509" s="23"/>
      <c r="H1509" s="23">
        <v>1.5</v>
      </c>
      <c r="I1509" t="s">
        <v>1093</v>
      </c>
      <c r="J1509">
        <f>ROUND(H1509/100*K1503,5)</f>
        <v>0.36919000000000002</v>
      </c>
      <c r="K1509" s="23"/>
    </row>
    <row r="1510" spans="1:27" x14ac:dyDescent="0.2">
      <c r="D1510" s="24" t="s">
        <v>1091</v>
      </c>
      <c r="E1510" s="23"/>
      <c r="H1510" s="23"/>
      <c r="K1510" s="25">
        <f>SUM(J1500:J1509)</f>
        <v>51.413310000000003</v>
      </c>
    </row>
    <row r="1511" spans="1:27" x14ac:dyDescent="0.2">
      <c r="D1511" s="24" t="s">
        <v>1142</v>
      </c>
      <c r="E1511" s="23"/>
      <c r="H1511" s="23">
        <v>8</v>
      </c>
      <c r="I1511" t="s">
        <v>1093</v>
      </c>
      <c r="K1511" s="21">
        <f>ROUND(H1511/100*K1510,5)</f>
        <v>4.1130599999999999</v>
      </c>
    </row>
    <row r="1512" spans="1:27" x14ac:dyDescent="0.2">
      <c r="D1512" s="24" t="s">
        <v>1094</v>
      </c>
      <c r="E1512" s="23"/>
      <c r="H1512" s="23"/>
      <c r="K1512" s="25">
        <f>SUM(K1510:K1511)</f>
        <v>55.52637</v>
      </c>
    </row>
    <row r="1514" spans="1:27" ht="45" customHeight="1" x14ac:dyDescent="0.2">
      <c r="A1514" s="17" t="s">
        <v>1567</v>
      </c>
      <c r="B1514" s="17" t="s">
        <v>172</v>
      </c>
      <c r="C1514" s="1" t="s">
        <v>18</v>
      </c>
      <c r="D1514" s="96" t="s">
        <v>173</v>
      </c>
      <c r="E1514" s="97"/>
      <c r="F1514" s="97"/>
      <c r="G1514" s="1"/>
      <c r="H1514" s="18" t="s">
        <v>1066</v>
      </c>
      <c r="I1514" s="98">
        <v>1</v>
      </c>
      <c r="J1514" s="99"/>
      <c r="K1514" s="19">
        <f>ROUND(K1527,2)</f>
        <v>14.32</v>
      </c>
      <c r="L1514" s="2" t="s">
        <v>1578</v>
      </c>
      <c r="M1514" s="1"/>
      <c r="N1514" s="1"/>
      <c r="O1514" s="1"/>
      <c r="P1514" s="1"/>
      <c r="Q1514" s="1"/>
      <c r="R1514" s="1"/>
      <c r="S1514" s="1"/>
      <c r="T1514" s="1"/>
      <c r="U1514" s="1"/>
      <c r="V1514" s="1"/>
      <c r="W1514" s="1"/>
      <c r="X1514" s="1"/>
      <c r="Y1514" s="1"/>
      <c r="Z1514" s="1"/>
      <c r="AA1514" s="1"/>
    </row>
    <row r="1515" spans="1:27" x14ac:dyDescent="0.2">
      <c r="B1515" s="14" t="s">
        <v>1068</v>
      </c>
    </row>
    <row r="1516" spans="1:27" x14ac:dyDescent="0.2">
      <c r="B1516" t="s">
        <v>1512</v>
      </c>
      <c r="C1516" t="s">
        <v>1070</v>
      </c>
      <c r="D1516" t="s">
        <v>1513</v>
      </c>
      <c r="E1516" s="20">
        <v>0.22</v>
      </c>
      <c r="F1516" t="s">
        <v>1072</v>
      </c>
      <c r="G1516" t="s">
        <v>1073</v>
      </c>
      <c r="H1516" s="21">
        <v>29.42</v>
      </c>
      <c r="I1516" t="s">
        <v>1074</v>
      </c>
      <c r="J1516" s="22">
        <f>ROUND(E1516/I1514* H1516,5)</f>
        <v>6.4724000000000004</v>
      </c>
      <c r="K1516" s="23"/>
    </row>
    <row r="1517" spans="1:27" x14ac:dyDescent="0.2">
      <c r="B1517" t="s">
        <v>1527</v>
      </c>
      <c r="C1517" t="s">
        <v>1070</v>
      </c>
      <c r="D1517" t="s">
        <v>1528</v>
      </c>
      <c r="E1517" s="20">
        <v>0.11</v>
      </c>
      <c r="F1517" t="s">
        <v>1072</v>
      </c>
      <c r="G1517" t="s">
        <v>1073</v>
      </c>
      <c r="H1517" s="21">
        <v>26.12</v>
      </c>
      <c r="I1517" t="s">
        <v>1074</v>
      </c>
      <c r="J1517" s="22">
        <f>ROUND(E1517/I1514* H1517,5)</f>
        <v>2.8732000000000002</v>
      </c>
      <c r="K1517" s="23"/>
    </row>
    <row r="1518" spans="1:27" x14ac:dyDescent="0.2">
      <c r="D1518" s="24" t="s">
        <v>1075</v>
      </c>
      <c r="E1518" s="23"/>
      <c r="H1518" s="23"/>
      <c r="K1518" s="21">
        <f>SUM(J1516:J1517)</f>
        <v>9.345600000000001</v>
      </c>
    </row>
    <row r="1519" spans="1:27" x14ac:dyDescent="0.2">
      <c r="B1519" s="14" t="s">
        <v>1080</v>
      </c>
      <c r="E1519" s="23"/>
      <c r="H1519" s="23"/>
      <c r="K1519" s="23"/>
    </row>
    <row r="1520" spans="1:27" x14ac:dyDescent="0.2">
      <c r="B1520" t="s">
        <v>1581</v>
      </c>
      <c r="C1520" t="s">
        <v>18</v>
      </c>
      <c r="D1520" t="s">
        <v>1582</v>
      </c>
      <c r="E1520" s="20">
        <v>1.21</v>
      </c>
      <c r="G1520" t="s">
        <v>1073</v>
      </c>
      <c r="H1520" s="21">
        <v>1.64</v>
      </c>
      <c r="I1520" t="s">
        <v>1074</v>
      </c>
      <c r="J1520" s="22">
        <f>ROUND(E1520* H1520,5)</f>
        <v>1.9843999999999999</v>
      </c>
      <c r="K1520" s="23"/>
    </row>
    <row r="1521" spans="1:27" x14ac:dyDescent="0.2">
      <c r="B1521" t="s">
        <v>1579</v>
      </c>
      <c r="C1521" t="s">
        <v>36</v>
      </c>
      <c r="D1521" t="s">
        <v>1580</v>
      </c>
      <c r="E1521" s="20">
        <v>0.24</v>
      </c>
      <c r="G1521" t="s">
        <v>1073</v>
      </c>
      <c r="H1521" s="21">
        <v>7.44</v>
      </c>
      <c r="I1521" t="s">
        <v>1074</v>
      </c>
      <c r="J1521" s="22">
        <f>ROUND(E1521* H1521,5)</f>
        <v>1.7856000000000001</v>
      </c>
      <c r="K1521" s="23"/>
    </row>
    <row r="1522" spans="1:27" x14ac:dyDescent="0.2">
      <c r="D1522" s="24" t="s">
        <v>1090</v>
      </c>
      <c r="E1522" s="23"/>
      <c r="H1522" s="23"/>
      <c r="K1522" s="21">
        <f>SUM(J1520:J1521)</f>
        <v>3.77</v>
      </c>
    </row>
    <row r="1523" spans="1:27" x14ac:dyDescent="0.2">
      <c r="E1523" s="23"/>
      <c r="H1523" s="23"/>
      <c r="K1523" s="23"/>
    </row>
    <row r="1524" spans="1:27" x14ac:dyDescent="0.2">
      <c r="D1524" s="24" t="s">
        <v>1092</v>
      </c>
      <c r="E1524" s="23"/>
      <c r="H1524" s="23">
        <v>1.5</v>
      </c>
      <c r="I1524" t="s">
        <v>1093</v>
      </c>
      <c r="J1524">
        <f>ROUND(H1524/100*K1518,5)</f>
        <v>0.14018</v>
      </c>
      <c r="K1524" s="23"/>
    </row>
    <row r="1525" spans="1:27" x14ac:dyDescent="0.2">
      <c r="D1525" s="24" t="s">
        <v>1091</v>
      </c>
      <c r="E1525" s="23"/>
      <c r="H1525" s="23"/>
      <c r="K1525" s="25">
        <f>SUM(J1515:J1524)</f>
        <v>13.255780000000003</v>
      </c>
    </row>
    <row r="1526" spans="1:27" x14ac:dyDescent="0.2">
      <c r="D1526" s="24" t="s">
        <v>1142</v>
      </c>
      <c r="E1526" s="23"/>
      <c r="H1526" s="23">
        <v>8</v>
      </c>
      <c r="I1526" t="s">
        <v>1093</v>
      </c>
      <c r="K1526" s="21">
        <f>ROUND(H1526/100*K1525,5)</f>
        <v>1.06046</v>
      </c>
    </row>
    <row r="1527" spans="1:27" x14ac:dyDescent="0.2">
      <c r="D1527" s="24" t="s">
        <v>1094</v>
      </c>
      <c r="E1527" s="23"/>
      <c r="H1527" s="23"/>
      <c r="K1527" s="25">
        <f>SUM(K1525:K1526)</f>
        <v>14.316240000000004</v>
      </c>
    </row>
    <row r="1529" spans="1:27" ht="45" customHeight="1" x14ac:dyDescent="0.2">
      <c r="A1529" s="17" t="s">
        <v>1577</v>
      </c>
      <c r="B1529" s="17" t="s">
        <v>582</v>
      </c>
      <c r="C1529" s="1" t="s">
        <v>18</v>
      </c>
      <c r="D1529" s="96" t="s">
        <v>4044</v>
      </c>
      <c r="E1529" s="97"/>
      <c r="F1529" s="97"/>
      <c r="G1529" s="1"/>
      <c r="H1529" s="18" t="s">
        <v>1066</v>
      </c>
      <c r="I1529" s="98">
        <v>1</v>
      </c>
      <c r="J1529" s="99"/>
      <c r="K1529" s="19">
        <f>ROUND(K1543,2)</f>
        <v>60.43</v>
      </c>
      <c r="L1529" s="2" t="s">
        <v>1584</v>
      </c>
      <c r="M1529" s="1"/>
      <c r="N1529" s="1"/>
      <c r="O1529" s="1"/>
      <c r="P1529" s="1"/>
      <c r="Q1529" s="1"/>
      <c r="R1529" s="1"/>
      <c r="S1529" s="1"/>
      <c r="T1529" s="1"/>
      <c r="U1529" s="1"/>
      <c r="V1529" s="1"/>
      <c r="W1529" s="1"/>
      <c r="X1529" s="1"/>
      <c r="Y1529" s="1"/>
      <c r="Z1529" s="1"/>
      <c r="AA1529" s="1"/>
    </row>
    <row r="1530" spans="1:27" x14ac:dyDescent="0.2">
      <c r="B1530" s="14" t="s">
        <v>1068</v>
      </c>
    </row>
    <row r="1531" spans="1:27" x14ac:dyDescent="0.2">
      <c r="B1531" t="s">
        <v>1205</v>
      </c>
      <c r="C1531" t="s">
        <v>1070</v>
      </c>
      <c r="D1531" t="s">
        <v>1206</v>
      </c>
      <c r="E1531" s="20">
        <v>0.24</v>
      </c>
      <c r="F1531" t="s">
        <v>1072</v>
      </c>
      <c r="G1531" t="s">
        <v>1073</v>
      </c>
      <c r="H1531" s="21">
        <v>24.55</v>
      </c>
      <c r="I1531" t="s">
        <v>1074</v>
      </c>
      <c r="J1531" s="22">
        <f>ROUND(E1531/I1529* H1531,5)</f>
        <v>5.8920000000000003</v>
      </c>
      <c r="K1531" s="23"/>
    </row>
    <row r="1532" spans="1:27" x14ac:dyDescent="0.2">
      <c r="B1532" t="s">
        <v>1512</v>
      </c>
      <c r="C1532" t="s">
        <v>1070</v>
      </c>
      <c r="D1532" t="s">
        <v>1513</v>
      </c>
      <c r="E1532" s="20">
        <v>0.36</v>
      </c>
      <c r="F1532" t="s">
        <v>1072</v>
      </c>
      <c r="G1532" t="s">
        <v>1073</v>
      </c>
      <c r="H1532" s="21">
        <v>29.42</v>
      </c>
      <c r="I1532" t="s">
        <v>1074</v>
      </c>
      <c r="J1532" s="22">
        <f>ROUND(E1532/I1529* H1532,5)</f>
        <v>10.591200000000001</v>
      </c>
      <c r="K1532" s="23"/>
    </row>
    <row r="1533" spans="1:27" x14ac:dyDescent="0.2">
      <c r="D1533" s="24" t="s">
        <v>1075</v>
      </c>
      <c r="E1533" s="23"/>
      <c r="H1533" s="23"/>
      <c r="K1533" s="21">
        <f>SUM(J1531:J1532)</f>
        <v>16.4832</v>
      </c>
    </row>
    <row r="1534" spans="1:27" x14ac:dyDescent="0.2">
      <c r="B1534" s="14" t="s">
        <v>1080</v>
      </c>
      <c r="E1534" s="23"/>
      <c r="H1534" s="23"/>
      <c r="K1534" s="23"/>
    </row>
    <row r="1535" spans="1:27" x14ac:dyDescent="0.2">
      <c r="B1535" t="s">
        <v>1589</v>
      </c>
      <c r="C1535" t="s">
        <v>103</v>
      </c>
      <c r="D1535" t="s">
        <v>1590</v>
      </c>
      <c r="E1535" s="20">
        <v>4.9028</v>
      </c>
      <c r="G1535" t="s">
        <v>1073</v>
      </c>
      <c r="H1535" s="21">
        <v>0.8</v>
      </c>
      <c r="I1535" t="s">
        <v>1074</v>
      </c>
      <c r="J1535" s="22">
        <f>ROUND(E1535* H1535,5)</f>
        <v>3.9222399999999999</v>
      </c>
      <c r="K1535" s="23"/>
    </row>
    <row r="1536" spans="1:27" x14ac:dyDescent="0.2">
      <c r="B1536" t="s">
        <v>1585</v>
      </c>
      <c r="C1536" t="s">
        <v>18</v>
      </c>
      <c r="D1536" t="s">
        <v>1586</v>
      </c>
      <c r="E1536" s="20">
        <v>1.1000000000000001</v>
      </c>
      <c r="G1536" t="s">
        <v>1073</v>
      </c>
      <c r="H1536" s="21">
        <v>31.15</v>
      </c>
      <c r="I1536" t="s">
        <v>1074</v>
      </c>
      <c r="J1536" s="22">
        <f>ROUND(E1536* H1536,5)</f>
        <v>34.265000000000001</v>
      </c>
      <c r="K1536" s="23"/>
    </row>
    <row r="1537" spans="1:27" x14ac:dyDescent="0.2">
      <c r="B1537" t="s">
        <v>1587</v>
      </c>
      <c r="C1537" t="s">
        <v>103</v>
      </c>
      <c r="D1537" t="s">
        <v>1588</v>
      </c>
      <c r="E1537" s="20">
        <v>0.70499999999999996</v>
      </c>
      <c r="G1537" t="s">
        <v>1073</v>
      </c>
      <c r="H1537" s="21">
        <v>1.24</v>
      </c>
      <c r="I1537" t="s">
        <v>1074</v>
      </c>
      <c r="J1537" s="22">
        <f>ROUND(E1537* H1537,5)</f>
        <v>0.87419999999999998</v>
      </c>
      <c r="K1537" s="23"/>
    </row>
    <row r="1538" spans="1:27" x14ac:dyDescent="0.2">
      <c r="D1538" s="24" t="s">
        <v>1090</v>
      </c>
      <c r="E1538" s="23"/>
      <c r="H1538" s="23"/>
      <c r="K1538" s="21">
        <f>SUM(J1535:J1537)</f>
        <v>39.061440000000005</v>
      </c>
    </row>
    <row r="1539" spans="1:27" x14ac:dyDescent="0.2">
      <c r="E1539" s="23"/>
      <c r="H1539" s="23"/>
      <c r="K1539" s="23"/>
    </row>
    <row r="1540" spans="1:27" x14ac:dyDescent="0.2">
      <c r="D1540" s="24" t="s">
        <v>1092</v>
      </c>
      <c r="E1540" s="23"/>
      <c r="H1540" s="23">
        <v>2.5</v>
      </c>
      <c r="I1540" t="s">
        <v>1093</v>
      </c>
      <c r="J1540">
        <f>ROUND(H1540/100*K1533,5)</f>
        <v>0.41208</v>
      </c>
      <c r="K1540" s="23"/>
    </row>
    <row r="1541" spans="1:27" x14ac:dyDescent="0.2">
      <c r="D1541" s="24" t="s">
        <v>1091</v>
      </c>
      <c r="E1541" s="23"/>
      <c r="H1541" s="23"/>
      <c r="K1541" s="25">
        <f>SUM(J1530:J1540)</f>
        <v>55.956720000000004</v>
      </c>
    </row>
    <row r="1542" spans="1:27" x14ac:dyDescent="0.2">
      <c r="D1542" s="24" t="s">
        <v>1142</v>
      </c>
      <c r="E1542" s="23"/>
      <c r="H1542" s="23">
        <v>8</v>
      </c>
      <c r="I1542" t="s">
        <v>1093</v>
      </c>
      <c r="K1542" s="21">
        <f>ROUND(H1542/100*K1541,5)</f>
        <v>4.47654</v>
      </c>
    </row>
    <row r="1543" spans="1:27" x14ac:dyDescent="0.2">
      <c r="D1543" s="24" t="s">
        <v>1094</v>
      </c>
      <c r="E1543" s="23"/>
      <c r="H1543" s="23"/>
      <c r="K1543" s="25">
        <f>SUM(K1541:K1542)</f>
        <v>60.433260000000004</v>
      </c>
    </row>
    <row r="1545" spans="1:27" ht="45" customHeight="1" x14ac:dyDescent="0.2">
      <c r="A1545" s="17" t="s">
        <v>1583</v>
      </c>
      <c r="B1545" s="17" t="s">
        <v>533</v>
      </c>
      <c r="C1545" s="1" t="s">
        <v>18</v>
      </c>
      <c r="D1545" s="96" t="s">
        <v>534</v>
      </c>
      <c r="E1545" s="97"/>
      <c r="F1545" s="97"/>
      <c r="G1545" s="1"/>
      <c r="H1545" s="18" t="s">
        <v>1066</v>
      </c>
      <c r="I1545" s="98">
        <v>1</v>
      </c>
      <c r="J1545" s="99"/>
      <c r="K1545" s="19">
        <f>ROUND(K1560,2)</f>
        <v>31.51</v>
      </c>
      <c r="L1545" s="2" t="s">
        <v>1592</v>
      </c>
      <c r="M1545" s="1"/>
      <c r="N1545" s="1"/>
      <c r="O1545" s="1"/>
      <c r="P1545" s="1"/>
      <c r="Q1545" s="1"/>
      <c r="R1545" s="1"/>
      <c r="S1545" s="1"/>
      <c r="T1545" s="1"/>
      <c r="U1545" s="1"/>
      <c r="V1545" s="1"/>
      <c r="W1545" s="1"/>
      <c r="X1545" s="1"/>
      <c r="Y1545" s="1"/>
      <c r="Z1545" s="1"/>
      <c r="AA1545" s="1"/>
    </row>
    <row r="1546" spans="1:27" x14ac:dyDescent="0.2">
      <c r="B1546" s="14" t="s">
        <v>1068</v>
      </c>
    </row>
    <row r="1547" spans="1:27" x14ac:dyDescent="0.2">
      <c r="B1547" t="s">
        <v>1512</v>
      </c>
      <c r="C1547" t="s">
        <v>1070</v>
      </c>
      <c r="D1547" t="s">
        <v>1513</v>
      </c>
      <c r="E1547" s="20">
        <v>0.22800000000000001</v>
      </c>
      <c r="F1547" t="s">
        <v>1072</v>
      </c>
      <c r="G1547" t="s">
        <v>1073</v>
      </c>
      <c r="H1547" s="21">
        <v>29.42</v>
      </c>
      <c r="I1547" t="s">
        <v>1074</v>
      </c>
      <c r="J1547" s="22">
        <f>ROUND(E1547/I1545* H1547,5)</f>
        <v>6.7077600000000004</v>
      </c>
      <c r="K1547" s="23"/>
    </row>
    <row r="1548" spans="1:27" x14ac:dyDescent="0.2">
      <c r="B1548" t="s">
        <v>1527</v>
      </c>
      <c r="C1548" t="s">
        <v>1070</v>
      </c>
      <c r="D1548" t="s">
        <v>1528</v>
      </c>
      <c r="E1548" s="20">
        <v>7.1999999999999995E-2</v>
      </c>
      <c r="F1548" t="s">
        <v>1072</v>
      </c>
      <c r="G1548" t="s">
        <v>1073</v>
      </c>
      <c r="H1548" s="21">
        <v>26.12</v>
      </c>
      <c r="I1548" t="s">
        <v>1074</v>
      </c>
      <c r="J1548" s="22">
        <f>ROUND(E1548/I1545* H1548,5)</f>
        <v>1.8806400000000001</v>
      </c>
      <c r="K1548" s="23"/>
    </row>
    <row r="1549" spans="1:27" x14ac:dyDescent="0.2">
      <c r="D1549" s="24" t="s">
        <v>1075</v>
      </c>
      <c r="E1549" s="23"/>
      <c r="H1549" s="23"/>
      <c r="K1549" s="21">
        <f>SUM(J1547:J1548)</f>
        <v>8.5884</v>
      </c>
    </row>
    <row r="1550" spans="1:27" x14ac:dyDescent="0.2">
      <c r="B1550" s="14" t="s">
        <v>1080</v>
      </c>
      <c r="E1550" s="23"/>
      <c r="H1550" s="23"/>
      <c r="K1550" s="23"/>
    </row>
    <row r="1551" spans="1:27" x14ac:dyDescent="0.2">
      <c r="B1551" t="s">
        <v>1593</v>
      </c>
      <c r="C1551" t="s">
        <v>36</v>
      </c>
      <c r="D1551" t="s">
        <v>1594</v>
      </c>
      <c r="E1551" s="20">
        <v>1.9950000000000001</v>
      </c>
      <c r="G1551" t="s">
        <v>1073</v>
      </c>
      <c r="H1551" s="21">
        <v>0.04</v>
      </c>
      <c r="I1551" t="s">
        <v>1074</v>
      </c>
      <c r="J1551" s="22">
        <f>ROUND(E1551* H1551,5)</f>
        <v>7.9799999999999996E-2</v>
      </c>
      <c r="K1551" s="23"/>
    </row>
    <row r="1552" spans="1:27" x14ac:dyDescent="0.2">
      <c r="B1552" t="s">
        <v>1597</v>
      </c>
      <c r="C1552" t="s">
        <v>1393</v>
      </c>
      <c r="D1552" t="s">
        <v>1598</v>
      </c>
      <c r="E1552" s="20">
        <v>0.25</v>
      </c>
      <c r="G1552" t="s">
        <v>1073</v>
      </c>
      <c r="H1552" s="21">
        <v>13.87</v>
      </c>
      <c r="I1552" t="s">
        <v>1074</v>
      </c>
      <c r="J1552" s="22">
        <f>ROUND(E1552* H1552,5)</f>
        <v>3.4674999999999998</v>
      </c>
      <c r="K1552" s="23"/>
    </row>
    <row r="1553" spans="1:27" x14ac:dyDescent="0.2">
      <c r="B1553" t="s">
        <v>1599</v>
      </c>
      <c r="C1553" t="s">
        <v>18</v>
      </c>
      <c r="D1553" t="s">
        <v>1600</v>
      </c>
      <c r="E1553" s="20">
        <v>1.06</v>
      </c>
      <c r="G1553" t="s">
        <v>1073</v>
      </c>
      <c r="H1553" s="21">
        <v>15.42</v>
      </c>
      <c r="I1553" t="s">
        <v>1074</v>
      </c>
      <c r="J1553" s="22">
        <f>ROUND(E1553* H1553,5)</f>
        <v>16.345199999999998</v>
      </c>
      <c r="K1553" s="23"/>
    </row>
    <row r="1554" spans="1:27" x14ac:dyDescent="0.2">
      <c r="B1554" t="s">
        <v>1595</v>
      </c>
      <c r="C1554" t="s">
        <v>103</v>
      </c>
      <c r="D1554" t="s">
        <v>1596</v>
      </c>
      <c r="E1554" s="20">
        <v>0.39900000000000002</v>
      </c>
      <c r="G1554" t="s">
        <v>1073</v>
      </c>
      <c r="H1554" s="21">
        <v>1.42</v>
      </c>
      <c r="I1554" t="s">
        <v>1074</v>
      </c>
      <c r="J1554" s="22">
        <f>ROUND(E1554* H1554,5)</f>
        <v>0.56657999999999997</v>
      </c>
      <c r="K1554" s="23"/>
    </row>
    <row r="1555" spans="1:27" x14ac:dyDescent="0.2">
      <c r="D1555" s="24" t="s">
        <v>1090</v>
      </c>
      <c r="E1555" s="23"/>
      <c r="H1555" s="23"/>
      <c r="K1555" s="21">
        <f>SUM(J1551:J1554)</f>
        <v>20.459079999999997</v>
      </c>
    </row>
    <row r="1556" spans="1:27" x14ac:dyDescent="0.2">
      <c r="E1556" s="23"/>
      <c r="H1556" s="23"/>
      <c r="K1556" s="23"/>
    </row>
    <row r="1557" spans="1:27" x14ac:dyDescent="0.2">
      <c r="D1557" s="24" t="s">
        <v>1092</v>
      </c>
      <c r="E1557" s="23"/>
      <c r="H1557" s="23">
        <v>1.5</v>
      </c>
      <c r="I1557" t="s">
        <v>1093</v>
      </c>
      <c r="J1557">
        <f>ROUND(H1557/100*K1549,5)</f>
        <v>0.12883</v>
      </c>
      <c r="K1557" s="23"/>
    </row>
    <row r="1558" spans="1:27" x14ac:dyDescent="0.2">
      <c r="D1558" s="24" t="s">
        <v>1091</v>
      </c>
      <c r="E1558" s="23"/>
      <c r="H1558" s="23"/>
      <c r="K1558" s="25">
        <f>SUM(J1546:J1557)</f>
        <v>29.176309999999997</v>
      </c>
    </row>
    <row r="1559" spans="1:27" x14ac:dyDescent="0.2">
      <c r="D1559" s="24" t="s">
        <v>1142</v>
      </c>
      <c r="E1559" s="23"/>
      <c r="H1559" s="23">
        <v>8</v>
      </c>
      <c r="I1559" t="s">
        <v>1093</v>
      </c>
      <c r="K1559" s="21">
        <f>ROUND(H1559/100*K1558,5)</f>
        <v>2.3340999999999998</v>
      </c>
    </row>
    <row r="1560" spans="1:27" x14ac:dyDescent="0.2">
      <c r="D1560" s="24" t="s">
        <v>1094</v>
      </c>
      <c r="E1560" s="23"/>
      <c r="H1560" s="23"/>
      <c r="K1560" s="25">
        <f>SUM(K1558:K1559)</f>
        <v>31.510409999999997</v>
      </c>
    </row>
    <row r="1562" spans="1:27" ht="45" customHeight="1" x14ac:dyDescent="0.2">
      <c r="A1562" s="17" t="s">
        <v>1591</v>
      </c>
      <c r="B1562" s="17" t="s">
        <v>527</v>
      </c>
      <c r="C1562" s="1" t="s">
        <v>18</v>
      </c>
      <c r="D1562" s="96" t="s">
        <v>528</v>
      </c>
      <c r="E1562" s="97"/>
      <c r="F1562" s="97"/>
      <c r="G1562" s="1"/>
      <c r="H1562" s="18" t="s">
        <v>1066</v>
      </c>
      <c r="I1562" s="98">
        <v>1</v>
      </c>
      <c r="J1562" s="99"/>
      <c r="K1562" s="19">
        <f>ROUND(K1580,2)</f>
        <v>47.12</v>
      </c>
      <c r="L1562" s="2" t="s">
        <v>1602</v>
      </c>
      <c r="M1562" s="1"/>
      <c r="N1562" s="1"/>
      <c r="O1562" s="1"/>
      <c r="P1562" s="1"/>
      <c r="Q1562" s="1"/>
      <c r="R1562" s="1"/>
      <c r="S1562" s="1"/>
      <c r="T1562" s="1"/>
      <c r="U1562" s="1"/>
      <c r="V1562" s="1"/>
      <c r="W1562" s="1"/>
      <c r="X1562" s="1"/>
      <c r="Y1562" s="1"/>
      <c r="Z1562" s="1"/>
      <c r="AA1562" s="1"/>
    </row>
    <row r="1563" spans="1:27" x14ac:dyDescent="0.2">
      <c r="B1563" s="14" t="s">
        <v>1068</v>
      </c>
    </row>
    <row r="1564" spans="1:27" x14ac:dyDescent="0.2">
      <c r="B1564" t="s">
        <v>1136</v>
      </c>
      <c r="C1564" t="s">
        <v>1070</v>
      </c>
      <c r="D1564" t="s">
        <v>1137</v>
      </c>
      <c r="E1564" s="20">
        <v>0.28999999999999998</v>
      </c>
      <c r="F1564" t="s">
        <v>1072</v>
      </c>
      <c r="G1564" t="s">
        <v>1073</v>
      </c>
      <c r="H1564" s="21">
        <v>30.41</v>
      </c>
      <c r="I1564" t="s">
        <v>1074</v>
      </c>
      <c r="J1564" s="22">
        <f>ROUND(E1564/I1562* H1564,5)</f>
        <v>8.8188999999999993</v>
      </c>
      <c r="K1564" s="23"/>
    </row>
    <row r="1565" spans="1:27" x14ac:dyDescent="0.2">
      <c r="B1565" t="s">
        <v>1138</v>
      </c>
      <c r="C1565" t="s">
        <v>1070</v>
      </c>
      <c r="D1565" t="s">
        <v>1139</v>
      </c>
      <c r="E1565" s="20">
        <v>0.11</v>
      </c>
      <c r="F1565" t="s">
        <v>1072</v>
      </c>
      <c r="G1565" t="s">
        <v>1073</v>
      </c>
      <c r="H1565" s="21">
        <v>26.12</v>
      </c>
      <c r="I1565" t="s">
        <v>1074</v>
      </c>
      <c r="J1565" s="22">
        <f>ROUND(E1565/I1562* H1565,5)</f>
        <v>2.8732000000000002</v>
      </c>
      <c r="K1565" s="23"/>
    </row>
    <row r="1566" spans="1:27" x14ac:dyDescent="0.2">
      <c r="D1566" s="24" t="s">
        <v>1075</v>
      </c>
      <c r="E1566" s="23"/>
      <c r="H1566" s="23"/>
      <c r="K1566" s="21">
        <f>SUM(J1564:J1565)</f>
        <v>11.6921</v>
      </c>
    </row>
    <row r="1567" spans="1:27" x14ac:dyDescent="0.2">
      <c r="B1567" s="14" t="s">
        <v>1080</v>
      </c>
      <c r="E1567" s="23"/>
      <c r="H1567" s="23"/>
      <c r="K1567" s="23"/>
    </row>
    <row r="1568" spans="1:27" x14ac:dyDescent="0.2">
      <c r="B1568" t="s">
        <v>1599</v>
      </c>
      <c r="C1568" t="s">
        <v>18</v>
      </c>
      <c r="D1568" t="s">
        <v>1600</v>
      </c>
      <c r="E1568" s="20">
        <v>1.03</v>
      </c>
      <c r="G1568" t="s">
        <v>1073</v>
      </c>
      <c r="H1568" s="21">
        <v>15.42</v>
      </c>
      <c r="I1568" t="s">
        <v>1074</v>
      </c>
      <c r="J1568" s="22">
        <f t="shared" ref="J1568:J1574" si="1">ROUND(E1568* H1568,5)</f>
        <v>15.8826</v>
      </c>
      <c r="K1568" s="23"/>
    </row>
    <row r="1569" spans="1:27" x14ac:dyDescent="0.2">
      <c r="B1569" t="s">
        <v>1603</v>
      </c>
      <c r="C1569" t="s">
        <v>1393</v>
      </c>
      <c r="D1569" t="s">
        <v>1604</v>
      </c>
      <c r="E1569" s="20">
        <v>0.12</v>
      </c>
      <c r="G1569" t="s">
        <v>1073</v>
      </c>
      <c r="H1569" s="21">
        <v>5.12</v>
      </c>
      <c r="I1569" t="s">
        <v>1074</v>
      </c>
      <c r="J1569" s="22">
        <f t="shared" si="1"/>
        <v>0.61439999999999995</v>
      </c>
      <c r="K1569" s="23"/>
    </row>
    <row r="1570" spans="1:27" x14ac:dyDescent="0.2">
      <c r="B1570" t="s">
        <v>1597</v>
      </c>
      <c r="C1570" t="s">
        <v>1393</v>
      </c>
      <c r="D1570" t="s">
        <v>1598</v>
      </c>
      <c r="E1570" s="20">
        <v>0.42</v>
      </c>
      <c r="G1570" t="s">
        <v>1073</v>
      </c>
      <c r="H1570" s="21">
        <v>13.87</v>
      </c>
      <c r="I1570" t="s">
        <v>1074</v>
      </c>
      <c r="J1570" s="22">
        <f t="shared" si="1"/>
        <v>5.8254000000000001</v>
      </c>
      <c r="K1570" s="23"/>
    </row>
    <row r="1571" spans="1:27" x14ac:dyDescent="0.2">
      <c r="B1571" t="s">
        <v>1593</v>
      </c>
      <c r="C1571" t="s">
        <v>36</v>
      </c>
      <c r="D1571" t="s">
        <v>1594</v>
      </c>
      <c r="E1571" s="20">
        <v>4</v>
      </c>
      <c r="G1571" t="s">
        <v>1073</v>
      </c>
      <c r="H1571" s="21">
        <v>0.04</v>
      </c>
      <c r="I1571" t="s">
        <v>1074</v>
      </c>
      <c r="J1571" s="22">
        <f t="shared" si="1"/>
        <v>0.16</v>
      </c>
      <c r="K1571" s="23"/>
    </row>
    <row r="1572" spans="1:27" x14ac:dyDescent="0.2">
      <c r="B1572" t="s">
        <v>1595</v>
      </c>
      <c r="C1572" t="s">
        <v>103</v>
      </c>
      <c r="D1572" t="s">
        <v>1596</v>
      </c>
      <c r="E1572" s="20">
        <v>0.8</v>
      </c>
      <c r="G1572" t="s">
        <v>1073</v>
      </c>
      <c r="H1572" s="21">
        <v>1.42</v>
      </c>
      <c r="I1572" t="s">
        <v>1074</v>
      </c>
      <c r="J1572" s="22">
        <f t="shared" si="1"/>
        <v>1.1359999999999999</v>
      </c>
      <c r="K1572" s="23"/>
    </row>
    <row r="1573" spans="1:27" x14ac:dyDescent="0.2">
      <c r="B1573" t="s">
        <v>1607</v>
      </c>
      <c r="C1573" t="s">
        <v>36</v>
      </c>
      <c r="D1573" t="s">
        <v>1608</v>
      </c>
      <c r="E1573" s="20">
        <v>3.6749999999999998</v>
      </c>
      <c r="G1573" t="s">
        <v>1073</v>
      </c>
      <c r="H1573" s="21">
        <v>1.76</v>
      </c>
      <c r="I1573" t="s">
        <v>1074</v>
      </c>
      <c r="J1573" s="22">
        <f t="shared" si="1"/>
        <v>6.468</v>
      </c>
      <c r="K1573" s="23"/>
    </row>
    <row r="1574" spans="1:27" x14ac:dyDescent="0.2">
      <c r="B1574" t="s">
        <v>1605</v>
      </c>
      <c r="C1574" t="s">
        <v>23</v>
      </c>
      <c r="D1574" t="s">
        <v>1606</v>
      </c>
      <c r="E1574" s="20">
        <v>6</v>
      </c>
      <c r="G1574" t="s">
        <v>1073</v>
      </c>
      <c r="H1574" s="21">
        <v>0.28000000000000003</v>
      </c>
      <c r="I1574" t="s">
        <v>1074</v>
      </c>
      <c r="J1574" s="22">
        <f t="shared" si="1"/>
        <v>1.68</v>
      </c>
      <c r="K1574" s="23"/>
    </row>
    <row r="1575" spans="1:27" x14ac:dyDescent="0.2">
      <c r="D1575" s="24" t="s">
        <v>1090</v>
      </c>
      <c r="E1575" s="23"/>
      <c r="H1575" s="23"/>
      <c r="K1575" s="21">
        <f>SUM(J1568:J1574)</f>
        <v>31.766400000000001</v>
      </c>
    </row>
    <row r="1576" spans="1:27" x14ac:dyDescent="0.2">
      <c r="E1576" s="23"/>
      <c r="H1576" s="23"/>
      <c r="K1576" s="23"/>
    </row>
    <row r="1577" spans="1:27" x14ac:dyDescent="0.2">
      <c r="D1577" s="24" t="s">
        <v>1092</v>
      </c>
      <c r="E1577" s="23"/>
      <c r="H1577" s="23">
        <v>1.5</v>
      </c>
      <c r="I1577" t="s">
        <v>1093</v>
      </c>
      <c r="J1577">
        <f>ROUND(H1577/100*K1566,5)</f>
        <v>0.17538000000000001</v>
      </c>
      <c r="K1577" s="23"/>
    </row>
    <row r="1578" spans="1:27" x14ac:dyDescent="0.2">
      <c r="D1578" s="24" t="s">
        <v>1091</v>
      </c>
      <c r="E1578" s="23"/>
      <c r="H1578" s="23"/>
      <c r="K1578" s="25">
        <f>SUM(J1563:J1577)</f>
        <v>43.633879999999991</v>
      </c>
    </row>
    <row r="1579" spans="1:27" x14ac:dyDescent="0.2">
      <c r="D1579" s="24" t="s">
        <v>1142</v>
      </c>
      <c r="E1579" s="23"/>
      <c r="H1579" s="23">
        <v>8</v>
      </c>
      <c r="I1579" t="s">
        <v>1093</v>
      </c>
      <c r="K1579" s="21">
        <f>ROUND(H1579/100*K1578,5)</f>
        <v>3.49071</v>
      </c>
    </row>
    <row r="1580" spans="1:27" x14ac:dyDescent="0.2">
      <c r="D1580" s="24" t="s">
        <v>1094</v>
      </c>
      <c r="E1580" s="23"/>
      <c r="H1580" s="23"/>
      <c r="K1580" s="25">
        <f>SUM(K1578:K1579)</f>
        <v>47.124589999999991</v>
      </c>
    </row>
    <row r="1582" spans="1:27" ht="45" customHeight="1" x14ac:dyDescent="0.2">
      <c r="A1582" s="17" t="s">
        <v>1601</v>
      </c>
      <c r="B1582" s="17" t="s">
        <v>4000</v>
      </c>
      <c r="C1582" s="1" t="s">
        <v>36</v>
      </c>
      <c r="D1582" s="96" t="s">
        <v>4001</v>
      </c>
      <c r="E1582" s="97"/>
      <c r="F1582" s="97"/>
      <c r="G1582" s="1"/>
      <c r="H1582" s="18" t="s">
        <v>1066</v>
      </c>
      <c r="I1582" s="98">
        <v>1</v>
      </c>
      <c r="J1582" s="99"/>
      <c r="K1582" s="19">
        <f>ROUND(K1591,2)</f>
        <v>27.76</v>
      </c>
      <c r="L1582" s="2" t="s">
        <v>4045</v>
      </c>
      <c r="M1582" s="1"/>
      <c r="N1582" s="1"/>
      <c r="O1582" s="1"/>
      <c r="P1582" s="1"/>
      <c r="Q1582" s="1"/>
      <c r="R1582" s="1"/>
      <c r="S1582" s="1"/>
      <c r="T1582" s="1"/>
      <c r="U1582" s="1"/>
      <c r="V1582" s="1"/>
      <c r="W1582" s="1"/>
      <c r="X1582" s="1"/>
      <c r="Y1582" s="1"/>
      <c r="Z1582" s="1"/>
      <c r="AA1582" s="1"/>
    </row>
    <row r="1583" spans="1:27" x14ac:dyDescent="0.2">
      <c r="B1583" s="14" t="s">
        <v>1068</v>
      </c>
    </row>
    <row r="1584" spans="1:27" x14ac:dyDescent="0.2">
      <c r="B1584" t="s">
        <v>1245</v>
      </c>
      <c r="C1584" t="s">
        <v>1070</v>
      </c>
      <c r="D1584" t="s">
        <v>1246</v>
      </c>
      <c r="E1584" s="20">
        <v>0.45</v>
      </c>
      <c r="F1584" t="s">
        <v>1072</v>
      </c>
      <c r="G1584" t="s">
        <v>1073</v>
      </c>
      <c r="H1584" s="21">
        <v>26.33</v>
      </c>
      <c r="I1584" t="s">
        <v>1074</v>
      </c>
      <c r="J1584" s="22">
        <f>ROUND(E1584/I1582* H1584,5)</f>
        <v>11.8485</v>
      </c>
      <c r="K1584" s="23"/>
    </row>
    <row r="1585" spans="1:27" x14ac:dyDescent="0.2">
      <c r="B1585" t="s">
        <v>1414</v>
      </c>
      <c r="C1585" t="s">
        <v>1070</v>
      </c>
      <c r="D1585" t="s">
        <v>1415</v>
      </c>
      <c r="E1585" s="20">
        <v>0.45</v>
      </c>
      <c r="F1585" t="s">
        <v>1072</v>
      </c>
      <c r="G1585" t="s">
        <v>1073</v>
      </c>
      <c r="H1585" s="21">
        <v>29.94</v>
      </c>
      <c r="I1585" t="s">
        <v>1074</v>
      </c>
      <c r="J1585" s="22">
        <f>ROUND(E1585/I1582* H1585,5)</f>
        <v>13.473000000000001</v>
      </c>
      <c r="K1585" s="23"/>
    </row>
    <row r="1586" spans="1:27" x14ac:dyDescent="0.2">
      <c r="D1586" s="24" t="s">
        <v>1075</v>
      </c>
      <c r="E1586" s="23"/>
      <c r="H1586" s="23"/>
      <c r="K1586" s="21">
        <f>SUM(J1584:J1585)</f>
        <v>25.3215</v>
      </c>
    </row>
    <row r="1587" spans="1:27" x14ac:dyDescent="0.2">
      <c r="E1587" s="23"/>
      <c r="H1587" s="23"/>
      <c r="K1587" s="23"/>
    </row>
    <row r="1588" spans="1:27" x14ac:dyDescent="0.2">
      <c r="D1588" s="24" t="s">
        <v>1092</v>
      </c>
      <c r="E1588" s="23"/>
      <c r="H1588" s="23">
        <v>1.5</v>
      </c>
      <c r="I1588" t="s">
        <v>1093</v>
      </c>
      <c r="J1588">
        <f>ROUND(H1588/100*K1586,5)</f>
        <v>0.37981999999999999</v>
      </c>
      <c r="K1588" s="23"/>
    </row>
    <row r="1589" spans="1:27" x14ac:dyDescent="0.2">
      <c r="D1589" s="24" t="s">
        <v>1091</v>
      </c>
      <c r="E1589" s="23"/>
      <c r="H1589" s="23"/>
      <c r="K1589" s="25">
        <f>SUM(J1583:J1588)</f>
        <v>25.701319999999999</v>
      </c>
    </row>
    <row r="1590" spans="1:27" x14ac:dyDescent="0.2">
      <c r="D1590" s="24" t="s">
        <v>1142</v>
      </c>
      <c r="E1590" s="23"/>
      <c r="H1590" s="23">
        <v>8</v>
      </c>
      <c r="I1590" t="s">
        <v>1093</v>
      </c>
      <c r="K1590" s="21">
        <f>ROUND(H1590/100*K1589,5)</f>
        <v>2.0561099999999999</v>
      </c>
    </row>
    <row r="1591" spans="1:27" x14ac:dyDescent="0.2">
      <c r="D1591" s="24" t="s">
        <v>1094</v>
      </c>
      <c r="E1591" s="23"/>
      <c r="H1591" s="23"/>
      <c r="K1591" s="25">
        <f>SUM(K1589:K1590)</f>
        <v>27.757429999999999</v>
      </c>
    </row>
    <row r="1593" spans="1:27" ht="45" customHeight="1" x14ac:dyDescent="0.2">
      <c r="A1593" s="17" t="s">
        <v>1609</v>
      </c>
      <c r="B1593" s="17" t="s">
        <v>531</v>
      </c>
      <c r="C1593" s="1" t="s">
        <v>18</v>
      </c>
      <c r="D1593" s="96" t="s">
        <v>532</v>
      </c>
      <c r="E1593" s="97"/>
      <c r="F1593" s="97"/>
      <c r="G1593" s="1"/>
      <c r="H1593" s="18" t="s">
        <v>1066</v>
      </c>
      <c r="I1593" s="98">
        <v>1</v>
      </c>
      <c r="J1593" s="99"/>
      <c r="K1593" s="19">
        <f>ROUND(K1608,2)</f>
        <v>65.569999999999993</v>
      </c>
      <c r="L1593" s="2" t="s">
        <v>1610</v>
      </c>
      <c r="M1593" s="1"/>
      <c r="N1593" s="1"/>
      <c r="O1593" s="1"/>
      <c r="P1593" s="1"/>
      <c r="Q1593" s="1"/>
      <c r="R1593" s="1"/>
      <c r="S1593" s="1"/>
      <c r="T1593" s="1"/>
      <c r="U1593" s="1"/>
      <c r="V1593" s="1"/>
      <c r="W1593" s="1"/>
      <c r="X1593" s="1"/>
      <c r="Y1593" s="1"/>
      <c r="Z1593" s="1"/>
      <c r="AA1593" s="1"/>
    </row>
    <row r="1594" spans="1:27" x14ac:dyDescent="0.2">
      <c r="B1594" s="14" t="s">
        <v>1068</v>
      </c>
    </row>
    <row r="1595" spans="1:27" x14ac:dyDescent="0.2">
      <c r="B1595" t="s">
        <v>1414</v>
      </c>
      <c r="C1595" t="s">
        <v>1070</v>
      </c>
      <c r="D1595" t="s">
        <v>1415</v>
      </c>
      <c r="E1595" s="20">
        <v>0.68</v>
      </c>
      <c r="F1595" t="s">
        <v>1072</v>
      </c>
      <c r="G1595" t="s">
        <v>1073</v>
      </c>
      <c r="H1595" s="21">
        <v>29.94</v>
      </c>
      <c r="I1595" t="s">
        <v>1074</v>
      </c>
      <c r="J1595" s="22">
        <f>ROUND(E1595/I1593* H1595,5)</f>
        <v>20.359200000000001</v>
      </c>
      <c r="K1595" s="23"/>
    </row>
    <row r="1596" spans="1:27" x14ac:dyDescent="0.2">
      <c r="B1596" t="s">
        <v>1245</v>
      </c>
      <c r="C1596" t="s">
        <v>1070</v>
      </c>
      <c r="D1596" t="s">
        <v>1246</v>
      </c>
      <c r="E1596" s="20">
        <v>0.68</v>
      </c>
      <c r="F1596" t="s">
        <v>1072</v>
      </c>
      <c r="G1596" t="s">
        <v>1073</v>
      </c>
      <c r="H1596" s="21">
        <v>26.33</v>
      </c>
      <c r="I1596" t="s">
        <v>1074</v>
      </c>
      <c r="J1596" s="22">
        <f>ROUND(E1596/I1593* H1596,5)</f>
        <v>17.904399999999999</v>
      </c>
      <c r="K1596" s="23"/>
    </row>
    <row r="1597" spans="1:27" x14ac:dyDescent="0.2">
      <c r="D1597" s="24" t="s">
        <v>1075</v>
      </c>
      <c r="E1597" s="23"/>
      <c r="H1597" s="23"/>
      <c r="K1597" s="21">
        <f>SUM(J1595:J1596)</f>
        <v>38.263599999999997</v>
      </c>
    </row>
    <row r="1598" spans="1:27" x14ac:dyDescent="0.2">
      <c r="B1598" s="14" t="s">
        <v>1080</v>
      </c>
      <c r="E1598" s="23"/>
      <c r="H1598" s="23"/>
      <c r="K1598" s="23"/>
    </row>
    <row r="1599" spans="1:27" x14ac:dyDescent="0.2">
      <c r="B1599" t="s">
        <v>1611</v>
      </c>
      <c r="C1599" t="s">
        <v>23</v>
      </c>
      <c r="D1599" t="s">
        <v>1612</v>
      </c>
      <c r="E1599" s="20">
        <v>6.25</v>
      </c>
      <c r="G1599" t="s">
        <v>1073</v>
      </c>
      <c r="H1599" s="21">
        <v>0.17</v>
      </c>
      <c r="I1599" t="s">
        <v>1074</v>
      </c>
      <c r="J1599" s="22">
        <f>ROUND(E1599* H1599,5)</f>
        <v>1.0625</v>
      </c>
      <c r="K1599" s="23"/>
    </row>
    <row r="1600" spans="1:27" x14ac:dyDescent="0.2">
      <c r="B1600" t="s">
        <v>1433</v>
      </c>
      <c r="C1600" t="s">
        <v>103</v>
      </c>
      <c r="D1600" t="s">
        <v>1434</v>
      </c>
      <c r="E1600" s="20">
        <v>0.15</v>
      </c>
      <c r="G1600" t="s">
        <v>1073</v>
      </c>
      <c r="H1600" s="21">
        <v>2.2599999999999998</v>
      </c>
      <c r="I1600" t="s">
        <v>1074</v>
      </c>
      <c r="J1600" s="22">
        <f>ROUND(E1600* H1600,5)</f>
        <v>0.33900000000000002</v>
      </c>
      <c r="K1600" s="23"/>
    </row>
    <row r="1601" spans="1:27" x14ac:dyDescent="0.2">
      <c r="B1601" t="s">
        <v>1615</v>
      </c>
      <c r="C1601" t="s">
        <v>1393</v>
      </c>
      <c r="D1601" t="s">
        <v>1616</v>
      </c>
      <c r="E1601" s="20">
        <v>0.06</v>
      </c>
      <c r="G1601" t="s">
        <v>1073</v>
      </c>
      <c r="H1601" s="21">
        <v>4.92</v>
      </c>
      <c r="I1601" t="s">
        <v>1074</v>
      </c>
      <c r="J1601" s="22">
        <f>ROUND(E1601* H1601,5)</f>
        <v>0.29520000000000002</v>
      </c>
      <c r="K1601" s="23"/>
    </row>
    <row r="1602" spans="1:27" x14ac:dyDescent="0.2">
      <c r="B1602" t="s">
        <v>1613</v>
      </c>
      <c r="C1602" t="s">
        <v>18</v>
      </c>
      <c r="D1602" t="s">
        <v>1614</v>
      </c>
      <c r="E1602" s="20">
        <v>1</v>
      </c>
      <c r="G1602" t="s">
        <v>1073</v>
      </c>
      <c r="H1602" s="21">
        <v>20.18</v>
      </c>
      <c r="I1602" t="s">
        <v>1074</v>
      </c>
      <c r="J1602" s="22">
        <f>ROUND(E1602* H1602,5)</f>
        <v>20.18</v>
      </c>
      <c r="K1602" s="23"/>
    </row>
    <row r="1603" spans="1:27" x14ac:dyDescent="0.2">
      <c r="D1603" s="24" t="s">
        <v>1090</v>
      </c>
      <c r="E1603" s="23"/>
      <c r="H1603" s="23"/>
      <c r="K1603" s="21">
        <f>SUM(J1599:J1602)</f>
        <v>21.8767</v>
      </c>
    </row>
    <row r="1604" spans="1:27" x14ac:dyDescent="0.2">
      <c r="E1604" s="23"/>
      <c r="H1604" s="23"/>
      <c r="K1604" s="23"/>
    </row>
    <row r="1605" spans="1:27" x14ac:dyDescent="0.2">
      <c r="D1605" s="24" t="s">
        <v>1092</v>
      </c>
      <c r="E1605" s="23"/>
      <c r="H1605" s="23">
        <v>1.5</v>
      </c>
      <c r="I1605" t="s">
        <v>1093</v>
      </c>
      <c r="J1605">
        <f>ROUND(H1605/100*K1597,5)</f>
        <v>0.57394999999999996</v>
      </c>
      <c r="K1605" s="23"/>
    </row>
    <row r="1606" spans="1:27" x14ac:dyDescent="0.2">
      <c r="D1606" s="24" t="s">
        <v>1091</v>
      </c>
      <c r="E1606" s="23"/>
      <c r="H1606" s="23"/>
      <c r="K1606" s="25">
        <f>SUM(J1594:J1605)</f>
        <v>60.714249999999993</v>
      </c>
    </row>
    <row r="1607" spans="1:27" x14ac:dyDescent="0.2">
      <c r="D1607" s="24" t="s">
        <v>1142</v>
      </c>
      <c r="E1607" s="23"/>
      <c r="H1607" s="23">
        <v>8</v>
      </c>
      <c r="I1607" t="s">
        <v>1093</v>
      </c>
      <c r="K1607" s="21">
        <f>ROUND(H1607/100*K1606,5)</f>
        <v>4.8571400000000002</v>
      </c>
    </row>
    <row r="1608" spans="1:27" x14ac:dyDescent="0.2">
      <c r="D1608" s="24" t="s">
        <v>1094</v>
      </c>
      <c r="E1608" s="23"/>
      <c r="H1608" s="23"/>
      <c r="K1608" s="25">
        <f>SUM(K1606:K1607)</f>
        <v>65.571389999999994</v>
      </c>
    </row>
    <row r="1610" spans="1:27" ht="45" customHeight="1" x14ac:dyDescent="0.2">
      <c r="A1610" s="17" t="s">
        <v>1617</v>
      </c>
      <c r="B1610" s="17" t="s">
        <v>574</v>
      </c>
      <c r="C1610" s="1" t="s">
        <v>18</v>
      </c>
      <c r="D1610" s="96" t="s">
        <v>575</v>
      </c>
      <c r="E1610" s="97"/>
      <c r="F1610" s="97"/>
      <c r="G1610" s="1"/>
      <c r="H1610" s="18" t="s">
        <v>1066</v>
      </c>
      <c r="I1610" s="98">
        <v>1</v>
      </c>
      <c r="J1610" s="99"/>
      <c r="K1610" s="19">
        <f>ROUND(K1627,2)</f>
        <v>10.89</v>
      </c>
      <c r="L1610" s="2" t="s">
        <v>1618</v>
      </c>
      <c r="M1610" s="1"/>
      <c r="N1610" s="1"/>
      <c r="O1610" s="1"/>
      <c r="P1610" s="1"/>
      <c r="Q1610" s="1"/>
      <c r="R1610" s="1"/>
      <c r="S1610" s="1"/>
      <c r="T1610" s="1"/>
      <c r="U1610" s="1"/>
      <c r="V1610" s="1"/>
      <c r="W1610" s="1"/>
      <c r="X1610" s="1"/>
      <c r="Y1610" s="1"/>
      <c r="Z1610" s="1"/>
      <c r="AA1610" s="1"/>
    </row>
    <row r="1611" spans="1:27" x14ac:dyDescent="0.2">
      <c r="B1611" s="14" t="s">
        <v>1068</v>
      </c>
    </row>
    <row r="1612" spans="1:27" x14ac:dyDescent="0.2">
      <c r="B1612" t="s">
        <v>1220</v>
      </c>
      <c r="C1612" t="s">
        <v>1070</v>
      </c>
      <c r="D1612" t="s">
        <v>1221</v>
      </c>
      <c r="E1612" s="20">
        <v>0.12</v>
      </c>
      <c r="F1612" t="s">
        <v>1072</v>
      </c>
      <c r="G1612" t="s">
        <v>1073</v>
      </c>
      <c r="H1612" s="21">
        <v>29.42</v>
      </c>
      <c r="I1612" t="s">
        <v>1074</v>
      </c>
      <c r="J1612" s="22">
        <f>ROUND(E1612/I1610* H1612,5)</f>
        <v>3.5304000000000002</v>
      </c>
      <c r="K1612" s="23"/>
    </row>
    <row r="1613" spans="1:27" x14ac:dyDescent="0.2">
      <c r="B1613" t="s">
        <v>1205</v>
      </c>
      <c r="C1613" t="s">
        <v>1070</v>
      </c>
      <c r="D1613" t="s">
        <v>1206</v>
      </c>
      <c r="E1613" s="20">
        <v>0.12</v>
      </c>
      <c r="F1613" t="s">
        <v>1072</v>
      </c>
      <c r="G1613" t="s">
        <v>1073</v>
      </c>
      <c r="H1613" s="21">
        <v>24.55</v>
      </c>
      <c r="I1613" t="s">
        <v>1074</v>
      </c>
      <c r="J1613" s="22">
        <f>ROUND(E1613/I1610* H1613,5)</f>
        <v>2.9460000000000002</v>
      </c>
      <c r="K1613" s="23"/>
    </row>
    <row r="1614" spans="1:27" x14ac:dyDescent="0.2">
      <c r="D1614" s="24" t="s">
        <v>1075</v>
      </c>
      <c r="E1614" s="23"/>
      <c r="H1614" s="23"/>
      <c r="K1614" s="21">
        <f>SUM(J1612:J1613)</f>
        <v>6.4763999999999999</v>
      </c>
    </row>
    <row r="1615" spans="1:27" x14ac:dyDescent="0.2">
      <c r="B1615" s="14" t="s">
        <v>1076</v>
      </c>
      <c r="E1615" s="23"/>
      <c r="H1615" s="23"/>
      <c r="K1615" s="23"/>
    </row>
    <row r="1616" spans="1:27" x14ac:dyDescent="0.2">
      <c r="B1616" t="s">
        <v>1621</v>
      </c>
      <c r="C1616" t="s">
        <v>1070</v>
      </c>
      <c r="D1616" t="s">
        <v>1622</v>
      </c>
      <c r="E1616" s="20">
        <v>0.12</v>
      </c>
      <c r="F1616" t="s">
        <v>1072</v>
      </c>
      <c r="G1616" t="s">
        <v>1073</v>
      </c>
      <c r="H1616" s="21">
        <v>4.95</v>
      </c>
      <c r="I1616" t="s">
        <v>1074</v>
      </c>
      <c r="J1616" s="22">
        <f>ROUND(E1616/I1610* H1616,5)</f>
        <v>0.59399999999999997</v>
      </c>
      <c r="K1616" s="23"/>
    </row>
    <row r="1617" spans="1:27" x14ac:dyDescent="0.2">
      <c r="B1617" t="s">
        <v>1619</v>
      </c>
      <c r="C1617" t="s">
        <v>1070</v>
      </c>
      <c r="D1617" t="s">
        <v>1620</v>
      </c>
      <c r="E1617" s="20">
        <v>0.12</v>
      </c>
      <c r="F1617" t="s">
        <v>1072</v>
      </c>
      <c r="G1617" t="s">
        <v>1073</v>
      </c>
      <c r="H1617" s="21">
        <v>16.77</v>
      </c>
      <c r="I1617" t="s">
        <v>1074</v>
      </c>
      <c r="J1617" s="22">
        <f>ROUND(E1617/I1610* H1617,5)</f>
        <v>2.0124</v>
      </c>
      <c r="K1617" s="23"/>
    </row>
    <row r="1618" spans="1:27" x14ac:dyDescent="0.2">
      <c r="D1618" s="24" t="s">
        <v>1079</v>
      </c>
      <c r="E1618" s="23"/>
      <c r="H1618" s="23"/>
      <c r="K1618" s="21">
        <f>SUM(J1616:J1617)</f>
        <v>2.6063999999999998</v>
      </c>
    </row>
    <row r="1619" spans="1:27" x14ac:dyDescent="0.2">
      <c r="B1619" s="14" t="s">
        <v>1080</v>
      </c>
      <c r="E1619" s="23"/>
      <c r="H1619" s="23"/>
      <c r="K1619" s="23"/>
    </row>
    <row r="1620" spans="1:27" x14ac:dyDescent="0.2">
      <c r="B1620" t="s">
        <v>1081</v>
      </c>
      <c r="C1620" t="s">
        <v>15</v>
      </c>
      <c r="D1620" t="s">
        <v>1082</v>
      </c>
      <c r="E1620" s="20">
        <v>2E-3</v>
      </c>
      <c r="G1620" t="s">
        <v>1073</v>
      </c>
      <c r="H1620" s="21">
        <v>2.1800000000000002</v>
      </c>
      <c r="I1620" t="s">
        <v>1074</v>
      </c>
      <c r="J1620" s="22">
        <f>ROUND(E1620* H1620,5)</f>
        <v>4.3600000000000002E-3</v>
      </c>
      <c r="K1620" s="23"/>
    </row>
    <row r="1621" spans="1:27" x14ac:dyDescent="0.2">
      <c r="B1621" t="s">
        <v>1623</v>
      </c>
      <c r="C1621" t="s">
        <v>1084</v>
      </c>
      <c r="D1621" t="s">
        <v>1624</v>
      </c>
      <c r="E1621" s="20">
        <v>4.0000000000000001E-3</v>
      </c>
      <c r="G1621" t="s">
        <v>1073</v>
      </c>
      <c r="H1621" s="21">
        <v>209.35</v>
      </c>
      <c r="I1621" t="s">
        <v>1074</v>
      </c>
      <c r="J1621" s="22">
        <f>ROUND(E1621* H1621,5)</f>
        <v>0.83740000000000003</v>
      </c>
      <c r="K1621" s="23"/>
    </row>
    <row r="1622" spans="1:27" x14ac:dyDescent="0.2">
      <c r="D1622" s="24" t="s">
        <v>1090</v>
      </c>
      <c r="E1622" s="23"/>
      <c r="H1622" s="23"/>
      <c r="K1622" s="21">
        <f>SUM(J1620:J1621)</f>
        <v>0.84176000000000006</v>
      </c>
    </row>
    <row r="1623" spans="1:27" x14ac:dyDescent="0.2">
      <c r="E1623" s="23"/>
      <c r="H1623" s="23"/>
      <c r="K1623" s="23"/>
    </row>
    <row r="1624" spans="1:27" x14ac:dyDescent="0.2">
      <c r="D1624" s="24" t="s">
        <v>1092</v>
      </c>
      <c r="E1624" s="23"/>
      <c r="H1624" s="23">
        <v>2.5</v>
      </c>
      <c r="I1624" t="s">
        <v>1093</v>
      </c>
      <c r="J1624">
        <f>ROUND(H1624/100*K1614,5)</f>
        <v>0.16191</v>
      </c>
      <c r="K1624" s="23"/>
    </row>
    <row r="1625" spans="1:27" x14ac:dyDescent="0.2">
      <c r="D1625" s="24" t="s">
        <v>1091</v>
      </c>
      <c r="E1625" s="23"/>
      <c r="H1625" s="23"/>
      <c r="K1625" s="25">
        <f>SUM(J1611:J1624)</f>
        <v>10.086470000000002</v>
      </c>
    </row>
    <row r="1626" spans="1:27" x14ac:dyDescent="0.2">
      <c r="D1626" s="24" t="s">
        <v>1142</v>
      </c>
      <c r="E1626" s="23"/>
      <c r="H1626" s="23">
        <v>8</v>
      </c>
      <c r="I1626" t="s">
        <v>1093</v>
      </c>
      <c r="K1626" s="21">
        <f>ROUND(H1626/100*K1625,5)</f>
        <v>0.80691999999999997</v>
      </c>
    </row>
    <row r="1627" spans="1:27" x14ac:dyDescent="0.2">
      <c r="D1627" s="24" t="s">
        <v>1094</v>
      </c>
      <c r="E1627" s="23"/>
      <c r="H1627" s="23"/>
      <c r="K1627" s="25">
        <f>SUM(K1625:K1626)</f>
        <v>10.893390000000002</v>
      </c>
    </row>
    <row r="1629" spans="1:27" ht="45" customHeight="1" x14ac:dyDescent="0.2">
      <c r="A1629" s="17" t="s">
        <v>1625</v>
      </c>
      <c r="B1629" s="17" t="s">
        <v>572</v>
      </c>
      <c r="C1629" s="1" t="s">
        <v>18</v>
      </c>
      <c r="D1629" s="96" t="s">
        <v>573</v>
      </c>
      <c r="E1629" s="97"/>
      <c r="F1629" s="97"/>
      <c r="G1629" s="1"/>
      <c r="H1629" s="18" t="s">
        <v>1066</v>
      </c>
      <c r="I1629" s="98">
        <v>1</v>
      </c>
      <c r="J1629" s="99"/>
      <c r="K1629" s="19">
        <f>ROUND(K1637,2)</f>
        <v>8.15</v>
      </c>
      <c r="L1629" s="2" t="s">
        <v>1626</v>
      </c>
      <c r="M1629" s="1"/>
      <c r="N1629" s="1"/>
      <c r="O1629" s="1"/>
      <c r="P1629" s="1"/>
      <c r="Q1629" s="1"/>
      <c r="R1629" s="1"/>
      <c r="S1629" s="1"/>
      <c r="T1629" s="1"/>
      <c r="U1629" s="1"/>
      <c r="V1629" s="1"/>
      <c r="W1629" s="1"/>
      <c r="X1629" s="1"/>
      <c r="Y1629" s="1"/>
      <c r="Z1629" s="1"/>
      <c r="AA1629" s="1"/>
    </row>
    <row r="1630" spans="1:27" x14ac:dyDescent="0.2">
      <c r="B1630" s="14" t="s">
        <v>1068</v>
      </c>
    </row>
    <row r="1631" spans="1:27" x14ac:dyDescent="0.2">
      <c r="B1631" t="s">
        <v>1205</v>
      </c>
      <c r="C1631" t="s">
        <v>1070</v>
      </c>
      <c r="D1631" t="s">
        <v>1206</v>
      </c>
      <c r="E1631" s="20">
        <v>0.3</v>
      </c>
      <c r="F1631" t="s">
        <v>1072</v>
      </c>
      <c r="G1631" t="s">
        <v>1073</v>
      </c>
      <c r="H1631" s="21">
        <v>24.55</v>
      </c>
      <c r="I1631" t="s">
        <v>1074</v>
      </c>
      <c r="J1631" s="22">
        <f>ROUND(E1631/I1629* H1631,5)</f>
        <v>7.3650000000000002</v>
      </c>
      <c r="K1631" s="23"/>
    </row>
    <row r="1632" spans="1:27" x14ac:dyDescent="0.2">
      <c r="D1632" s="24" t="s">
        <v>1075</v>
      </c>
      <c r="E1632" s="23"/>
      <c r="H1632" s="23"/>
      <c r="K1632" s="21">
        <f>SUM(J1631:J1631)</f>
        <v>7.3650000000000002</v>
      </c>
    </row>
    <row r="1633" spans="1:27" x14ac:dyDescent="0.2">
      <c r="E1633" s="23"/>
      <c r="H1633" s="23"/>
      <c r="K1633" s="23"/>
    </row>
    <row r="1634" spans="1:27" x14ac:dyDescent="0.2">
      <c r="D1634" s="24" t="s">
        <v>1092</v>
      </c>
      <c r="E1634" s="23"/>
      <c r="H1634" s="23">
        <v>2.5</v>
      </c>
      <c r="I1634" t="s">
        <v>1093</v>
      </c>
      <c r="J1634">
        <f>ROUND(H1634/100*K1632,5)</f>
        <v>0.18412999999999999</v>
      </c>
      <c r="K1634" s="23"/>
    </row>
    <row r="1635" spans="1:27" x14ac:dyDescent="0.2">
      <c r="D1635" s="24" t="s">
        <v>1091</v>
      </c>
      <c r="E1635" s="23"/>
      <c r="H1635" s="23"/>
      <c r="K1635" s="25">
        <f>SUM(J1630:J1634)</f>
        <v>7.5491299999999999</v>
      </c>
    </row>
    <row r="1636" spans="1:27" x14ac:dyDescent="0.2">
      <c r="D1636" s="24" t="s">
        <v>1142</v>
      </c>
      <c r="E1636" s="23"/>
      <c r="H1636" s="23">
        <v>8</v>
      </c>
      <c r="I1636" t="s">
        <v>1093</v>
      </c>
      <c r="K1636" s="21">
        <f>ROUND(H1636/100*K1635,5)</f>
        <v>0.60392999999999997</v>
      </c>
    </row>
    <row r="1637" spans="1:27" x14ac:dyDescent="0.2">
      <c r="D1637" s="24" t="s">
        <v>1094</v>
      </c>
      <c r="E1637" s="23"/>
      <c r="H1637" s="23"/>
      <c r="K1637" s="25">
        <f>SUM(K1635:K1636)</f>
        <v>8.15306</v>
      </c>
    </row>
    <row r="1639" spans="1:27" ht="45" customHeight="1" x14ac:dyDescent="0.2">
      <c r="A1639" s="17" t="s">
        <v>1627</v>
      </c>
      <c r="B1639" s="17" t="s">
        <v>580</v>
      </c>
      <c r="C1639" s="1" t="s">
        <v>18</v>
      </c>
      <c r="D1639" s="96" t="s">
        <v>581</v>
      </c>
      <c r="E1639" s="97"/>
      <c r="F1639" s="97"/>
      <c r="G1639" s="1"/>
      <c r="H1639" s="18" t="s">
        <v>1066</v>
      </c>
      <c r="I1639" s="98">
        <v>1</v>
      </c>
      <c r="J1639" s="99"/>
      <c r="K1639" s="19">
        <f>ROUND(K1652,2)</f>
        <v>21.68</v>
      </c>
      <c r="L1639" s="2" t="s">
        <v>1628</v>
      </c>
      <c r="M1639" s="1"/>
      <c r="N1639" s="1"/>
      <c r="O1639" s="1"/>
      <c r="P1639" s="1"/>
      <c r="Q1639" s="1"/>
      <c r="R1639" s="1"/>
      <c r="S1639" s="1"/>
      <c r="T1639" s="1"/>
      <c r="U1639" s="1"/>
      <c r="V1639" s="1"/>
      <c r="W1639" s="1"/>
      <c r="X1639" s="1"/>
      <c r="Y1639" s="1"/>
      <c r="Z1639" s="1"/>
      <c r="AA1639" s="1"/>
    </row>
    <row r="1640" spans="1:27" x14ac:dyDescent="0.2">
      <c r="B1640" s="14" t="s">
        <v>1068</v>
      </c>
    </row>
    <row r="1641" spans="1:27" x14ac:dyDescent="0.2">
      <c r="B1641" t="s">
        <v>1569</v>
      </c>
      <c r="C1641" t="s">
        <v>1070</v>
      </c>
      <c r="D1641" t="s">
        <v>1570</v>
      </c>
      <c r="E1641" s="20">
        <v>0.25</v>
      </c>
      <c r="F1641" t="s">
        <v>1072</v>
      </c>
      <c r="G1641" t="s">
        <v>1073</v>
      </c>
      <c r="H1641" s="21">
        <v>26.12</v>
      </c>
      <c r="I1641" t="s">
        <v>1074</v>
      </c>
      <c r="J1641" s="22">
        <f>ROUND(E1641/I1639* H1641,5)</f>
        <v>6.53</v>
      </c>
      <c r="K1641" s="23"/>
    </row>
    <row r="1642" spans="1:27" x14ac:dyDescent="0.2">
      <c r="B1642" t="s">
        <v>1571</v>
      </c>
      <c r="C1642" t="s">
        <v>1070</v>
      </c>
      <c r="D1642" t="s">
        <v>1572</v>
      </c>
      <c r="E1642" s="20">
        <v>0.25</v>
      </c>
      <c r="F1642" t="s">
        <v>1072</v>
      </c>
      <c r="G1642" t="s">
        <v>1073</v>
      </c>
      <c r="H1642" s="21">
        <v>29.42</v>
      </c>
      <c r="I1642" t="s">
        <v>1074</v>
      </c>
      <c r="J1642" s="22">
        <f>ROUND(E1642/I1639* H1642,5)</f>
        <v>7.3550000000000004</v>
      </c>
      <c r="K1642" s="23"/>
    </row>
    <row r="1643" spans="1:27" x14ac:dyDescent="0.2">
      <c r="D1643" s="24" t="s">
        <v>1075</v>
      </c>
      <c r="E1643" s="23"/>
      <c r="H1643" s="23"/>
      <c r="K1643" s="21">
        <f>SUM(J1641:J1642)</f>
        <v>13.885000000000002</v>
      </c>
    </row>
    <row r="1644" spans="1:27" x14ac:dyDescent="0.2">
      <c r="B1644" s="14" t="s">
        <v>1080</v>
      </c>
      <c r="E1644" s="23"/>
      <c r="H1644" s="23"/>
      <c r="K1644" s="23"/>
    </row>
    <row r="1645" spans="1:27" x14ac:dyDescent="0.2">
      <c r="B1645" t="s">
        <v>1631</v>
      </c>
      <c r="C1645" t="s">
        <v>1210</v>
      </c>
      <c r="D1645" t="s">
        <v>1632</v>
      </c>
      <c r="E1645" s="20">
        <v>0.40799999999999997</v>
      </c>
      <c r="G1645" t="s">
        <v>1073</v>
      </c>
      <c r="H1645" s="21">
        <v>12.03</v>
      </c>
      <c r="I1645" t="s">
        <v>1074</v>
      </c>
      <c r="J1645" s="22">
        <f>ROUND(E1645* H1645,5)</f>
        <v>4.9082400000000002</v>
      </c>
      <c r="K1645" s="23"/>
    </row>
    <row r="1646" spans="1:27" x14ac:dyDescent="0.2">
      <c r="B1646" t="s">
        <v>1629</v>
      </c>
      <c r="C1646" t="s">
        <v>1210</v>
      </c>
      <c r="D1646" t="s">
        <v>1630</v>
      </c>
      <c r="E1646" s="20">
        <v>0.10199999999999999</v>
      </c>
      <c r="G1646" t="s">
        <v>1073</v>
      </c>
      <c r="H1646" s="21">
        <v>10.48</v>
      </c>
      <c r="I1646" t="s">
        <v>1074</v>
      </c>
      <c r="J1646" s="22">
        <f>ROUND(E1646* H1646,5)</f>
        <v>1.0689599999999999</v>
      </c>
      <c r="K1646" s="23"/>
    </row>
    <row r="1647" spans="1:27" x14ac:dyDescent="0.2">
      <c r="D1647" s="24" t="s">
        <v>1090</v>
      </c>
      <c r="E1647" s="23"/>
      <c r="H1647" s="23"/>
      <c r="K1647" s="21">
        <f>SUM(J1645:J1646)</f>
        <v>5.9771999999999998</v>
      </c>
    </row>
    <row r="1648" spans="1:27" x14ac:dyDescent="0.2">
      <c r="E1648" s="23"/>
      <c r="H1648" s="23"/>
      <c r="K1648" s="23"/>
    </row>
    <row r="1649" spans="1:27" x14ac:dyDescent="0.2">
      <c r="D1649" s="24" t="s">
        <v>1092</v>
      </c>
      <c r="E1649" s="23"/>
      <c r="H1649" s="23">
        <v>1.5</v>
      </c>
      <c r="I1649" t="s">
        <v>1093</v>
      </c>
      <c r="J1649">
        <f>ROUND(H1649/100*K1643,5)</f>
        <v>0.20827999999999999</v>
      </c>
      <c r="K1649" s="23"/>
    </row>
    <row r="1650" spans="1:27" x14ac:dyDescent="0.2">
      <c r="D1650" s="24" t="s">
        <v>1091</v>
      </c>
      <c r="E1650" s="23"/>
      <c r="H1650" s="23"/>
      <c r="K1650" s="25">
        <f>SUM(J1640:J1649)</f>
        <v>20.07048</v>
      </c>
    </row>
    <row r="1651" spans="1:27" x14ac:dyDescent="0.2">
      <c r="D1651" s="24" t="s">
        <v>1142</v>
      </c>
      <c r="E1651" s="23"/>
      <c r="H1651" s="23">
        <v>8</v>
      </c>
      <c r="I1651" t="s">
        <v>1093</v>
      </c>
      <c r="K1651" s="21">
        <f>ROUND(H1651/100*K1650,5)</f>
        <v>1.60564</v>
      </c>
    </row>
    <row r="1652" spans="1:27" x14ac:dyDescent="0.2">
      <c r="D1652" s="24" t="s">
        <v>1094</v>
      </c>
      <c r="E1652" s="23"/>
      <c r="H1652" s="23"/>
      <c r="K1652" s="25">
        <f>SUM(K1650:K1651)</f>
        <v>21.676120000000001</v>
      </c>
    </row>
    <row r="1654" spans="1:27" ht="45" customHeight="1" x14ac:dyDescent="0.2">
      <c r="A1654" s="17" t="s">
        <v>1633</v>
      </c>
      <c r="B1654" s="17" t="s">
        <v>578</v>
      </c>
      <c r="C1654" s="1" t="s">
        <v>18</v>
      </c>
      <c r="D1654" s="96" t="s">
        <v>579</v>
      </c>
      <c r="E1654" s="97"/>
      <c r="F1654" s="97"/>
      <c r="G1654" s="1"/>
      <c r="H1654" s="18" t="s">
        <v>1066</v>
      </c>
      <c r="I1654" s="98">
        <v>1</v>
      </c>
      <c r="J1654" s="99"/>
      <c r="K1654" s="19">
        <f>ROUND(K1666,2)</f>
        <v>35.520000000000003</v>
      </c>
      <c r="L1654" s="2" t="s">
        <v>1634</v>
      </c>
      <c r="M1654" s="1"/>
      <c r="N1654" s="1"/>
      <c r="O1654" s="1"/>
      <c r="P1654" s="1"/>
      <c r="Q1654" s="1"/>
      <c r="R1654" s="1"/>
      <c r="S1654" s="1"/>
      <c r="T1654" s="1"/>
      <c r="U1654" s="1"/>
      <c r="V1654" s="1"/>
      <c r="W1654" s="1"/>
      <c r="X1654" s="1"/>
      <c r="Y1654" s="1"/>
      <c r="Z1654" s="1"/>
      <c r="AA1654" s="1"/>
    </row>
    <row r="1655" spans="1:27" x14ac:dyDescent="0.2">
      <c r="B1655" s="14" t="s">
        <v>1068</v>
      </c>
    </row>
    <row r="1656" spans="1:27" x14ac:dyDescent="0.2">
      <c r="B1656" t="s">
        <v>1635</v>
      </c>
      <c r="C1656" t="s">
        <v>1070</v>
      </c>
      <c r="D1656" t="s">
        <v>1636</v>
      </c>
      <c r="E1656" s="20">
        <v>0.38</v>
      </c>
      <c r="F1656" t="s">
        <v>1072</v>
      </c>
      <c r="G1656" t="s">
        <v>1073</v>
      </c>
      <c r="H1656" s="21">
        <v>26.12</v>
      </c>
      <c r="I1656" t="s">
        <v>1074</v>
      </c>
      <c r="J1656" s="22">
        <f>ROUND(E1656/I1654* H1656,5)</f>
        <v>9.9255999999999993</v>
      </c>
      <c r="K1656" s="23"/>
    </row>
    <row r="1657" spans="1:27" x14ac:dyDescent="0.2">
      <c r="B1657" t="s">
        <v>1637</v>
      </c>
      <c r="C1657" t="s">
        <v>1070</v>
      </c>
      <c r="D1657" t="s">
        <v>1638</v>
      </c>
      <c r="E1657" s="20">
        <v>0.75</v>
      </c>
      <c r="F1657" t="s">
        <v>1072</v>
      </c>
      <c r="G1657" t="s">
        <v>1073</v>
      </c>
      <c r="H1657" s="21">
        <v>29.42</v>
      </c>
      <c r="I1657" t="s">
        <v>1074</v>
      </c>
      <c r="J1657" s="22">
        <f>ROUND(E1657/I1654* H1657,5)</f>
        <v>22.065000000000001</v>
      </c>
      <c r="K1657" s="23"/>
    </row>
    <row r="1658" spans="1:27" x14ac:dyDescent="0.2">
      <c r="D1658" s="24" t="s">
        <v>1075</v>
      </c>
      <c r="E1658" s="23"/>
      <c r="H1658" s="23"/>
      <c r="K1658" s="21">
        <f>SUM(J1656:J1657)</f>
        <v>31.990600000000001</v>
      </c>
    </row>
    <row r="1659" spans="1:27" x14ac:dyDescent="0.2">
      <c r="B1659" s="14" t="s">
        <v>1080</v>
      </c>
      <c r="E1659" s="23"/>
      <c r="H1659" s="23"/>
      <c r="K1659" s="23"/>
    </row>
    <row r="1660" spans="1:27" x14ac:dyDescent="0.2">
      <c r="B1660" t="s">
        <v>1639</v>
      </c>
      <c r="C1660" t="s">
        <v>15</v>
      </c>
      <c r="D1660" t="s">
        <v>1640</v>
      </c>
      <c r="E1660" s="20">
        <v>1E-3</v>
      </c>
      <c r="G1660" t="s">
        <v>1073</v>
      </c>
      <c r="H1660" s="21">
        <v>96.96</v>
      </c>
      <c r="I1660" t="s">
        <v>1074</v>
      </c>
      <c r="J1660" s="22">
        <f>ROUND(E1660* H1660,5)</f>
        <v>9.6960000000000005E-2</v>
      </c>
      <c r="K1660" s="23"/>
    </row>
    <row r="1661" spans="1:27" x14ac:dyDescent="0.2">
      <c r="D1661" s="24" t="s">
        <v>1090</v>
      </c>
      <c r="E1661" s="23"/>
      <c r="H1661" s="23"/>
      <c r="K1661" s="21">
        <f>SUM(J1660:J1660)</f>
        <v>9.6960000000000005E-2</v>
      </c>
    </row>
    <row r="1662" spans="1:27" x14ac:dyDescent="0.2">
      <c r="E1662" s="23"/>
      <c r="H1662" s="23"/>
      <c r="K1662" s="23"/>
    </row>
    <row r="1663" spans="1:27" x14ac:dyDescent="0.2">
      <c r="D1663" s="24" t="s">
        <v>1092</v>
      </c>
      <c r="E1663" s="23"/>
      <c r="H1663" s="23">
        <v>2.5</v>
      </c>
      <c r="I1663" t="s">
        <v>1093</v>
      </c>
      <c r="J1663">
        <f>ROUND(H1663/100*K1658,5)</f>
        <v>0.79976999999999998</v>
      </c>
      <c r="K1663" s="23"/>
    </row>
    <row r="1664" spans="1:27" x14ac:dyDescent="0.2">
      <c r="D1664" s="24" t="s">
        <v>1091</v>
      </c>
      <c r="E1664" s="23"/>
      <c r="H1664" s="23"/>
      <c r="K1664" s="25">
        <f>SUM(J1655:J1663)</f>
        <v>32.887330000000006</v>
      </c>
    </row>
    <row r="1665" spans="1:27" x14ac:dyDescent="0.2">
      <c r="D1665" s="24" t="s">
        <v>1142</v>
      </c>
      <c r="E1665" s="23"/>
      <c r="H1665" s="23">
        <v>8</v>
      </c>
      <c r="I1665" t="s">
        <v>1093</v>
      </c>
      <c r="K1665" s="21">
        <f>ROUND(H1665/100*K1664,5)</f>
        <v>2.6309900000000002</v>
      </c>
    </row>
    <row r="1666" spans="1:27" x14ac:dyDescent="0.2">
      <c r="D1666" s="24" t="s">
        <v>1094</v>
      </c>
      <c r="E1666" s="23"/>
      <c r="H1666" s="23"/>
      <c r="K1666" s="25">
        <f>SUM(K1664:K1665)</f>
        <v>35.518320000000003</v>
      </c>
    </row>
    <row r="1668" spans="1:27" ht="45" customHeight="1" x14ac:dyDescent="0.2">
      <c r="A1668" s="17" t="s">
        <v>1641</v>
      </c>
      <c r="B1668" s="17" t="s">
        <v>576</v>
      </c>
      <c r="C1668" s="1" t="s">
        <v>18</v>
      </c>
      <c r="D1668" s="96" t="s">
        <v>577</v>
      </c>
      <c r="E1668" s="97"/>
      <c r="F1668" s="97"/>
      <c r="G1668" s="1"/>
      <c r="H1668" s="18" t="s">
        <v>1066</v>
      </c>
      <c r="I1668" s="98">
        <v>1</v>
      </c>
      <c r="J1668" s="99"/>
      <c r="K1668" s="19">
        <f>ROUND(K1682,2)</f>
        <v>107.3</v>
      </c>
      <c r="L1668" s="2" t="s">
        <v>1642</v>
      </c>
      <c r="M1668" s="1"/>
      <c r="N1668" s="1"/>
      <c r="O1668" s="1"/>
      <c r="P1668" s="1"/>
      <c r="Q1668" s="1"/>
      <c r="R1668" s="1"/>
      <c r="S1668" s="1"/>
      <c r="T1668" s="1"/>
      <c r="U1668" s="1"/>
      <c r="V1668" s="1"/>
      <c r="W1668" s="1"/>
      <c r="X1668" s="1"/>
      <c r="Y1668" s="1"/>
      <c r="Z1668" s="1"/>
      <c r="AA1668" s="1"/>
    </row>
    <row r="1669" spans="1:27" x14ac:dyDescent="0.2">
      <c r="B1669" s="14" t="s">
        <v>1068</v>
      </c>
    </row>
    <row r="1670" spans="1:27" x14ac:dyDescent="0.2">
      <c r="B1670" t="s">
        <v>1635</v>
      </c>
      <c r="C1670" t="s">
        <v>1070</v>
      </c>
      <c r="D1670" t="s">
        <v>1636</v>
      </c>
      <c r="E1670" s="20">
        <v>1.1299999999999999</v>
      </c>
      <c r="F1670" t="s">
        <v>1072</v>
      </c>
      <c r="G1670" t="s">
        <v>1073</v>
      </c>
      <c r="H1670" s="21">
        <v>26.12</v>
      </c>
      <c r="I1670" t="s">
        <v>1074</v>
      </c>
      <c r="J1670" s="22">
        <f>ROUND(E1670/I1668* H1670,5)</f>
        <v>29.515599999999999</v>
      </c>
      <c r="K1670" s="23"/>
    </row>
    <row r="1671" spans="1:27" x14ac:dyDescent="0.2">
      <c r="B1671" t="s">
        <v>1637</v>
      </c>
      <c r="C1671" t="s">
        <v>1070</v>
      </c>
      <c r="D1671" t="s">
        <v>1638</v>
      </c>
      <c r="E1671" s="20">
        <v>2.25</v>
      </c>
      <c r="F1671" t="s">
        <v>1072</v>
      </c>
      <c r="G1671" t="s">
        <v>1073</v>
      </c>
      <c r="H1671" s="21">
        <v>29.42</v>
      </c>
      <c r="I1671" t="s">
        <v>1074</v>
      </c>
      <c r="J1671" s="22">
        <f>ROUND(E1671/I1668* H1671,5)</f>
        <v>66.194999999999993</v>
      </c>
      <c r="K1671" s="23"/>
    </row>
    <row r="1672" spans="1:27" x14ac:dyDescent="0.2">
      <c r="D1672" s="24" t="s">
        <v>1075</v>
      </c>
      <c r="E1672" s="23"/>
      <c r="H1672" s="23"/>
      <c r="K1672" s="21">
        <f>SUM(J1670:J1671)</f>
        <v>95.710599999999999</v>
      </c>
    </row>
    <row r="1673" spans="1:27" x14ac:dyDescent="0.2">
      <c r="B1673" s="14" t="s">
        <v>1080</v>
      </c>
      <c r="E1673" s="23"/>
      <c r="H1673" s="23"/>
      <c r="K1673" s="23"/>
    </row>
    <row r="1674" spans="1:27" x14ac:dyDescent="0.2">
      <c r="B1674" t="s">
        <v>1639</v>
      </c>
      <c r="C1674" t="s">
        <v>15</v>
      </c>
      <c r="D1674" t="s">
        <v>1640</v>
      </c>
      <c r="E1674" s="20">
        <v>1E-3</v>
      </c>
      <c r="G1674" t="s">
        <v>1073</v>
      </c>
      <c r="H1674" s="21">
        <v>96.96</v>
      </c>
      <c r="I1674" t="s">
        <v>1074</v>
      </c>
      <c r="J1674" s="22">
        <f>ROUND(E1674* H1674,5)</f>
        <v>9.6960000000000005E-2</v>
      </c>
      <c r="K1674" s="23"/>
    </row>
    <row r="1675" spans="1:27" x14ac:dyDescent="0.2">
      <c r="B1675" t="s">
        <v>1645</v>
      </c>
      <c r="C1675" t="s">
        <v>15</v>
      </c>
      <c r="D1675" t="s">
        <v>1646</v>
      </c>
      <c r="E1675" s="20">
        <v>8.0000000000000002E-3</v>
      </c>
      <c r="G1675" t="s">
        <v>1073</v>
      </c>
      <c r="H1675" s="21">
        <v>84.35</v>
      </c>
      <c r="I1675" t="s">
        <v>1074</v>
      </c>
      <c r="J1675" s="22">
        <f>ROUND(E1675* H1675,5)</f>
        <v>0.67479999999999996</v>
      </c>
      <c r="K1675" s="23"/>
    </row>
    <row r="1676" spans="1:27" x14ac:dyDescent="0.2">
      <c r="B1676" t="s">
        <v>1643</v>
      </c>
      <c r="C1676" t="s">
        <v>15</v>
      </c>
      <c r="D1676" t="s">
        <v>1644</v>
      </c>
      <c r="E1676" s="20">
        <v>5.0000000000000001E-3</v>
      </c>
      <c r="G1676" t="s">
        <v>1073</v>
      </c>
      <c r="H1676" s="21">
        <v>94.53</v>
      </c>
      <c r="I1676" t="s">
        <v>1074</v>
      </c>
      <c r="J1676" s="22">
        <f>ROUND(E1676* H1676,5)</f>
        <v>0.47265000000000001</v>
      </c>
      <c r="K1676" s="23"/>
    </row>
    <row r="1677" spans="1:27" x14ac:dyDescent="0.2">
      <c r="D1677" s="24" t="s">
        <v>1090</v>
      </c>
      <c r="E1677" s="23"/>
      <c r="H1677" s="23"/>
      <c r="K1677" s="21">
        <f>SUM(J1674:J1676)</f>
        <v>1.24441</v>
      </c>
    </row>
    <row r="1678" spans="1:27" x14ac:dyDescent="0.2">
      <c r="E1678" s="23"/>
      <c r="H1678" s="23"/>
      <c r="K1678" s="23"/>
    </row>
    <row r="1679" spans="1:27" x14ac:dyDescent="0.2">
      <c r="D1679" s="24" t="s">
        <v>1092</v>
      </c>
      <c r="E1679" s="23"/>
      <c r="H1679" s="23">
        <v>2.5</v>
      </c>
      <c r="I1679" t="s">
        <v>1093</v>
      </c>
      <c r="J1679">
        <f>ROUND(H1679/100*K1672,5)</f>
        <v>2.3927700000000001</v>
      </c>
      <c r="K1679" s="23"/>
    </row>
    <row r="1680" spans="1:27" x14ac:dyDescent="0.2">
      <c r="D1680" s="24" t="s">
        <v>1091</v>
      </c>
      <c r="E1680" s="23"/>
      <c r="H1680" s="23"/>
      <c r="K1680" s="25">
        <f>SUM(J1669:J1679)</f>
        <v>99.34778</v>
      </c>
    </row>
    <row r="1681" spans="1:27" x14ac:dyDescent="0.2">
      <c r="D1681" s="24" t="s">
        <v>1142</v>
      </c>
      <c r="E1681" s="23"/>
      <c r="H1681" s="23">
        <v>8</v>
      </c>
      <c r="I1681" t="s">
        <v>1093</v>
      </c>
      <c r="K1681" s="21">
        <f>ROUND(H1681/100*K1680,5)</f>
        <v>7.9478200000000001</v>
      </c>
    </row>
    <row r="1682" spans="1:27" x14ac:dyDescent="0.2">
      <c r="D1682" s="24" t="s">
        <v>1094</v>
      </c>
      <c r="E1682" s="23"/>
      <c r="H1682" s="23"/>
      <c r="K1682" s="25">
        <f>SUM(K1680:K1681)</f>
        <v>107.29560000000001</v>
      </c>
    </row>
    <row r="1684" spans="1:27" ht="45" customHeight="1" x14ac:dyDescent="0.2">
      <c r="A1684" s="17" t="s">
        <v>1647</v>
      </c>
      <c r="B1684" s="17" t="s">
        <v>4046</v>
      </c>
      <c r="C1684" s="1" t="s">
        <v>18</v>
      </c>
      <c r="D1684" s="96" t="s">
        <v>4047</v>
      </c>
      <c r="E1684" s="97"/>
      <c r="F1684" s="97"/>
      <c r="G1684" s="1"/>
      <c r="H1684" s="18" t="s">
        <v>1066</v>
      </c>
      <c r="I1684" s="98">
        <v>1</v>
      </c>
      <c r="J1684" s="99"/>
      <c r="K1684" s="19">
        <f>ROUND(K1696,2)</f>
        <v>8.73</v>
      </c>
      <c r="L1684" s="2" t="s">
        <v>4048</v>
      </c>
      <c r="M1684" s="1"/>
      <c r="N1684" s="1"/>
      <c r="O1684" s="1"/>
      <c r="P1684" s="1"/>
      <c r="Q1684" s="1"/>
      <c r="R1684" s="1"/>
      <c r="S1684" s="1"/>
      <c r="T1684" s="1"/>
      <c r="U1684" s="1"/>
      <c r="V1684" s="1"/>
      <c r="W1684" s="1"/>
      <c r="X1684" s="1"/>
      <c r="Y1684" s="1"/>
      <c r="Z1684" s="1"/>
      <c r="AA1684" s="1"/>
    </row>
    <row r="1685" spans="1:27" x14ac:dyDescent="0.2">
      <c r="B1685" s="14" t="s">
        <v>1068</v>
      </c>
    </row>
    <row r="1686" spans="1:27" x14ac:dyDescent="0.2">
      <c r="B1686" t="s">
        <v>1569</v>
      </c>
      <c r="C1686" t="s">
        <v>1070</v>
      </c>
      <c r="D1686" t="s">
        <v>1570</v>
      </c>
      <c r="E1686" s="20">
        <v>0.04</v>
      </c>
      <c r="F1686" t="s">
        <v>1072</v>
      </c>
      <c r="G1686" t="s">
        <v>1073</v>
      </c>
      <c r="H1686" s="21">
        <v>26.12</v>
      </c>
      <c r="I1686" t="s">
        <v>1074</v>
      </c>
      <c r="J1686" s="22">
        <f>ROUND(E1686/I1684* H1686,5)</f>
        <v>1.0448</v>
      </c>
      <c r="K1686" s="23"/>
    </row>
    <row r="1687" spans="1:27" x14ac:dyDescent="0.2">
      <c r="B1687" t="s">
        <v>1571</v>
      </c>
      <c r="C1687" t="s">
        <v>1070</v>
      </c>
      <c r="D1687" t="s">
        <v>1572</v>
      </c>
      <c r="E1687" s="20">
        <v>0.1</v>
      </c>
      <c r="F1687" t="s">
        <v>1072</v>
      </c>
      <c r="G1687" t="s">
        <v>1073</v>
      </c>
      <c r="H1687" s="21">
        <v>29.42</v>
      </c>
      <c r="I1687" t="s">
        <v>1074</v>
      </c>
      <c r="J1687" s="22">
        <f>ROUND(E1687/I1684* H1687,5)</f>
        <v>2.9420000000000002</v>
      </c>
      <c r="K1687" s="23"/>
    </row>
    <row r="1688" spans="1:27" x14ac:dyDescent="0.2">
      <c r="D1688" s="24" t="s">
        <v>1075</v>
      </c>
      <c r="E1688" s="23"/>
      <c r="H1688" s="23"/>
      <c r="K1688" s="21">
        <f>SUM(J1686:J1687)</f>
        <v>3.9868000000000001</v>
      </c>
    </row>
    <row r="1689" spans="1:27" x14ac:dyDescent="0.2">
      <c r="B1689" s="14" t="s">
        <v>1080</v>
      </c>
      <c r="E1689" s="23"/>
      <c r="H1689" s="23"/>
      <c r="K1689" s="23"/>
    </row>
    <row r="1690" spans="1:27" x14ac:dyDescent="0.2">
      <c r="B1690" t="s">
        <v>4049</v>
      </c>
      <c r="C1690" t="s">
        <v>1210</v>
      </c>
      <c r="D1690" t="s">
        <v>4050</v>
      </c>
      <c r="E1690" s="20">
        <v>0.21199999999999999</v>
      </c>
      <c r="G1690" t="s">
        <v>1073</v>
      </c>
      <c r="H1690" s="21">
        <v>19.05</v>
      </c>
      <c r="I1690" t="s">
        <v>1074</v>
      </c>
      <c r="J1690" s="22">
        <f>ROUND(E1690* H1690,5)</f>
        <v>4.0385999999999997</v>
      </c>
      <c r="K1690" s="23"/>
    </row>
    <row r="1691" spans="1:27" x14ac:dyDescent="0.2">
      <c r="D1691" s="24" t="s">
        <v>1090</v>
      </c>
      <c r="E1691" s="23"/>
      <c r="H1691" s="23"/>
      <c r="K1691" s="21">
        <f>SUM(J1690:J1690)</f>
        <v>4.0385999999999997</v>
      </c>
    </row>
    <row r="1692" spans="1:27" x14ac:dyDescent="0.2">
      <c r="E1692" s="23"/>
      <c r="H1692" s="23"/>
      <c r="K1692" s="23"/>
    </row>
    <row r="1693" spans="1:27" x14ac:dyDescent="0.2">
      <c r="D1693" s="24" t="s">
        <v>1092</v>
      </c>
      <c r="E1693" s="23"/>
      <c r="H1693" s="23">
        <v>1.5</v>
      </c>
      <c r="I1693" t="s">
        <v>1093</v>
      </c>
      <c r="J1693">
        <f>ROUND(H1693/100*K1688,5)</f>
        <v>5.9799999999999999E-2</v>
      </c>
      <c r="K1693" s="23"/>
    </row>
    <row r="1694" spans="1:27" x14ac:dyDescent="0.2">
      <c r="D1694" s="24" t="s">
        <v>1091</v>
      </c>
      <c r="E1694" s="23"/>
      <c r="H1694" s="23"/>
      <c r="K1694" s="25">
        <f>SUM(J1685:J1693)</f>
        <v>8.0851999999999986</v>
      </c>
    </row>
    <row r="1695" spans="1:27" x14ac:dyDescent="0.2">
      <c r="D1695" s="24" t="s">
        <v>1142</v>
      </c>
      <c r="E1695" s="23"/>
      <c r="H1695" s="23">
        <v>8</v>
      </c>
      <c r="I1695" t="s">
        <v>1093</v>
      </c>
      <c r="K1695" s="21">
        <f>ROUND(H1695/100*K1694,5)</f>
        <v>0.64681999999999995</v>
      </c>
    </row>
    <row r="1696" spans="1:27" x14ac:dyDescent="0.2">
      <c r="D1696" s="24" t="s">
        <v>1094</v>
      </c>
      <c r="E1696" s="23"/>
      <c r="H1696" s="23"/>
      <c r="K1696" s="25">
        <f>SUM(K1694:K1695)</f>
        <v>8.7320199999999986</v>
      </c>
    </row>
    <row r="1698" spans="1:27" ht="45" customHeight="1" x14ac:dyDescent="0.2">
      <c r="A1698" s="17" t="s">
        <v>1648</v>
      </c>
      <c r="B1698" s="17" t="s">
        <v>4013</v>
      </c>
      <c r="C1698" s="1" t="s">
        <v>36</v>
      </c>
      <c r="D1698" s="96" t="s">
        <v>4014</v>
      </c>
      <c r="E1698" s="97"/>
      <c r="F1698" s="97"/>
      <c r="G1698" s="1"/>
      <c r="H1698" s="18" t="s">
        <v>1066</v>
      </c>
      <c r="I1698" s="98">
        <v>1</v>
      </c>
      <c r="J1698" s="99"/>
      <c r="K1698" s="19">
        <f>ROUND(K1711,2)</f>
        <v>9.85</v>
      </c>
      <c r="L1698" s="2" t="s">
        <v>4051</v>
      </c>
      <c r="M1698" s="1"/>
      <c r="N1698" s="1"/>
      <c r="O1698" s="1"/>
      <c r="P1698" s="1"/>
      <c r="Q1698" s="1"/>
      <c r="R1698" s="1"/>
      <c r="S1698" s="1"/>
      <c r="T1698" s="1"/>
      <c r="U1698" s="1"/>
      <c r="V1698" s="1"/>
      <c r="W1698" s="1"/>
      <c r="X1698" s="1"/>
      <c r="Y1698" s="1"/>
      <c r="Z1698" s="1"/>
      <c r="AA1698" s="1"/>
    </row>
    <row r="1699" spans="1:27" x14ac:dyDescent="0.2">
      <c r="B1699" s="14" t="s">
        <v>1068</v>
      </c>
    </row>
    <row r="1700" spans="1:27" x14ac:dyDescent="0.2">
      <c r="B1700" t="s">
        <v>1571</v>
      </c>
      <c r="C1700" t="s">
        <v>1070</v>
      </c>
      <c r="D1700" t="s">
        <v>1572</v>
      </c>
      <c r="E1700" s="20">
        <v>0.2</v>
      </c>
      <c r="F1700" t="s">
        <v>1072</v>
      </c>
      <c r="G1700" t="s">
        <v>1073</v>
      </c>
      <c r="H1700" s="21">
        <v>29.42</v>
      </c>
      <c r="I1700" t="s">
        <v>1074</v>
      </c>
      <c r="J1700" s="22">
        <f>ROUND(E1700/I1698* H1700,5)</f>
        <v>5.8840000000000003</v>
      </c>
      <c r="K1700" s="23"/>
    </row>
    <row r="1701" spans="1:27" x14ac:dyDescent="0.2">
      <c r="B1701" t="s">
        <v>1569</v>
      </c>
      <c r="C1701" t="s">
        <v>1070</v>
      </c>
      <c r="D1701" t="s">
        <v>1570</v>
      </c>
      <c r="E1701" s="20">
        <v>2.1999999999999999E-2</v>
      </c>
      <c r="F1701" t="s">
        <v>1072</v>
      </c>
      <c r="G1701" t="s">
        <v>1073</v>
      </c>
      <c r="H1701" s="21">
        <v>26.12</v>
      </c>
      <c r="I1701" t="s">
        <v>1074</v>
      </c>
      <c r="J1701" s="22">
        <f>ROUND(E1701/I1698* H1701,5)</f>
        <v>0.57464000000000004</v>
      </c>
      <c r="K1701" s="23"/>
    </row>
    <row r="1702" spans="1:27" x14ac:dyDescent="0.2">
      <c r="D1702" s="24" t="s">
        <v>1075</v>
      </c>
      <c r="E1702" s="23"/>
      <c r="H1702" s="23"/>
      <c r="K1702" s="21">
        <f>SUM(J1700:J1701)</f>
        <v>6.4586400000000008</v>
      </c>
    </row>
    <row r="1703" spans="1:27" x14ac:dyDescent="0.2">
      <c r="B1703" s="14" t="s">
        <v>1080</v>
      </c>
      <c r="E1703" s="23"/>
      <c r="H1703" s="23"/>
      <c r="K1703" s="23"/>
    </row>
    <row r="1704" spans="1:27" x14ac:dyDescent="0.2">
      <c r="B1704" t="s">
        <v>4052</v>
      </c>
      <c r="C1704" t="s">
        <v>103</v>
      </c>
      <c r="D1704" t="s">
        <v>4053</v>
      </c>
      <c r="E1704" s="20">
        <v>7.6499999999999999E-2</v>
      </c>
      <c r="G1704" t="s">
        <v>1073</v>
      </c>
      <c r="H1704" s="21">
        <v>22.36</v>
      </c>
      <c r="I1704" t="s">
        <v>1074</v>
      </c>
      <c r="J1704" s="22">
        <f>ROUND(E1704* H1704,5)</f>
        <v>1.7105399999999999</v>
      </c>
      <c r="K1704" s="23"/>
    </row>
    <row r="1705" spans="1:27" x14ac:dyDescent="0.2">
      <c r="B1705" t="s">
        <v>4054</v>
      </c>
      <c r="C1705" t="s">
        <v>103</v>
      </c>
      <c r="D1705" t="s">
        <v>4055</v>
      </c>
      <c r="E1705" s="20">
        <v>6.1199999999999997E-2</v>
      </c>
      <c r="G1705" t="s">
        <v>1073</v>
      </c>
      <c r="H1705" s="21">
        <v>13.92</v>
      </c>
      <c r="I1705" t="s">
        <v>1074</v>
      </c>
      <c r="J1705" s="22">
        <f>ROUND(E1705* H1705,5)</f>
        <v>0.85189999999999999</v>
      </c>
      <c r="K1705" s="23"/>
    </row>
    <row r="1706" spans="1:27" x14ac:dyDescent="0.2">
      <c r="D1706" s="24" t="s">
        <v>1090</v>
      </c>
      <c r="E1706" s="23"/>
      <c r="H1706" s="23"/>
      <c r="K1706" s="21">
        <f>SUM(J1704:J1705)</f>
        <v>2.5624400000000001</v>
      </c>
    </row>
    <row r="1707" spans="1:27" x14ac:dyDescent="0.2">
      <c r="E1707" s="23"/>
      <c r="H1707" s="23"/>
      <c r="K1707" s="23"/>
    </row>
    <row r="1708" spans="1:27" x14ac:dyDescent="0.2">
      <c r="D1708" s="24" t="s">
        <v>1092</v>
      </c>
      <c r="E1708" s="23"/>
      <c r="H1708" s="23">
        <v>1.5</v>
      </c>
      <c r="I1708" t="s">
        <v>1093</v>
      </c>
      <c r="J1708">
        <f>ROUND(H1708/100*K1702,5)</f>
        <v>9.6879999999999994E-2</v>
      </c>
      <c r="K1708" s="23"/>
    </row>
    <row r="1709" spans="1:27" x14ac:dyDescent="0.2">
      <c r="D1709" s="24" t="s">
        <v>1091</v>
      </c>
      <c r="E1709" s="23"/>
      <c r="H1709" s="23"/>
      <c r="K1709" s="25">
        <f>SUM(J1699:J1708)</f>
        <v>9.1179600000000018</v>
      </c>
    </row>
    <row r="1710" spans="1:27" x14ac:dyDescent="0.2">
      <c r="D1710" s="24" t="s">
        <v>1142</v>
      </c>
      <c r="E1710" s="23"/>
      <c r="H1710" s="23">
        <v>8</v>
      </c>
      <c r="I1710" t="s">
        <v>1093</v>
      </c>
      <c r="K1710" s="21">
        <f>ROUND(H1710/100*K1709,5)</f>
        <v>0.72943999999999998</v>
      </c>
    </row>
    <row r="1711" spans="1:27" x14ac:dyDescent="0.2">
      <c r="D1711" s="24" t="s">
        <v>1094</v>
      </c>
      <c r="E1711" s="23"/>
      <c r="H1711" s="23"/>
      <c r="K1711" s="25">
        <f>SUM(K1709:K1710)</f>
        <v>9.8474000000000022</v>
      </c>
    </row>
    <row r="1713" spans="1:27" ht="45" customHeight="1" x14ac:dyDescent="0.2">
      <c r="A1713" s="17" t="s">
        <v>1649</v>
      </c>
      <c r="B1713" s="17" t="s">
        <v>586</v>
      </c>
      <c r="C1713" s="1" t="s">
        <v>18</v>
      </c>
      <c r="D1713" s="96" t="s">
        <v>4056</v>
      </c>
      <c r="E1713" s="97"/>
      <c r="F1713" s="97"/>
      <c r="G1713" s="1"/>
      <c r="H1713" s="18" t="s">
        <v>1066</v>
      </c>
      <c r="I1713" s="98">
        <v>1</v>
      </c>
      <c r="J1713" s="99"/>
      <c r="K1713" s="19">
        <f>ROUND(K1725,2)</f>
        <v>7.06</v>
      </c>
      <c r="L1713" s="2" t="s">
        <v>4057</v>
      </c>
      <c r="M1713" s="1"/>
      <c r="N1713" s="1"/>
      <c r="O1713" s="1"/>
      <c r="P1713" s="1"/>
      <c r="Q1713" s="1"/>
      <c r="R1713" s="1"/>
      <c r="S1713" s="1"/>
      <c r="T1713" s="1"/>
      <c r="U1713" s="1"/>
      <c r="V1713" s="1"/>
      <c r="W1713" s="1"/>
      <c r="X1713" s="1"/>
      <c r="Y1713" s="1"/>
      <c r="Z1713" s="1"/>
      <c r="AA1713" s="1"/>
    </row>
    <row r="1714" spans="1:27" x14ac:dyDescent="0.2">
      <c r="B1714" s="14" t="s">
        <v>1068</v>
      </c>
    </row>
    <row r="1715" spans="1:27" x14ac:dyDescent="0.2">
      <c r="B1715" t="s">
        <v>1571</v>
      </c>
      <c r="C1715" t="s">
        <v>1070</v>
      </c>
      <c r="D1715" t="s">
        <v>1572</v>
      </c>
      <c r="E1715" s="20">
        <v>0.125</v>
      </c>
      <c r="F1715" t="s">
        <v>1072</v>
      </c>
      <c r="G1715" t="s">
        <v>1073</v>
      </c>
      <c r="H1715" s="21">
        <v>29.42</v>
      </c>
      <c r="I1715" t="s">
        <v>1074</v>
      </c>
      <c r="J1715" s="22">
        <f>ROUND(E1715/I1713* H1715,5)</f>
        <v>3.6775000000000002</v>
      </c>
      <c r="K1715" s="23"/>
    </row>
    <row r="1716" spans="1:27" x14ac:dyDescent="0.2">
      <c r="B1716" t="s">
        <v>1569</v>
      </c>
      <c r="C1716" t="s">
        <v>1070</v>
      </c>
      <c r="D1716" t="s">
        <v>1570</v>
      </c>
      <c r="E1716" s="20">
        <v>1.2500000000000001E-2</v>
      </c>
      <c r="F1716" t="s">
        <v>1072</v>
      </c>
      <c r="G1716" t="s">
        <v>1073</v>
      </c>
      <c r="H1716" s="21">
        <v>26.12</v>
      </c>
      <c r="I1716" t="s">
        <v>1074</v>
      </c>
      <c r="J1716" s="22">
        <f>ROUND(E1716/I1713* H1716,5)</f>
        <v>0.32650000000000001</v>
      </c>
      <c r="K1716" s="23"/>
    </row>
    <row r="1717" spans="1:27" x14ac:dyDescent="0.2">
      <c r="D1717" s="24" t="s">
        <v>1075</v>
      </c>
      <c r="E1717" s="23"/>
      <c r="H1717" s="23"/>
      <c r="K1717" s="21">
        <f>SUM(J1715:J1716)</f>
        <v>4.0040000000000004</v>
      </c>
    </row>
    <row r="1718" spans="1:27" x14ac:dyDescent="0.2">
      <c r="B1718" s="14" t="s">
        <v>1080</v>
      </c>
      <c r="E1718" s="23"/>
      <c r="H1718" s="23"/>
      <c r="K1718" s="23"/>
    </row>
    <row r="1719" spans="1:27" x14ac:dyDescent="0.2">
      <c r="B1719" t="s">
        <v>4058</v>
      </c>
      <c r="C1719" t="s">
        <v>1210</v>
      </c>
      <c r="D1719" t="s">
        <v>4056</v>
      </c>
      <c r="E1719" s="20">
        <v>0.14280000000000001</v>
      </c>
      <c r="G1719" t="s">
        <v>1073</v>
      </c>
      <c r="H1719" s="21">
        <v>17.309999999999999</v>
      </c>
      <c r="I1719" t="s">
        <v>1074</v>
      </c>
      <c r="J1719" s="22">
        <f>ROUND(E1719* H1719,5)</f>
        <v>2.47187</v>
      </c>
      <c r="K1719" s="23"/>
    </row>
    <row r="1720" spans="1:27" x14ac:dyDescent="0.2">
      <c r="D1720" s="24" t="s">
        <v>1090</v>
      </c>
      <c r="E1720" s="23"/>
      <c r="H1720" s="23"/>
      <c r="K1720" s="21">
        <f>SUM(J1719:J1719)</f>
        <v>2.47187</v>
      </c>
    </row>
    <row r="1721" spans="1:27" x14ac:dyDescent="0.2">
      <c r="E1721" s="23"/>
      <c r="H1721" s="23"/>
      <c r="K1721" s="23"/>
    </row>
    <row r="1722" spans="1:27" x14ac:dyDescent="0.2">
      <c r="D1722" s="24" t="s">
        <v>1092</v>
      </c>
      <c r="E1722" s="23"/>
      <c r="H1722" s="23">
        <v>1.5</v>
      </c>
      <c r="I1722" t="s">
        <v>1093</v>
      </c>
      <c r="J1722">
        <f>ROUND(H1722/100*K1717,5)</f>
        <v>6.0060000000000002E-2</v>
      </c>
      <c r="K1722" s="23"/>
    </row>
    <row r="1723" spans="1:27" x14ac:dyDescent="0.2">
      <c r="D1723" s="24" t="s">
        <v>1091</v>
      </c>
      <c r="E1723" s="23"/>
      <c r="H1723" s="23"/>
      <c r="K1723" s="25">
        <f>SUM(J1714:J1722)</f>
        <v>6.5359300000000005</v>
      </c>
    </row>
    <row r="1724" spans="1:27" x14ac:dyDescent="0.2">
      <c r="D1724" s="24" t="s">
        <v>1142</v>
      </c>
      <c r="E1724" s="23"/>
      <c r="H1724" s="23">
        <v>8</v>
      </c>
      <c r="I1724" t="s">
        <v>1093</v>
      </c>
      <c r="K1724" s="21">
        <f>ROUND(H1724/100*K1723,5)</f>
        <v>0.52286999999999995</v>
      </c>
    </row>
    <row r="1725" spans="1:27" x14ac:dyDescent="0.2">
      <c r="D1725" s="24" t="s">
        <v>1094</v>
      </c>
      <c r="E1725" s="23"/>
      <c r="H1725" s="23"/>
      <c r="K1725" s="25">
        <f>SUM(K1723:K1724)</f>
        <v>7.0588000000000006</v>
      </c>
    </row>
    <row r="1727" spans="1:27" ht="45" customHeight="1" x14ac:dyDescent="0.2">
      <c r="A1727" s="17" t="s">
        <v>1655</v>
      </c>
      <c r="B1727" s="17" t="s">
        <v>3997</v>
      </c>
      <c r="C1727" s="1" t="s">
        <v>18</v>
      </c>
      <c r="D1727" s="96" t="s">
        <v>3998</v>
      </c>
      <c r="E1727" s="97"/>
      <c r="F1727" s="97"/>
      <c r="G1727" s="1"/>
      <c r="H1727" s="18" t="s">
        <v>1066</v>
      </c>
      <c r="I1727" s="98">
        <v>1</v>
      </c>
      <c r="J1727" s="99"/>
      <c r="K1727" s="19">
        <f>ROUND(K1737,2)</f>
        <v>11.91</v>
      </c>
      <c r="L1727" s="2" t="s">
        <v>4059</v>
      </c>
      <c r="M1727" s="1"/>
      <c r="N1727" s="1"/>
      <c r="O1727" s="1"/>
      <c r="P1727" s="1"/>
      <c r="Q1727" s="1"/>
      <c r="R1727" s="1"/>
      <c r="S1727" s="1"/>
      <c r="T1727" s="1"/>
      <c r="U1727" s="1"/>
      <c r="V1727" s="1"/>
      <c r="W1727" s="1"/>
      <c r="X1727" s="1"/>
      <c r="Y1727" s="1"/>
      <c r="Z1727" s="1"/>
      <c r="AA1727" s="1"/>
    </row>
    <row r="1728" spans="1:27" x14ac:dyDescent="0.2">
      <c r="B1728" s="14" t="s">
        <v>1068</v>
      </c>
    </row>
    <row r="1729" spans="1:27" x14ac:dyDescent="0.2">
      <c r="B1729" t="s">
        <v>1569</v>
      </c>
      <c r="C1729" t="s">
        <v>1070</v>
      </c>
      <c r="D1729" t="s">
        <v>1570</v>
      </c>
      <c r="E1729" s="20">
        <v>0.05</v>
      </c>
      <c r="F1729" t="s">
        <v>1072</v>
      </c>
      <c r="G1729" t="s">
        <v>1073</v>
      </c>
      <c r="H1729" s="21">
        <v>26.12</v>
      </c>
      <c r="I1729" t="s">
        <v>1074</v>
      </c>
      <c r="J1729" s="22">
        <f>ROUND(E1729/I1727* H1729,5)</f>
        <v>1.306</v>
      </c>
      <c r="K1729" s="23"/>
    </row>
    <row r="1730" spans="1:27" x14ac:dyDescent="0.2">
      <c r="B1730" t="s">
        <v>1571</v>
      </c>
      <c r="C1730" t="s">
        <v>1070</v>
      </c>
      <c r="D1730" t="s">
        <v>1572</v>
      </c>
      <c r="E1730" s="20">
        <v>0.1</v>
      </c>
      <c r="F1730" t="s">
        <v>1072</v>
      </c>
      <c r="G1730" t="s">
        <v>1073</v>
      </c>
      <c r="H1730" s="21">
        <v>29.42</v>
      </c>
      <c r="I1730" t="s">
        <v>1074</v>
      </c>
      <c r="J1730" s="22">
        <f>ROUND(E1730/I1727* H1730,5)</f>
        <v>2.9420000000000002</v>
      </c>
      <c r="K1730" s="23"/>
    </row>
    <row r="1731" spans="1:27" x14ac:dyDescent="0.2">
      <c r="D1731" s="24" t="s">
        <v>1075</v>
      </c>
      <c r="E1731" s="23"/>
      <c r="H1731" s="23"/>
      <c r="K1731" s="21">
        <f>SUM(J1729:J1730)</f>
        <v>4.2480000000000002</v>
      </c>
    </row>
    <row r="1732" spans="1:27" x14ac:dyDescent="0.2">
      <c r="B1732" s="14" t="s">
        <v>1080</v>
      </c>
      <c r="E1732" s="23"/>
      <c r="H1732" s="23"/>
      <c r="K1732" s="23"/>
    </row>
    <row r="1733" spans="1:27" x14ac:dyDescent="0.2">
      <c r="B1733" t="s">
        <v>4060</v>
      </c>
      <c r="C1733" t="s">
        <v>1210</v>
      </c>
      <c r="D1733" t="s">
        <v>4061</v>
      </c>
      <c r="E1733" s="20">
        <v>0.2</v>
      </c>
      <c r="G1733" t="s">
        <v>1073</v>
      </c>
      <c r="H1733" s="21">
        <v>33.880000000000003</v>
      </c>
      <c r="I1733" t="s">
        <v>1074</v>
      </c>
      <c r="J1733" s="22">
        <f>ROUND(E1733* H1733,5)</f>
        <v>6.7759999999999998</v>
      </c>
      <c r="K1733" s="23"/>
    </row>
    <row r="1734" spans="1:27" x14ac:dyDescent="0.2">
      <c r="D1734" s="24" t="s">
        <v>1090</v>
      </c>
      <c r="E1734" s="23"/>
      <c r="H1734" s="23"/>
      <c r="K1734" s="21">
        <f>SUM(J1733:J1733)</f>
        <v>6.7759999999999998</v>
      </c>
    </row>
    <row r="1735" spans="1:27" x14ac:dyDescent="0.2">
      <c r="D1735" s="24" t="s">
        <v>1091</v>
      </c>
      <c r="E1735" s="23"/>
      <c r="H1735" s="23"/>
      <c r="K1735" s="25">
        <f>SUM(J1728:J1734)</f>
        <v>11.024000000000001</v>
      </c>
    </row>
    <row r="1736" spans="1:27" x14ac:dyDescent="0.2">
      <c r="D1736" s="24" t="s">
        <v>1142</v>
      </c>
      <c r="E1736" s="23"/>
      <c r="H1736" s="23">
        <v>8</v>
      </c>
      <c r="I1736" t="s">
        <v>1093</v>
      </c>
      <c r="K1736" s="21">
        <f>ROUND(H1736/100*K1735,5)</f>
        <v>0.88192000000000004</v>
      </c>
    </row>
    <row r="1737" spans="1:27" x14ac:dyDescent="0.2">
      <c r="D1737" s="24" t="s">
        <v>1094</v>
      </c>
      <c r="E1737" s="23"/>
      <c r="H1737" s="23"/>
      <c r="K1737" s="25">
        <f>SUM(K1735:K1736)</f>
        <v>11.905920000000002</v>
      </c>
    </row>
    <row r="1739" spans="1:27" ht="45" customHeight="1" x14ac:dyDescent="0.2">
      <c r="A1739" s="17" t="s">
        <v>1659</v>
      </c>
      <c r="B1739" s="17" t="s">
        <v>146</v>
      </c>
      <c r="C1739" s="1" t="s">
        <v>18</v>
      </c>
      <c r="D1739" s="96" t="s">
        <v>147</v>
      </c>
      <c r="E1739" s="97"/>
      <c r="F1739" s="97"/>
      <c r="G1739" s="1"/>
      <c r="H1739" s="18" t="s">
        <v>1066</v>
      </c>
      <c r="I1739" s="98">
        <v>1</v>
      </c>
      <c r="J1739" s="99"/>
      <c r="K1739" s="19">
        <f>ROUND(K1752,2)</f>
        <v>13.77</v>
      </c>
      <c r="L1739" s="2" t="s">
        <v>1650</v>
      </c>
      <c r="M1739" s="1"/>
      <c r="N1739" s="1"/>
      <c r="O1739" s="1"/>
      <c r="P1739" s="1"/>
      <c r="Q1739" s="1"/>
      <c r="R1739" s="1"/>
      <c r="S1739" s="1"/>
      <c r="T1739" s="1"/>
      <c r="U1739" s="1"/>
      <c r="V1739" s="1"/>
      <c r="W1739" s="1"/>
      <c r="X1739" s="1"/>
      <c r="Y1739" s="1"/>
      <c r="Z1739" s="1"/>
      <c r="AA1739" s="1"/>
    </row>
    <row r="1740" spans="1:27" x14ac:dyDescent="0.2">
      <c r="B1740" s="14" t="s">
        <v>1068</v>
      </c>
    </row>
    <row r="1741" spans="1:27" x14ac:dyDescent="0.2">
      <c r="B1741" t="s">
        <v>1571</v>
      </c>
      <c r="C1741" t="s">
        <v>1070</v>
      </c>
      <c r="D1741" t="s">
        <v>1572</v>
      </c>
      <c r="E1741" s="20">
        <v>0.34</v>
      </c>
      <c r="F1741" t="s">
        <v>1072</v>
      </c>
      <c r="G1741" t="s">
        <v>1073</v>
      </c>
      <c r="H1741" s="21">
        <v>29.42</v>
      </c>
      <c r="I1741" t="s">
        <v>1074</v>
      </c>
      <c r="J1741" s="22">
        <f>ROUND(E1741/I1739* H1741,5)</f>
        <v>10.002800000000001</v>
      </c>
      <c r="K1741" s="23"/>
    </row>
    <row r="1742" spans="1:27" x14ac:dyDescent="0.2">
      <c r="B1742" t="s">
        <v>1569</v>
      </c>
      <c r="C1742" t="s">
        <v>1070</v>
      </c>
      <c r="D1742" t="s">
        <v>1570</v>
      </c>
      <c r="E1742" s="20">
        <v>3.4000000000000002E-2</v>
      </c>
      <c r="F1742" t="s">
        <v>1072</v>
      </c>
      <c r="G1742" t="s">
        <v>1073</v>
      </c>
      <c r="H1742" s="21">
        <v>26.12</v>
      </c>
      <c r="I1742" t="s">
        <v>1074</v>
      </c>
      <c r="J1742" s="22">
        <f>ROUND(E1742/I1739* H1742,5)</f>
        <v>0.88807999999999998</v>
      </c>
      <c r="K1742" s="23"/>
    </row>
    <row r="1743" spans="1:27" x14ac:dyDescent="0.2">
      <c r="D1743" s="24" t="s">
        <v>1075</v>
      </c>
      <c r="E1743" s="23"/>
      <c r="H1743" s="23"/>
      <c r="K1743" s="21">
        <f>SUM(J1741:J1742)</f>
        <v>10.890880000000001</v>
      </c>
    </row>
    <row r="1744" spans="1:27" x14ac:dyDescent="0.2">
      <c r="B1744" s="14" t="s">
        <v>1080</v>
      </c>
      <c r="E1744" s="23"/>
      <c r="H1744" s="23"/>
      <c r="K1744" s="23"/>
    </row>
    <row r="1745" spans="1:27" x14ac:dyDescent="0.2">
      <c r="B1745" t="s">
        <v>1653</v>
      </c>
      <c r="C1745" t="s">
        <v>1210</v>
      </c>
      <c r="D1745" t="s">
        <v>1654</v>
      </c>
      <c r="E1745" s="20">
        <v>6.1600000000000002E-2</v>
      </c>
      <c r="G1745" t="s">
        <v>1073</v>
      </c>
      <c r="H1745" s="21">
        <v>11.27</v>
      </c>
      <c r="I1745" t="s">
        <v>1074</v>
      </c>
      <c r="J1745" s="22">
        <f>ROUND(E1745* H1745,5)</f>
        <v>0.69423000000000001</v>
      </c>
      <c r="K1745" s="23"/>
    </row>
    <row r="1746" spans="1:27" x14ac:dyDescent="0.2">
      <c r="B1746" t="s">
        <v>1651</v>
      </c>
      <c r="C1746" t="s">
        <v>1210</v>
      </c>
      <c r="D1746" t="s">
        <v>1652</v>
      </c>
      <c r="E1746" s="20">
        <v>0.1024</v>
      </c>
      <c r="G1746" t="s">
        <v>1073</v>
      </c>
      <c r="H1746" s="21">
        <v>9.77</v>
      </c>
      <c r="I1746" t="s">
        <v>1074</v>
      </c>
      <c r="J1746" s="22">
        <f>ROUND(E1746* H1746,5)</f>
        <v>1.0004500000000001</v>
      </c>
      <c r="K1746" s="23"/>
    </row>
    <row r="1747" spans="1:27" x14ac:dyDescent="0.2">
      <c r="D1747" s="24" t="s">
        <v>1090</v>
      </c>
      <c r="E1747" s="23"/>
      <c r="H1747" s="23"/>
      <c r="K1747" s="21">
        <f>SUM(J1745:J1746)</f>
        <v>1.69468</v>
      </c>
    </row>
    <row r="1748" spans="1:27" x14ac:dyDescent="0.2">
      <c r="E1748" s="23"/>
      <c r="H1748" s="23"/>
      <c r="K1748" s="23"/>
    </row>
    <row r="1749" spans="1:27" x14ac:dyDescent="0.2">
      <c r="D1749" s="24" t="s">
        <v>1092</v>
      </c>
      <c r="E1749" s="23"/>
      <c r="H1749" s="23">
        <v>1.5</v>
      </c>
      <c r="I1749" t="s">
        <v>1093</v>
      </c>
      <c r="J1749">
        <f>ROUND(H1749/100*K1743,5)</f>
        <v>0.16336000000000001</v>
      </c>
      <c r="K1749" s="23"/>
    </row>
    <row r="1750" spans="1:27" x14ac:dyDescent="0.2">
      <c r="D1750" s="24" t="s">
        <v>1091</v>
      </c>
      <c r="E1750" s="23"/>
      <c r="H1750" s="23"/>
      <c r="K1750" s="25">
        <f>SUM(J1740:J1749)</f>
        <v>12.748920000000002</v>
      </c>
    </row>
    <row r="1751" spans="1:27" x14ac:dyDescent="0.2">
      <c r="D1751" s="24" t="s">
        <v>1142</v>
      </c>
      <c r="E1751" s="23"/>
      <c r="H1751" s="23">
        <v>8</v>
      </c>
      <c r="I1751" t="s">
        <v>1093</v>
      </c>
      <c r="K1751" s="21">
        <f>ROUND(H1751/100*K1750,5)</f>
        <v>1.0199100000000001</v>
      </c>
    </row>
    <row r="1752" spans="1:27" x14ac:dyDescent="0.2">
      <c r="D1752" s="24" t="s">
        <v>1094</v>
      </c>
      <c r="E1752" s="23"/>
      <c r="H1752" s="23"/>
      <c r="K1752" s="25">
        <f>SUM(K1750:K1751)</f>
        <v>13.768830000000001</v>
      </c>
    </row>
    <row r="1754" spans="1:27" ht="45" customHeight="1" x14ac:dyDescent="0.2">
      <c r="A1754" s="17" t="s">
        <v>1661</v>
      </c>
      <c r="B1754" s="17" t="s">
        <v>3987</v>
      </c>
      <c r="C1754" s="1" t="s">
        <v>18</v>
      </c>
      <c r="D1754" s="96" t="s">
        <v>163</v>
      </c>
      <c r="E1754" s="97"/>
      <c r="F1754" s="97"/>
      <c r="G1754" s="1"/>
      <c r="H1754" s="18" t="s">
        <v>1066</v>
      </c>
      <c r="I1754" s="98">
        <v>1</v>
      </c>
      <c r="J1754" s="99"/>
      <c r="K1754" s="19">
        <f>ROUND(K1766,2)</f>
        <v>18.13</v>
      </c>
      <c r="L1754" s="2" t="s">
        <v>1456</v>
      </c>
      <c r="M1754" s="1"/>
      <c r="N1754" s="1"/>
      <c r="O1754" s="1"/>
      <c r="P1754" s="1"/>
      <c r="Q1754" s="1"/>
      <c r="R1754" s="1"/>
      <c r="S1754" s="1"/>
      <c r="T1754" s="1"/>
      <c r="U1754" s="1"/>
      <c r="V1754" s="1"/>
      <c r="W1754" s="1"/>
      <c r="X1754" s="1"/>
      <c r="Y1754" s="1"/>
      <c r="Z1754" s="1"/>
      <c r="AA1754" s="1"/>
    </row>
    <row r="1755" spans="1:27" x14ac:dyDescent="0.2">
      <c r="B1755" s="14" t="s">
        <v>1068</v>
      </c>
    </row>
    <row r="1756" spans="1:27" x14ac:dyDescent="0.2">
      <c r="B1756" t="s">
        <v>1569</v>
      </c>
      <c r="C1756" t="s">
        <v>1070</v>
      </c>
      <c r="D1756" t="s">
        <v>1570</v>
      </c>
      <c r="E1756" s="20">
        <v>0.5</v>
      </c>
      <c r="F1756" t="s">
        <v>1072</v>
      </c>
      <c r="G1756" t="s">
        <v>1073</v>
      </c>
      <c r="H1756" s="21">
        <v>26.12</v>
      </c>
      <c r="I1756" t="s">
        <v>1074</v>
      </c>
      <c r="J1756" s="22">
        <f>ROUND(E1756/I1754* H1756,5)</f>
        <v>13.06</v>
      </c>
      <c r="K1756" s="23"/>
    </row>
    <row r="1757" spans="1:27" x14ac:dyDescent="0.2">
      <c r="B1757" t="s">
        <v>1571</v>
      </c>
      <c r="C1757" t="s">
        <v>1070</v>
      </c>
      <c r="D1757" t="s">
        <v>1572</v>
      </c>
      <c r="E1757" s="20">
        <v>0.05</v>
      </c>
      <c r="F1757" t="s">
        <v>1072</v>
      </c>
      <c r="G1757" t="s">
        <v>1073</v>
      </c>
      <c r="H1757" s="21">
        <v>29.42</v>
      </c>
      <c r="I1757" t="s">
        <v>1074</v>
      </c>
      <c r="J1757" s="22">
        <f>ROUND(E1757/I1754* H1757,5)</f>
        <v>1.4710000000000001</v>
      </c>
      <c r="K1757" s="23"/>
    </row>
    <row r="1758" spans="1:27" x14ac:dyDescent="0.2">
      <c r="D1758" s="24" t="s">
        <v>1075</v>
      </c>
      <c r="E1758" s="23"/>
      <c r="H1758" s="23"/>
      <c r="K1758" s="21">
        <f>SUM(J1756:J1757)</f>
        <v>14.531000000000001</v>
      </c>
    </row>
    <row r="1759" spans="1:27" x14ac:dyDescent="0.2">
      <c r="B1759" s="14" t="s">
        <v>1080</v>
      </c>
      <c r="E1759" s="23"/>
      <c r="H1759" s="23"/>
      <c r="K1759" s="23"/>
    </row>
    <row r="1760" spans="1:27" x14ac:dyDescent="0.2">
      <c r="B1760" t="s">
        <v>1657</v>
      </c>
      <c r="C1760" t="s">
        <v>1210</v>
      </c>
      <c r="D1760" t="s">
        <v>1658</v>
      </c>
      <c r="E1760" s="20">
        <v>0.25</v>
      </c>
      <c r="G1760" t="s">
        <v>1073</v>
      </c>
      <c r="H1760" s="21">
        <v>6.99</v>
      </c>
      <c r="I1760" t="s">
        <v>1074</v>
      </c>
      <c r="J1760" s="22">
        <f>ROUND(E1760* H1760,5)</f>
        <v>1.7475000000000001</v>
      </c>
      <c r="K1760" s="23"/>
    </row>
    <row r="1761" spans="1:27" x14ac:dyDescent="0.2">
      <c r="D1761" s="24" t="s">
        <v>1090</v>
      </c>
      <c r="E1761" s="23"/>
      <c r="H1761" s="23"/>
      <c r="K1761" s="21">
        <f>SUM(J1760:J1760)</f>
        <v>1.7475000000000001</v>
      </c>
    </row>
    <row r="1762" spans="1:27" x14ac:dyDescent="0.2">
      <c r="E1762" s="23"/>
      <c r="H1762" s="23"/>
      <c r="K1762" s="23"/>
    </row>
    <row r="1763" spans="1:27" x14ac:dyDescent="0.2">
      <c r="D1763" s="24" t="s">
        <v>1092</v>
      </c>
      <c r="E1763" s="23"/>
      <c r="H1763" s="23">
        <v>3.5</v>
      </c>
      <c r="I1763" t="s">
        <v>1093</v>
      </c>
      <c r="J1763">
        <f>ROUND(H1763/100*K1758,5)</f>
        <v>0.50858999999999999</v>
      </c>
      <c r="K1763" s="23"/>
    </row>
    <row r="1764" spans="1:27" x14ac:dyDescent="0.2">
      <c r="D1764" s="24" t="s">
        <v>1091</v>
      </c>
      <c r="E1764" s="23"/>
      <c r="H1764" s="23"/>
      <c r="K1764" s="25">
        <f>SUM(J1755:J1763)</f>
        <v>16.787090000000003</v>
      </c>
    </row>
    <row r="1765" spans="1:27" x14ac:dyDescent="0.2">
      <c r="D1765" s="24" t="s">
        <v>1142</v>
      </c>
      <c r="E1765" s="23"/>
      <c r="H1765" s="23">
        <v>8</v>
      </c>
      <c r="I1765" t="s">
        <v>1093</v>
      </c>
      <c r="K1765" s="21">
        <f>ROUND(H1765/100*K1764,5)</f>
        <v>1.34297</v>
      </c>
    </row>
    <row r="1766" spans="1:27" x14ac:dyDescent="0.2">
      <c r="D1766" s="24" t="s">
        <v>1094</v>
      </c>
      <c r="E1766" s="23"/>
      <c r="H1766" s="23"/>
      <c r="K1766" s="25">
        <f>SUM(K1764:K1765)</f>
        <v>18.130060000000004</v>
      </c>
    </row>
    <row r="1768" spans="1:27" ht="45" customHeight="1" x14ac:dyDescent="0.2">
      <c r="A1768" s="17" t="s">
        <v>1663</v>
      </c>
      <c r="B1768" s="17" t="s">
        <v>132</v>
      </c>
      <c r="C1768" s="1" t="s">
        <v>18</v>
      </c>
      <c r="D1768" s="96" t="s">
        <v>133</v>
      </c>
      <c r="E1768" s="97"/>
      <c r="F1768" s="97"/>
      <c r="G1768" s="1"/>
      <c r="H1768" s="18" t="s">
        <v>1066</v>
      </c>
      <c r="I1768" s="98">
        <v>1</v>
      </c>
      <c r="J1768" s="99"/>
      <c r="K1768" s="19">
        <f>ROUND(K1780,2)</f>
        <v>11.63</v>
      </c>
      <c r="L1768" s="2" t="s">
        <v>1656</v>
      </c>
      <c r="M1768" s="1"/>
      <c r="N1768" s="1"/>
      <c r="O1768" s="1"/>
      <c r="P1768" s="1"/>
      <c r="Q1768" s="1"/>
      <c r="R1768" s="1"/>
      <c r="S1768" s="1"/>
      <c r="T1768" s="1"/>
      <c r="U1768" s="1"/>
      <c r="V1768" s="1"/>
      <c r="W1768" s="1"/>
      <c r="X1768" s="1"/>
      <c r="Y1768" s="1"/>
      <c r="Z1768" s="1"/>
      <c r="AA1768" s="1"/>
    </row>
    <row r="1769" spans="1:27" x14ac:dyDescent="0.2">
      <c r="B1769" s="14" t="s">
        <v>1068</v>
      </c>
    </row>
    <row r="1770" spans="1:27" x14ac:dyDescent="0.2">
      <c r="B1770" t="s">
        <v>1569</v>
      </c>
      <c r="C1770" t="s">
        <v>1070</v>
      </c>
      <c r="D1770" t="s">
        <v>1570</v>
      </c>
      <c r="E1770" s="20">
        <v>0.3</v>
      </c>
      <c r="F1770" t="s">
        <v>1072</v>
      </c>
      <c r="G1770" t="s">
        <v>1073</v>
      </c>
      <c r="H1770" s="21">
        <v>26.12</v>
      </c>
      <c r="I1770" t="s">
        <v>1074</v>
      </c>
      <c r="J1770" s="22">
        <f>ROUND(E1770/I1768* H1770,5)</f>
        <v>7.8360000000000003</v>
      </c>
      <c r="K1770" s="23"/>
    </row>
    <row r="1771" spans="1:27" x14ac:dyDescent="0.2">
      <c r="B1771" t="s">
        <v>1571</v>
      </c>
      <c r="C1771" t="s">
        <v>1070</v>
      </c>
      <c r="D1771" t="s">
        <v>1572</v>
      </c>
      <c r="E1771" s="20">
        <v>0.03</v>
      </c>
      <c r="F1771" t="s">
        <v>1072</v>
      </c>
      <c r="G1771" t="s">
        <v>1073</v>
      </c>
      <c r="H1771" s="21">
        <v>29.42</v>
      </c>
      <c r="I1771" t="s">
        <v>1074</v>
      </c>
      <c r="J1771" s="22">
        <f>ROUND(E1771/I1768* H1771,5)</f>
        <v>0.88260000000000005</v>
      </c>
      <c r="K1771" s="23"/>
    </row>
    <row r="1772" spans="1:27" x14ac:dyDescent="0.2">
      <c r="D1772" s="24" t="s">
        <v>1075</v>
      </c>
      <c r="E1772" s="23"/>
      <c r="H1772" s="23"/>
      <c r="K1772" s="21">
        <f>SUM(J1770:J1771)</f>
        <v>8.7186000000000003</v>
      </c>
    </row>
    <row r="1773" spans="1:27" x14ac:dyDescent="0.2">
      <c r="B1773" s="14" t="s">
        <v>1080</v>
      </c>
      <c r="E1773" s="23"/>
      <c r="H1773" s="23"/>
      <c r="K1773" s="23"/>
    </row>
    <row r="1774" spans="1:27" x14ac:dyDescent="0.2">
      <c r="B1774" t="s">
        <v>1657</v>
      </c>
      <c r="C1774" t="s">
        <v>1210</v>
      </c>
      <c r="D1774" t="s">
        <v>1658</v>
      </c>
      <c r="E1774" s="20">
        <v>0.25</v>
      </c>
      <c r="G1774" t="s">
        <v>1073</v>
      </c>
      <c r="H1774" s="21">
        <v>6.99</v>
      </c>
      <c r="I1774" t="s">
        <v>1074</v>
      </c>
      <c r="J1774" s="22">
        <f>ROUND(E1774* H1774,5)</f>
        <v>1.7475000000000001</v>
      </c>
      <c r="K1774" s="23"/>
    </row>
    <row r="1775" spans="1:27" x14ac:dyDescent="0.2">
      <c r="D1775" s="24" t="s">
        <v>1090</v>
      </c>
      <c r="E1775" s="23"/>
      <c r="H1775" s="23"/>
      <c r="K1775" s="21">
        <f>SUM(J1774:J1774)</f>
        <v>1.7475000000000001</v>
      </c>
    </row>
    <row r="1776" spans="1:27" x14ac:dyDescent="0.2">
      <c r="E1776" s="23"/>
      <c r="H1776" s="23"/>
      <c r="K1776" s="23"/>
    </row>
    <row r="1777" spans="1:27" x14ac:dyDescent="0.2">
      <c r="D1777" s="24" t="s">
        <v>1092</v>
      </c>
      <c r="E1777" s="23"/>
      <c r="H1777" s="23">
        <v>3.5</v>
      </c>
      <c r="I1777" t="s">
        <v>1093</v>
      </c>
      <c r="J1777">
        <f>ROUND(H1777/100*K1772,5)</f>
        <v>0.30514999999999998</v>
      </c>
      <c r="K1777" s="23"/>
    </row>
    <row r="1778" spans="1:27" x14ac:dyDescent="0.2">
      <c r="D1778" s="24" t="s">
        <v>1091</v>
      </c>
      <c r="E1778" s="23"/>
      <c r="H1778" s="23"/>
      <c r="K1778" s="25">
        <f>SUM(J1769:J1777)</f>
        <v>10.77125</v>
      </c>
    </row>
    <row r="1779" spans="1:27" x14ac:dyDescent="0.2">
      <c r="D1779" s="24" t="s">
        <v>1142</v>
      </c>
      <c r="E1779" s="23"/>
      <c r="H1779" s="23">
        <v>8</v>
      </c>
      <c r="I1779" t="s">
        <v>1093</v>
      </c>
      <c r="K1779" s="21">
        <f>ROUND(H1779/100*K1778,5)</f>
        <v>0.86170000000000002</v>
      </c>
    </row>
    <row r="1780" spans="1:27" x14ac:dyDescent="0.2">
      <c r="D1780" s="24" t="s">
        <v>1094</v>
      </c>
      <c r="E1780" s="23"/>
      <c r="H1780" s="23"/>
      <c r="K1780" s="25">
        <f>SUM(K1778:K1779)</f>
        <v>11.632950000000001</v>
      </c>
    </row>
    <row r="1782" spans="1:27" ht="45" customHeight="1" x14ac:dyDescent="0.2">
      <c r="A1782" s="17" t="s">
        <v>1665</v>
      </c>
      <c r="B1782" s="17" t="s">
        <v>403</v>
      </c>
      <c r="C1782" s="1" t="s">
        <v>23</v>
      </c>
      <c r="D1782" s="96" t="s">
        <v>404</v>
      </c>
      <c r="E1782" s="97"/>
      <c r="F1782" s="97"/>
      <c r="G1782" s="1"/>
      <c r="H1782" s="18" t="s">
        <v>1066</v>
      </c>
      <c r="I1782" s="98">
        <v>1</v>
      </c>
      <c r="J1782" s="99"/>
      <c r="K1782" s="19">
        <f>ROUND(K1791,2)</f>
        <v>3369.59</v>
      </c>
      <c r="L1782" s="2" t="s">
        <v>1660</v>
      </c>
      <c r="M1782" s="1"/>
      <c r="N1782" s="1"/>
      <c r="O1782" s="1"/>
      <c r="P1782" s="1"/>
      <c r="Q1782" s="1"/>
      <c r="R1782" s="1"/>
      <c r="S1782" s="1"/>
      <c r="T1782" s="1"/>
      <c r="U1782" s="1"/>
      <c r="V1782" s="1"/>
      <c r="W1782" s="1"/>
      <c r="X1782" s="1"/>
      <c r="Y1782" s="1"/>
      <c r="Z1782" s="1"/>
      <c r="AA1782" s="1"/>
    </row>
    <row r="1783" spans="1:27" x14ac:dyDescent="0.2">
      <c r="B1783" s="14" t="s">
        <v>1068</v>
      </c>
    </row>
    <row r="1784" spans="1:27" x14ac:dyDescent="0.2">
      <c r="B1784" t="s">
        <v>1483</v>
      </c>
      <c r="C1784" t="s">
        <v>1070</v>
      </c>
      <c r="D1784" t="s">
        <v>1484</v>
      </c>
      <c r="E1784" s="20">
        <v>36.846499999999999</v>
      </c>
      <c r="F1784" t="s">
        <v>1072</v>
      </c>
      <c r="G1784" t="s">
        <v>1073</v>
      </c>
      <c r="H1784" s="21">
        <v>38.840000000000003</v>
      </c>
      <c r="I1784" t="s">
        <v>1074</v>
      </c>
      <c r="J1784" s="22">
        <f>ROUND(E1784/I1782* H1784,5)</f>
        <v>1431.11806</v>
      </c>
      <c r="K1784" s="23"/>
    </row>
    <row r="1785" spans="1:27" x14ac:dyDescent="0.2">
      <c r="B1785" t="s">
        <v>1486</v>
      </c>
      <c r="C1785" t="s">
        <v>1070</v>
      </c>
      <c r="D1785" t="s">
        <v>1487</v>
      </c>
      <c r="E1785" s="20">
        <v>36.5</v>
      </c>
      <c r="F1785" t="s">
        <v>1072</v>
      </c>
      <c r="G1785" t="s">
        <v>1073</v>
      </c>
      <c r="H1785" s="21">
        <v>43.38</v>
      </c>
      <c r="I1785" t="s">
        <v>1074</v>
      </c>
      <c r="J1785" s="22">
        <f>ROUND(E1785/I1782* H1785,5)</f>
        <v>1583.37</v>
      </c>
      <c r="K1785" s="23"/>
    </row>
    <row r="1786" spans="1:27" x14ac:dyDescent="0.2">
      <c r="D1786" s="24" t="s">
        <v>1075</v>
      </c>
      <c r="E1786" s="23"/>
      <c r="H1786" s="23"/>
      <c r="K1786" s="21">
        <f>SUM(J1784:J1785)</f>
        <v>3014.4880599999997</v>
      </c>
    </row>
    <row r="1787" spans="1:27" x14ac:dyDescent="0.2">
      <c r="E1787" s="23"/>
      <c r="H1787" s="23"/>
      <c r="K1787" s="23"/>
    </row>
    <row r="1788" spans="1:27" x14ac:dyDescent="0.2">
      <c r="D1788" s="24" t="s">
        <v>1092</v>
      </c>
      <c r="E1788" s="23"/>
      <c r="H1788" s="23">
        <v>3.5</v>
      </c>
      <c r="I1788" t="s">
        <v>1093</v>
      </c>
      <c r="J1788">
        <f>ROUND(H1788/100*K1786,5)</f>
        <v>105.50708</v>
      </c>
      <c r="K1788" s="23"/>
    </row>
    <row r="1789" spans="1:27" x14ac:dyDescent="0.2">
      <c r="D1789" s="24" t="s">
        <v>1091</v>
      </c>
      <c r="E1789" s="23"/>
      <c r="H1789" s="23"/>
      <c r="K1789" s="25">
        <f>SUM(J1783:J1788)</f>
        <v>3119.9951399999995</v>
      </c>
    </row>
    <row r="1790" spans="1:27" x14ac:dyDescent="0.2">
      <c r="D1790" s="24" t="s">
        <v>1142</v>
      </c>
      <c r="E1790" s="23"/>
      <c r="H1790" s="23">
        <v>8</v>
      </c>
      <c r="I1790" t="s">
        <v>1093</v>
      </c>
      <c r="K1790" s="21">
        <f>ROUND(H1790/100*K1789,5)</f>
        <v>249.59961000000001</v>
      </c>
    </row>
    <row r="1791" spans="1:27" x14ac:dyDescent="0.2">
      <c r="D1791" s="24" t="s">
        <v>1094</v>
      </c>
      <c r="E1791" s="23"/>
      <c r="H1791" s="23"/>
      <c r="K1791" s="25">
        <f>SUM(K1789:K1790)</f>
        <v>3369.5947499999997</v>
      </c>
    </row>
    <row r="1793" spans="1:27" ht="45" customHeight="1" x14ac:dyDescent="0.2">
      <c r="A1793" s="17" t="s">
        <v>1667</v>
      </c>
      <c r="B1793" s="17" t="s">
        <v>405</v>
      </c>
      <c r="C1793" s="1" t="s">
        <v>23</v>
      </c>
      <c r="D1793" s="96" t="s">
        <v>406</v>
      </c>
      <c r="E1793" s="97"/>
      <c r="F1793" s="97"/>
      <c r="G1793" s="1"/>
      <c r="H1793" s="18" t="s">
        <v>1066</v>
      </c>
      <c r="I1793" s="98">
        <v>1</v>
      </c>
      <c r="J1793" s="99"/>
      <c r="K1793" s="19">
        <f>ROUND(K1802,2)</f>
        <v>3240</v>
      </c>
      <c r="L1793" s="2" t="s">
        <v>1662</v>
      </c>
      <c r="M1793" s="1"/>
      <c r="N1793" s="1"/>
      <c r="O1793" s="1"/>
      <c r="P1793" s="1"/>
      <c r="Q1793" s="1"/>
      <c r="R1793" s="1"/>
      <c r="S1793" s="1"/>
      <c r="T1793" s="1"/>
      <c r="U1793" s="1"/>
      <c r="V1793" s="1"/>
      <c r="W1793" s="1"/>
      <c r="X1793" s="1"/>
      <c r="Y1793" s="1"/>
      <c r="Z1793" s="1"/>
      <c r="AA1793" s="1"/>
    </row>
    <row r="1794" spans="1:27" x14ac:dyDescent="0.2">
      <c r="B1794" s="14" t="s">
        <v>1068</v>
      </c>
    </row>
    <row r="1795" spans="1:27" x14ac:dyDescent="0.2">
      <c r="B1795" t="s">
        <v>1486</v>
      </c>
      <c r="C1795" t="s">
        <v>1070</v>
      </c>
      <c r="D1795" t="s">
        <v>1487</v>
      </c>
      <c r="E1795" s="20">
        <v>35</v>
      </c>
      <c r="F1795" t="s">
        <v>1072</v>
      </c>
      <c r="G1795" t="s">
        <v>1073</v>
      </c>
      <c r="H1795" s="21">
        <v>43.38</v>
      </c>
      <c r="I1795" t="s">
        <v>1074</v>
      </c>
      <c r="J1795" s="22">
        <f>ROUND(E1795/I1793* H1795,5)</f>
        <v>1518.3</v>
      </c>
      <c r="K1795" s="23"/>
    </row>
    <row r="1796" spans="1:27" x14ac:dyDescent="0.2">
      <c r="B1796" t="s">
        <v>1483</v>
      </c>
      <c r="C1796" t="s">
        <v>1070</v>
      </c>
      <c r="D1796" t="s">
        <v>1484</v>
      </c>
      <c r="E1796" s="20">
        <v>35.536799999999999</v>
      </c>
      <c r="F1796" t="s">
        <v>1072</v>
      </c>
      <c r="G1796" t="s">
        <v>1073</v>
      </c>
      <c r="H1796" s="21">
        <v>38.840000000000003</v>
      </c>
      <c r="I1796" t="s">
        <v>1074</v>
      </c>
      <c r="J1796" s="22">
        <f>ROUND(E1796/I1793* H1796,5)</f>
        <v>1380.2493099999999</v>
      </c>
      <c r="K1796" s="23"/>
    </row>
    <row r="1797" spans="1:27" x14ac:dyDescent="0.2">
      <c r="D1797" s="24" t="s">
        <v>1075</v>
      </c>
      <c r="E1797" s="23"/>
      <c r="H1797" s="23"/>
      <c r="K1797" s="21">
        <f>SUM(J1795:J1796)</f>
        <v>2898.5493099999999</v>
      </c>
    </row>
    <row r="1798" spans="1:27" x14ac:dyDescent="0.2">
      <c r="E1798" s="23"/>
      <c r="H1798" s="23"/>
      <c r="K1798" s="23"/>
    </row>
    <row r="1799" spans="1:27" x14ac:dyDescent="0.2">
      <c r="D1799" s="24" t="s">
        <v>1092</v>
      </c>
      <c r="E1799" s="23"/>
      <c r="H1799" s="23">
        <v>3.5</v>
      </c>
      <c r="I1799" t="s">
        <v>1093</v>
      </c>
      <c r="J1799">
        <f>ROUND(H1799/100*K1797,5)</f>
        <v>101.44923</v>
      </c>
      <c r="K1799" s="23"/>
    </row>
    <row r="1800" spans="1:27" x14ac:dyDescent="0.2">
      <c r="D1800" s="24" t="s">
        <v>1091</v>
      </c>
      <c r="E1800" s="23"/>
      <c r="H1800" s="23"/>
      <c r="K1800" s="25">
        <f>SUM(J1794:J1799)</f>
        <v>2999.99854</v>
      </c>
    </row>
    <row r="1801" spans="1:27" x14ac:dyDescent="0.2">
      <c r="D1801" s="24" t="s">
        <v>1142</v>
      </c>
      <c r="E1801" s="23"/>
      <c r="H1801" s="23">
        <v>8</v>
      </c>
      <c r="I1801" t="s">
        <v>1093</v>
      </c>
      <c r="K1801" s="21">
        <f>ROUND(H1801/100*K1800,5)</f>
        <v>239.99987999999999</v>
      </c>
    </row>
    <row r="1802" spans="1:27" x14ac:dyDescent="0.2">
      <c r="D1802" s="24" t="s">
        <v>1094</v>
      </c>
      <c r="E1802" s="23"/>
      <c r="H1802" s="23"/>
      <c r="K1802" s="25">
        <f>SUM(K1800:K1801)</f>
        <v>3239.9984199999999</v>
      </c>
    </row>
    <row r="1804" spans="1:27" ht="45" customHeight="1" x14ac:dyDescent="0.2">
      <c r="A1804" s="17" t="s">
        <v>1669</v>
      </c>
      <c r="B1804" s="17" t="s">
        <v>203</v>
      </c>
      <c r="C1804" s="1" t="s">
        <v>23</v>
      </c>
      <c r="D1804" s="96" t="s">
        <v>204</v>
      </c>
      <c r="E1804" s="97"/>
      <c r="F1804" s="97"/>
      <c r="G1804" s="1"/>
      <c r="H1804" s="18" t="s">
        <v>1066</v>
      </c>
      <c r="I1804" s="98">
        <v>1</v>
      </c>
      <c r="J1804" s="99"/>
      <c r="K1804" s="19">
        <v>1283.04</v>
      </c>
      <c r="L1804" s="2" t="s">
        <v>1664</v>
      </c>
      <c r="M1804" s="1"/>
      <c r="N1804" s="1"/>
      <c r="O1804" s="1"/>
      <c r="P1804" s="1"/>
      <c r="Q1804" s="1"/>
      <c r="R1804" s="1"/>
      <c r="S1804" s="1"/>
      <c r="T1804" s="1"/>
      <c r="U1804" s="1"/>
      <c r="V1804" s="1"/>
      <c r="W1804" s="1"/>
      <c r="X1804" s="1"/>
      <c r="Y1804" s="1"/>
      <c r="Z1804" s="1"/>
      <c r="AA1804" s="1"/>
    </row>
    <row r="1805" spans="1:27" ht="45" customHeight="1" x14ac:dyDescent="0.2">
      <c r="A1805" s="17" t="s">
        <v>1671</v>
      </c>
      <c r="B1805" s="17" t="s">
        <v>205</v>
      </c>
      <c r="C1805" s="1" t="s">
        <v>23</v>
      </c>
      <c r="D1805" s="96" t="s">
        <v>206</v>
      </c>
      <c r="E1805" s="97"/>
      <c r="F1805" s="97"/>
      <c r="G1805" s="1"/>
      <c r="H1805" s="18" t="s">
        <v>1066</v>
      </c>
      <c r="I1805" s="98">
        <v>1</v>
      </c>
      <c r="J1805" s="99"/>
      <c r="K1805" s="19">
        <v>570.24</v>
      </c>
      <c r="L1805" s="2" t="s">
        <v>1666</v>
      </c>
      <c r="M1805" s="1"/>
      <c r="N1805" s="1"/>
      <c r="O1805" s="1"/>
      <c r="P1805" s="1"/>
      <c r="Q1805" s="1"/>
      <c r="R1805" s="1"/>
      <c r="S1805" s="1"/>
      <c r="T1805" s="1"/>
      <c r="U1805" s="1"/>
      <c r="V1805" s="1"/>
      <c r="W1805" s="1"/>
      <c r="X1805" s="1"/>
      <c r="Y1805" s="1"/>
      <c r="Z1805" s="1"/>
      <c r="AA1805" s="1"/>
    </row>
    <row r="1806" spans="1:27" ht="45" customHeight="1" x14ac:dyDescent="0.2">
      <c r="A1806" s="17" t="s">
        <v>1673</v>
      </c>
      <c r="B1806" s="17" t="s">
        <v>207</v>
      </c>
      <c r="C1806" s="1" t="s">
        <v>23</v>
      </c>
      <c r="D1806" s="96" t="s">
        <v>208</v>
      </c>
      <c r="E1806" s="97"/>
      <c r="F1806" s="97"/>
      <c r="G1806" s="1"/>
      <c r="H1806" s="18" t="s">
        <v>1066</v>
      </c>
      <c r="I1806" s="98">
        <v>1</v>
      </c>
      <c r="J1806" s="99"/>
      <c r="K1806" s="19">
        <v>617.76</v>
      </c>
      <c r="L1806" s="2" t="s">
        <v>1668</v>
      </c>
      <c r="M1806" s="1"/>
      <c r="N1806" s="1"/>
      <c r="O1806" s="1"/>
      <c r="P1806" s="1"/>
      <c r="Q1806" s="1"/>
      <c r="R1806" s="1"/>
      <c r="S1806" s="1"/>
      <c r="T1806" s="1"/>
      <c r="U1806" s="1"/>
      <c r="V1806" s="1"/>
      <c r="W1806" s="1"/>
      <c r="X1806" s="1"/>
      <c r="Y1806" s="1"/>
      <c r="Z1806" s="1"/>
      <c r="AA1806" s="1"/>
    </row>
    <row r="1807" spans="1:27" ht="45" customHeight="1" x14ac:dyDescent="0.2">
      <c r="A1807" s="17" t="s">
        <v>1675</v>
      </c>
      <c r="B1807" s="17" t="s">
        <v>209</v>
      </c>
      <c r="C1807" s="1" t="s">
        <v>23</v>
      </c>
      <c r="D1807" s="96" t="s">
        <v>210</v>
      </c>
      <c r="E1807" s="97"/>
      <c r="F1807" s="97"/>
      <c r="G1807" s="1"/>
      <c r="H1807" s="18" t="s">
        <v>1066</v>
      </c>
      <c r="I1807" s="98">
        <v>1</v>
      </c>
      <c r="J1807" s="99"/>
      <c r="K1807" s="19">
        <v>1544.4</v>
      </c>
      <c r="L1807" s="2" t="s">
        <v>1670</v>
      </c>
      <c r="M1807" s="1"/>
      <c r="N1807" s="1"/>
      <c r="O1807" s="1"/>
      <c r="P1807" s="1"/>
      <c r="Q1807" s="1"/>
      <c r="R1807" s="1"/>
      <c r="S1807" s="1"/>
      <c r="T1807" s="1"/>
      <c r="U1807" s="1"/>
      <c r="V1807" s="1"/>
      <c r="W1807" s="1"/>
      <c r="X1807" s="1"/>
      <c r="Y1807" s="1"/>
      <c r="Z1807" s="1"/>
      <c r="AA1807" s="1"/>
    </row>
    <row r="1808" spans="1:27" ht="45" customHeight="1" x14ac:dyDescent="0.2">
      <c r="A1808" s="17" t="s">
        <v>1677</v>
      </c>
      <c r="B1808" s="17" t="s">
        <v>211</v>
      </c>
      <c r="C1808" s="1" t="s">
        <v>23</v>
      </c>
      <c r="D1808" s="96" t="s">
        <v>212</v>
      </c>
      <c r="E1808" s="97"/>
      <c r="F1808" s="97"/>
      <c r="G1808" s="1"/>
      <c r="H1808" s="18" t="s">
        <v>1066</v>
      </c>
      <c r="I1808" s="98">
        <v>1</v>
      </c>
      <c r="J1808" s="99"/>
      <c r="K1808" s="19">
        <v>1140.48</v>
      </c>
      <c r="L1808" s="2" t="s">
        <v>1672</v>
      </c>
      <c r="M1808" s="1"/>
      <c r="N1808" s="1"/>
      <c r="O1808" s="1"/>
      <c r="P1808" s="1"/>
      <c r="Q1808" s="1"/>
      <c r="R1808" s="1"/>
      <c r="S1808" s="1"/>
      <c r="T1808" s="1"/>
      <c r="U1808" s="1"/>
      <c r="V1808" s="1"/>
      <c r="W1808" s="1"/>
      <c r="X1808" s="1"/>
      <c r="Y1808" s="1"/>
      <c r="Z1808" s="1"/>
      <c r="AA1808" s="1"/>
    </row>
    <row r="1809" spans="1:27" ht="45" customHeight="1" x14ac:dyDescent="0.2">
      <c r="A1809" s="17" t="s">
        <v>1679</v>
      </c>
      <c r="B1809" s="17" t="s">
        <v>213</v>
      </c>
      <c r="C1809" s="1" t="s">
        <v>23</v>
      </c>
      <c r="D1809" s="96" t="s">
        <v>214</v>
      </c>
      <c r="E1809" s="97"/>
      <c r="F1809" s="97"/>
      <c r="G1809" s="1"/>
      <c r="H1809" s="18" t="s">
        <v>1066</v>
      </c>
      <c r="I1809" s="98">
        <v>1</v>
      </c>
      <c r="J1809" s="99"/>
      <c r="K1809" s="19">
        <v>1283.04</v>
      </c>
      <c r="L1809" s="2" t="s">
        <v>1674</v>
      </c>
      <c r="M1809" s="1"/>
      <c r="N1809" s="1"/>
      <c r="O1809" s="1"/>
      <c r="P1809" s="1"/>
      <c r="Q1809" s="1"/>
      <c r="R1809" s="1"/>
      <c r="S1809" s="1"/>
      <c r="T1809" s="1"/>
      <c r="U1809" s="1"/>
      <c r="V1809" s="1"/>
      <c r="W1809" s="1"/>
      <c r="X1809" s="1"/>
      <c r="Y1809" s="1"/>
      <c r="Z1809" s="1"/>
      <c r="AA1809" s="1"/>
    </row>
    <row r="1810" spans="1:27" ht="45" customHeight="1" x14ac:dyDescent="0.2">
      <c r="A1810" s="17" t="s">
        <v>1681</v>
      </c>
      <c r="B1810" s="17" t="s">
        <v>215</v>
      </c>
      <c r="C1810" s="1" t="s">
        <v>23</v>
      </c>
      <c r="D1810" s="96" t="s">
        <v>216</v>
      </c>
      <c r="E1810" s="97"/>
      <c r="F1810" s="97"/>
      <c r="G1810" s="1"/>
      <c r="H1810" s="18" t="s">
        <v>1066</v>
      </c>
      <c r="I1810" s="98">
        <v>1</v>
      </c>
      <c r="J1810" s="99"/>
      <c r="K1810" s="19">
        <v>570.24</v>
      </c>
      <c r="L1810" s="2" t="s">
        <v>1676</v>
      </c>
      <c r="M1810" s="1"/>
      <c r="N1810" s="1"/>
      <c r="O1810" s="1"/>
      <c r="P1810" s="1"/>
      <c r="Q1810" s="1"/>
      <c r="R1810" s="1"/>
      <c r="S1810" s="1"/>
      <c r="T1810" s="1"/>
      <c r="U1810" s="1"/>
      <c r="V1810" s="1"/>
      <c r="W1810" s="1"/>
      <c r="X1810" s="1"/>
      <c r="Y1810" s="1"/>
      <c r="Z1810" s="1"/>
      <c r="AA1810" s="1"/>
    </row>
    <row r="1811" spans="1:27" ht="45" customHeight="1" x14ac:dyDescent="0.2">
      <c r="A1811" s="17" t="s">
        <v>1683</v>
      </c>
      <c r="B1811" s="17" t="s">
        <v>217</v>
      </c>
      <c r="C1811" s="1" t="s">
        <v>23</v>
      </c>
      <c r="D1811" s="96" t="s">
        <v>218</v>
      </c>
      <c r="E1811" s="97"/>
      <c r="F1811" s="97"/>
      <c r="G1811" s="1"/>
      <c r="H1811" s="18" t="s">
        <v>1066</v>
      </c>
      <c r="I1811" s="98">
        <v>1</v>
      </c>
      <c r="J1811" s="99"/>
      <c r="K1811" s="19">
        <v>1140.48</v>
      </c>
      <c r="L1811" s="2" t="s">
        <v>1678</v>
      </c>
      <c r="M1811" s="1"/>
      <c r="N1811" s="1"/>
      <c r="O1811" s="1"/>
      <c r="P1811" s="1"/>
      <c r="Q1811" s="1"/>
      <c r="R1811" s="1"/>
      <c r="S1811" s="1"/>
      <c r="T1811" s="1"/>
      <c r="U1811" s="1"/>
      <c r="V1811" s="1"/>
      <c r="W1811" s="1"/>
      <c r="X1811" s="1"/>
      <c r="Y1811" s="1"/>
      <c r="Z1811" s="1"/>
      <c r="AA1811" s="1"/>
    </row>
    <row r="1812" spans="1:27" ht="45" customHeight="1" x14ac:dyDescent="0.2">
      <c r="A1812" s="17" t="s">
        <v>1685</v>
      </c>
      <c r="B1812" s="17" t="s">
        <v>219</v>
      </c>
      <c r="C1812" s="1" t="s">
        <v>23</v>
      </c>
      <c r="D1812" s="96" t="s">
        <v>220</v>
      </c>
      <c r="E1812" s="97"/>
      <c r="F1812" s="97"/>
      <c r="G1812" s="1"/>
      <c r="H1812" s="18" t="s">
        <v>1066</v>
      </c>
      <c r="I1812" s="98">
        <v>1</v>
      </c>
      <c r="J1812" s="99"/>
      <c r="K1812" s="19">
        <v>388.8</v>
      </c>
      <c r="L1812" s="2" t="s">
        <v>1680</v>
      </c>
      <c r="M1812" s="1"/>
      <c r="N1812" s="1"/>
      <c r="O1812" s="1"/>
      <c r="P1812" s="1"/>
      <c r="Q1812" s="1"/>
      <c r="R1812" s="1"/>
      <c r="S1812" s="1"/>
      <c r="T1812" s="1"/>
      <c r="U1812" s="1"/>
      <c r="V1812" s="1"/>
      <c r="W1812" s="1"/>
      <c r="X1812" s="1"/>
      <c r="Y1812" s="1"/>
      <c r="Z1812" s="1"/>
      <c r="AA1812" s="1"/>
    </row>
    <row r="1813" spans="1:27" ht="45" customHeight="1" x14ac:dyDescent="0.2">
      <c r="A1813" s="17" t="s">
        <v>1687</v>
      </c>
      <c r="B1813" s="17" t="s">
        <v>193</v>
      </c>
      <c r="C1813" s="1" t="s">
        <v>23</v>
      </c>
      <c r="D1813" s="96" t="s">
        <v>194</v>
      </c>
      <c r="E1813" s="97"/>
      <c r="F1813" s="97"/>
      <c r="G1813" s="1"/>
      <c r="H1813" s="18" t="s">
        <v>1066</v>
      </c>
      <c r="I1813" s="98">
        <v>1</v>
      </c>
      <c r="J1813" s="99"/>
      <c r="K1813" s="19">
        <v>570.24</v>
      </c>
      <c r="L1813" s="2" t="s">
        <v>1682</v>
      </c>
      <c r="M1813" s="1"/>
      <c r="N1813" s="1"/>
      <c r="O1813" s="1"/>
      <c r="P1813" s="1"/>
      <c r="Q1813" s="1"/>
      <c r="R1813" s="1"/>
      <c r="S1813" s="1"/>
      <c r="T1813" s="1"/>
      <c r="U1813" s="1"/>
      <c r="V1813" s="1"/>
      <c r="W1813" s="1"/>
      <c r="X1813" s="1"/>
      <c r="Y1813" s="1"/>
      <c r="Z1813" s="1"/>
      <c r="AA1813" s="1"/>
    </row>
    <row r="1814" spans="1:27" ht="45" customHeight="1" x14ac:dyDescent="0.2">
      <c r="A1814" s="17" t="s">
        <v>1689</v>
      </c>
      <c r="B1814" s="17" t="s">
        <v>195</v>
      </c>
      <c r="C1814" s="1" t="s">
        <v>23</v>
      </c>
      <c r="D1814" s="96" t="s">
        <v>196</v>
      </c>
      <c r="E1814" s="97"/>
      <c r="F1814" s="97"/>
      <c r="G1814" s="1"/>
      <c r="H1814" s="18" t="s">
        <v>1066</v>
      </c>
      <c r="I1814" s="98">
        <v>1</v>
      </c>
      <c r="J1814" s="99"/>
      <c r="K1814" s="19">
        <v>570.24</v>
      </c>
      <c r="L1814" s="2" t="s">
        <v>1684</v>
      </c>
      <c r="M1814" s="1"/>
      <c r="N1814" s="1"/>
      <c r="O1814" s="1"/>
      <c r="P1814" s="1"/>
      <c r="Q1814" s="1"/>
      <c r="R1814" s="1"/>
      <c r="S1814" s="1"/>
      <c r="T1814" s="1"/>
      <c r="U1814" s="1"/>
      <c r="V1814" s="1"/>
      <c r="W1814" s="1"/>
      <c r="X1814" s="1"/>
      <c r="Y1814" s="1"/>
      <c r="Z1814" s="1"/>
      <c r="AA1814" s="1"/>
    </row>
    <row r="1815" spans="1:27" ht="45" customHeight="1" x14ac:dyDescent="0.2">
      <c r="A1815" s="17" t="s">
        <v>1691</v>
      </c>
      <c r="B1815" s="17" t="s">
        <v>197</v>
      </c>
      <c r="C1815" s="1" t="s">
        <v>23</v>
      </c>
      <c r="D1815" s="96" t="s">
        <v>198</v>
      </c>
      <c r="E1815" s="97"/>
      <c r="F1815" s="97"/>
      <c r="G1815" s="1"/>
      <c r="H1815" s="18" t="s">
        <v>1066</v>
      </c>
      <c r="I1815" s="98">
        <v>1</v>
      </c>
      <c r="J1815" s="99"/>
      <c r="K1815" s="19">
        <v>1283.04</v>
      </c>
      <c r="L1815" s="2" t="s">
        <v>1686</v>
      </c>
      <c r="M1815" s="1"/>
      <c r="N1815" s="1"/>
      <c r="O1815" s="1"/>
      <c r="P1815" s="1"/>
      <c r="Q1815" s="1"/>
      <c r="R1815" s="1"/>
      <c r="S1815" s="1"/>
      <c r="T1815" s="1"/>
      <c r="U1815" s="1"/>
      <c r="V1815" s="1"/>
      <c r="W1815" s="1"/>
      <c r="X1815" s="1"/>
      <c r="Y1815" s="1"/>
      <c r="Z1815" s="1"/>
      <c r="AA1815" s="1"/>
    </row>
    <row r="1816" spans="1:27" ht="45" customHeight="1" x14ac:dyDescent="0.2">
      <c r="A1816" s="17" t="s">
        <v>1693</v>
      </c>
      <c r="B1816" s="17" t="s">
        <v>199</v>
      </c>
      <c r="C1816" s="1" t="s">
        <v>23</v>
      </c>
      <c r="D1816" s="96" t="s">
        <v>200</v>
      </c>
      <c r="E1816" s="97"/>
      <c r="F1816" s="97"/>
      <c r="G1816" s="1"/>
      <c r="H1816" s="18" t="s">
        <v>1066</v>
      </c>
      <c r="I1816" s="98">
        <v>1</v>
      </c>
      <c r="J1816" s="99"/>
      <c r="K1816" s="19">
        <v>570.24</v>
      </c>
      <c r="L1816" s="2" t="s">
        <v>1688</v>
      </c>
      <c r="M1816" s="1"/>
      <c r="N1816" s="1"/>
      <c r="O1816" s="1"/>
      <c r="P1816" s="1"/>
      <c r="Q1816" s="1"/>
      <c r="R1816" s="1"/>
      <c r="S1816" s="1"/>
      <c r="T1816" s="1"/>
      <c r="U1816" s="1"/>
      <c r="V1816" s="1"/>
      <c r="W1816" s="1"/>
      <c r="X1816" s="1"/>
      <c r="Y1816" s="1"/>
      <c r="Z1816" s="1"/>
      <c r="AA1816" s="1"/>
    </row>
    <row r="1817" spans="1:27" ht="45" customHeight="1" x14ac:dyDescent="0.2">
      <c r="A1817" s="17" t="s">
        <v>1695</v>
      </c>
      <c r="B1817" s="17" t="s">
        <v>201</v>
      </c>
      <c r="C1817" s="1" t="s">
        <v>23</v>
      </c>
      <c r="D1817" s="96" t="s">
        <v>202</v>
      </c>
      <c r="E1817" s="97"/>
      <c r="F1817" s="97"/>
      <c r="G1817" s="1"/>
      <c r="H1817" s="18" t="s">
        <v>1066</v>
      </c>
      <c r="I1817" s="98">
        <v>1</v>
      </c>
      <c r="J1817" s="99"/>
      <c r="K1817" s="19">
        <v>336.96</v>
      </c>
      <c r="L1817" s="2" t="s">
        <v>1690</v>
      </c>
      <c r="M1817" s="1"/>
      <c r="N1817" s="1"/>
      <c r="O1817" s="1"/>
      <c r="P1817" s="1"/>
      <c r="Q1817" s="1"/>
      <c r="R1817" s="1"/>
      <c r="S1817" s="1"/>
      <c r="T1817" s="1"/>
      <c r="U1817" s="1"/>
      <c r="V1817" s="1"/>
      <c r="W1817" s="1"/>
      <c r="X1817" s="1"/>
      <c r="Y1817" s="1"/>
      <c r="Z1817" s="1"/>
      <c r="AA1817" s="1"/>
    </row>
    <row r="1818" spans="1:27" ht="45" customHeight="1" x14ac:dyDescent="0.2">
      <c r="A1818" s="17" t="s">
        <v>1697</v>
      </c>
      <c r="B1818" s="17" t="s">
        <v>181</v>
      </c>
      <c r="C1818" s="1" t="s">
        <v>23</v>
      </c>
      <c r="D1818" s="96" t="s">
        <v>182</v>
      </c>
      <c r="E1818" s="97"/>
      <c r="F1818" s="97"/>
      <c r="G1818" s="1"/>
      <c r="H1818" s="18" t="s">
        <v>1066</v>
      </c>
      <c r="I1818" s="98">
        <v>1</v>
      </c>
      <c r="J1818" s="99"/>
      <c r="K1818" s="19">
        <v>378</v>
      </c>
      <c r="L1818" s="2" t="s">
        <v>1692</v>
      </c>
      <c r="M1818" s="1"/>
      <c r="N1818" s="1"/>
      <c r="O1818" s="1"/>
      <c r="P1818" s="1"/>
      <c r="Q1818" s="1"/>
      <c r="R1818" s="1"/>
      <c r="S1818" s="1"/>
      <c r="T1818" s="1"/>
      <c r="U1818" s="1"/>
      <c r="V1818" s="1"/>
      <c r="W1818" s="1"/>
      <c r="X1818" s="1"/>
      <c r="Y1818" s="1"/>
      <c r="Z1818" s="1"/>
      <c r="AA1818" s="1"/>
    </row>
    <row r="1819" spans="1:27" ht="45" customHeight="1" x14ac:dyDescent="0.2">
      <c r="A1819" s="17" t="s">
        <v>1699</v>
      </c>
      <c r="B1819" s="17" t="s">
        <v>183</v>
      </c>
      <c r="C1819" s="1" t="s">
        <v>23</v>
      </c>
      <c r="D1819" s="96" t="s">
        <v>184</v>
      </c>
      <c r="E1819" s="97"/>
      <c r="F1819" s="97"/>
      <c r="G1819" s="1"/>
      <c r="H1819" s="18" t="s">
        <v>1066</v>
      </c>
      <c r="I1819" s="98">
        <v>1</v>
      </c>
      <c r="J1819" s="99"/>
      <c r="K1819" s="19">
        <v>570.24</v>
      </c>
      <c r="L1819" s="2" t="s">
        <v>1694</v>
      </c>
      <c r="M1819" s="1"/>
      <c r="N1819" s="1"/>
      <c r="O1819" s="1"/>
      <c r="P1819" s="1"/>
      <c r="Q1819" s="1"/>
      <c r="R1819" s="1"/>
      <c r="S1819" s="1"/>
      <c r="T1819" s="1"/>
      <c r="U1819" s="1"/>
      <c r="V1819" s="1"/>
      <c r="W1819" s="1"/>
      <c r="X1819" s="1"/>
      <c r="Y1819" s="1"/>
      <c r="Z1819" s="1"/>
      <c r="AA1819" s="1"/>
    </row>
    <row r="1820" spans="1:27" ht="45" customHeight="1" x14ac:dyDescent="0.2">
      <c r="A1820" s="17" t="s">
        <v>1701</v>
      </c>
      <c r="B1820" s="17" t="s">
        <v>185</v>
      </c>
      <c r="C1820" s="1" t="s">
        <v>23</v>
      </c>
      <c r="D1820" s="96" t="s">
        <v>186</v>
      </c>
      <c r="E1820" s="97"/>
      <c r="F1820" s="97"/>
      <c r="G1820" s="1"/>
      <c r="H1820" s="18" t="s">
        <v>1066</v>
      </c>
      <c r="I1820" s="98">
        <v>1</v>
      </c>
      <c r="J1820" s="99"/>
      <c r="K1820" s="19">
        <v>1140.48</v>
      </c>
      <c r="L1820" s="2" t="s">
        <v>1696</v>
      </c>
      <c r="M1820" s="1"/>
      <c r="N1820" s="1"/>
      <c r="O1820" s="1"/>
      <c r="P1820" s="1"/>
      <c r="Q1820" s="1"/>
      <c r="R1820" s="1"/>
      <c r="S1820" s="1"/>
      <c r="T1820" s="1"/>
      <c r="U1820" s="1"/>
      <c r="V1820" s="1"/>
      <c r="W1820" s="1"/>
      <c r="X1820" s="1"/>
      <c r="Y1820" s="1"/>
      <c r="Z1820" s="1"/>
      <c r="AA1820" s="1"/>
    </row>
    <row r="1821" spans="1:27" ht="45" customHeight="1" x14ac:dyDescent="0.2">
      <c r="A1821" s="17" t="s">
        <v>1703</v>
      </c>
      <c r="B1821" s="17" t="s">
        <v>187</v>
      </c>
      <c r="C1821" s="1" t="s">
        <v>23</v>
      </c>
      <c r="D1821" s="96" t="s">
        <v>188</v>
      </c>
      <c r="E1821" s="97"/>
      <c r="F1821" s="97"/>
      <c r="G1821" s="1"/>
      <c r="H1821" s="18" t="s">
        <v>1066</v>
      </c>
      <c r="I1821" s="98">
        <v>1</v>
      </c>
      <c r="J1821" s="99"/>
      <c r="K1821" s="19">
        <v>1140.48</v>
      </c>
      <c r="L1821" s="2" t="s">
        <v>1698</v>
      </c>
      <c r="M1821" s="1"/>
      <c r="N1821" s="1"/>
      <c r="O1821" s="1"/>
      <c r="P1821" s="1"/>
      <c r="Q1821" s="1"/>
      <c r="R1821" s="1"/>
      <c r="S1821" s="1"/>
      <c r="T1821" s="1"/>
      <c r="U1821" s="1"/>
      <c r="V1821" s="1"/>
      <c r="W1821" s="1"/>
      <c r="X1821" s="1"/>
      <c r="Y1821" s="1"/>
      <c r="Z1821" s="1"/>
      <c r="AA1821" s="1"/>
    </row>
    <row r="1822" spans="1:27" ht="45" customHeight="1" x14ac:dyDescent="0.2">
      <c r="A1822" s="17" t="s">
        <v>1705</v>
      </c>
      <c r="B1822" s="17" t="s">
        <v>189</v>
      </c>
      <c r="C1822" s="1" t="s">
        <v>23</v>
      </c>
      <c r="D1822" s="96" t="s">
        <v>190</v>
      </c>
      <c r="E1822" s="97"/>
      <c r="F1822" s="97"/>
      <c r="G1822" s="1"/>
      <c r="H1822" s="18" t="s">
        <v>1066</v>
      </c>
      <c r="I1822" s="98">
        <v>1</v>
      </c>
      <c r="J1822" s="99"/>
      <c r="K1822" s="19">
        <v>2566.08</v>
      </c>
      <c r="L1822" s="2" t="s">
        <v>1700</v>
      </c>
      <c r="M1822" s="1"/>
      <c r="N1822" s="1"/>
      <c r="O1822" s="1"/>
      <c r="P1822" s="1"/>
      <c r="Q1822" s="1"/>
      <c r="R1822" s="1"/>
      <c r="S1822" s="1"/>
      <c r="T1822" s="1"/>
      <c r="U1822" s="1"/>
      <c r="V1822" s="1"/>
      <c r="W1822" s="1"/>
      <c r="X1822" s="1"/>
      <c r="Y1822" s="1"/>
      <c r="Z1822" s="1"/>
      <c r="AA1822" s="1"/>
    </row>
    <row r="1823" spans="1:27" ht="45" customHeight="1" x14ac:dyDescent="0.2">
      <c r="A1823" s="17" t="s">
        <v>1707</v>
      </c>
      <c r="B1823" s="17" t="s">
        <v>191</v>
      </c>
      <c r="C1823" s="1" t="s">
        <v>23</v>
      </c>
      <c r="D1823" s="96" t="s">
        <v>192</v>
      </c>
      <c r="E1823" s="97"/>
      <c r="F1823" s="97"/>
      <c r="G1823" s="1"/>
      <c r="H1823" s="18" t="s">
        <v>1066</v>
      </c>
      <c r="I1823" s="98">
        <v>1</v>
      </c>
      <c r="J1823" s="99"/>
      <c r="K1823" s="19">
        <v>4656.96</v>
      </c>
      <c r="L1823" s="2" t="s">
        <v>1702</v>
      </c>
      <c r="M1823" s="1"/>
      <c r="N1823" s="1"/>
      <c r="O1823" s="1"/>
      <c r="P1823" s="1"/>
      <c r="Q1823" s="1"/>
      <c r="R1823" s="1"/>
      <c r="S1823" s="1"/>
      <c r="T1823" s="1"/>
      <c r="U1823" s="1"/>
      <c r="V1823" s="1"/>
      <c r="W1823" s="1"/>
      <c r="X1823" s="1"/>
      <c r="Y1823" s="1"/>
      <c r="Z1823" s="1"/>
      <c r="AA1823" s="1"/>
    </row>
    <row r="1824" spans="1:27" ht="45" customHeight="1" x14ac:dyDescent="0.2">
      <c r="A1824" s="17" t="s">
        <v>1709</v>
      </c>
      <c r="B1824" s="17" t="s">
        <v>255</v>
      </c>
      <c r="C1824" s="1" t="s">
        <v>23</v>
      </c>
      <c r="D1824" s="96" t="s">
        <v>256</v>
      </c>
      <c r="E1824" s="97"/>
      <c r="F1824" s="97"/>
      <c r="G1824" s="1"/>
      <c r="H1824" s="18" t="s">
        <v>1066</v>
      </c>
      <c r="I1824" s="98">
        <v>1</v>
      </c>
      <c r="J1824" s="99"/>
      <c r="K1824" s="19">
        <v>570.24</v>
      </c>
      <c r="L1824" s="2" t="s">
        <v>1704</v>
      </c>
      <c r="M1824" s="1"/>
      <c r="N1824" s="1"/>
      <c r="O1824" s="1"/>
      <c r="P1824" s="1"/>
      <c r="Q1824" s="1"/>
      <c r="R1824" s="1"/>
      <c r="S1824" s="1"/>
      <c r="T1824" s="1"/>
      <c r="U1824" s="1"/>
      <c r="V1824" s="1"/>
      <c r="W1824" s="1"/>
      <c r="X1824" s="1"/>
      <c r="Y1824" s="1"/>
      <c r="Z1824" s="1"/>
      <c r="AA1824" s="1"/>
    </row>
    <row r="1825" spans="1:27" ht="45" customHeight="1" x14ac:dyDescent="0.2">
      <c r="A1825" s="17" t="s">
        <v>1711</v>
      </c>
      <c r="B1825" s="17" t="s">
        <v>257</v>
      </c>
      <c r="C1825" s="1" t="s">
        <v>23</v>
      </c>
      <c r="D1825" s="96" t="s">
        <v>258</v>
      </c>
      <c r="E1825" s="97"/>
      <c r="F1825" s="97"/>
      <c r="G1825" s="1"/>
      <c r="H1825" s="18" t="s">
        <v>1066</v>
      </c>
      <c r="I1825" s="98">
        <v>1</v>
      </c>
      <c r="J1825" s="99"/>
      <c r="K1825" s="19">
        <v>522.72</v>
      </c>
      <c r="L1825" s="2" t="s">
        <v>1706</v>
      </c>
      <c r="M1825" s="1"/>
      <c r="N1825" s="1"/>
      <c r="O1825" s="1"/>
      <c r="P1825" s="1"/>
      <c r="Q1825" s="1"/>
      <c r="R1825" s="1"/>
      <c r="S1825" s="1"/>
      <c r="T1825" s="1"/>
      <c r="U1825" s="1"/>
      <c r="V1825" s="1"/>
      <c r="W1825" s="1"/>
      <c r="X1825" s="1"/>
      <c r="Y1825" s="1"/>
      <c r="Z1825" s="1"/>
      <c r="AA1825" s="1"/>
    </row>
    <row r="1826" spans="1:27" ht="45" customHeight="1" x14ac:dyDescent="0.2">
      <c r="A1826" s="17" t="s">
        <v>1713</v>
      </c>
      <c r="B1826" s="17" t="s">
        <v>259</v>
      </c>
      <c r="C1826" s="1" t="s">
        <v>23</v>
      </c>
      <c r="D1826" s="96" t="s">
        <v>260</v>
      </c>
      <c r="E1826" s="97"/>
      <c r="F1826" s="97"/>
      <c r="G1826" s="1"/>
      <c r="H1826" s="18" t="s">
        <v>1066</v>
      </c>
      <c r="I1826" s="98">
        <v>1</v>
      </c>
      <c r="J1826" s="99"/>
      <c r="K1826" s="19">
        <v>570.24</v>
      </c>
      <c r="L1826" s="2" t="s">
        <v>1708</v>
      </c>
      <c r="M1826" s="1"/>
      <c r="N1826" s="1"/>
      <c r="O1826" s="1"/>
      <c r="P1826" s="1"/>
      <c r="Q1826" s="1"/>
      <c r="R1826" s="1"/>
      <c r="S1826" s="1"/>
      <c r="T1826" s="1"/>
      <c r="U1826" s="1"/>
      <c r="V1826" s="1"/>
      <c r="W1826" s="1"/>
      <c r="X1826" s="1"/>
      <c r="Y1826" s="1"/>
      <c r="Z1826" s="1"/>
      <c r="AA1826" s="1"/>
    </row>
    <row r="1827" spans="1:27" ht="45" customHeight="1" x14ac:dyDescent="0.2">
      <c r="A1827" s="17" t="s">
        <v>1715</v>
      </c>
      <c r="B1827" s="17" t="s">
        <v>261</v>
      </c>
      <c r="C1827" s="1" t="s">
        <v>23</v>
      </c>
      <c r="D1827" s="96" t="s">
        <v>262</v>
      </c>
      <c r="E1827" s="97"/>
      <c r="F1827" s="97"/>
      <c r="G1827" s="1"/>
      <c r="H1827" s="18" t="s">
        <v>1066</v>
      </c>
      <c r="I1827" s="98">
        <v>1</v>
      </c>
      <c r="J1827" s="99"/>
      <c r="K1827" s="19">
        <v>570.24</v>
      </c>
      <c r="L1827" s="2" t="s">
        <v>1710</v>
      </c>
      <c r="M1827" s="1"/>
      <c r="N1827" s="1"/>
      <c r="O1827" s="1"/>
      <c r="P1827" s="1"/>
      <c r="Q1827" s="1"/>
      <c r="R1827" s="1"/>
      <c r="S1827" s="1"/>
      <c r="T1827" s="1"/>
      <c r="U1827" s="1"/>
      <c r="V1827" s="1"/>
      <c r="W1827" s="1"/>
      <c r="X1827" s="1"/>
      <c r="Y1827" s="1"/>
      <c r="Z1827" s="1"/>
      <c r="AA1827" s="1"/>
    </row>
    <row r="1828" spans="1:27" ht="45" customHeight="1" x14ac:dyDescent="0.2">
      <c r="A1828" s="17" t="s">
        <v>1717</v>
      </c>
      <c r="B1828" s="17" t="s">
        <v>263</v>
      </c>
      <c r="C1828" s="1" t="s">
        <v>23</v>
      </c>
      <c r="D1828" s="96" t="s">
        <v>264</v>
      </c>
      <c r="E1828" s="97"/>
      <c r="F1828" s="97"/>
      <c r="G1828" s="1"/>
      <c r="H1828" s="18" t="s">
        <v>1066</v>
      </c>
      <c r="I1828" s="98">
        <v>1</v>
      </c>
      <c r="J1828" s="99"/>
      <c r="K1828" s="19">
        <v>570.24</v>
      </c>
      <c r="L1828" s="2" t="s">
        <v>1712</v>
      </c>
      <c r="M1828" s="1"/>
      <c r="N1828" s="1"/>
      <c r="O1828" s="1"/>
      <c r="P1828" s="1"/>
      <c r="Q1828" s="1"/>
      <c r="R1828" s="1"/>
      <c r="S1828" s="1"/>
      <c r="T1828" s="1"/>
      <c r="U1828" s="1"/>
      <c r="V1828" s="1"/>
      <c r="W1828" s="1"/>
      <c r="X1828" s="1"/>
      <c r="Y1828" s="1"/>
      <c r="Z1828" s="1"/>
      <c r="AA1828" s="1"/>
    </row>
    <row r="1829" spans="1:27" ht="45" customHeight="1" x14ac:dyDescent="0.2">
      <c r="A1829" s="17" t="s">
        <v>1719</v>
      </c>
      <c r="B1829" s="17" t="s">
        <v>265</v>
      </c>
      <c r="C1829" s="1" t="s">
        <v>23</v>
      </c>
      <c r="D1829" s="96" t="s">
        <v>266</v>
      </c>
      <c r="E1829" s="97"/>
      <c r="F1829" s="97"/>
      <c r="G1829" s="1"/>
      <c r="H1829" s="18" t="s">
        <v>1066</v>
      </c>
      <c r="I1829" s="98">
        <v>1</v>
      </c>
      <c r="J1829" s="99"/>
      <c r="K1829" s="19">
        <v>855.36</v>
      </c>
      <c r="L1829" s="2" t="s">
        <v>1714</v>
      </c>
      <c r="M1829" s="1"/>
      <c r="N1829" s="1"/>
      <c r="O1829" s="1"/>
      <c r="P1829" s="1"/>
      <c r="Q1829" s="1"/>
      <c r="R1829" s="1"/>
      <c r="S1829" s="1"/>
      <c r="T1829" s="1"/>
      <c r="U1829" s="1"/>
      <c r="V1829" s="1"/>
      <c r="W1829" s="1"/>
      <c r="X1829" s="1"/>
      <c r="Y1829" s="1"/>
      <c r="Z1829" s="1"/>
      <c r="AA1829" s="1"/>
    </row>
    <row r="1830" spans="1:27" ht="45" customHeight="1" x14ac:dyDescent="0.2">
      <c r="A1830" s="17" t="s">
        <v>1721</v>
      </c>
      <c r="B1830" s="17" t="s">
        <v>267</v>
      </c>
      <c r="C1830" s="1" t="s">
        <v>23</v>
      </c>
      <c r="D1830" s="96" t="s">
        <v>268</v>
      </c>
      <c r="E1830" s="97"/>
      <c r="F1830" s="97"/>
      <c r="G1830" s="1"/>
      <c r="H1830" s="18" t="s">
        <v>1066</v>
      </c>
      <c r="I1830" s="98">
        <v>1</v>
      </c>
      <c r="J1830" s="99"/>
      <c r="K1830" s="19">
        <v>570.24</v>
      </c>
      <c r="L1830" s="2" t="s">
        <v>1716</v>
      </c>
      <c r="M1830" s="1"/>
      <c r="N1830" s="1"/>
      <c r="O1830" s="1"/>
      <c r="P1830" s="1"/>
      <c r="Q1830" s="1"/>
      <c r="R1830" s="1"/>
      <c r="S1830" s="1"/>
      <c r="T1830" s="1"/>
      <c r="U1830" s="1"/>
      <c r="V1830" s="1"/>
      <c r="W1830" s="1"/>
      <c r="X1830" s="1"/>
      <c r="Y1830" s="1"/>
      <c r="Z1830" s="1"/>
      <c r="AA1830" s="1"/>
    </row>
    <row r="1831" spans="1:27" ht="45" customHeight="1" x14ac:dyDescent="0.2">
      <c r="A1831" s="17" t="s">
        <v>1723</v>
      </c>
      <c r="B1831" s="17" t="s">
        <v>269</v>
      </c>
      <c r="C1831" s="1" t="s">
        <v>23</v>
      </c>
      <c r="D1831" s="96" t="s">
        <v>270</v>
      </c>
      <c r="E1831" s="97"/>
      <c r="F1831" s="97"/>
      <c r="G1831" s="1"/>
      <c r="H1831" s="18" t="s">
        <v>1066</v>
      </c>
      <c r="I1831" s="98">
        <v>1</v>
      </c>
      <c r="J1831" s="99"/>
      <c r="K1831" s="19">
        <v>142.56</v>
      </c>
      <c r="L1831" s="2" t="s">
        <v>1718</v>
      </c>
      <c r="M1831" s="1"/>
      <c r="N1831" s="1"/>
      <c r="O1831" s="1"/>
      <c r="P1831" s="1"/>
      <c r="Q1831" s="1"/>
      <c r="R1831" s="1"/>
      <c r="S1831" s="1"/>
      <c r="T1831" s="1"/>
      <c r="U1831" s="1"/>
      <c r="V1831" s="1"/>
      <c r="W1831" s="1"/>
      <c r="X1831" s="1"/>
      <c r="Y1831" s="1"/>
      <c r="Z1831" s="1"/>
      <c r="AA1831" s="1"/>
    </row>
    <row r="1832" spans="1:27" ht="45" customHeight="1" x14ac:dyDescent="0.2">
      <c r="A1832" s="17" t="s">
        <v>1725</v>
      </c>
      <c r="B1832" s="17" t="s">
        <v>271</v>
      </c>
      <c r="C1832" s="1" t="s">
        <v>23</v>
      </c>
      <c r="D1832" s="96" t="s">
        <v>272</v>
      </c>
      <c r="E1832" s="97"/>
      <c r="F1832" s="97"/>
      <c r="G1832" s="1"/>
      <c r="H1832" s="18" t="s">
        <v>1066</v>
      </c>
      <c r="I1832" s="98">
        <v>1</v>
      </c>
      <c r="J1832" s="99"/>
      <c r="K1832" s="19">
        <v>142.56</v>
      </c>
      <c r="L1832" s="2" t="s">
        <v>1720</v>
      </c>
      <c r="M1832" s="1"/>
      <c r="N1832" s="1"/>
      <c r="O1832" s="1"/>
      <c r="P1832" s="1"/>
      <c r="Q1832" s="1"/>
      <c r="R1832" s="1"/>
      <c r="S1832" s="1"/>
      <c r="T1832" s="1"/>
      <c r="U1832" s="1"/>
      <c r="V1832" s="1"/>
      <c r="W1832" s="1"/>
      <c r="X1832" s="1"/>
      <c r="Y1832" s="1"/>
      <c r="Z1832" s="1"/>
      <c r="AA1832" s="1"/>
    </row>
    <row r="1833" spans="1:27" ht="45" customHeight="1" x14ac:dyDescent="0.2">
      <c r="A1833" s="17" t="s">
        <v>1727</v>
      </c>
      <c r="B1833" s="17" t="s">
        <v>243</v>
      </c>
      <c r="C1833" s="1" t="s">
        <v>23</v>
      </c>
      <c r="D1833" s="96" t="s">
        <v>244</v>
      </c>
      <c r="E1833" s="97"/>
      <c r="F1833" s="97"/>
      <c r="G1833" s="1"/>
      <c r="H1833" s="18" t="s">
        <v>1066</v>
      </c>
      <c r="I1833" s="98">
        <v>1</v>
      </c>
      <c r="J1833" s="99"/>
      <c r="K1833" s="19">
        <v>570.24</v>
      </c>
      <c r="L1833" s="2" t="s">
        <v>1722</v>
      </c>
      <c r="M1833" s="1"/>
      <c r="N1833" s="1"/>
      <c r="O1833" s="1"/>
      <c r="P1833" s="1"/>
      <c r="Q1833" s="1"/>
      <c r="R1833" s="1"/>
      <c r="S1833" s="1"/>
      <c r="T1833" s="1"/>
      <c r="U1833" s="1"/>
      <c r="V1833" s="1"/>
      <c r="W1833" s="1"/>
      <c r="X1833" s="1"/>
      <c r="Y1833" s="1"/>
      <c r="Z1833" s="1"/>
      <c r="AA1833" s="1"/>
    </row>
    <row r="1834" spans="1:27" ht="45" customHeight="1" x14ac:dyDescent="0.2">
      <c r="A1834" s="17" t="s">
        <v>1729</v>
      </c>
      <c r="B1834" s="17" t="s">
        <v>245</v>
      </c>
      <c r="C1834" s="1" t="s">
        <v>23</v>
      </c>
      <c r="D1834" s="96" t="s">
        <v>246</v>
      </c>
      <c r="E1834" s="97"/>
      <c r="F1834" s="97"/>
      <c r="G1834" s="1"/>
      <c r="H1834" s="18" t="s">
        <v>1066</v>
      </c>
      <c r="I1834" s="98">
        <v>1</v>
      </c>
      <c r="J1834" s="99"/>
      <c r="K1834" s="19">
        <v>570.24</v>
      </c>
      <c r="L1834" s="2" t="s">
        <v>1724</v>
      </c>
      <c r="M1834" s="1"/>
      <c r="N1834" s="1"/>
      <c r="O1834" s="1"/>
      <c r="P1834" s="1"/>
      <c r="Q1834" s="1"/>
      <c r="R1834" s="1"/>
      <c r="S1834" s="1"/>
      <c r="T1834" s="1"/>
      <c r="U1834" s="1"/>
      <c r="V1834" s="1"/>
      <c r="W1834" s="1"/>
      <c r="X1834" s="1"/>
      <c r="Y1834" s="1"/>
      <c r="Z1834" s="1"/>
      <c r="AA1834" s="1"/>
    </row>
    <row r="1835" spans="1:27" ht="45" customHeight="1" x14ac:dyDescent="0.2">
      <c r="A1835" s="17" t="s">
        <v>1731</v>
      </c>
      <c r="B1835" s="17" t="s">
        <v>247</v>
      </c>
      <c r="C1835" s="1" t="s">
        <v>23</v>
      </c>
      <c r="D1835" s="96" t="s">
        <v>248</v>
      </c>
      <c r="E1835" s="97"/>
      <c r="F1835" s="97"/>
      <c r="G1835" s="1"/>
      <c r="H1835" s="18" t="s">
        <v>1066</v>
      </c>
      <c r="I1835" s="98">
        <v>1</v>
      </c>
      <c r="J1835" s="99"/>
      <c r="K1835" s="19">
        <v>570.24</v>
      </c>
      <c r="L1835" s="2" t="s">
        <v>1726</v>
      </c>
      <c r="M1835" s="1"/>
      <c r="N1835" s="1"/>
      <c r="O1835" s="1"/>
      <c r="P1835" s="1"/>
      <c r="Q1835" s="1"/>
      <c r="R1835" s="1"/>
      <c r="S1835" s="1"/>
      <c r="T1835" s="1"/>
      <c r="U1835" s="1"/>
      <c r="V1835" s="1"/>
      <c r="W1835" s="1"/>
      <c r="X1835" s="1"/>
      <c r="Y1835" s="1"/>
      <c r="Z1835" s="1"/>
      <c r="AA1835" s="1"/>
    </row>
    <row r="1836" spans="1:27" ht="45" customHeight="1" x14ac:dyDescent="0.2">
      <c r="A1836" s="17" t="s">
        <v>1733</v>
      </c>
      <c r="B1836" s="17" t="s">
        <v>249</v>
      </c>
      <c r="C1836" s="1" t="s">
        <v>23</v>
      </c>
      <c r="D1836" s="96" t="s">
        <v>250</v>
      </c>
      <c r="E1836" s="97"/>
      <c r="F1836" s="97"/>
      <c r="G1836" s="1"/>
      <c r="H1836" s="18" t="s">
        <v>1066</v>
      </c>
      <c r="I1836" s="98">
        <v>1</v>
      </c>
      <c r="J1836" s="99"/>
      <c r="K1836" s="19">
        <v>570.24</v>
      </c>
      <c r="L1836" s="2" t="s">
        <v>1728</v>
      </c>
      <c r="M1836" s="1"/>
      <c r="N1836" s="1"/>
      <c r="O1836" s="1"/>
      <c r="P1836" s="1"/>
      <c r="Q1836" s="1"/>
      <c r="R1836" s="1"/>
      <c r="S1836" s="1"/>
      <c r="T1836" s="1"/>
      <c r="U1836" s="1"/>
      <c r="V1836" s="1"/>
      <c r="W1836" s="1"/>
      <c r="X1836" s="1"/>
      <c r="Y1836" s="1"/>
      <c r="Z1836" s="1"/>
      <c r="AA1836" s="1"/>
    </row>
    <row r="1837" spans="1:27" ht="45" customHeight="1" x14ac:dyDescent="0.2">
      <c r="A1837" s="17" t="s">
        <v>1735</v>
      </c>
      <c r="B1837" s="17" t="s">
        <v>251</v>
      </c>
      <c r="C1837" s="1" t="s">
        <v>23</v>
      </c>
      <c r="D1837" s="96" t="s">
        <v>252</v>
      </c>
      <c r="E1837" s="97"/>
      <c r="F1837" s="97"/>
      <c r="G1837" s="1"/>
      <c r="H1837" s="18" t="s">
        <v>1066</v>
      </c>
      <c r="I1837" s="98">
        <v>1</v>
      </c>
      <c r="J1837" s="99"/>
      <c r="K1837" s="19">
        <v>1140.48</v>
      </c>
      <c r="L1837" s="2" t="s">
        <v>1730</v>
      </c>
      <c r="M1837" s="1"/>
      <c r="N1837" s="1"/>
      <c r="O1837" s="1"/>
      <c r="P1837" s="1"/>
      <c r="Q1837" s="1"/>
      <c r="R1837" s="1"/>
      <c r="S1837" s="1"/>
      <c r="T1837" s="1"/>
      <c r="U1837" s="1"/>
      <c r="V1837" s="1"/>
      <c r="W1837" s="1"/>
      <c r="X1837" s="1"/>
      <c r="Y1837" s="1"/>
      <c r="Z1837" s="1"/>
      <c r="AA1837" s="1"/>
    </row>
    <row r="1838" spans="1:27" ht="45" customHeight="1" x14ac:dyDescent="0.2">
      <c r="A1838" s="17" t="s">
        <v>1737</v>
      </c>
      <c r="B1838" s="17" t="s">
        <v>253</v>
      </c>
      <c r="C1838" s="1" t="s">
        <v>23</v>
      </c>
      <c r="D1838" s="96" t="s">
        <v>254</v>
      </c>
      <c r="E1838" s="97"/>
      <c r="F1838" s="97"/>
      <c r="G1838" s="1"/>
      <c r="H1838" s="18" t="s">
        <v>1066</v>
      </c>
      <c r="I1838" s="98">
        <v>1</v>
      </c>
      <c r="J1838" s="99"/>
      <c r="K1838" s="19">
        <v>311.04000000000002</v>
      </c>
      <c r="L1838" s="2" t="s">
        <v>1732</v>
      </c>
      <c r="M1838" s="1"/>
      <c r="N1838" s="1"/>
      <c r="O1838" s="1"/>
      <c r="P1838" s="1"/>
      <c r="Q1838" s="1"/>
      <c r="R1838" s="1"/>
      <c r="S1838" s="1"/>
      <c r="T1838" s="1"/>
      <c r="U1838" s="1"/>
      <c r="V1838" s="1"/>
      <c r="W1838" s="1"/>
      <c r="X1838" s="1"/>
      <c r="Y1838" s="1"/>
      <c r="Z1838" s="1"/>
      <c r="AA1838" s="1"/>
    </row>
    <row r="1839" spans="1:27" ht="45" customHeight="1" x14ac:dyDescent="0.2">
      <c r="A1839" s="17" t="s">
        <v>1739</v>
      </c>
      <c r="B1839" s="17" t="s">
        <v>273</v>
      </c>
      <c r="C1839" s="1" t="s">
        <v>23</v>
      </c>
      <c r="D1839" s="96" t="s">
        <v>274</v>
      </c>
      <c r="E1839" s="97"/>
      <c r="F1839" s="97"/>
      <c r="G1839" s="1"/>
      <c r="H1839" s="18" t="s">
        <v>1066</v>
      </c>
      <c r="I1839" s="98">
        <v>1</v>
      </c>
      <c r="J1839" s="99"/>
      <c r="K1839" s="19">
        <v>1853.28</v>
      </c>
      <c r="L1839" s="2" t="s">
        <v>1734</v>
      </c>
      <c r="M1839" s="1"/>
      <c r="N1839" s="1"/>
      <c r="O1839" s="1"/>
      <c r="P1839" s="1"/>
      <c r="Q1839" s="1"/>
      <c r="R1839" s="1"/>
      <c r="S1839" s="1"/>
      <c r="T1839" s="1"/>
      <c r="U1839" s="1"/>
      <c r="V1839" s="1"/>
      <c r="W1839" s="1"/>
      <c r="X1839" s="1"/>
      <c r="Y1839" s="1"/>
      <c r="Z1839" s="1"/>
      <c r="AA1839" s="1"/>
    </row>
    <row r="1840" spans="1:27" ht="45" customHeight="1" x14ac:dyDescent="0.2">
      <c r="A1840" s="17" t="s">
        <v>1741</v>
      </c>
      <c r="B1840" s="17" t="s">
        <v>275</v>
      </c>
      <c r="C1840" s="1" t="s">
        <v>23</v>
      </c>
      <c r="D1840" s="96" t="s">
        <v>276</v>
      </c>
      <c r="E1840" s="97"/>
      <c r="F1840" s="97"/>
      <c r="G1840" s="1"/>
      <c r="H1840" s="18" t="s">
        <v>1066</v>
      </c>
      <c r="I1840" s="98">
        <v>1</v>
      </c>
      <c r="J1840" s="99"/>
      <c r="K1840" s="19">
        <v>622.08000000000004</v>
      </c>
      <c r="L1840" s="2" t="s">
        <v>1736</v>
      </c>
      <c r="M1840" s="1"/>
      <c r="N1840" s="1"/>
      <c r="O1840" s="1"/>
      <c r="P1840" s="1"/>
      <c r="Q1840" s="1"/>
      <c r="R1840" s="1"/>
      <c r="S1840" s="1"/>
      <c r="T1840" s="1"/>
      <c r="U1840" s="1"/>
      <c r="V1840" s="1"/>
      <c r="W1840" s="1"/>
      <c r="X1840" s="1"/>
      <c r="Y1840" s="1"/>
      <c r="Z1840" s="1"/>
      <c r="AA1840" s="1"/>
    </row>
    <row r="1841" spans="1:27" ht="45" customHeight="1" x14ac:dyDescent="0.2">
      <c r="A1841" s="17" t="s">
        <v>1743</v>
      </c>
      <c r="B1841" s="17" t="s">
        <v>277</v>
      </c>
      <c r="C1841" s="1" t="s">
        <v>23</v>
      </c>
      <c r="D1841" s="96" t="s">
        <v>278</v>
      </c>
      <c r="E1841" s="97"/>
      <c r="F1841" s="97"/>
      <c r="G1841" s="1"/>
      <c r="H1841" s="18" t="s">
        <v>1066</v>
      </c>
      <c r="I1841" s="98">
        <v>1</v>
      </c>
      <c r="J1841" s="99"/>
      <c r="K1841" s="19">
        <v>349.92</v>
      </c>
      <c r="L1841" s="2" t="s">
        <v>1738</v>
      </c>
      <c r="M1841" s="1"/>
      <c r="N1841" s="1"/>
      <c r="O1841" s="1"/>
      <c r="P1841" s="1"/>
      <c r="Q1841" s="1"/>
      <c r="R1841" s="1"/>
      <c r="S1841" s="1"/>
      <c r="T1841" s="1"/>
      <c r="U1841" s="1"/>
      <c r="V1841" s="1"/>
      <c r="W1841" s="1"/>
      <c r="X1841" s="1"/>
      <c r="Y1841" s="1"/>
      <c r="Z1841" s="1"/>
      <c r="AA1841" s="1"/>
    </row>
    <row r="1842" spans="1:27" ht="45" customHeight="1" x14ac:dyDescent="0.2">
      <c r="A1842" s="17" t="s">
        <v>1745</v>
      </c>
      <c r="B1842" s="17" t="s">
        <v>279</v>
      </c>
      <c r="C1842" s="1" t="s">
        <v>23</v>
      </c>
      <c r="D1842" s="96" t="s">
        <v>280</v>
      </c>
      <c r="E1842" s="97"/>
      <c r="F1842" s="97"/>
      <c r="G1842" s="1"/>
      <c r="H1842" s="18" t="s">
        <v>1066</v>
      </c>
      <c r="I1842" s="98">
        <v>1</v>
      </c>
      <c r="J1842" s="99"/>
      <c r="K1842" s="19">
        <v>2071.44</v>
      </c>
      <c r="L1842" s="2" t="s">
        <v>1740</v>
      </c>
      <c r="M1842" s="1"/>
      <c r="N1842" s="1"/>
      <c r="O1842" s="1"/>
      <c r="P1842" s="1"/>
      <c r="Q1842" s="1"/>
      <c r="R1842" s="1"/>
      <c r="S1842" s="1"/>
      <c r="T1842" s="1"/>
      <c r="U1842" s="1"/>
      <c r="V1842" s="1"/>
      <c r="W1842" s="1"/>
      <c r="X1842" s="1"/>
      <c r="Y1842" s="1"/>
      <c r="Z1842" s="1"/>
      <c r="AA1842" s="1"/>
    </row>
    <row r="1843" spans="1:27" ht="45" customHeight="1" x14ac:dyDescent="0.2">
      <c r="A1843" s="17" t="s">
        <v>1747</v>
      </c>
      <c r="B1843" s="17" t="s">
        <v>241</v>
      </c>
      <c r="C1843" s="1" t="s">
        <v>23</v>
      </c>
      <c r="D1843" s="96" t="s">
        <v>242</v>
      </c>
      <c r="E1843" s="97"/>
      <c r="F1843" s="97"/>
      <c r="G1843" s="1"/>
      <c r="H1843" s="18" t="s">
        <v>1066</v>
      </c>
      <c r="I1843" s="98">
        <v>1</v>
      </c>
      <c r="J1843" s="99"/>
      <c r="K1843" s="19">
        <v>1995.84</v>
      </c>
      <c r="L1843" s="2" t="s">
        <v>1742</v>
      </c>
      <c r="M1843" s="1"/>
      <c r="N1843" s="1"/>
      <c r="O1843" s="1"/>
      <c r="P1843" s="1"/>
      <c r="Q1843" s="1"/>
      <c r="R1843" s="1"/>
      <c r="S1843" s="1"/>
      <c r="T1843" s="1"/>
      <c r="U1843" s="1"/>
      <c r="V1843" s="1"/>
      <c r="W1843" s="1"/>
      <c r="X1843" s="1"/>
      <c r="Y1843" s="1"/>
      <c r="Z1843" s="1"/>
      <c r="AA1843" s="1"/>
    </row>
    <row r="1844" spans="1:27" ht="45" customHeight="1" x14ac:dyDescent="0.2">
      <c r="A1844" s="17" t="s">
        <v>1749</v>
      </c>
      <c r="B1844" s="17" t="s">
        <v>223</v>
      </c>
      <c r="C1844" s="1" t="s">
        <v>23</v>
      </c>
      <c r="D1844" s="96" t="s">
        <v>224</v>
      </c>
      <c r="E1844" s="97"/>
      <c r="F1844" s="97"/>
      <c r="G1844" s="1"/>
      <c r="H1844" s="18" t="s">
        <v>1066</v>
      </c>
      <c r="I1844" s="98">
        <v>1</v>
      </c>
      <c r="J1844" s="99"/>
      <c r="K1844" s="19">
        <v>378</v>
      </c>
      <c r="L1844" s="2" t="s">
        <v>1744</v>
      </c>
      <c r="M1844" s="1"/>
      <c r="N1844" s="1"/>
      <c r="O1844" s="1"/>
      <c r="P1844" s="1"/>
      <c r="Q1844" s="1"/>
      <c r="R1844" s="1"/>
      <c r="S1844" s="1"/>
      <c r="T1844" s="1"/>
      <c r="U1844" s="1"/>
      <c r="V1844" s="1"/>
      <c r="W1844" s="1"/>
      <c r="X1844" s="1"/>
      <c r="Y1844" s="1"/>
      <c r="Z1844" s="1"/>
      <c r="AA1844" s="1"/>
    </row>
    <row r="1845" spans="1:27" ht="45" customHeight="1" x14ac:dyDescent="0.2">
      <c r="A1845" s="17" t="s">
        <v>1751</v>
      </c>
      <c r="B1845" s="17" t="s">
        <v>225</v>
      </c>
      <c r="C1845" s="1" t="s">
        <v>23</v>
      </c>
      <c r="D1845" s="96" t="s">
        <v>226</v>
      </c>
      <c r="E1845" s="97"/>
      <c r="F1845" s="97"/>
      <c r="G1845" s="1"/>
      <c r="H1845" s="18" t="s">
        <v>1066</v>
      </c>
      <c r="I1845" s="98">
        <v>1</v>
      </c>
      <c r="J1845" s="99"/>
      <c r="K1845" s="19">
        <v>1235.52</v>
      </c>
      <c r="L1845" s="2" t="s">
        <v>1746</v>
      </c>
      <c r="M1845" s="1"/>
      <c r="N1845" s="1"/>
      <c r="O1845" s="1"/>
      <c r="P1845" s="1"/>
      <c r="Q1845" s="1"/>
      <c r="R1845" s="1"/>
      <c r="S1845" s="1"/>
      <c r="T1845" s="1"/>
      <c r="U1845" s="1"/>
      <c r="V1845" s="1"/>
      <c r="W1845" s="1"/>
      <c r="X1845" s="1"/>
      <c r="Y1845" s="1"/>
      <c r="Z1845" s="1"/>
      <c r="AA1845" s="1"/>
    </row>
    <row r="1846" spans="1:27" ht="45" customHeight="1" x14ac:dyDescent="0.2">
      <c r="A1846" s="17" t="s">
        <v>1753</v>
      </c>
      <c r="B1846" s="17" t="s">
        <v>227</v>
      </c>
      <c r="C1846" s="1" t="s">
        <v>23</v>
      </c>
      <c r="D1846" s="96" t="s">
        <v>228</v>
      </c>
      <c r="E1846" s="97"/>
      <c r="F1846" s="97"/>
      <c r="G1846" s="1"/>
      <c r="H1846" s="18" t="s">
        <v>1066</v>
      </c>
      <c r="I1846" s="98">
        <v>1</v>
      </c>
      <c r="J1846" s="99"/>
      <c r="K1846" s="19">
        <v>1425.6</v>
      </c>
      <c r="L1846" s="2" t="s">
        <v>1748</v>
      </c>
      <c r="M1846" s="1"/>
      <c r="N1846" s="1"/>
      <c r="O1846" s="1"/>
      <c r="P1846" s="1"/>
      <c r="Q1846" s="1"/>
      <c r="R1846" s="1"/>
      <c r="S1846" s="1"/>
      <c r="T1846" s="1"/>
      <c r="U1846" s="1"/>
      <c r="V1846" s="1"/>
      <c r="W1846" s="1"/>
      <c r="X1846" s="1"/>
      <c r="Y1846" s="1"/>
      <c r="Z1846" s="1"/>
      <c r="AA1846" s="1"/>
    </row>
    <row r="1847" spans="1:27" ht="45" customHeight="1" x14ac:dyDescent="0.2">
      <c r="A1847" s="17" t="s">
        <v>1755</v>
      </c>
      <c r="B1847" s="17" t="s">
        <v>229</v>
      </c>
      <c r="C1847" s="1" t="s">
        <v>23</v>
      </c>
      <c r="D1847" s="96" t="s">
        <v>230</v>
      </c>
      <c r="E1847" s="97"/>
      <c r="F1847" s="97"/>
      <c r="G1847" s="1"/>
      <c r="H1847" s="18" t="s">
        <v>1066</v>
      </c>
      <c r="I1847" s="98">
        <v>1</v>
      </c>
      <c r="J1847" s="99"/>
      <c r="K1847" s="19">
        <v>216</v>
      </c>
      <c r="L1847" s="2" t="s">
        <v>1750</v>
      </c>
      <c r="M1847" s="1"/>
      <c r="N1847" s="1"/>
      <c r="O1847" s="1"/>
      <c r="P1847" s="1"/>
      <c r="Q1847" s="1"/>
      <c r="R1847" s="1"/>
      <c r="S1847" s="1"/>
      <c r="T1847" s="1"/>
      <c r="U1847" s="1"/>
      <c r="V1847" s="1"/>
      <c r="W1847" s="1"/>
      <c r="X1847" s="1"/>
      <c r="Y1847" s="1"/>
      <c r="Z1847" s="1"/>
      <c r="AA1847" s="1"/>
    </row>
    <row r="1848" spans="1:27" ht="45" customHeight="1" x14ac:dyDescent="0.2">
      <c r="A1848" s="17" t="s">
        <v>1757</v>
      </c>
      <c r="B1848" s="17" t="s">
        <v>231</v>
      </c>
      <c r="C1848" s="1" t="s">
        <v>23</v>
      </c>
      <c r="D1848" s="96" t="s">
        <v>232</v>
      </c>
      <c r="E1848" s="97"/>
      <c r="F1848" s="97"/>
      <c r="G1848" s="1"/>
      <c r="H1848" s="18" t="s">
        <v>1066</v>
      </c>
      <c r="I1848" s="98">
        <v>1</v>
      </c>
      <c r="J1848" s="99"/>
      <c r="K1848" s="19">
        <v>891</v>
      </c>
      <c r="L1848" s="2" t="s">
        <v>1752</v>
      </c>
      <c r="M1848" s="1"/>
      <c r="N1848" s="1"/>
      <c r="O1848" s="1"/>
      <c r="P1848" s="1"/>
      <c r="Q1848" s="1"/>
      <c r="R1848" s="1"/>
      <c r="S1848" s="1"/>
      <c r="T1848" s="1"/>
      <c r="U1848" s="1"/>
      <c r="V1848" s="1"/>
      <c r="W1848" s="1"/>
      <c r="X1848" s="1"/>
      <c r="Y1848" s="1"/>
      <c r="Z1848" s="1"/>
      <c r="AA1848" s="1"/>
    </row>
    <row r="1849" spans="1:27" ht="45" customHeight="1" x14ac:dyDescent="0.2">
      <c r="A1849" s="17" t="s">
        <v>1759</v>
      </c>
      <c r="B1849" s="17" t="s">
        <v>233</v>
      </c>
      <c r="C1849" s="1" t="s">
        <v>23</v>
      </c>
      <c r="D1849" s="96" t="s">
        <v>234</v>
      </c>
      <c r="E1849" s="97"/>
      <c r="F1849" s="97"/>
      <c r="G1849" s="1"/>
      <c r="H1849" s="18" t="s">
        <v>1066</v>
      </c>
      <c r="I1849" s="98">
        <v>1</v>
      </c>
      <c r="J1849" s="99"/>
      <c r="K1849" s="19">
        <v>570.24</v>
      </c>
      <c r="L1849" s="2" t="s">
        <v>1754</v>
      </c>
      <c r="M1849" s="1"/>
      <c r="N1849" s="1"/>
      <c r="O1849" s="1"/>
      <c r="P1849" s="1"/>
      <c r="Q1849" s="1"/>
      <c r="R1849" s="1"/>
      <c r="S1849" s="1"/>
      <c r="T1849" s="1"/>
      <c r="U1849" s="1"/>
      <c r="V1849" s="1"/>
      <c r="W1849" s="1"/>
      <c r="X1849" s="1"/>
      <c r="Y1849" s="1"/>
      <c r="Z1849" s="1"/>
      <c r="AA1849" s="1"/>
    </row>
    <row r="1850" spans="1:27" ht="45" customHeight="1" x14ac:dyDescent="0.2">
      <c r="A1850" s="17" t="s">
        <v>1761</v>
      </c>
      <c r="B1850" s="17" t="s">
        <v>235</v>
      </c>
      <c r="C1850" s="1" t="s">
        <v>23</v>
      </c>
      <c r="D1850" s="96" t="s">
        <v>236</v>
      </c>
      <c r="E1850" s="97"/>
      <c r="F1850" s="97"/>
      <c r="G1850" s="1"/>
      <c r="H1850" s="18" t="s">
        <v>1066</v>
      </c>
      <c r="I1850" s="98">
        <v>1</v>
      </c>
      <c r="J1850" s="99"/>
      <c r="K1850" s="19">
        <v>641.52</v>
      </c>
      <c r="L1850" s="2" t="s">
        <v>1756</v>
      </c>
      <c r="M1850" s="1"/>
      <c r="N1850" s="1"/>
      <c r="O1850" s="1"/>
      <c r="P1850" s="1"/>
      <c r="Q1850" s="1"/>
      <c r="R1850" s="1"/>
      <c r="S1850" s="1"/>
      <c r="T1850" s="1"/>
      <c r="U1850" s="1"/>
      <c r="V1850" s="1"/>
      <c r="W1850" s="1"/>
      <c r="X1850" s="1"/>
      <c r="Y1850" s="1"/>
      <c r="Z1850" s="1"/>
      <c r="AA1850" s="1"/>
    </row>
    <row r="1851" spans="1:27" ht="45" customHeight="1" x14ac:dyDescent="0.2">
      <c r="A1851" s="17" t="s">
        <v>1763</v>
      </c>
      <c r="B1851" s="17" t="s">
        <v>237</v>
      </c>
      <c r="C1851" s="1" t="s">
        <v>23</v>
      </c>
      <c r="D1851" s="96" t="s">
        <v>238</v>
      </c>
      <c r="E1851" s="97"/>
      <c r="F1851" s="97"/>
      <c r="G1851" s="1"/>
      <c r="H1851" s="18" t="s">
        <v>1066</v>
      </c>
      <c r="I1851" s="98">
        <v>1</v>
      </c>
      <c r="J1851" s="99"/>
      <c r="K1851" s="19">
        <v>1995.84</v>
      </c>
      <c r="L1851" s="2" t="s">
        <v>1758</v>
      </c>
      <c r="M1851" s="1"/>
      <c r="N1851" s="1"/>
      <c r="O1851" s="1"/>
      <c r="P1851" s="1"/>
      <c r="Q1851" s="1"/>
      <c r="R1851" s="1"/>
      <c r="S1851" s="1"/>
      <c r="T1851" s="1"/>
      <c r="U1851" s="1"/>
      <c r="V1851" s="1"/>
      <c r="W1851" s="1"/>
      <c r="X1851" s="1"/>
      <c r="Y1851" s="1"/>
      <c r="Z1851" s="1"/>
      <c r="AA1851" s="1"/>
    </row>
    <row r="1852" spans="1:27" ht="45" customHeight="1" x14ac:dyDescent="0.2">
      <c r="A1852" s="17" t="s">
        <v>1765</v>
      </c>
      <c r="B1852" s="17" t="s">
        <v>239</v>
      </c>
      <c r="C1852" s="1" t="s">
        <v>23</v>
      </c>
      <c r="D1852" s="96" t="s">
        <v>240</v>
      </c>
      <c r="E1852" s="97"/>
      <c r="F1852" s="97"/>
      <c r="G1852" s="1"/>
      <c r="H1852" s="18" t="s">
        <v>1066</v>
      </c>
      <c r="I1852" s="98">
        <v>1</v>
      </c>
      <c r="J1852" s="99"/>
      <c r="K1852" s="19">
        <v>673.92</v>
      </c>
      <c r="L1852" s="2" t="s">
        <v>1760</v>
      </c>
      <c r="M1852" s="1"/>
      <c r="N1852" s="1"/>
      <c r="O1852" s="1"/>
      <c r="P1852" s="1"/>
      <c r="Q1852" s="1"/>
      <c r="R1852" s="1"/>
      <c r="S1852" s="1"/>
      <c r="T1852" s="1"/>
      <c r="U1852" s="1"/>
      <c r="V1852" s="1"/>
      <c r="W1852" s="1"/>
      <c r="X1852" s="1"/>
      <c r="Y1852" s="1"/>
      <c r="Z1852" s="1"/>
      <c r="AA1852" s="1"/>
    </row>
    <row r="1853" spans="1:27" ht="45" customHeight="1" x14ac:dyDescent="0.2">
      <c r="A1853" s="17" t="s">
        <v>1767</v>
      </c>
      <c r="B1853" s="17" t="s">
        <v>333</v>
      </c>
      <c r="C1853" s="1" t="s">
        <v>23</v>
      </c>
      <c r="D1853" s="96" t="s">
        <v>334</v>
      </c>
      <c r="E1853" s="97"/>
      <c r="F1853" s="97"/>
      <c r="G1853" s="1"/>
      <c r="H1853" s="18" t="s">
        <v>1066</v>
      </c>
      <c r="I1853" s="98">
        <v>1</v>
      </c>
      <c r="J1853" s="99"/>
      <c r="K1853" s="19">
        <v>311.04000000000002</v>
      </c>
      <c r="L1853" s="2" t="s">
        <v>1762</v>
      </c>
      <c r="M1853" s="1"/>
      <c r="N1853" s="1"/>
      <c r="O1853" s="1"/>
      <c r="P1853" s="1"/>
      <c r="Q1853" s="1"/>
      <c r="R1853" s="1"/>
      <c r="S1853" s="1"/>
      <c r="T1853" s="1"/>
      <c r="U1853" s="1"/>
      <c r="V1853" s="1"/>
      <c r="W1853" s="1"/>
      <c r="X1853" s="1"/>
      <c r="Y1853" s="1"/>
      <c r="Z1853" s="1"/>
      <c r="AA1853" s="1"/>
    </row>
    <row r="1854" spans="1:27" ht="45" customHeight="1" x14ac:dyDescent="0.2">
      <c r="A1854" s="17" t="s">
        <v>1769</v>
      </c>
      <c r="B1854" s="17" t="s">
        <v>335</v>
      </c>
      <c r="C1854" s="1" t="s">
        <v>23</v>
      </c>
      <c r="D1854" s="96" t="s">
        <v>336</v>
      </c>
      <c r="E1854" s="97"/>
      <c r="F1854" s="97"/>
      <c r="G1854" s="1"/>
      <c r="H1854" s="18" t="s">
        <v>1066</v>
      </c>
      <c r="I1854" s="98">
        <v>1</v>
      </c>
      <c r="J1854" s="99"/>
      <c r="K1854" s="19">
        <v>311.04000000000002</v>
      </c>
      <c r="L1854" s="2" t="s">
        <v>1764</v>
      </c>
      <c r="M1854" s="1"/>
      <c r="N1854" s="1"/>
      <c r="O1854" s="1"/>
      <c r="P1854" s="1"/>
      <c r="Q1854" s="1"/>
      <c r="R1854" s="1"/>
      <c r="S1854" s="1"/>
      <c r="T1854" s="1"/>
      <c r="U1854" s="1"/>
      <c r="V1854" s="1"/>
      <c r="W1854" s="1"/>
      <c r="X1854" s="1"/>
      <c r="Y1854" s="1"/>
      <c r="Z1854" s="1"/>
      <c r="AA1854" s="1"/>
    </row>
    <row r="1855" spans="1:27" ht="45" customHeight="1" x14ac:dyDescent="0.2">
      <c r="A1855" s="17" t="s">
        <v>1771</v>
      </c>
      <c r="B1855" s="17" t="s">
        <v>337</v>
      </c>
      <c r="C1855" s="1" t="s">
        <v>23</v>
      </c>
      <c r="D1855" s="96" t="s">
        <v>338</v>
      </c>
      <c r="E1855" s="97"/>
      <c r="F1855" s="97"/>
      <c r="G1855" s="1"/>
      <c r="H1855" s="18" t="s">
        <v>1066</v>
      </c>
      <c r="I1855" s="98">
        <v>1</v>
      </c>
      <c r="J1855" s="99"/>
      <c r="K1855" s="19">
        <v>311.04000000000002</v>
      </c>
      <c r="L1855" s="2" t="s">
        <v>1766</v>
      </c>
      <c r="M1855" s="1"/>
      <c r="N1855" s="1"/>
      <c r="O1855" s="1"/>
      <c r="P1855" s="1"/>
      <c r="Q1855" s="1"/>
      <c r="R1855" s="1"/>
      <c r="S1855" s="1"/>
      <c r="T1855" s="1"/>
      <c r="U1855" s="1"/>
      <c r="V1855" s="1"/>
      <c r="W1855" s="1"/>
      <c r="X1855" s="1"/>
      <c r="Y1855" s="1"/>
      <c r="Z1855" s="1"/>
      <c r="AA1855" s="1"/>
    </row>
    <row r="1856" spans="1:27" ht="45" customHeight="1" x14ac:dyDescent="0.2">
      <c r="A1856" s="17" t="s">
        <v>1773</v>
      </c>
      <c r="B1856" s="17" t="s">
        <v>319</v>
      </c>
      <c r="C1856" s="1" t="s">
        <v>23</v>
      </c>
      <c r="D1856" s="96" t="s">
        <v>320</v>
      </c>
      <c r="E1856" s="97"/>
      <c r="F1856" s="97"/>
      <c r="G1856" s="1"/>
      <c r="H1856" s="18" t="s">
        <v>1066</v>
      </c>
      <c r="I1856" s="98">
        <v>1</v>
      </c>
      <c r="J1856" s="99"/>
      <c r="K1856" s="19">
        <v>570.24</v>
      </c>
      <c r="L1856" s="2" t="s">
        <v>1768</v>
      </c>
      <c r="M1856" s="1"/>
      <c r="N1856" s="1"/>
      <c r="O1856" s="1"/>
      <c r="P1856" s="1"/>
      <c r="Q1856" s="1"/>
      <c r="R1856" s="1"/>
      <c r="S1856" s="1"/>
      <c r="T1856" s="1"/>
      <c r="U1856" s="1"/>
      <c r="V1856" s="1"/>
      <c r="W1856" s="1"/>
      <c r="X1856" s="1"/>
      <c r="Y1856" s="1"/>
      <c r="Z1856" s="1"/>
      <c r="AA1856" s="1"/>
    </row>
    <row r="1857" spans="1:27" ht="45" customHeight="1" x14ac:dyDescent="0.2">
      <c r="A1857" s="17" t="s">
        <v>1775</v>
      </c>
      <c r="B1857" s="17" t="s">
        <v>321</v>
      </c>
      <c r="C1857" s="1" t="s">
        <v>23</v>
      </c>
      <c r="D1857" s="96" t="s">
        <v>322</v>
      </c>
      <c r="E1857" s="97"/>
      <c r="F1857" s="97"/>
      <c r="G1857" s="1"/>
      <c r="H1857" s="18" t="s">
        <v>1066</v>
      </c>
      <c r="I1857" s="98">
        <v>1</v>
      </c>
      <c r="J1857" s="99"/>
      <c r="K1857" s="19">
        <v>5702.4</v>
      </c>
      <c r="L1857" s="2" t="s">
        <v>1770</v>
      </c>
      <c r="M1857" s="1"/>
      <c r="N1857" s="1"/>
      <c r="O1857" s="1"/>
      <c r="P1857" s="1"/>
      <c r="Q1857" s="1"/>
      <c r="R1857" s="1"/>
      <c r="S1857" s="1"/>
      <c r="T1857" s="1"/>
      <c r="U1857" s="1"/>
      <c r="V1857" s="1"/>
      <c r="W1857" s="1"/>
      <c r="X1857" s="1"/>
      <c r="Y1857" s="1"/>
      <c r="Z1857" s="1"/>
      <c r="AA1857" s="1"/>
    </row>
    <row r="1858" spans="1:27" ht="45" customHeight="1" x14ac:dyDescent="0.2">
      <c r="A1858" s="17" t="s">
        <v>1777</v>
      </c>
      <c r="B1858" s="17" t="s">
        <v>323</v>
      </c>
      <c r="C1858" s="1" t="s">
        <v>23</v>
      </c>
      <c r="D1858" s="96" t="s">
        <v>324</v>
      </c>
      <c r="E1858" s="97"/>
      <c r="F1858" s="97"/>
      <c r="G1858" s="1"/>
      <c r="H1858" s="18" t="s">
        <v>1066</v>
      </c>
      <c r="I1858" s="98">
        <v>1</v>
      </c>
      <c r="J1858" s="99"/>
      <c r="K1858" s="19">
        <v>1140.48</v>
      </c>
      <c r="L1858" s="2" t="s">
        <v>1772</v>
      </c>
      <c r="M1858" s="1"/>
      <c r="N1858" s="1"/>
      <c r="O1858" s="1"/>
      <c r="P1858" s="1"/>
      <c r="Q1858" s="1"/>
      <c r="R1858" s="1"/>
      <c r="S1858" s="1"/>
      <c r="T1858" s="1"/>
      <c r="U1858" s="1"/>
      <c r="V1858" s="1"/>
      <c r="W1858" s="1"/>
      <c r="X1858" s="1"/>
      <c r="Y1858" s="1"/>
      <c r="Z1858" s="1"/>
      <c r="AA1858" s="1"/>
    </row>
    <row r="1859" spans="1:27" ht="45" customHeight="1" x14ac:dyDescent="0.2">
      <c r="A1859" s="17" t="s">
        <v>1779</v>
      </c>
      <c r="B1859" s="17" t="s">
        <v>325</v>
      </c>
      <c r="C1859" s="1" t="s">
        <v>23</v>
      </c>
      <c r="D1859" s="96" t="s">
        <v>326</v>
      </c>
      <c r="E1859" s="97"/>
      <c r="F1859" s="97"/>
      <c r="G1859" s="1"/>
      <c r="H1859" s="18" t="s">
        <v>1066</v>
      </c>
      <c r="I1859" s="98">
        <v>1</v>
      </c>
      <c r="J1859" s="99"/>
      <c r="K1859" s="19">
        <v>2851.2</v>
      </c>
      <c r="L1859" s="2" t="s">
        <v>1774</v>
      </c>
      <c r="M1859" s="1"/>
      <c r="N1859" s="1"/>
      <c r="O1859" s="1"/>
      <c r="P1859" s="1"/>
      <c r="Q1859" s="1"/>
      <c r="R1859" s="1"/>
      <c r="S1859" s="1"/>
      <c r="T1859" s="1"/>
      <c r="U1859" s="1"/>
      <c r="V1859" s="1"/>
      <c r="W1859" s="1"/>
      <c r="X1859" s="1"/>
      <c r="Y1859" s="1"/>
      <c r="Z1859" s="1"/>
      <c r="AA1859" s="1"/>
    </row>
    <row r="1860" spans="1:27" ht="45" customHeight="1" x14ac:dyDescent="0.2">
      <c r="A1860" s="17" t="s">
        <v>1781</v>
      </c>
      <c r="B1860" s="17" t="s">
        <v>327</v>
      </c>
      <c r="C1860" s="1" t="s">
        <v>23</v>
      </c>
      <c r="D1860" s="96" t="s">
        <v>328</v>
      </c>
      <c r="E1860" s="97"/>
      <c r="F1860" s="97"/>
      <c r="G1860" s="1"/>
      <c r="H1860" s="18" t="s">
        <v>1066</v>
      </c>
      <c r="I1860" s="98">
        <v>1</v>
      </c>
      <c r="J1860" s="99"/>
      <c r="K1860" s="19">
        <v>2851.2</v>
      </c>
      <c r="L1860" s="2" t="s">
        <v>1776</v>
      </c>
      <c r="M1860" s="1"/>
      <c r="N1860" s="1"/>
      <c r="O1860" s="1"/>
      <c r="P1860" s="1"/>
      <c r="Q1860" s="1"/>
      <c r="R1860" s="1"/>
      <c r="S1860" s="1"/>
      <c r="T1860" s="1"/>
      <c r="U1860" s="1"/>
      <c r="V1860" s="1"/>
      <c r="W1860" s="1"/>
      <c r="X1860" s="1"/>
      <c r="Y1860" s="1"/>
      <c r="Z1860" s="1"/>
      <c r="AA1860" s="1"/>
    </row>
    <row r="1861" spans="1:27" ht="45" customHeight="1" x14ac:dyDescent="0.2">
      <c r="A1861" s="17" t="s">
        <v>1783</v>
      </c>
      <c r="B1861" s="17" t="s">
        <v>329</v>
      </c>
      <c r="C1861" s="1" t="s">
        <v>23</v>
      </c>
      <c r="D1861" s="96" t="s">
        <v>330</v>
      </c>
      <c r="E1861" s="97"/>
      <c r="F1861" s="97"/>
      <c r="G1861" s="1"/>
      <c r="H1861" s="18" t="s">
        <v>1066</v>
      </c>
      <c r="I1861" s="98">
        <v>1</v>
      </c>
      <c r="J1861" s="99"/>
      <c r="K1861" s="19">
        <v>6652.8</v>
      </c>
      <c r="L1861" s="2" t="s">
        <v>1778</v>
      </c>
      <c r="M1861" s="1"/>
      <c r="N1861" s="1"/>
      <c r="O1861" s="1"/>
      <c r="P1861" s="1"/>
      <c r="Q1861" s="1"/>
      <c r="R1861" s="1"/>
      <c r="S1861" s="1"/>
      <c r="T1861" s="1"/>
      <c r="U1861" s="1"/>
      <c r="V1861" s="1"/>
      <c r="W1861" s="1"/>
      <c r="X1861" s="1"/>
      <c r="Y1861" s="1"/>
      <c r="Z1861" s="1"/>
      <c r="AA1861" s="1"/>
    </row>
    <row r="1862" spans="1:27" ht="45" customHeight="1" x14ac:dyDescent="0.2">
      <c r="A1862" s="17" t="s">
        <v>1785</v>
      </c>
      <c r="B1862" s="17" t="s">
        <v>331</v>
      </c>
      <c r="C1862" s="1" t="s">
        <v>23</v>
      </c>
      <c r="D1862" s="96" t="s">
        <v>332</v>
      </c>
      <c r="E1862" s="97"/>
      <c r="F1862" s="97"/>
      <c r="G1862" s="1"/>
      <c r="H1862" s="18" t="s">
        <v>1066</v>
      </c>
      <c r="I1862" s="98">
        <v>1</v>
      </c>
      <c r="J1862" s="99"/>
      <c r="K1862" s="19">
        <v>1853.28</v>
      </c>
      <c r="L1862" s="2" t="s">
        <v>1780</v>
      </c>
      <c r="M1862" s="1"/>
      <c r="N1862" s="1"/>
      <c r="O1862" s="1"/>
      <c r="P1862" s="1"/>
      <c r="Q1862" s="1"/>
      <c r="R1862" s="1"/>
      <c r="S1862" s="1"/>
      <c r="T1862" s="1"/>
      <c r="U1862" s="1"/>
      <c r="V1862" s="1"/>
      <c r="W1862" s="1"/>
      <c r="X1862" s="1"/>
      <c r="Y1862" s="1"/>
      <c r="Z1862" s="1"/>
      <c r="AA1862" s="1"/>
    </row>
    <row r="1863" spans="1:27" ht="45" customHeight="1" x14ac:dyDescent="0.2">
      <c r="A1863" s="17" t="s">
        <v>1787</v>
      </c>
      <c r="B1863" s="17" t="s">
        <v>341</v>
      </c>
      <c r="C1863" s="1" t="s">
        <v>23</v>
      </c>
      <c r="D1863" s="96" t="s">
        <v>342</v>
      </c>
      <c r="E1863" s="97"/>
      <c r="F1863" s="97"/>
      <c r="G1863" s="1"/>
      <c r="H1863" s="18" t="s">
        <v>1066</v>
      </c>
      <c r="I1863" s="98">
        <v>1</v>
      </c>
      <c r="J1863" s="99"/>
      <c r="K1863" s="19">
        <v>378</v>
      </c>
      <c r="L1863" s="2" t="s">
        <v>1782</v>
      </c>
      <c r="M1863" s="1"/>
      <c r="N1863" s="1"/>
      <c r="O1863" s="1"/>
      <c r="P1863" s="1"/>
      <c r="Q1863" s="1"/>
      <c r="R1863" s="1"/>
      <c r="S1863" s="1"/>
      <c r="T1863" s="1"/>
      <c r="U1863" s="1"/>
      <c r="V1863" s="1"/>
      <c r="W1863" s="1"/>
      <c r="X1863" s="1"/>
      <c r="Y1863" s="1"/>
      <c r="Z1863" s="1"/>
      <c r="AA1863" s="1"/>
    </row>
    <row r="1864" spans="1:27" ht="45" customHeight="1" x14ac:dyDescent="0.2">
      <c r="A1864" s="17" t="s">
        <v>1789</v>
      </c>
      <c r="B1864" s="17" t="s">
        <v>343</v>
      </c>
      <c r="C1864" s="1" t="s">
        <v>23</v>
      </c>
      <c r="D1864" s="96" t="s">
        <v>344</v>
      </c>
      <c r="E1864" s="97"/>
      <c r="F1864" s="97"/>
      <c r="G1864" s="1"/>
      <c r="H1864" s="18" t="s">
        <v>1066</v>
      </c>
      <c r="I1864" s="98">
        <v>1</v>
      </c>
      <c r="J1864" s="99"/>
      <c r="K1864" s="19">
        <v>1710.72</v>
      </c>
      <c r="L1864" s="2" t="s">
        <v>1784</v>
      </c>
      <c r="M1864" s="1"/>
      <c r="N1864" s="1"/>
      <c r="O1864" s="1"/>
      <c r="P1864" s="1"/>
      <c r="Q1864" s="1"/>
      <c r="R1864" s="1"/>
      <c r="S1864" s="1"/>
      <c r="T1864" s="1"/>
      <c r="U1864" s="1"/>
      <c r="V1864" s="1"/>
      <c r="W1864" s="1"/>
      <c r="X1864" s="1"/>
      <c r="Y1864" s="1"/>
      <c r="Z1864" s="1"/>
      <c r="AA1864" s="1"/>
    </row>
    <row r="1865" spans="1:27" ht="45" customHeight="1" x14ac:dyDescent="0.2">
      <c r="A1865" s="17" t="s">
        <v>1791</v>
      </c>
      <c r="B1865" s="17" t="s">
        <v>345</v>
      </c>
      <c r="C1865" s="1" t="s">
        <v>23</v>
      </c>
      <c r="D1865" s="96" t="s">
        <v>346</v>
      </c>
      <c r="E1865" s="97"/>
      <c r="F1865" s="97"/>
      <c r="G1865" s="1"/>
      <c r="H1865" s="18" t="s">
        <v>1066</v>
      </c>
      <c r="I1865" s="98">
        <v>1</v>
      </c>
      <c r="J1865" s="99"/>
      <c r="K1865" s="19">
        <v>1140.48</v>
      </c>
      <c r="L1865" s="2" t="s">
        <v>1786</v>
      </c>
      <c r="M1865" s="1"/>
      <c r="N1865" s="1"/>
      <c r="O1865" s="1"/>
      <c r="P1865" s="1"/>
      <c r="Q1865" s="1"/>
      <c r="R1865" s="1"/>
      <c r="S1865" s="1"/>
      <c r="T1865" s="1"/>
      <c r="U1865" s="1"/>
      <c r="V1865" s="1"/>
      <c r="W1865" s="1"/>
      <c r="X1865" s="1"/>
      <c r="Y1865" s="1"/>
      <c r="Z1865" s="1"/>
      <c r="AA1865" s="1"/>
    </row>
    <row r="1866" spans="1:27" ht="45" customHeight="1" x14ac:dyDescent="0.2">
      <c r="A1866" s="17" t="s">
        <v>1793</v>
      </c>
      <c r="B1866" s="17" t="s">
        <v>347</v>
      </c>
      <c r="C1866" s="1" t="s">
        <v>23</v>
      </c>
      <c r="D1866" s="96" t="s">
        <v>348</v>
      </c>
      <c r="E1866" s="97"/>
      <c r="F1866" s="97"/>
      <c r="G1866" s="1"/>
      <c r="H1866" s="18" t="s">
        <v>1066</v>
      </c>
      <c r="I1866" s="98">
        <v>1</v>
      </c>
      <c r="J1866" s="99"/>
      <c r="K1866" s="19">
        <v>1140.48</v>
      </c>
      <c r="L1866" s="2" t="s">
        <v>1788</v>
      </c>
      <c r="M1866" s="1"/>
      <c r="N1866" s="1"/>
      <c r="O1866" s="1"/>
      <c r="P1866" s="1"/>
      <c r="Q1866" s="1"/>
      <c r="R1866" s="1"/>
      <c r="S1866" s="1"/>
      <c r="T1866" s="1"/>
      <c r="U1866" s="1"/>
      <c r="V1866" s="1"/>
      <c r="W1866" s="1"/>
      <c r="X1866" s="1"/>
      <c r="Y1866" s="1"/>
      <c r="Z1866" s="1"/>
      <c r="AA1866" s="1"/>
    </row>
    <row r="1867" spans="1:27" ht="45" customHeight="1" x14ac:dyDescent="0.2">
      <c r="A1867" s="17" t="s">
        <v>1795</v>
      </c>
      <c r="B1867" s="17" t="s">
        <v>349</v>
      </c>
      <c r="C1867" s="1" t="s">
        <v>23</v>
      </c>
      <c r="D1867" s="96" t="s">
        <v>350</v>
      </c>
      <c r="E1867" s="97"/>
      <c r="F1867" s="97"/>
      <c r="G1867" s="1"/>
      <c r="H1867" s="18" t="s">
        <v>1066</v>
      </c>
      <c r="I1867" s="98">
        <v>1</v>
      </c>
      <c r="J1867" s="99"/>
      <c r="K1867" s="19">
        <v>1995.84</v>
      </c>
      <c r="L1867" s="2" t="s">
        <v>1790</v>
      </c>
      <c r="M1867" s="1"/>
      <c r="N1867" s="1"/>
      <c r="O1867" s="1"/>
      <c r="P1867" s="1"/>
      <c r="Q1867" s="1"/>
      <c r="R1867" s="1"/>
      <c r="S1867" s="1"/>
      <c r="T1867" s="1"/>
      <c r="U1867" s="1"/>
      <c r="V1867" s="1"/>
      <c r="W1867" s="1"/>
      <c r="X1867" s="1"/>
      <c r="Y1867" s="1"/>
      <c r="Z1867" s="1"/>
      <c r="AA1867" s="1"/>
    </row>
    <row r="1868" spans="1:27" ht="45" customHeight="1" x14ac:dyDescent="0.2">
      <c r="A1868" s="17" t="s">
        <v>1797</v>
      </c>
      <c r="B1868" s="17" t="s">
        <v>353</v>
      </c>
      <c r="C1868" s="1" t="s">
        <v>23</v>
      </c>
      <c r="D1868" s="96" t="s">
        <v>354</v>
      </c>
      <c r="E1868" s="97"/>
      <c r="F1868" s="97"/>
      <c r="G1868" s="1"/>
      <c r="H1868" s="18" t="s">
        <v>1066</v>
      </c>
      <c r="I1868" s="98">
        <v>1</v>
      </c>
      <c r="J1868" s="99"/>
      <c r="K1868" s="19">
        <v>570.24</v>
      </c>
      <c r="L1868" s="2" t="s">
        <v>1792</v>
      </c>
      <c r="M1868" s="1"/>
      <c r="N1868" s="1"/>
      <c r="O1868" s="1"/>
      <c r="P1868" s="1"/>
      <c r="Q1868" s="1"/>
      <c r="R1868" s="1"/>
      <c r="S1868" s="1"/>
      <c r="T1868" s="1"/>
      <c r="U1868" s="1"/>
      <c r="V1868" s="1"/>
      <c r="W1868" s="1"/>
      <c r="X1868" s="1"/>
      <c r="Y1868" s="1"/>
      <c r="Z1868" s="1"/>
      <c r="AA1868" s="1"/>
    </row>
    <row r="1869" spans="1:27" ht="45" customHeight="1" x14ac:dyDescent="0.2">
      <c r="A1869" s="17" t="s">
        <v>1799</v>
      </c>
      <c r="B1869" s="17" t="s">
        <v>355</v>
      </c>
      <c r="C1869" s="1" t="s">
        <v>23</v>
      </c>
      <c r="D1869" s="96" t="s">
        <v>356</v>
      </c>
      <c r="E1869" s="97"/>
      <c r="F1869" s="97"/>
      <c r="G1869" s="1"/>
      <c r="H1869" s="18" t="s">
        <v>1066</v>
      </c>
      <c r="I1869" s="98">
        <v>1</v>
      </c>
      <c r="J1869" s="99"/>
      <c r="K1869" s="19">
        <v>756</v>
      </c>
      <c r="L1869" s="2" t="s">
        <v>1794</v>
      </c>
      <c r="M1869" s="1"/>
      <c r="N1869" s="1"/>
      <c r="O1869" s="1"/>
      <c r="P1869" s="1"/>
      <c r="Q1869" s="1"/>
      <c r="R1869" s="1"/>
      <c r="S1869" s="1"/>
      <c r="T1869" s="1"/>
      <c r="U1869" s="1"/>
      <c r="V1869" s="1"/>
      <c r="W1869" s="1"/>
      <c r="X1869" s="1"/>
      <c r="Y1869" s="1"/>
      <c r="Z1869" s="1"/>
      <c r="AA1869" s="1"/>
    </row>
    <row r="1870" spans="1:27" ht="45" customHeight="1" x14ac:dyDescent="0.2">
      <c r="A1870" s="17" t="s">
        <v>1801</v>
      </c>
      <c r="B1870" s="17" t="s">
        <v>357</v>
      </c>
      <c r="C1870" s="1" t="s">
        <v>23</v>
      </c>
      <c r="D1870" s="96" t="s">
        <v>358</v>
      </c>
      <c r="E1870" s="97"/>
      <c r="F1870" s="97"/>
      <c r="G1870" s="1"/>
      <c r="H1870" s="18" t="s">
        <v>1066</v>
      </c>
      <c r="I1870" s="98">
        <v>1</v>
      </c>
      <c r="J1870" s="99"/>
      <c r="K1870" s="19">
        <v>1710.72</v>
      </c>
      <c r="L1870" s="2" t="s">
        <v>1796</v>
      </c>
      <c r="M1870" s="1"/>
      <c r="N1870" s="1"/>
      <c r="O1870" s="1"/>
      <c r="P1870" s="1"/>
      <c r="Q1870" s="1"/>
      <c r="R1870" s="1"/>
      <c r="S1870" s="1"/>
      <c r="T1870" s="1"/>
      <c r="U1870" s="1"/>
      <c r="V1870" s="1"/>
      <c r="W1870" s="1"/>
      <c r="X1870" s="1"/>
      <c r="Y1870" s="1"/>
      <c r="Z1870" s="1"/>
      <c r="AA1870" s="1"/>
    </row>
    <row r="1871" spans="1:27" ht="45" customHeight="1" x14ac:dyDescent="0.2">
      <c r="A1871" s="17" t="s">
        <v>1803</v>
      </c>
      <c r="B1871" s="17" t="s">
        <v>359</v>
      </c>
      <c r="C1871" s="1" t="s">
        <v>23</v>
      </c>
      <c r="D1871" s="96" t="s">
        <v>360</v>
      </c>
      <c r="E1871" s="97"/>
      <c r="F1871" s="97"/>
      <c r="G1871" s="1"/>
      <c r="H1871" s="18" t="s">
        <v>1066</v>
      </c>
      <c r="I1871" s="98">
        <v>1</v>
      </c>
      <c r="J1871" s="99"/>
      <c r="K1871" s="19">
        <v>1140.48</v>
      </c>
      <c r="L1871" s="2" t="s">
        <v>1798</v>
      </c>
      <c r="M1871" s="1"/>
      <c r="N1871" s="1"/>
      <c r="O1871" s="1"/>
      <c r="P1871" s="1"/>
      <c r="Q1871" s="1"/>
      <c r="R1871" s="1"/>
      <c r="S1871" s="1"/>
      <c r="T1871" s="1"/>
      <c r="U1871" s="1"/>
      <c r="V1871" s="1"/>
      <c r="W1871" s="1"/>
      <c r="X1871" s="1"/>
      <c r="Y1871" s="1"/>
      <c r="Z1871" s="1"/>
      <c r="AA1871" s="1"/>
    </row>
    <row r="1872" spans="1:27" ht="45" customHeight="1" x14ac:dyDescent="0.2">
      <c r="A1872" s="17" t="s">
        <v>1805</v>
      </c>
      <c r="B1872" s="17" t="s">
        <v>361</v>
      </c>
      <c r="C1872" s="1" t="s">
        <v>23</v>
      </c>
      <c r="D1872" s="96" t="s">
        <v>362</v>
      </c>
      <c r="E1872" s="97"/>
      <c r="F1872" s="97"/>
      <c r="G1872" s="1"/>
      <c r="H1872" s="18" t="s">
        <v>1066</v>
      </c>
      <c r="I1872" s="98">
        <v>1</v>
      </c>
      <c r="J1872" s="99"/>
      <c r="K1872" s="19">
        <v>570.24</v>
      </c>
      <c r="L1872" s="2" t="s">
        <v>1800</v>
      </c>
      <c r="M1872" s="1"/>
      <c r="N1872" s="1"/>
      <c r="O1872" s="1"/>
      <c r="P1872" s="1"/>
      <c r="Q1872" s="1"/>
      <c r="R1872" s="1"/>
      <c r="S1872" s="1"/>
      <c r="T1872" s="1"/>
      <c r="U1872" s="1"/>
      <c r="V1872" s="1"/>
      <c r="W1872" s="1"/>
      <c r="X1872" s="1"/>
      <c r="Y1872" s="1"/>
      <c r="Z1872" s="1"/>
      <c r="AA1872" s="1"/>
    </row>
    <row r="1873" spans="1:27" ht="45" customHeight="1" x14ac:dyDescent="0.2">
      <c r="A1873" s="17" t="s">
        <v>1807</v>
      </c>
      <c r="B1873" s="17" t="s">
        <v>363</v>
      </c>
      <c r="C1873" s="1" t="s">
        <v>23</v>
      </c>
      <c r="D1873" s="96" t="s">
        <v>364</v>
      </c>
      <c r="E1873" s="97"/>
      <c r="F1873" s="97"/>
      <c r="G1873" s="1"/>
      <c r="H1873" s="18" t="s">
        <v>1066</v>
      </c>
      <c r="I1873" s="98">
        <v>1</v>
      </c>
      <c r="J1873" s="99"/>
      <c r="K1873" s="19">
        <v>570.24</v>
      </c>
      <c r="L1873" s="2" t="s">
        <v>1802</v>
      </c>
      <c r="M1873" s="1"/>
      <c r="N1873" s="1"/>
      <c r="O1873" s="1"/>
      <c r="P1873" s="1"/>
      <c r="Q1873" s="1"/>
      <c r="R1873" s="1"/>
      <c r="S1873" s="1"/>
      <c r="T1873" s="1"/>
      <c r="U1873" s="1"/>
      <c r="V1873" s="1"/>
      <c r="W1873" s="1"/>
      <c r="X1873" s="1"/>
      <c r="Y1873" s="1"/>
      <c r="Z1873" s="1"/>
      <c r="AA1873" s="1"/>
    </row>
    <row r="1874" spans="1:27" ht="45" customHeight="1" x14ac:dyDescent="0.2">
      <c r="A1874" s="17" t="s">
        <v>1809</v>
      </c>
      <c r="B1874" s="17" t="s">
        <v>365</v>
      </c>
      <c r="C1874" s="1" t="s">
        <v>23</v>
      </c>
      <c r="D1874" s="96" t="s">
        <v>366</v>
      </c>
      <c r="E1874" s="97"/>
      <c r="F1874" s="97"/>
      <c r="G1874" s="1"/>
      <c r="H1874" s="18" t="s">
        <v>1066</v>
      </c>
      <c r="I1874" s="98">
        <v>1</v>
      </c>
      <c r="J1874" s="99"/>
      <c r="K1874" s="19">
        <v>570.24</v>
      </c>
      <c r="L1874" s="2" t="s">
        <v>1804</v>
      </c>
      <c r="M1874" s="1"/>
      <c r="N1874" s="1"/>
      <c r="O1874" s="1"/>
      <c r="P1874" s="1"/>
      <c r="Q1874" s="1"/>
      <c r="R1874" s="1"/>
      <c r="S1874" s="1"/>
      <c r="T1874" s="1"/>
      <c r="U1874" s="1"/>
      <c r="V1874" s="1"/>
      <c r="W1874" s="1"/>
      <c r="X1874" s="1"/>
      <c r="Y1874" s="1"/>
      <c r="Z1874" s="1"/>
      <c r="AA1874" s="1"/>
    </row>
    <row r="1875" spans="1:27" ht="45" customHeight="1" x14ac:dyDescent="0.2">
      <c r="A1875" s="17" t="s">
        <v>1811</v>
      </c>
      <c r="B1875" s="17" t="s">
        <v>367</v>
      </c>
      <c r="C1875" s="1" t="s">
        <v>23</v>
      </c>
      <c r="D1875" s="96" t="s">
        <v>368</v>
      </c>
      <c r="E1875" s="97"/>
      <c r="F1875" s="97"/>
      <c r="G1875" s="1"/>
      <c r="H1875" s="18" t="s">
        <v>1066</v>
      </c>
      <c r="I1875" s="98">
        <v>1</v>
      </c>
      <c r="J1875" s="99"/>
      <c r="K1875" s="19">
        <v>1995.84</v>
      </c>
      <c r="L1875" s="2" t="s">
        <v>1806</v>
      </c>
      <c r="M1875" s="1"/>
      <c r="N1875" s="1"/>
      <c r="O1875" s="1"/>
      <c r="P1875" s="1"/>
      <c r="Q1875" s="1"/>
      <c r="R1875" s="1"/>
      <c r="S1875" s="1"/>
      <c r="T1875" s="1"/>
      <c r="U1875" s="1"/>
      <c r="V1875" s="1"/>
      <c r="W1875" s="1"/>
      <c r="X1875" s="1"/>
      <c r="Y1875" s="1"/>
      <c r="Z1875" s="1"/>
      <c r="AA1875" s="1"/>
    </row>
    <row r="1876" spans="1:27" ht="45" customHeight="1" x14ac:dyDescent="0.2">
      <c r="A1876" s="17" t="s">
        <v>1813</v>
      </c>
      <c r="B1876" s="17" t="s">
        <v>369</v>
      </c>
      <c r="C1876" s="1" t="s">
        <v>23</v>
      </c>
      <c r="D1876" s="96" t="s">
        <v>370</v>
      </c>
      <c r="E1876" s="97"/>
      <c r="F1876" s="97"/>
      <c r="G1876" s="1"/>
      <c r="H1876" s="18" t="s">
        <v>1066</v>
      </c>
      <c r="I1876" s="98">
        <v>1</v>
      </c>
      <c r="J1876" s="99"/>
      <c r="K1876" s="19">
        <v>1140.48</v>
      </c>
      <c r="L1876" s="2" t="s">
        <v>1808</v>
      </c>
      <c r="M1876" s="1"/>
      <c r="N1876" s="1"/>
      <c r="O1876" s="1"/>
      <c r="P1876" s="1"/>
      <c r="Q1876" s="1"/>
      <c r="R1876" s="1"/>
      <c r="S1876" s="1"/>
      <c r="T1876" s="1"/>
      <c r="U1876" s="1"/>
      <c r="V1876" s="1"/>
      <c r="W1876" s="1"/>
      <c r="X1876" s="1"/>
      <c r="Y1876" s="1"/>
      <c r="Z1876" s="1"/>
      <c r="AA1876" s="1"/>
    </row>
    <row r="1877" spans="1:27" ht="45" customHeight="1" x14ac:dyDescent="0.2">
      <c r="A1877" s="17" t="s">
        <v>1815</v>
      </c>
      <c r="B1877" s="17" t="s">
        <v>388</v>
      </c>
      <c r="C1877" s="1" t="s">
        <v>23</v>
      </c>
      <c r="D1877" s="96" t="s">
        <v>389</v>
      </c>
      <c r="E1877" s="97"/>
      <c r="F1877" s="97"/>
      <c r="G1877" s="1"/>
      <c r="H1877" s="18" t="s">
        <v>1066</v>
      </c>
      <c r="I1877" s="98">
        <v>1</v>
      </c>
      <c r="J1877" s="99"/>
      <c r="K1877" s="19">
        <v>2566.08</v>
      </c>
      <c r="L1877" s="2" t="s">
        <v>1810</v>
      </c>
      <c r="M1877" s="1"/>
      <c r="N1877" s="1"/>
      <c r="O1877" s="1"/>
      <c r="P1877" s="1"/>
      <c r="Q1877" s="1"/>
      <c r="R1877" s="1"/>
      <c r="S1877" s="1"/>
      <c r="T1877" s="1"/>
      <c r="U1877" s="1"/>
      <c r="V1877" s="1"/>
      <c r="W1877" s="1"/>
      <c r="X1877" s="1"/>
      <c r="Y1877" s="1"/>
      <c r="Z1877" s="1"/>
      <c r="AA1877" s="1"/>
    </row>
    <row r="1878" spans="1:27" ht="45" customHeight="1" x14ac:dyDescent="0.2">
      <c r="A1878" s="17" t="s">
        <v>1817</v>
      </c>
      <c r="B1878" s="17" t="s">
        <v>390</v>
      </c>
      <c r="C1878" s="1" t="s">
        <v>23</v>
      </c>
      <c r="D1878" s="96" t="s">
        <v>391</v>
      </c>
      <c r="E1878" s="97"/>
      <c r="F1878" s="97"/>
      <c r="G1878" s="1"/>
      <c r="H1878" s="18" t="s">
        <v>1066</v>
      </c>
      <c r="I1878" s="98">
        <v>1</v>
      </c>
      <c r="J1878" s="99"/>
      <c r="K1878" s="19">
        <v>1140.48</v>
      </c>
      <c r="L1878" s="2" t="s">
        <v>1812</v>
      </c>
      <c r="M1878" s="1"/>
      <c r="N1878" s="1"/>
      <c r="O1878" s="1"/>
      <c r="P1878" s="1"/>
      <c r="Q1878" s="1"/>
      <c r="R1878" s="1"/>
      <c r="S1878" s="1"/>
      <c r="T1878" s="1"/>
      <c r="U1878" s="1"/>
      <c r="V1878" s="1"/>
      <c r="W1878" s="1"/>
      <c r="X1878" s="1"/>
      <c r="Y1878" s="1"/>
      <c r="Z1878" s="1"/>
      <c r="AA1878" s="1"/>
    </row>
    <row r="1879" spans="1:27" ht="45" customHeight="1" x14ac:dyDescent="0.2">
      <c r="A1879" s="17" t="s">
        <v>1819</v>
      </c>
      <c r="B1879" s="17" t="s">
        <v>392</v>
      </c>
      <c r="C1879" s="1" t="s">
        <v>23</v>
      </c>
      <c r="D1879" s="96" t="s">
        <v>393</v>
      </c>
      <c r="E1879" s="97"/>
      <c r="F1879" s="97"/>
      <c r="G1879" s="1"/>
      <c r="H1879" s="18" t="s">
        <v>1066</v>
      </c>
      <c r="I1879" s="98">
        <v>1</v>
      </c>
      <c r="J1879" s="99"/>
      <c r="K1879" s="19">
        <v>570.24</v>
      </c>
      <c r="L1879" s="2" t="s">
        <v>1814</v>
      </c>
      <c r="M1879" s="1"/>
      <c r="N1879" s="1"/>
      <c r="O1879" s="1"/>
      <c r="P1879" s="1"/>
      <c r="Q1879" s="1"/>
      <c r="R1879" s="1"/>
      <c r="S1879" s="1"/>
      <c r="T1879" s="1"/>
      <c r="U1879" s="1"/>
      <c r="V1879" s="1"/>
      <c r="W1879" s="1"/>
      <c r="X1879" s="1"/>
      <c r="Y1879" s="1"/>
      <c r="Z1879" s="1"/>
      <c r="AA1879" s="1"/>
    </row>
    <row r="1880" spans="1:27" ht="45" customHeight="1" x14ac:dyDescent="0.2">
      <c r="A1880" s="17" t="s">
        <v>1821</v>
      </c>
      <c r="B1880" s="17" t="s">
        <v>394</v>
      </c>
      <c r="C1880" s="1" t="s">
        <v>23</v>
      </c>
      <c r="D1880" s="96" t="s">
        <v>395</v>
      </c>
      <c r="E1880" s="97"/>
      <c r="F1880" s="97"/>
      <c r="G1880" s="1"/>
      <c r="H1880" s="18" t="s">
        <v>1066</v>
      </c>
      <c r="I1880" s="98">
        <v>1</v>
      </c>
      <c r="J1880" s="99"/>
      <c r="K1880" s="19">
        <v>1140.48</v>
      </c>
      <c r="L1880" s="2" t="s">
        <v>1816</v>
      </c>
      <c r="M1880" s="1"/>
      <c r="N1880" s="1"/>
      <c r="O1880" s="1"/>
      <c r="P1880" s="1"/>
      <c r="Q1880" s="1"/>
      <c r="R1880" s="1"/>
      <c r="S1880" s="1"/>
      <c r="T1880" s="1"/>
      <c r="U1880" s="1"/>
      <c r="V1880" s="1"/>
      <c r="W1880" s="1"/>
      <c r="X1880" s="1"/>
      <c r="Y1880" s="1"/>
      <c r="Z1880" s="1"/>
      <c r="AA1880" s="1"/>
    </row>
    <row r="1881" spans="1:27" ht="45" customHeight="1" x14ac:dyDescent="0.2">
      <c r="A1881" s="17" t="s">
        <v>1823</v>
      </c>
      <c r="B1881" s="17" t="s">
        <v>396</v>
      </c>
      <c r="C1881" s="1" t="s">
        <v>23</v>
      </c>
      <c r="D1881" s="96" t="s">
        <v>397</v>
      </c>
      <c r="E1881" s="97"/>
      <c r="F1881" s="97"/>
      <c r="G1881" s="1"/>
      <c r="H1881" s="18" t="s">
        <v>1066</v>
      </c>
      <c r="I1881" s="98">
        <v>1</v>
      </c>
      <c r="J1881" s="99"/>
      <c r="K1881" s="19">
        <v>1853.28</v>
      </c>
      <c r="L1881" s="2" t="s">
        <v>1818</v>
      </c>
      <c r="M1881" s="1"/>
      <c r="N1881" s="1"/>
      <c r="O1881" s="1"/>
      <c r="P1881" s="1"/>
      <c r="Q1881" s="1"/>
      <c r="R1881" s="1"/>
      <c r="S1881" s="1"/>
      <c r="T1881" s="1"/>
      <c r="U1881" s="1"/>
      <c r="V1881" s="1"/>
      <c r="W1881" s="1"/>
      <c r="X1881" s="1"/>
      <c r="Y1881" s="1"/>
      <c r="Z1881" s="1"/>
      <c r="AA1881" s="1"/>
    </row>
    <row r="1882" spans="1:27" ht="45" customHeight="1" x14ac:dyDescent="0.2">
      <c r="A1882" s="17" t="s">
        <v>1825</v>
      </c>
      <c r="B1882" s="17" t="s">
        <v>398</v>
      </c>
      <c r="C1882" s="1" t="s">
        <v>23</v>
      </c>
      <c r="D1882" s="96" t="s">
        <v>399</v>
      </c>
      <c r="E1882" s="97"/>
      <c r="F1882" s="97"/>
      <c r="G1882" s="1"/>
      <c r="H1882" s="18" t="s">
        <v>1066</v>
      </c>
      <c r="I1882" s="98">
        <v>1</v>
      </c>
      <c r="J1882" s="99"/>
      <c r="K1882" s="19">
        <v>2280.96</v>
      </c>
      <c r="L1882" s="2" t="s">
        <v>1820</v>
      </c>
      <c r="M1882" s="1"/>
      <c r="N1882" s="1"/>
      <c r="O1882" s="1"/>
      <c r="P1882" s="1"/>
      <c r="Q1882" s="1"/>
      <c r="R1882" s="1"/>
      <c r="S1882" s="1"/>
      <c r="T1882" s="1"/>
      <c r="U1882" s="1"/>
      <c r="V1882" s="1"/>
      <c r="W1882" s="1"/>
      <c r="X1882" s="1"/>
      <c r="Y1882" s="1"/>
      <c r="Z1882" s="1"/>
      <c r="AA1882" s="1"/>
    </row>
    <row r="1883" spans="1:27" ht="45" customHeight="1" x14ac:dyDescent="0.2">
      <c r="A1883" s="17" t="s">
        <v>1827</v>
      </c>
      <c r="B1883" s="17" t="s">
        <v>289</v>
      </c>
      <c r="C1883" s="1" t="s">
        <v>23</v>
      </c>
      <c r="D1883" s="96" t="s">
        <v>290</v>
      </c>
      <c r="E1883" s="97"/>
      <c r="F1883" s="97"/>
      <c r="G1883" s="1"/>
      <c r="H1883" s="18" t="s">
        <v>1066</v>
      </c>
      <c r="I1883" s="98">
        <v>1</v>
      </c>
      <c r="J1883" s="99"/>
      <c r="K1883" s="19">
        <v>570.24</v>
      </c>
      <c r="L1883" s="2" t="s">
        <v>1822</v>
      </c>
      <c r="M1883" s="1"/>
      <c r="N1883" s="1"/>
      <c r="O1883" s="1"/>
      <c r="P1883" s="1"/>
      <c r="Q1883" s="1"/>
      <c r="R1883" s="1"/>
      <c r="S1883" s="1"/>
      <c r="T1883" s="1"/>
      <c r="U1883" s="1"/>
      <c r="V1883" s="1"/>
      <c r="W1883" s="1"/>
      <c r="X1883" s="1"/>
      <c r="Y1883" s="1"/>
      <c r="Z1883" s="1"/>
      <c r="AA1883" s="1"/>
    </row>
    <row r="1884" spans="1:27" ht="45" customHeight="1" x14ac:dyDescent="0.2">
      <c r="A1884" s="17" t="s">
        <v>1829</v>
      </c>
      <c r="B1884" s="17" t="s">
        <v>291</v>
      </c>
      <c r="C1884" s="1" t="s">
        <v>23</v>
      </c>
      <c r="D1884" s="96" t="s">
        <v>292</v>
      </c>
      <c r="E1884" s="97"/>
      <c r="F1884" s="97"/>
      <c r="G1884" s="1"/>
      <c r="H1884" s="18" t="s">
        <v>1066</v>
      </c>
      <c r="I1884" s="98">
        <v>1</v>
      </c>
      <c r="J1884" s="99"/>
      <c r="K1884" s="19">
        <v>570.24</v>
      </c>
      <c r="L1884" s="2" t="s">
        <v>1824</v>
      </c>
      <c r="M1884" s="1"/>
      <c r="N1884" s="1"/>
      <c r="O1884" s="1"/>
      <c r="P1884" s="1"/>
      <c r="Q1884" s="1"/>
      <c r="R1884" s="1"/>
      <c r="S1884" s="1"/>
      <c r="T1884" s="1"/>
      <c r="U1884" s="1"/>
      <c r="V1884" s="1"/>
      <c r="W1884" s="1"/>
      <c r="X1884" s="1"/>
      <c r="Y1884" s="1"/>
      <c r="Z1884" s="1"/>
      <c r="AA1884" s="1"/>
    </row>
    <row r="1885" spans="1:27" ht="45" customHeight="1" x14ac:dyDescent="0.2">
      <c r="A1885" s="17" t="s">
        <v>1831</v>
      </c>
      <c r="B1885" s="17" t="s">
        <v>293</v>
      </c>
      <c r="C1885" s="1" t="s">
        <v>23</v>
      </c>
      <c r="D1885" s="96" t="s">
        <v>294</v>
      </c>
      <c r="E1885" s="97"/>
      <c r="F1885" s="97"/>
      <c r="G1885" s="1"/>
      <c r="H1885" s="18" t="s">
        <v>1066</v>
      </c>
      <c r="I1885" s="98">
        <v>1</v>
      </c>
      <c r="J1885" s="99"/>
      <c r="K1885" s="19">
        <v>1283.04</v>
      </c>
      <c r="L1885" s="2" t="s">
        <v>1826</v>
      </c>
      <c r="M1885" s="1"/>
      <c r="N1885" s="1"/>
      <c r="O1885" s="1"/>
      <c r="P1885" s="1"/>
      <c r="Q1885" s="1"/>
      <c r="R1885" s="1"/>
      <c r="S1885" s="1"/>
      <c r="T1885" s="1"/>
      <c r="U1885" s="1"/>
      <c r="V1885" s="1"/>
      <c r="W1885" s="1"/>
      <c r="X1885" s="1"/>
      <c r="Y1885" s="1"/>
      <c r="Z1885" s="1"/>
      <c r="AA1885" s="1"/>
    </row>
    <row r="1886" spans="1:27" ht="45" customHeight="1" x14ac:dyDescent="0.2">
      <c r="A1886" s="17" t="s">
        <v>1833</v>
      </c>
      <c r="B1886" s="17" t="s">
        <v>295</v>
      </c>
      <c r="C1886" s="1" t="s">
        <v>23</v>
      </c>
      <c r="D1886" s="96" t="s">
        <v>296</v>
      </c>
      <c r="E1886" s="97"/>
      <c r="F1886" s="97"/>
      <c r="G1886" s="1"/>
      <c r="H1886" s="18" t="s">
        <v>1066</v>
      </c>
      <c r="I1886" s="98">
        <v>1</v>
      </c>
      <c r="J1886" s="99"/>
      <c r="K1886" s="19">
        <v>1140.48</v>
      </c>
      <c r="L1886" s="2" t="s">
        <v>1828</v>
      </c>
      <c r="M1886" s="1"/>
      <c r="N1886" s="1"/>
      <c r="O1886" s="1"/>
      <c r="P1886" s="1"/>
      <c r="Q1886" s="1"/>
      <c r="R1886" s="1"/>
      <c r="S1886" s="1"/>
      <c r="T1886" s="1"/>
      <c r="U1886" s="1"/>
      <c r="V1886" s="1"/>
      <c r="W1886" s="1"/>
      <c r="X1886" s="1"/>
      <c r="Y1886" s="1"/>
      <c r="Z1886" s="1"/>
      <c r="AA1886" s="1"/>
    </row>
    <row r="1887" spans="1:27" ht="45" customHeight="1" x14ac:dyDescent="0.2">
      <c r="A1887" s="17" t="s">
        <v>1835</v>
      </c>
      <c r="B1887" s="17" t="s">
        <v>297</v>
      </c>
      <c r="C1887" s="1" t="s">
        <v>23</v>
      </c>
      <c r="D1887" s="96" t="s">
        <v>298</v>
      </c>
      <c r="E1887" s="97"/>
      <c r="F1887" s="97"/>
      <c r="G1887" s="1"/>
      <c r="H1887" s="18" t="s">
        <v>1066</v>
      </c>
      <c r="I1887" s="98">
        <v>1</v>
      </c>
      <c r="J1887" s="99"/>
      <c r="K1887" s="19">
        <v>336.96</v>
      </c>
      <c r="L1887" s="2" t="s">
        <v>1830</v>
      </c>
      <c r="M1887" s="1"/>
      <c r="N1887" s="1"/>
      <c r="O1887" s="1"/>
      <c r="P1887" s="1"/>
      <c r="Q1887" s="1"/>
      <c r="R1887" s="1"/>
      <c r="S1887" s="1"/>
      <c r="T1887" s="1"/>
      <c r="U1887" s="1"/>
      <c r="V1887" s="1"/>
      <c r="W1887" s="1"/>
      <c r="X1887" s="1"/>
      <c r="Y1887" s="1"/>
      <c r="Z1887" s="1"/>
      <c r="AA1887" s="1"/>
    </row>
    <row r="1888" spans="1:27" ht="45" customHeight="1" x14ac:dyDescent="0.2">
      <c r="A1888" s="17" t="s">
        <v>1837</v>
      </c>
      <c r="B1888" s="17" t="s">
        <v>307</v>
      </c>
      <c r="C1888" s="1" t="s">
        <v>23</v>
      </c>
      <c r="D1888" s="96" t="s">
        <v>308</v>
      </c>
      <c r="E1888" s="97"/>
      <c r="F1888" s="97"/>
      <c r="G1888" s="1"/>
      <c r="H1888" s="18" t="s">
        <v>1066</v>
      </c>
      <c r="I1888" s="98">
        <v>1</v>
      </c>
      <c r="J1888" s="99"/>
      <c r="K1888" s="19">
        <v>570.24</v>
      </c>
      <c r="L1888" s="2" t="s">
        <v>1832</v>
      </c>
      <c r="M1888" s="1"/>
      <c r="N1888" s="1"/>
      <c r="O1888" s="1"/>
      <c r="P1888" s="1"/>
      <c r="Q1888" s="1"/>
      <c r="R1888" s="1"/>
      <c r="S1888" s="1"/>
      <c r="T1888" s="1"/>
      <c r="U1888" s="1"/>
      <c r="V1888" s="1"/>
      <c r="W1888" s="1"/>
      <c r="X1888" s="1"/>
      <c r="Y1888" s="1"/>
      <c r="Z1888" s="1"/>
      <c r="AA1888" s="1"/>
    </row>
    <row r="1889" spans="1:27" ht="45" customHeight="1" x14ac:dyDescent="0.2">
      <c r="A1889" s="17" t="s">
        <v>1839</v>
      </c>
      <c r="B1889" s="17" t="s">
        <v>309</v>
      </c>
      <c r="C1889" s="1" t="s">
        <v>23</v>
      </c>
      <c r="D1889" s="96" t="s">
        <v>310</v>
      </c>
      <c r="E1889" s="97"/>
      <c r="F1889" s="97"/>
      <c r="G1889" s="1"/>
      <c r="H1889" s="18" t="s">
        <v>1066</v>
      </c>
      <c r="I1889" s="98">
        <v>1</v>
      </c>
      <c r="J1889" s="99"/>
      <c r="K1889" s="19">
        <v>570.24</v>
      </c>
      <c r="L1889" s="2" t="s">
        <v>1834</v>
      </c>
      <c r="M1889" s="1"/>
      <c r="N1889" s="1"/>
      <c r="O1889" s="1"/>
      <c r="P1889" s="1"/>
      <c r="Q1889" s="1"/>
      <c r="R1889" s="1"/>
      <c r="S1889" s="1"/>
      <c r="T1889" s="1"/>
      <c r="U1889" s="1"/>
      <c r="V1889" s="1"/>
      <c r="W1889" s="1"/>
      <c r="X1889" s="1"/>
      <c r="Y1889" s="1"/>
      <c r="Z1889" s="1"/>
      <c r="AA1889" s="1"/>
    </row>
    <row r="1890" spans="1:27" ht="45" customHeight="1" x14ac:dyDescent="0.2">
      <c r="A1890" s="17" t="s">
        <v>1841</v>
      </c>
      <c r="B1890" s="17" t="s">
        <v>311</v>
      </c>
      <c r="C1890" s="1" t="s">
        <v>23</v>
      </c>
      <c r="D1890" s="96" t="s">
        <v>312</v>
      </c>
      <c r="E1890" s="97"/>
      <c r="F1890" s="97"/>
      <c r="G1890" s="1"/>
      <c r="H1890" s="18" t="s">
        <v>1066</v>
      </c>
      <c r="I1890" s="98">
        <v>1</v>
      </c>
      <c r="J1890" s="99"/>
      <c r="K1890" s="19">
        <v>1283.04</v>
      </c>
      <c r="L1890" s="2" t="s">
        <v>1836</v>
      </c>
      <c r="M1890" s="1"/>
      <c r="N1890" s="1"/>
      <c r="O1890" s="1"/>
      <c r="P1890" s="1"/>
      <c r="Q1890" s="1"/>
      <c r="R1890" s="1"/>
      <c r="S1890" s="1"/>
      <c r="T1890" s="1"/>
      <c r="U1890" s="1"/>
      <c r="V1890" s="1"/>
      <c r="W1890" s="1"/>
      <c r="X1890" s="1"/>
      <c r="Y1890" s="1"/>
      <c r="Z1890" s="1"/>
      <c r="AA1890" s="1"/>
    </row>
    <row r="1891" spans="1:27" ht="45" customHeight="1" x14ac:dyDescent="0.2">
      <c r="A1891" s="17" t="s">
        <v>1843</v>
      </c>
      <c r="B1891" s="17" t="s">
        <v>313</v>
      </c>
      <c r="C1891" s="1" t="s">
        <v>23</v>
      </c>
      <c r="D1891" s="96" t="s">
        <v>314</v>
      </c>
      <c r="E1891" s="97"/>
      <c r="F1891" s="97"/>
      <c r="G1891" s="1"/>
      <c r="H1891" s="18" t="s">
        <v>1066</v>
      </c>
      <c r="I1891" s="98">
        <v>1</v>
      </c>
      <c r="J1891" s="99"/>
      <c r="K1891" s="19">
        <v>570.24</v>
      </c>
      <c r="L1891" s="2" t="s">
        <v>1838</v>
      </c>
      <c r="M1891" s="1"/>
      <c r="N1891" s="1"/>
      <c r="O1891" s="1"/>
      <c r="P1891" s="1"/>
      <c r="Q1891" s="1"/>
      <c r="R1891" s="1"/>
      <c r="S1891" s="1"/>
      <c r="T1891" s="1"/>
      <c r="U1891" s="1"/>
      <c r="V1891" s="1"/>
      <c r="W1891" s="1"/>
      <c r="X1891" s="1"/>
      <c r="Y1891" s="1"/>
      <c r="Z1891" s="1"/>
      <c r="AA1891" s="1"/>
    </row>
    <row r="1892" spans="1:27" ht="45" customHeight="1" x14ac:dyDescent="0.2">
      <c r="A1892" s="17" t="s">
        <v>1845</v>
      </c>
      <c r="B1892" s="17" t="s">
        <v>315</v>
      </c>
      <c r="C1892" s="1" t="s">
        <v>23</v>
      </c>
      <c r="D1892" s="96" t="s">
        <v>316</v>
      </c>
      <c r="E1892" s="97"/>
      <c r="F1892" s="97"/>
      <c r="G1892" s="1"/>
      <c r="H1892" s="18" t="s">
        <v>1066</v>
      </c>
      <c r="I1892" s="98">
        <v>1</v>
      </c>
      <c r="J1892" s="99"/>
      <c r="K1892" s="19">
        <v>336.96</v>
      </c>
      <c r="L1892" s="2" t="s">
        <v>1840</v>
      </c>
      <c r="M1892" s="1"/>
      <c r="N1892" s="1"/>
      <c r="O1892" s="1"/>
      <c r="P1892" s="1"/>
      <c r="Q1892" s="1"/>
      <c r="R1892" s="1"/>
      <c r="S1892" s="1"/>
      <c r="T1892" s="1"/>
      <c r="U1892" s="1"/>
      <c r="V1892" s="1"/>
      <c r="W1892" s="1"/>
      <c r="X1892" s="1"/>
      <c r="Y1892" s="1"/>
      <c r="Z1892" s="1"/>
      <c r="AA1892" s="1"/>
    </row>
    <row r="1893" spans="1:27" ht="45" customHeight="1" x14ac:dyDescent="0.2">
      <c r="A1893" s="17" t="s">
        <v>1847</v>
      </c>
      <c r="B1893" s="17" t="s">
        <v>281</v>
      </c>
      <c r="C1893" s="1" t="s">
        <v>23</v>
      </c>
      <c r="D1893" s="96" t="s">
        <v>282</v>
      </c>
      <c r="E1893" s="97"/>
      <c r="F1893" s="97"/>
      <c r="G1893" s="1"/>
      <c r="H1893" s="18" t="s">
        <v>1066</v>
      </c>
      <c r="I1893" s="98">
        <v>1</v>
      </c>
      <c r="J1893" s="99"/>
      <c r="K1893" s="19">
        <v>378</v>
      </c>
      <c r="L1893" s="2" t="s">
        <v>1842</v>
      </c>
      <c r="M1893" s="1"/>
      <c r="N1893" s="1"/>
      <c r="O1893" s="1"/>
      <c r="P1893" s="1"/>
      <c r="Q1893" s="1"/>
      <c r="R1893" s="1"/>
      <c r="S1893" s="1"/>
      <c r="T1893" s="1"/>
      <c r="U1893" s="1"/>
      <c r="V1893" s="1"/>
      <c r="W1893" s="1"/>
      <c r="X1893" s="1"/>
      <c r="Y1893" s="1"/>
      <c r="Z1893" s="1"/>
      <c r="AA1893" s="1"/>
    </row>
    <row r="1894" spans="1:27" ht="45" customHeight="1" x14ac:dyDescent="0.2">
      <c r="A1894" s="17" t="s">
        <v>1849</v>
      </c>
      <c r="B1894" s="17" t="s">
        <v>283</v>
      </c>
      <c r="C1894" s="1" t="s">
        <v>23</v>
      </c>
      <c r="D1894" s="96" t="s">
        <v>284</v>
      </c>
      <c r="E1894" s="97"/>
      <c r="F1894" s="97"/>
      <c r="G1894" s="1"/>
      <c r="H1894" s="18" t="s">
        <v>1066</v>
      </c>
      <c r="I1894" s="98">
        <v>1</v>
      </c>
      <c r="J1894" s="99"/>
      <c r="K1894" s="19">
        <v>570.24</v>
      </c>
      <c r="L1894" s="2" t="s">
        <v>1844</v>
      </c>
      <c r="M1894" s="1"/>
      <c r="N1894" s="1"/>
      <c r="O1894" s="1"/>
      <c r="P1894" s="1"/>
      <c r="Q1894" s="1"/>
      <c r="R1894" s="1"/>
      <c r="S1894" s="1"/>
      <c r="T1894" s="1"/>
      <c r="U1894" s="1"/>
      <c r="V1894" s="1"/>
      <c r="W1894" s="1"/>
      <c r="X1894" s="1"/>
      <c r="Y1894" s="1"/>
      <c r="Z1894" s="1"/>
      <c r="AA1894" s="1"/>
    </row>
    <row r="1895" spans="1:27" ht="45" customHeight="1" x14ac:dyDescent="0.2">
      <c r="A1895" s="17" t="s">
        <v>1851</v>
      </c>
      <c r="B1895" s="17" t="s">
        <v>285</v>
      </c>
      <c r="C1895" s="1" t="s">
        <v>23</v>
      </c>
      <c r="D1895" s="96" t="s">
        <v>286</v>
      </c>
      <c r="E1895" s="97"/>
      <c r="F1895" s="97"/>
      <c r="G1895" s="1"/>
      <c r="H1895" s="18" t="s">
        <v>1066</v>
      </c>
      <c r="I1895" s="98">
        <v>1</v>
      </c>
      <c r="J1895" s="99"/>
      <c r="K1895" s="19">
        <v>891</v>
      </c>
      <c r="L1895" s="2" t="s">
        <v>1846</v>
      </c>
      <c r="M1895" s="1"/>
      <c r="N1895" s="1"/>
      <c r="O1895" s="1"/>
      <c r="P1895" s="1"/>
      <c r="Q1895" s="1"/>
      <c r="R1895" s="1"/>
      <c r="S1895" s="1"/>
      <c r="T1895" s="1"/>
      <c r="U1895" s="1"/>
      <c r="V1895" s="1"/>
      <c r="W1895" s="1"/>
      <c r="X1895" s="1"/>
      <c r="Y1895" s="1"/>
      <c r="Z1895" s="1"/>
      <c r="AA1895" s="1"/>
    </row>
    <row r="1896" spans="1:27" ht="45" customHeight="1" x14ac:dyDescent="0.2">
      <c r="A1896" s="17" t="s">
        <v>1853</v>
      </c>
      <c r="B1896" s="17" t="s">
        <v>287</v>
      </c>
      <c r="C1896" s="1" t="s">
        <v>23</v>
      </c>
      <c r="D1896" s="96" t="s">
        <v>288</v>
      </c>
      <c r="E1896" s="97"/>
      <c r="F1896" s="97"/>
      <c r="G1896" s="1"/>
      <c r="H1896" s="18" t="s">
        <v>1066</v>
      </c>
      <c r="I1896" s="98">
        <v>1</v>
      </c>
      <c r="J1896" s="99"/>
      <c r="K1896" s="19">
        <v>311.04000000000002</v>
      </c>
      <c r="L1896" s="2" t="s">
        <v>1848</v>
      </c>
      <c r="M1896" s="1"/>
      <c r="N1896" s="1"/>
      <c r="O1896" s="1"/>
      <c r="P1896" s="1"/>
      <c r="Q1896" s="1"/>
      <c r="R1896" s="1"/>
      <c r="S1896" s="1"/>
      <c r="T1896" s="1"/>
      <c r="U1896" s="1"/>
      <c r="V1896" s="1"/>
      <c r="W1896" s="1"/>
      <c r="X1896" s="1"/>
      <c r="Y1896" s="1"/>
      <c r="Z1896" s="1"/>
      <c r="AA1896" s="1"/>
    </row>
    <row r="1897" spans="1:27" ht="45" customHeight="1" x14ac:dyDescent="0.2">
      <c r="A1897" s="17" t="s">
        <v>1855</v>
      </c>
      <c r="B1897" s="17" t="s">
        <v>299</v>
      </c>
      <c r="C1897" s="1" t="s">
        <v>23</v>
      </c>
      <c r="D1897" s="96" t="s">
        <v>300</v>
      </c>
      <c r="E1897" s="97"/>
      <c r="F1897" s="97"/>
      <c r="G1897" s="1"/>
      <c r="H1897" s="18" t="s">
        <v>1066</v>
      </c>
      <c r="I1897" s="98">
        <v>1</v>
      </c>
      <c r="J1897" s="99"/>
      <c r="K1897" s="19">
        <v>378</v>
      </c>
      <c r="L1897" s="2" t="s">
        <v>1850</v>
      </c>
      <c r="M1897" s="1"/>
      <c r="N1897" s="1"/>
      <c r="O1897" s="1"/>
      <c r="P1897" s="1"/>
      <c r="Q1897" s="1"/>
      <c r="R1897" s="1"/>
      <c r="S1897" s="1"/>
      <c r="T1897" s="1"/>
      <c r="U1897" s="1"/>
      <c r="V1897" s="1"/>
      <c r="W1897" s="1"/>
      <c r="X1897" s="1"/>
      <c r="Y1897" s="1"/>
      <c r="Z1897" s="1"/>
      <c r="AA1897" s="1"/>
    </row>
    <row r="1898" spans="1:27" ht="45" customHeight="1" x14ac:dyDescent="0.2">
      <c r="A1898" s="17" t="s">
        <v>1857</v>
      </c>
      <c r="B1898" s="17" t="s">
        <v>301</v>
      </c>
      <c r="C1898" s="1" t="s">
        <v>23</v>
      </c>
      <c r="D1898" s="96" t="s">
        <v>302</v>
      </c>
      <c r="E1898" s="97"/>
      <c r="F1898" s="97"/>
      <c r="G1898" s="1"/>
      <c r="H1898" s="18" t="s">
        <v>1066</v>
      </c>
      <c r="I1898" s="98">
        <v>1</v>
      </c>
      <c r="J1898" s="99"/>
      <c r="K1898" s="19">
        <v>570.24</v>
      </c>
      <c r="L1898" s="2" t="s">
        <v>1852</v>
      </c>
      <c r="M1898" s="1"/>
      <c r="N1898" s="1"/>
      <c r="O1898" s="1"/>
      <c r="P1898" s="1"/>
      <c r="Q1898" s="1"/>
      <c r="R1898" s="1"/>
      <c r="S1898" s="1"/>
      <c r="T1898" s="1"/>
      <c r="U1898" s="1"/>
      <c r="V1898" s="1"/>
      <c r="W1898" s="1"/>
      <c r="X1898" s="1"/>
      <c r="Y1898" s="1"/>
      <c r="Z1898" s="1"/>
      <c r="AA1898" s="1"/>
    </row>
    <row r="1899" spans="1:27" ht="45" customHeight="1" x14ac:dyDescent="0.2">
      <c r="A1899" s="17" t="s">
        <v>1859</v>
      </c>
      <c r="B1899" s="17" t="s">
        <v>303</v>
      </c>
      <c r="C1899" s="1" t="s">
        <v>23</v>
      </c>
      <c r="D1899" s="96" t="s">
        <v>304</v>
      </c>
      <c r="E1899" s="97"/>
      <c r="F1899" s="97"/>
      <c r="G1899" s="1"/>
      <c r="H1899" s="18" t="s">
        <v>1066</v>
      </c>
      <c r="I1899" s="98">
        <v>1</v>
      </c>
      <c r="J1899" s="99"/>
      <c r="K1899" s="19">
        <v>594</v>
      </c>
      <c r="L1899" s="2" t="s">
        <v>1854</v>
      </c>
      <c r="M1899" s="1"/>
      <c r="N1899" s="1"/>
      <c r="O1899" s="1"/>
      <c r="P1899" s="1"/>
      <c r="Q1899" s="1"/>
      <c r="R1899" s="1"/>
      <c r="S1899" s="1"/>
      <c r="T1899" s="1"/>
      <c r="U1899" s="1"/>
      <c r="V1899" s="1"/>
      <c r="W1899" s="1"/>
      <c r="X1899" s="1"/>
      <c r="Y1899" s="1"/>
      <c r="Z1899" s="1"/>
      <c r="AA1899" s="1"/>
    </row>
    <row r="1900" spans="1:27" ht="45" customHeight="1" x14ac:dyDescent="0.2">
      <c r="A1900" s="17" t="s">
        <v>1861</v>
      </c>
      <c r="B1900" s="17" t="s">
        <v>305</v>
      </c>
      <c r="C1900" s="1" t="s">
        <v>23</v>
      </c>
      <c r="D1900" s="96" t="s">
        <v>306</v>
      </c>
      <c r="E1900" s="97"/>
      <c r="F1900" s="97"/>
      <c r="G1900" s="1"/>
      <c r="H1900" s="18" t="s">
        <v>1066</v>
      </c>
      <c r="I1900" s="98">
        <v>1</v>
      </c>
      <c r="J1900" s="99"/>
      <c r="K1900" s="19">
        <v>311.04000000000002</v>
      </c>
      <c r="L1900" s="2" t="s">
        <v>1856</v>
      </c>
      <c r="M1900" s="1"/>
      <c r="N1900" s="1"/>
      <c r="O1900" s="1"/>
      <c r="P1900" s="1"/>
      <c r="Q1900" s="1"/>
      <c r="R1900" s="1"/>
      <c r="S1900" s="1"/>
      <c r="T1900" s="1"/>
      <c r="U1900" s="1"/>
      <c r="V1900" s="1"/>
      <c r="W1900" s="1"/>
      <c r="X1900" s="1"/>
      <c r="Y1900" s="1"/>
      <c r="Z1900" s="1"/>
      <c r="AA1900" s="1"/>
    </row>
    <row r="1901" spans="1:27" ht="45" customHeight="1" x14ac:dyDescent="0.2">
      <c r="A1901" s="17" t="s">
        <v>1863</v>
      </c>
      <c r="B1901" s="17" t="s">
        <v>371</v>
      </c>
      <c r="C1901" s="1" t="s">
        <v>23</v>
      </c>
      <c r="D1901" s="96" t="s">
        <v>372</v>
      </c>
      <c r="E1901" s="97"/>
      <c r="F1901" s="97"/>
      <c r="G1901" s="1"/>
      <c r="H1901" s="18" t="s">
        <v>1066</v>
      </c>
      <c r="I1901" s="98">
        <v>1</v>
      </c>
      <c r="J1901" s="99"/>
      <c r="K1901" s="19">
        <v>570.24</v>
      </c>
      <c r="L1901" s="2" t="s">
        <v>1858</v>
      </c>
      <c r="M1901" s="1"/>
      <c r="N1901" s="1"/>
      <c r="O1901" s="1"/>
      <c r="P1901" s="1"/>
      <c r="Q1901" s="1"/>
      <c r="R1901" s="1"/>
      <c r="S1901" s="1"/>
      <c r="T1901" s="1"/>
      <c r="U1901" s="1"/>
      <c r="V1901" s="1"/>
      <c r="W1901" s="1"/>
      <c r="X1901" s="1"/>
      <c r="Y1901" s="1"/>
      <c r="Z1901" s="1"/>
      <c r="AA1901" s="1"/>
    </row>
    <row r="1902" spans="1:27" ht="45" customHeight="1" x14ac:dyDescent="0.2">
      <c r="A1902" s="17" t="s">
        <v>1865</v>
      </c>
      <c r="B1902" s="17" t="s">
        <v>373</v>
      </c>
      <c r="C1902" s="1" t="s">
        <v>23</v>
      </c>
      <c r="D1902" s="96" t="s">
        <v>374</v>
      </c>
      <c r="E1902" s="97"/>
      <c r="F1902" s="97"/>
      <c r="G1902" s="1"/>
      <c r="H1902" s="18" t="s">
        <v>1066</v>
      </c>
      <c r="I1902" s="98">
        <v>1</v>
      </c>
      <c r="J1902" s="99"/>
      <c r="K1902" s="19">
        <v>1140.48</v>
      </c>
      <c r="L1902" s="2" t="s">
        <v>1860</v>
      </c>
      <c r="M1902" s="1"/>
      <c r="N1902" s="1"/>
      <c r="O1902" s="1"/>
      <c r="P1902" s="1"/>
      <c r="Q1902" s="1"/>
      <c r="R1902" s="1"/>
      <c r="S1902" s="1"/>
      <c r="T1902" s="1"/>
      <c r="U1902" s="1"/>
      <c r="V1902" s="1"/>
      <c r="W1902" s="1"/>
      <c r="X1902" s="1"/>
      <c r="Y1902" s="1"/>
      <c r="Z1902" s="1"/>
      <c r="AA1902" s="1"/>
    </row>
    <row r="1903" spans="1:27" ht="45" customHeight="1" x14ac:dyDescent="0.2">
      <c r="A1903" s="17" t="s">
        <v>1867</v>
      </c>
      <c r="B1903" s="17" t="s">
        <v>375</v>
      </c>
      <c r="C1903" s="1" t="s">
        <v>23</v>
      </c>
      <c r="D1903" s="96" t="s">
        <v>376</v>
      </c>
      <c r="E1903" s="97"/>
      <c r="F1903" s="97"/>
      <c r="G1903" s="1"/>
      <c r="H1903" s="18" t="s">
        <v>1066</v>
      </c>
      <c r="I1903" s="98">
        <v>1</v>
      </c>
      <c r="J1903" s="99"/>
      <c r="K1903" s="19">
        <v>570.24</v>
      </c>
      <c r="L1903" s="2" t="s">
        <v>1862</v>
      </c>
      <c r="M1903" s="1"/>
      <c r="N1903" s="1"/>
      <c r="O1903" s="1"/>
      <c r="P1903" s="1"/>
      <c r="Q1903" s="1"/>
      <c r="R1903" s="1"/>
      <c r="S1903" s="1"/>
      <c r="T1903" s="1"/>
      <c r="U1903" s="1"/>
      <c r="V1903" s="1"/>
      <c r="W1903" s="1"/>
      <c r="X1903" s="1"/>
      <c r="Y1903" s="1"/>
      <c r="Z1903" s="1"/>
      <c r="AA1903" s="1"/>
    </row>
    <row r="1904" spans="1:27" ht="45" customHeight="1" x14ac:dyDescent="0.2">
      <c r="A1904" s="17" t="s">
        <v>1869</v>
      </c>
      <c r="B1904" s="17" t="s">
        <v>377</v>
      </c>
      <c r="C1904" s="1" t="s">
        <v>23</v>
      </c>
      <c r="D1904" s="96" t="s">
        <v>378</v>
      </c>
      <c r="E1904" s="97"/>
      <c r="F1904" s="97"/>
      <c r="G1904" s="1"/>
      <c r="H1904" s="18" t="s">
        <v>1066</v>
      </c>
      <c r="I1904" s="98">
        <v>1</v>
      </c>
      <c r="J1904" s="99"/>
      <c r="K1904" s="19">
        <v>311.04000000000002</v>
      </c>
      <c r="L1904" s="2" t="s">
        <v>1864</v>
      </c>
      <c r="M1904" s="1"/>
      <c r="N1904" s="1"/>
      <c r="O1904" s="1"/>
      <c r="P1904" s="1"/>
      <c r="Q1904" s="1"/>
      <c r="R1904" s="1"/>
      <c r="S1904" s="1"/>
      <c r="T1904" s="1"/>
      <c r="U1904" s="1"/>
      <c r="V1904" s="1"/>
      <c r="W1904" s="1"/>
      <c r="X1904" s="1"/>
      <c r="Y1904" s="1"/>
      <c r="Z1904" s="1"/>
      <c r="AA1904" s="1"/>
    </row>
    <row r="1905" spans="1:27" ht="45" customHeight="1" x14ac:dyDescent="0.2">
      <c r="A1905" s="17" t="s">
        <v>1871</v>
      </c>
      <c r="B1905" s="17" t="s">
        <v>379</v>
      </c>
      <c r="C1905" s="1" t="s">
        <v>23</v>
      </c>
      <c r="D1905" s="96" t="s">
        <v>380</v>
      </c>
      <c r="E1905" s="97"/>
      <c r="F1905" s="97"/>
      <c r="G1905" s="1"/>
      <c r="H1905" s="18" t="s">
        <v>1066</v>
      </c>
      <c r="I1905" s="98">
        <v>1</v>
      </c>
      <c r="J1905" s="99"/>
      <c r="K1905" s="19">
        <v>1140.48</v>
      </c>
      <c r="L1905" s="2" t="s">
        <v>1866</v>
      </c>
      <c r="M1905" s="1"/>
      <c r="N1905" s="1"/>
      <c r="O1905" s="1"/>
      <c r="P1905" s="1"/>
      <c r="Q1905" s="1"/>
      <c r="R1905" s="1"/>
      <c r="S1905" s="1"/>
      <c r="T1905" s="1"/>
      <c r="U1905" s="1"/>
      <c r="V1905" s="1"/>
      <c r="W1905" s="1"/>
      <c r="X1905" s="1"/>
      <c r="Y1905" s="1"/>
      <c r="Z1905" s="1"/>
      <c r="AA1905" s="1"/>
    </row>
    <row r="1906" spans="1:27" ht="45" customHeight="1" x14ac:dyDescent="0.2">
      <c r="A1906" s="17" t="s">
        <v>1873</v>
      </c>
      <c r="B1906" s="17" t="s">
        <v>381</v>
      </c>
      <c r="C1906" s="1" t="s">
        <v>23</v>
      </c>
      <c r="D1906" s="96" t="s">
        <v>382</v>
      </c>
      <c r="E1906" s="97"/>
      <c r="F1906" s="97"/>
      <c r="G1906" s="1"/>
      <c r="H1906" s="18" t="s">
        <v>1066</v>
      </c>
      <c r="I1906" s="98">
        <v>1</v>
      </c>
      <c r="J1906" s="99"/>
      <c r="K1906" s="19">
        <v>570.24</v>
      </c>
      <c r="L1906" s="2" t="s">
        <v>1868</v>
      </c>
      <c r="M1906" s="1"/>
      <c r="N1906" s="1"/>
      <c r="O1906" s="1"/>
      <c r="P1906" s="1"/>
      <c r="Q1906" s="1"/>
      <c r="R1906" s="1"/>
      <c r="S1906" s="1"/>
      <c r="T1906" s="1"/>
      <c r="U1906" s="1"/>
      <c r="V1906" s="1"/>
      <c r="W1906" s="1"/>
      <c r="X1906" s="1"/>
      <c r="Y1906" s="1"/>
      <c r="Z1906" s="1"/>
      <c r="AA1906" s="1"/>
    </row>
    <row r="1907" spans="1:27" ht="45" customHeight="1" x14ac:dyDescent="0.2">
      <c r="A1907" s="17" t="s">
        <v>1883</v>
      </c>
      <c r="B1907" s="17" t="s">
        <v>383</v>
      </c>
      <c r="C1907" s="1" t="s">
        <v>23</v>
      </c>
      <c r="D1907" s="96" t="s">
        <v>384</v>
      </c>
      <c r="E1907" s="97"/>
      <c r="F1907" s="97"/>
      <c r="G1907" s="1"/>
      <c r="H1907" s="18" t="s">
        <v>1066</v>
      </c>
      <c r="I1907" s="98">
        <v>1</v>
      </c>
      <c r="J1907" s="99"/>
      <c r="K1907" s="19">
        <v>311.04000000000002</v>
      </c>
      <c r="L1907" s="2" t="s">
        <v>1870</v>
      </c>
      <c r="M1907" s="1"/>
      <c r="N1907" s="1"/>
      <c r="O1907" s="1"/>
      <c r="P1907" s="1"/>
      <c r="Q1907" s="1"/>
      <c r="R1907" s="1"/>
      <c r="S1907" s="1"/>
      <c r="T1907" s="1"/>
      <c r="U1907" s="1"/>
      <c r="V1907" s="1"/>
      <c r="W1907" s="1"/>
      <c r="X1907" s="1"/>
      <c r="Y1907" s="1"/>
      <c r="Z1907" s="1"/>
      <c r="AA1907" s="1"/>
    </row>
    <row r="1908" spans="1:27" ht="45" customHeight="1" x14ac:dyDescent="0.2">
      <c r="A1908" s="17" t="s">
        <v>1886</v>
      </c>
      <c r="B1908" s="17" t="s">
        <v>529</v>
      </c>
      <c r="C1908" s="1" t="s">
        <v>18</v>
      </c>
      <c r="D1908" s="96" t="s">
        <v>530</v>
      </c>
      <c r="E1908" s="97"/>
      <c r="F1908" s="97"/>
      <c r="G1908" s="1"/>
      <c r="H1908" s="18" t="s">
        <v>1066</v>
      </c>
      <c r="I1908" s="98">
        <v>1</v>
      </c>
      <c r="J1908" s="99"/>
      <c r="K1908" s="19">
        <f>ROUND(K1921,2)</f>
        <v>34.74</v>
      </c>
      <c r="L1908" s="2" t="s">
        <v>1872</v>
      </c>
      <c r="M1908" s="1"/>
      <c r="N1908" s="1"/>
      <c r="O1908" s="1"/>
      <c r="P1908" s="1"/>
      <c r="Q1908" s="1"/>
      <c r="R1908" s="1"/>
      <c r="S1908" s="1"/>
      <c r="T1908" s="1"/>
      <c r="U1908" s="1"/>
      <c r="V1908" s="1"/>
      <c r="W1908" s="1"/>
      <c r="X1908" s="1"/>
      <c r="Y1908" s="1"/>
      <c r="Z1908" s="1"/>
      <c r="AA1908" s="1"/>
    </row>
    <row r="1909" spans="1:27" x14ac:dyDescent="0.2">
      <c r="B1909" s="14" t="s">
        <v>1068</v>
      </c>
    </row>
    <row r="1910" spans="1:27" x14ac:dyDescent="0.2">
      <c r="B1910" t="s">
        <v>1364</v>
      </c>
      <c r="C1910" t="s">
        <v>1070</v>
      </c>
      <c r="D1910" t="s">
        <v>1365</v>
      </c>
      <c r="E1910" s="20">
        <v>0.4</v>
      </c>
      <c r="F1910" t="s">
        <v>1072</v>
      </c>
      <c r="G1910" t="s">
        <v>1073</v>
      </c>
      <c r="H1910" s="21">
        <v>29.42</v>
      </c>
      <c r="I1910" t="s">
        <v>1074</v>
      </c>
      <c r="J1910" s="22">
        <f>ROUND(E1910/I1908* H1910,5)</f>
        <v>11.768000000000001</v>
      </c>
      <c r="K1910" s="23"/>
    </row>
    <row r="1911" spans="1:27" x14ac:dyDescent="0.2">
      <c r="B1911" t="s">
        <v>1205</v>
      </c>
      <c r="C1911" t="s">
        <v>1070</v>
      </c>
      <c r="D1911" t="s">
        <v>1206</v>
      </c>
      <c r="E1911" s="20">
        <v>0.25</v>
      </c>
      <c r="F1911" t="s">
        <v>1072</v>
      </c>
      <c r="G1911" t="s">
        <v>1073</v>
      </c>
      <c r="H1911" s="21">
        <v>24.55</v>
      </c>
      <c r="I1911" t="s">
        <v>1074</v>
      </c>
      <c r="J1911" s="22">
        <f>ROUND(E1911/I1908* H1911,5)</f>
        <v>6.1375000000000002</v>
      </c>
      <c r="K1911" s="23"/>
    </row>
    <row r="1912" spans="1:27" x14ac:dyDescent="0.2">
      <c r="D1912" s="24" t="s">
        <v>1075</v>
      </c>
      <c r="E1912" s="23"/>
      <c r="H1912" s="23"/>
      <c r="K1912" s="21">
        <f>SUM(J1910:J1911)</f>
        <v>17.9055</v>
      </c>
    </row>
    <row r="1913" spans="1:27" x14ac:dyDescent="0.2">
      <c r="B1913" s="14" t="s">
        <v>1080</v>
      </c>
      <c r="E1913" s="23"/>
      <c r="H1913" s="23"/>
      <c r="K1913" s="23"/>
    </row>
    <row r="1914" spans="1:27" x14ac:dyDescent="0.2">
      <c r="B1914" t="s">
        <v>1508</v>
      </c>
      <c r="C1914" t="s">
        <v>15</v>
      </c>
      <c r="D1914" t="s">
        <v>1509</v>
      </c>
      <c r="E1914" s="20">
        <v>0.03</v>
      </c>
      <c r="G1914" t="s">
        <v>1073</v>
      </c>
      <c r="H1914" s="21">
        <v>398.31</v>
      </c>
      <c r="I1914" t="s">
        <v>1074</v>
      </c>
      <c r="J1914" s="22">
        <f>ROUND(E1914* H1914,5)</f>
        <v>11.949299999999999</v>
      </c>
      <c r="K1914" s="23"/>
    </row>
    <row r="1915" spans="1:27" x14ac:dyDescent="0.2">
      <c r="B1915" t="s">
        <v>1611</v>
      </c>
      <c r="C1915" t="s">
        <v>23</v>
      </c>
      <c r="D1915" t="s">
        <v>1612</v>
      </c>
      <c r="E1915" s="20">
        <v>12</v>
      </c>
      <c r="G1915" t="s">
        <v>1073</v>
      </c>
      <c r="H1915" s="21">
        <v>0.17</v>
      </c>
      <c r="I1915" t="s">
        <v>1074</v>
      </c>
      <c r="J1915" s="22">
        <f>ROUND(E1915* H1915,5)</f>
        <v>2.04</v>
      </c>
      <c r="K1915" s="23"/>
    </row>
    <row r="1916" spans="1:27" x14ac:dyDescent="0.2">
      <c r="D1916" s="24" t="s">
        <v>1090</v>
      </c>
      <c r="E1916" s="23"/>
      <c r="H1916" s="23"/>
      <c r="K1916" s="21">
        <f>SUM(J1914:J1915)</f>
        <v>13.9893</v>
      </c>
    </row>
    <row r="1917" spans="1:27" x14ac:dyDescent="0.2">
      <c r="E1917" s="23"/>
      <c r="H1917" s="23"/>
      <c r="K1917" s="23"/>
    </row>
    <row r="1918" spans="1:27" x14ac:dyDescent="0.2">
      <c r="D1918" s="24" t="s">
        <v>1092</v>
      </c>
      <c r="E1918" s="23"/>
      <c r="H1918" s="23">
        <v>1.5</v>
      </c>
      <c r="I1918" t="s">
        <v>1093</v>
      </c>
      <c r="J1918">
        <f>ROUND(H1918/100*K1912,5)</f>
        <v>0.26857999999999999</v>
      </c>
      <c r="K1918" s="23"/>
    </row>
    <row r="1919" spans="1:27" x14ac:dyDescent="0.2">
      <c r="D1919" s="24" t="s">
        <v>1091</v>
      </c>
      <c r="E1919" s="23"/>
      <c r="H1919" s="23"/>
      <c r="K1919" s="25">
        <f>SUM(J1909:J1918)</f>
        <v>32.163379999999997</v>
      </c>
    </row>
    <row r="1920" spans="1:27" x14ac:dyDescent="0.2">
      <c r="D1920" s="24" t="s">
        <v>1142</v>
      </c>
      <c r="E1920" s="23"/>
      <c r="H1920" s="23">
        <v>8</v>
      </c>
      <c r="I1920" t="s">
        <v>1093</v>
      </c>
      <c r="K1920" s="21">
        <f>ROUND(H1920/100*K1919,5)</f>
        <v>2.57307</v>
      </c>
    </row>
    <row r="1921" spans="1:27" x14ac:dyDescent="0.2">
      <c r="D1921" s="24" t="s">
        <v>1094</v>
      </c>
      <c r="E1921" s="23"/>
      <c r="H1921" s="23"/>
      <c r="K1921" s="25">
        <f>SUM(K1919:K1920)</f>
        <v>34.736449999999998</v>
      </c>
    </row>
    <row r="1923" spans="1:27" ht="45" customHeight="1" x14ac:dyDescent="0.2">
      <c r="A1923" s="17" t="s">
        <v>1887</v>
      </c>
      <c r="B1923" s="17" t="s">
        <v>170</v>
      </c>
      <c r="C1923" s="1" t="s">
        <v>15</v>
      </c>
      <c r="D1923" s="96" t="s">
        <v>171</v>
      </c>
      <c r="E1923" s="97"/>
      <c r="F1923" s="97"/>
      <c r="G1923" s="1"/>
      <c r="H1923" s="18" t="s">
        <v>1066</v>
      </c>
      <c r="I1923" s="98">
        <v>1</v>
      </c>
      <c r="J1923" s="99"/>
      <c r="K1923" s="19">
        <f>ROUND(K1940,2)</f>
        <v>40.770000000000003</v>
      </c>
      <c r="L1923" s="2" t="s">
        <v>1874</v>
      </c>
      <c r="M1923" s="1"/>
      <c r="N1923" s="1"/>
      <c r="O1923" s="1"/>
      <c r="P1923" s="1"/>
      <c r="Q1923" s="1"/>
      <c r="R1923" s="1"/>
      <c r="S1923" s="1"/>
      <c r="T1923" s="1"/>
      <c r="U1923" s="1"/>
      <c r="V1923" s="1"/>
      <c r="W1923" s="1"/>
      <c r="X1923" s="1"/>
      <c r="Y1923" s="1"/>
      <c r="Z1923" s="1"/>
      <c r="AA1923" s="1"/>
    </row>
    <row r="1924" spans="1:27" x14ac:dyDescent="0.2">
      <c r="B1924" s="14" t="s">
        <v>1068</v>
      </c>
    </row>
    <row r="1925" spans="1:27" x14ac:dyDescent="0.2">
      <c r="B1925" t="s">
        <v>1205</v>
      </c>
      <c r="C1925" t="s">
        <v>1070</v>
      </c>
      <c r="D1925" t="s">
        <v>1206</v>
      </c>
      <c r="E1925" s="20">
        <v>0.06</v>
      </c>
      <c r="F1925" t="s">
        <v>1072</v>
      </c>
      <c r="G1925" t="s">
        <v>1073</v>
      </c>
      <c r="H1925" s="21">
        <v>24.55</v>
      </c>
      <c r="I1925" t="s">
        <v>1074</v>
      </c>
      <c r="J1925" s="22">
        <f>ROUND(E1925/I1923* H1925,5)</f>
        <v>1.4730000000000001</v>
      </c>
      <c r="K1925" s="23"/>
    </row>
    <row r="1926" spans="1:27" x14ac:dyDescent="0.2">
      <c r="D1926" s="24" t="s">
        <v>1075</v>
      </c>
      <c r="E1926" s="23"/>
      <c r="H1926" s="23"/>
      <c r="K1926" s="21">
        <f>SUM(J1925:J1925)</f>
        <v>1.4730000000000001</v>
      </c>
    </row>
    <row r="1927" spans="1:27" x14ac:dyDescent="0.2">
      <c r="B1927" s="14" t="s">
        <v>1076</v>
      </c>
      <c r="E1927" s="23"/>
      <c r="H1927" s="23"/>
      <c r="K1927" s="23"/>
    </row>
    <row r="1928" spans="1:27" x14ac:dyDescent="0.2">
      <c r="B1928" t="s">
        <v>1877</v>
      </c>
      <c r="C1928" t="s">
        <v>1070</v>
      </c>
      <c r="D1928" t="s">
        <v>1878</v>
      </c>
      <c r="E1928" s="20">
        <v>2.5000000000000001E-2</v>
      </c>
      <c r="F1928" t="s">
        <v>1072</v>
      </c>
      <c r="G1928" t="s">
        <v>1073</v>
      </c>
      <c r="H1928" s="21">
        <v>59.95</v>
      </c>
      <c r="I1928" t="s">
        <v>1074</v>
      </c>
      <c r="J1928" s="22">
        <f>ROUND(E1928/I1923* H1928,5)</f>
        <v>1.49875</v>
      </c>
      <c r="K1928" s="23"/>
    </row>
    <row r="1929" spans="1:27" x14ac:dyDescent="0.2">
      <c r="B1929" t="s">
        <v>1879</v>
      </c>
      <c r="C1929" t="s">
        <v>1070</v>
      </c>
      <c r="D1929" t="s">
        <v>1880</v>
      </c>
      <c r="E1929" s="20">
        <v>3.5000000000000003E-2</v>
      </c>
      <c r="F1929" t="s">
        <v>1072</v>
      </c>
      <c r="G1929" t="s">
        <v>1073</v>
      </c>
      <c r="H1929" s="21">
        <v>90.2</v>
      </c>
      <c r="I1929" t="s">
        <v>1074</v>
      </c>
      <c r="J1929" s="22">
        <f>ROUND(E1929/I1923* H1929,5)</f>
        <v>3.157</v>
      </c>
      <c r="K1929" s="23"/>
    </row>
    <row r="1930" spans="1:27" x14ac:dyDescent="0.2">
      <c r="B1930" t="s">
        <v>1875</v>
      </c>
      <c r="C1930" t="s">
        <v>1070</v>
      </c>
      <c r="D1930" t="s">
        <v>1876</v>
      </c>
      <c r="E1930" s="20">
        <v>0.04</v>
      </c>
      <c r="F1930" t="s">
        <v>1072</v>
      </c>
      <c r="G1930" t="s">
        <v>1073</v>
      </c>
      <c r="H1930" s="21">
        <v>79.91</v>
      </c>
      <c r="I1930" t="s">
        <v>1074</v>
      </c>
      <c r="J1930" s="22">
        <f>ROUND(E1930/I1923* H1930,5)</f>
        <v>3.1964000000000001</v>
      </c>
      <c r="K1930" s="23"/>
    </row>
    <row r="1931" spans="1:27" x14ac:dyDescent="0.2">
      <c r="D1931" s="24" t="s">
        <v>1079</v>
      </c>
      <c r="E1931" s="23"/>
      <c r="H1931" s="23"/>
      <c r="K1931" s="21">
        <f>SUM(J1928:J1930)</f>
        <v>7.85215</v>
      </c>
    </row>
    <row r="1932" spans="1:27" x14ac:dyDescent="0.2">
      <c r="B1932" s="14" t="s">
        <v>1080</v>
      </c>
      <c r="E1932" s="23"/>
      <c r="H1932" s="23"/>
      <c r="K1932" s="23"/>
    </row>
    <row r="1933" spans="1:27" x14ac:dyDescent="0.2">
      <c r="B1933" t="s">
        <v>1881</v>
      </c>
      <c r="C1933" t="s">
        <v>15</v>
      </c>
      <c r="D1933" t="s">
        <v>1882</v>
      </c>
      <c r="E1933" s="20">
        <v>1.1499999999999999</v>
      </c>
      <c r="G1933" t="s">
        <v>1073</v>
      </c>
      <c r="H1933" s="21">
        <v>24.6</v>
      </c>
      <c r="I1933" t="s">
        <v>1074</v>
      </c>
      <c r="J1933" s="22">
        <f>ROUND(E1933* H1933,5)</f>
        <v>28.29</v>
      </c>
      <c r="K1933" s="23"/>
    </row>
    <row r="1934" spans="1:27" x14ac:dyDescent="0.2">
      <c r="B1934" t="s">
        <v>1081</v>
      </c>
      <c r="C1934" t="s">
        <v>15</v>
      </c>
      <c r="D1934" t="s">
        <v>1082</v>
      </c>
      <c r="E1934" s="20">
        <v>0.05</v>
      </c>
      <c r="G1934" t="s">
        <v>1073</v>
      </c>
      <c r="H1934" s="21">
        <v>2.1800000000000002</v>
      </c>
      <c r="I1934" t="s">
        <v>1074</v>
      </c>
      <c r="J1934" s="22">
        <f>ROUND(E1934* H1934,5)</f>
        <v>0.109</v>
      </c>
      <c r="K1934" s="23"/>
    </row>
    <row r="1935" spans="1:27" x14ac:dyDescent="0.2">
      <c r="D1935" s="24" t="s">
        <v>1090</v>
      </c>
      <c r="E1935" s="23"/>
      <c r="H1935" s="23"/>
      <c r="K1935" s="21">
        <f>SUM(J1933:J1934)</f>
        <v>28.399000000000001</v>
      </c>
    </row>
    <row r="1936" spans="1:27" x14ac:dyDescent="0.2">
      <c r="E1936" s="23"/>
      <c r="H1936" s="23"/>
      <c r="K1936" s="23"/>
    </row>
    <row r="1937" spans="1:27" x14ac:dyDescent="0.2">
      <c r="D1937" s="24" t="s">
        <v>1092</v>
      </c>
      <c r="E1937" s="23"/>
      <c r="H1937" s="23">
        <v>1.5</v>
      </c>
      <c r="I1937" t="s">
        <v>1093</v>
      </c>
      <c r="J1937">
        <f>ROUND(H1937/100*K1926,5)</f>
        <v>2.2100000000000002E-2</v>
      </c>
      <c r="K1937" s="23"/>
    </row>
    <row r="1938" spans="1:27" x14ac:dyDescent="0.2">
      <c r="D1938" s="24" t="s">
        <v>1091</v>
      </c>
      <c r="E1938" s="23"/>
      <c r="H1938" s="23"/>
      <c r="K1938" s="25">
        <f>SUM(J1924:J1937)</f>
        <v>37.746250000000003</v>
      </c>
    </row>
    <row r="1939" spans="1:27" x14ac:dyDescent="0.2">
      <c r="D1939" s="24" t="s">
        <v>1142</v>
      </c>
      <c r="E1939" s="23"/>
      <c r="H1939" s="23">
        <v>8</v>
      </c>
      <c r="I1939" t="s">
        <v>1093</v>
      </c>
      <c r="K1939" s="21">
        <f>ROUND(H1939/100*K1938,5)</f>
        <v>3.0196999999999998</v>
      </c>
    </row>
    <row r="1940" spans="1:27" x14ac:dyDescent="0.2">
      <c r="D1940" s="24" t="s">
        <v>1094</v>
      </c>
      <c r="E1940" s="23"/>
      <c r="H1940" s="23"/>
      <c r="K1940" s="25">
        <f>SUM(K1938:K1939)</f>
        <v>40.765950000000004</v>
      </c>
    </row>
    <row r="1942" spans="1:27" ht="45" customHeight="1" x14ac:dyDescent="0.2">
      <c r="A1942" s="17" t="s">
        <v>1893</v>
      </c>
      <c r="B1942" s="17" t="s">
        <v>3944</v>
      </c>
      <c r="C1942" s="1" t="s">
        <v>18</v>
      </c>
      <c r="D1942" s="96" t="s">
        <v>3945</v>
      </c>
      <c r="E1942" s="97"/>
      <c r="F1942" s="97"/>
      <c r="G1942" s="1"/>
      <c r="H1942" s="18" t="s">
        <v>1066</v>
      </c>
      <c r="I1942" s="98">
        <v>1</v>
      </c>
      <c r="J1942" s="99"/>
      <c r="K1942" s="19">
        <f>ROUND(K1957,2)</f>
        <v>10.79</v>
      </c>
      <c r="L1942" s="2" t="s">
        <v>4062</v>
      </c>
      <c r="M1942" s="1"/>
      <c r="N1942" s="1"/>
      <c r="O1942" s="1"/>
      <c r="P1942" s="1"/>
      <c r="Q1942" s="1"/>
      <c r="R1942" s="1"/>
      <c r="S1942" s="1"/>
      <c r="T1942" s="1"/>
      <c r="U1942" s="1"/>
      <c r="V1942" s="1"/>
      <c r="W1942" s="1"/>
      <c r="X1942" s="1"/>
      <c r="Y1942" s="1"/>
      <c r="Z1942" s="1"/>
      <c r="AA1942" s="1"/>
    </row>
    <row r="1943" spans="1:27" x14ac:dyDescent="0.2">
      <c r="B1943" s="14" t="s">
        <v>1068</v>
      </c>
    </row>
    <row r="1944" spans="1:27" x14ac:dyDescent="0.2">
      <c r="B1944" t="s">
        <v>1205</v>
      </c>
      <c r="C1944" t="s">
        <v>1070</v>
      </c>
      <c r="D1944" t="s">
        <v>1206</v>
      </c>
      <c r="E1944" s="20">
        <v>0.18</v>
      </c>
      <c r="F1944" t="s">
        <v>1072</v>
      </c>
      <c r="G1944" t="s">
        <v>1073</v>
      </c>
      <c r="H1944" s="21">
        <v>24.55</v>
      </c>
      <c r="I1944" t="s">
        <v>1074</v>
      </c>
      <c r="J1944" s="22">
        <f>ROUND(E1944/I1942* H1944,5)</f>
        <v>4.4189999999999996</v>
      </c>
      <c r="K1944" s="23"/>
    </row>
    <row r="1945" spans="1:27" x14ac:dyDescent="0.2">
      <c r="B1945" t="s">
        <v>1364</v>
      </c>
      <c r="C1945" t="s">
        <v>1070</v>
      </c>
      <c r="D1945" t="s">
        <v>1365</v>
      </c>
      <c r="E1945" s="20">
        <v>0.08</v>
      </c>
      <c r="F1945" t="s">
        <v>1072</v>
      </c>
      <c r="G1945" t="s">
        <v>1073</v>
      </c>
      <c r="H1945" s="21">
        <v>29.42</v>
      </c>
      <c r="I1945" t="s">
        <v>1074</v>
      </c>
      <c r="J1945" s="22">
        <f>ROUND(E1945/I1942* H1945,5)</f>
        <v>2.3536000000000001</v>
      </c>
      <c r="K1945" s="23"/>
    </row>
    <row r="1946" spans="1:27" x14ac:dyDescent="0.2">
      <c r="D1946" s="24" t="s">
        <v>1075</v>
      </c>
      <c r="E1946" s="23"/>
      <c r="H1946" s="23"/>
      <c r="K1946" s="21">
        <f>SUM(J1944:J1945)</f>
        <v>6.7725999999999997</v>
      </c>
    </row>
    <row r="1947" spans="1:27" x14ac:dyDescent="0.2">
      <c r="B1947" s="14" t="s">
        <v>1080</v>
      </c>
      <c r="E1947" s="23"/>
      <c r="H1947" s="23"/>
      <c r="K1947" s="23"/>
    </row>
    <row r="1948" spans="1:27" x14ac:dyDescent="0.2">
      <c r="B1948" t="s">
        <v>1884</v>
      </c>
      <c r="C1948" t="s">
        <v>18</v>
      </c>
      <c r="D1948" t="s">
        <v>1885</v>
      </c>
      <c r="E1948" s="20">
        <v>1.0500000000000001E-2</v>
      </c>
      <c r="G1948" t="s">
        <v>1073</v>
      </c>
      <c r="H1948" s="21">
        <v>1.1399999999999999</v>
      </c>
      <c r="I1948" t="s">
        <v>1074</v>
      </c>
      <c r="J1948" s="22">
        <f>ROUND(E1948* H1948,5)</f>
        <v>1.197E-2</v>
      </c>
      <c r="K1948" s="23"/>
    </row>
    <row r="1949" spans="1:27" x14ac:dyDescent="0.2">
      <c r="D1949" s="24" t="s">
        <v>1090</v>
      </c>
      <c r="E1949" s="23"/>
      <c r="H1949" s="23"/>
      <c r="K1949" s="21">
        <f>SUM(J1948:J1948)</f>
        <v>1.197E-2</v>
      </c>
    </row>
    <row r="1950" spans="1:27" x14ac:dyDescent="0.2">
      <c r="B1950" s="14" t="s">
        <v>1063</v>
      </c>
      <c r="E1950" s="23"/>
      <c r="H1950" s="23"/>
      <c r="K1950" s="23"/>
    </row>
    <row r="1951" spans="1:27" x14ac:dyDescent="0.2">
      <c r="B1951" t="s">
        <v>1095</v>
      </c>
      <c r="C1951" t="s">
        <v>15</v>
      </c>
      <c r="D1951" t="s">
        <v>1096</v>
      </c>
      <c r="E1951" s="20">
        <v>3.15E-2</v>
      </c>
      <c r="G1951" t="s">
        <v>1073</v>
      </c>
      <c r="H1951" s="21">
        <v>98.629000000000005</v>
      </c>
      <c r="I1951" t="s">
        <v>1074</v>
      </c>
      <c r="J1951" s="22">
        <f>ROUND(E1951* H1951,5)</f>
        <v>3.1068099999999998</v>
      </c>
      <c r="K1951" s="23"/>
    </row>
    <row r="1952" spans="1:27" x14ac:dyDescent="0.2">
      <c r="D1952" s="24" t="s">
        <v>1361</v>
      </c>
      <c r="E1952" s="23"/>
      <c r="H1952" s="23"/>
      <c r="K1952" s="21">
        <f>SUM(J1951:J1951)</f>
        <v>3.1068099999999998</v>
      </c>
    </row>
    <row r="1953" spans="1:27" x14ac:dyDescent="0.2">
      <c r="E1953" s="23"/>
      <c r="H1953" s="23"/>
      <c r="K1953" s="23"/>
    </row>
    <row r="1954" spans="1:27" x14ac:dyDescent="0.2">
      <c r="D1954" s="24" t="s">
        <v>1092</v>
      </c>
      <c r="E1954" s="23"/>
      <c r="H1954" s="23">
        <v>1.5</v>
      </c>
      <c r="I1954" t="s">
        <v>1093</v>
      </c>
      <c r="J1954">
        <f>ROUND(H1954/100*K1946,5)</f>
        <v>0.10159</v>
      </c>
      <c r="K1954" s="23"/>
    </row>
    <row r="1955" spans="1:27" x14ac:dyDescent="0.2">
      <c r="D1955" s="24" t="s">
        <v>1091</v>
      </c>
      <c r="E1955" s="23"/>
      <c r="H1955" s="23"/>
      <c r="K1955" s="25">
        <f>SUM(J1943:J1954)</f>
        <v>9.9929699999999997</v>
      </c>
    </row>
    <row r="1956" spans="1:27" x14ac:dyDescent="0.2">
      <c r="D1956" s="24" t="s">
        <v>1142</v>
      </c>
      <c r="E1956" s="23"/>
      <c r="H1956" s="23">
        <v>8</v>
      </c>
      <c r="I1956" t="s">
        <v>1093</v>
      </c>
      <c r="K1956" s="21">
        <f>ROUND(H1956/100*K1955,5)</f>
        <v>0.79944000000000004</v>
      </c>
    </row>
    <row r="1957" spans="1:27" x14ac:dyDescent="0.2">
      <c r="D1957" s="24" t="s">
        <v>1094</v>
      </c>
      <c r="E1957" s="23"/>
      <c r="H1957" s="23"/>
      <c r="K1957" s="25">
        <f>SUM(K1955:K1956)</f>
        <v>10.79241</v>
      </c>
    </row>
    <row r="1959" spans="1:27" ht="45" customHeight="1" x14ac:dyDescent="0.2">
      <c r="A1959" s="17" t="s">
        <v>1899</v>
      </c>
      <c r="B1959" s="17" t="s">
        <v>3937</v>
      </c>
      <c r="C1959" s="1" t="s">
        <v>18</v>
      </c>
      <c r="D1959" s="96" t="s">
        <v>3938</v>
      </c>
      <c r="E1959" s="97"/>
      <c r="F1959" s="97"/>
      <c r="G1959" s="1"/>
      <c r="H1959" s="18" t="s">
        <v>1066</v>
      </c>
      <c r="I1959" s="98">
        <v>1</v>
      </c>
      <c r="J1959" s="99"/>
      <c r="K1959" s="19">
        <f>ROUND(K1974,2)</f>
        <v>11.67</v>
      </c>
      <c r="L1959" s="2" t="s">
        <v>4063</v>
      </c>
      <c r="M1959" s="1"/>
      <c r="N1959" s="1"/>
      <c r="O1959" s="1"/>
      <c r="P1959" s="1"/>
      <c r="Q1959" s="1"/>
      <c r="R1959" s="1"/>
      <c r="S1959" s="1"/>
      <c r="T1959" s="1"/>
      <c r="U1959" s="1"/>
      <c r="V1959" s="1"/>
      <c r="W1959" s="1"/>
      <c r="X1959" s="1"/>
      <c r="Y1959" s="1"/>
      <c r="Z1959" s="1"/>
      <c r="AA1959" s="1"/>
    </row>
    <row r="1960" spans="1:27" x14ac:dyDescent="0.2">
      <c r="B1960" s="14" t="s">
        <v>1068</v>
      </c>
    </row>
    <row r="1961" spans="1:27" x14ac:dyDescent="0.2">
      <c r="B1961" t="s">
        <v>1364</v>
      </c>
      <c r="C1961" t="s">
        <v>1070</v>
      </c>
      <c r="D1961" t="s">
        <v>1365</v>
      </c>
      <c r="E1961" s="20">
        <v>0.1</v>
      </c>
      <c r="F1961" t="s">
        <v>1072</v>
      </c>
      <c r="G1961" t="s">
        <v>1073</v>
      </c>
      <c r="H1961" s="21">
        <v>29.42</v>
      </c>
      <c r="I1961" t="s">
        <v>1074</v>
      </c>
      <c r="J1961" s="22">
        <f>ROUND(E1961/I1959* H1961,5)</f>
        <v>2.9420000000000002</v>
      </c>
      <c r="K1961" s="23"/>
    </row>
    <row r="1962" spans="1:27" x14ac:dyDescent="0.2">
      <c r="B1962" t="s">
        <v>1205</v>
      </c>
      <c r="C1962" t="s">
        <v>1070</v>
      </c>
      <c r="D1962" t="s">
        <v>1206</v>
      </c>
      <c r="E1962" s="20">
        <v>0.12</v>
      </c>
      <c r="F1962" t="s">
        <v>1072</v>
      </c>
      <c r="G1962" t="s">
        <v>1073</v>
      </c>
      <c r="H1962" s="21">
        <v>24.55</v>
      </c>
      <c r="I1962" t="s">
        <v>1074</v>
      </c>
      <c r="J1962" s="22">
        <f>ROUND(E1962/I1959* H1962,5)</f>
        <v>2.9460000000000002</v>
      </c>
      <c r="K1962" s="23"/>
    </row>
    <row r="1963" spans="1:27" x14ac:dyDescent="0.2">
      <c r="D1963" s="24" t="s">
        <v>1075</v>
      </c>
      <c r="E1963" s="23"/>
      <c r="H1963" s="23"/>
      <c r="K1963" s="21">
        <f>SUM(J1961:J1962)</f>
        <v>5.8879999999999999</v>
      </c>
    </row>
    <row r="1964" spans="1:27" x14ac:dyDescent="0.2">
      <c r="B1964" s="14" t="s">
        <v>1080</v>
      </c>
      <c r="E1964" s="23"/>
      <c r="H1964" s="23"/>
      <c r="K1964" s="23"/>
    </row>
    <row r="1965" spans="1:27" x14ac:dyDescent="0.2">
      <c r="B1965" t="s">
        <v>1884</v>
      </c>
      <c r="C1965" t="s">
        <v>18</v>
      </c>
      <c r="D1965" t="s">
        <v>1885</v>
      </c>
      <c r="E1965" s="20">
        <v>1.0500000000000001E-2</v>
      </c>
      <c r="G1965" t="s">
        <v>1073</v>
      </c>
      <c r="H1965" s="21">
        <v>1.1399999999999999</v>
      </c>
      <c r="I1965" t="s">
        <v>1074</v>
      </c>
      <c r="J1965" s="22">
        <f>ROUND(E1965* H1965,5)</f>
        <v>1.197E-2</v>
      </c>
      <c r="K1965" s="23"/>
    </row>
    <row r="1966" spans="1:27" x14ac:dyDescent="0.2">
      <c r="D1966" s="24" t="s">
        <v>1090</v>
      </c>
      <c r="E1966" s="23"/>
      <c r="H1966" s="23"/>
      <c r="K1966" s="21">
        <f>SUM(J1965:J1965)</f>
        <v>1.197E-2</v>
      </c>
    </row>
    <row r="1967" spans="1:27" x14ac:dyDescent="0.2">
      <c r="B1967" s="14" t="s">
        <v>1063</v>
      </c>
      <c r="E1967" s="23"/>
      <c r="H1967" s="23"/>
      <c r="K1967" s="23"/>
    </row>
    <row r="1968" spans="1:27" x14ac:dyDescent="0.2">
      <c r="B1968" t="s">
        <v>1102</v>
      </c>
      <c r="C1968" t="s">
        <v>15</v>
      </c>
      <c r="D1968" t="s">
        <v>1103</v>
      </c>
      <c r="E1968" s="20">
        <v>4.2000000000000003E-2</v>
      </c>
      <c r="G1968" t="s">
        <v>1073</v>
      </c>
      <c r="H1968" s="21">
        <v>114.6996</v>
      </c>
      <c r="I1968" t="s">
        <v>1074</v>
      </c>
      <c r="J1968" s="22">
        <f>ROUND(E1968* H1968,5)</f>
        <v>4.81738</v>
      </c>
      <c r="K1968" s="23"/>
    </row>
    <row r="1969" spans="1:27" x14ac:dyDescent="0.2">
      <c r="D1969" s="24" t="s">
        <v>1361</v>
      </c>
      <c r="E1969" s="23"/>
      <c r="H1969" s="23"/>
      <c r="K1969" s="21">
        <f>SUM(J1968:J1968)</f>
        <v>4.81738</v>
      </c>
    </row>
    <row r="1970" spans="1:27" x14ac:dyDescent="0.2">
      <c r="E1970" s="23"/>
      <c r="H1970" s="23"/>
      <c r="K1970" s="23"/>
    </row>
    <row r="1971" spans="1:27" x14ac:dyDescent="0.2">
      <c r="D1971" s="24" t="s">
        <v>1092</v>
      </c>
      <c r="E1971" s="23"/>
      <c r="H1971" s="23">
        <v>1.5</v>
      </c>
      <c r="I1971" t="s">
        <v>1093</v>
      </c>
      <c r="J1971">
        <f>ROUND(H1971/100*K1963,5)</f>
        <v>8.8319999999999996E-2</v>
      </c>
      <c r="K1971" s="23"/>
    </row>
    <row r="1972" spans="1:27" x14ac:dyDescent="0.2">
      <c r="D1972" s="24" t="s">
        <v>1091</v>
      </c>
      <c r="E1972" s="23"/>
      <c r="H1972" s="23"/>
      <c r="K1972" s="25">
        <f>SUM(J1960:J1971)</f>
        <v>10.805669999999999</v>
      </c>
    </row>
    <row r="1973" spans="1:27" x14ac:dyDescent="0.2">
      <c r="D1973" s="24" t="s">
        <v>1142</v>
      </c>
      <c r="E1973" s="23"/>
      <c r="H1973" s="23">
        <v>8</v>
      </c>
      <c r="I1973" t="s">
        <v>1093</v>
      </c>
      <c r="K1973" s="21">
        <f>ROUND(H1973/100*K1972,5)</f>
        <v>0.86445000000000005</v>
      </c>
    </row>
    <row r="1974" spans="1:27" x14ac:dyDescent="0.2">
      <c r="D1974" s="24" t="s">
        <v>1094</v>
      </c>
      <c r="E1974" s="23"/>
      <c r="H1974" s="23"/>
      <c r="K1974" s="25">
        <f>SUM(K1972:K1973)</f>
        <v>11.670119999999999</v>
      </c>
    </row>
    <row r="1976" spans="1:27" ht="45" customHeight="1" x14ac:dyDescent="0.2">
      <c r="A1976" s="17" t="s">
        <v>1904</v>
      </c>
      <c r="B1976" s="17" t="s">
        <v>561</v>
      </c>
      <c r="C1976" s="1" t="s">
        <v>18</v>
      </c>
      <c r="D1976" s="96" t="s">
        <v>562</v>
      </c>
      <c r="E1976" s="97"/>
      <c r="F1976" s="97"/>
      <c r="G1976" s="1"/>
      <c r="H1976" s="18" t="s">
        <v>1066</v>
      </c>
      <c r="I1976" s="98">
        <v>1</v>
      </c>
      <c r="J1976" s="99"/>
      <c r="K1976" s="19">
        <f>ROUND(K1991,2)</f>
        <v>63.74</v>
      </c>
      <c r="L1976" s="2" t="s">
        <v>1888</v>
      </c>
      <c r="M1976" s="1"/>
      <c r="N1976" s="1"/>
      <c r="O1976" s="1"/>
      <c r="P1976" s="1"/>
      <c r="Q1976" s="1"/>
      <c r="R1976" s="1"/>
      <c r="S1976" s="1"/>
      <c r="T1976" s="1"/>
      <c r="U1976" s="1"/>
      <c r="V1976" s="1"/>
      <c r="W1976" s="1"/>
      <c r="X1976" s="1"/>
      <c r="Y1976" s="1"/>
      <c r="Z1976" s="1"/>
      <c r="AA1976" s="1"/>
    </row>
    <row r="1977" spans="1:27" x14ac:dyDescent="0.2">
      <c r="B1977" s="14" t="s">
        <v>1068</v>
      </c>
    </row>
    <row r="1978" spans="1:27" x14ac:dyDescent="0.2">
      <c r="B1978" t="s">
        <v>1205</v>
      </c>
      <c r="C1978" t="s">
        <v>1070</v>
      </c>
      <c r="D1978" t="s">
        <v>1206</v>
      </c>
      <c r="E1978" s="20">
        <v>3.5000000000000003E-2</v>
      </c>
      <c r="F1978" t="s">
        <v>1072</v>
      </c>
      <c r="G1978" t="s">
        <v>1073</v>
      </c>
      <c r="H1978" s="21">
        <v>24.55</v>
      </c>
      <c r="I1978" t="s">
        <v>1074</v>
      </c>
      <c r="J1978" s="22">
        <f>ROUND(E1978/I1976* H1978,5)</f>
        <v>0.85924999999999996</v>
      </c>
      <c r="K1978" s="23"/>
    </row>
    <row r="1979" spans="1:27" x14ac:dyDescent="0.2">
      <c r="B1979" t="s">
        <v>1512</v>
      </c>
      <c r="C1979" t="s">
        <v>1070</v>
      </c>
      <c r="D1979" t="s">
        <v>1513</v>
      </c>
      <c r="E1979" s="20">
        <v>0.54</v>
      </c>
      <c r="F1979" t="s">
        <v>1072</v>
      </c>
      <c r="G1979" t="s">
        <v>1073</v>
      </c>
      <c r="H1979" s="21">
        <v>29.42</v>
      </c>
      <c r="I1979" t="s">
        <v>1074</v>
      </c>
      <c r="J1979" s="22">
        <f>ROUND(E1979/I1976* H1979,5)</f>
        <v>15.886799999999999</v>
      </c>
      <c r="K1979" s="23"/>
    </row>
    <row r="1980" spans="1:27" x14ac:dyDescent="0.2">
      <c r="B1980" t="s">
        <v>1527</v>
      </c>
      <c r="C1980" t="s">
        <v>1070</v>
      </c>
      <c r="D1980" t="s">
        <v>1528</v>
      </c>
      <c r="E1980" s="20">
        <v>0.24</v>
      </c>
      <c r="F1980" t="s">
        <v>1072</v>
      </c>
      <c r="G1980" t="s">
        <v>1073</v>
      </c>
      <c r="H1980" s="21">
        <v>26.12</v>
      </c>
      <c r="I1980" t="s">
        <v>1074</v>
      </c>
      <c r="J1980" s="22">
        <f>ROUND(E1980/I1976* H1980,5)</f>
        <v>6.2687999999999997</v>
      </c>
      <c r="K1980" s="23"/>
    </row>
    <row r="1981" spans="1:27" x14ac:dyDescent="0.2">
      <c r="D1981" s="24" t="s">
        <v>1075</v>
      </c>
      <c r="E1981" s="23"/>
      <c r="H1981" s="23"/>
      <c r="K1981" s="21">
        <f>SUM(J1978:J1980)</f>
        <v>23.014849999999999</v>
      </c>
    </row>
    <row r="1982" spans="1:27" x14ac:dyDescent="0.2">
      <c r="B1982" s="14" t="s">
        <v>1080</v>
      </c>
      <c r="E1982" s="23"/>
      <c r="H1982" s="23"/>
      <c r="K1982" s="23"/>
    </row>
    <row r="1983" spans="1:27" x14ac:dyDescent="0.2">
      <c r="B1983" t="s">
        <v>1889</v>
      </c>
      <c r="C1983" t="s">
        <v>103</v>
      </c>
      <c r="D1983" t="s">
        <v>1890</v>
      </c>
      <c r="E1983" s="20">
        <v>1.425</v>
      </c>
      <c r="G1983" t="s">
        <v>1073</v>
      </c>
      <c r="H1983" s="21">
        <v>0.47</v>
      </c>
      <c r="I1983" t="s">
        <v>1074</v>
      </c>
      <c r="J1983" s="22">
        <f>ROUND(E1983* H1983,5)</f>
        <v>0.66974999999999996</v>
      </c>
      <c r="K1983" s="23"/>
    </row>
    <row r="1984" spans="1:27" x14ac:dyDescent="0.2">
      <c r="B1984" t="s">
        <v>1891</v>
      </c>
      <c r="C1984" t="s">
        <v>103</v>
      </c>
      <c r="D1984" t="s">
        <v>1892</v>
      </c>
      <c r="E1984" s="20">
        <v>7.0034999999999998</v>
      </c>
      <c r="G1984" t="s">
        <v>1073</v>
      </c>
      <c r="H1984" s="21">
        <v>0.37</v>
      </c>
      <c r="I1984" t="s">
        <v>1074</v>
      </c>
      <c r="J1984" s="22">
        <f>ROUND(E1984* H1984,5)</f>
        <v>2.5912999999999999</v>
      </c>
      <c r="K1984" s="23"/>
    </row>
    <row r="1985" spans="1:27" x14ac:dyDescent="0.2">
      <c r="B1985" t="s">
        <v>1585</v>
      </c>
      <c r="C1985" t="s">
        <v>18</v>
      </c>
      <c r="D1985" t="s">
        <v>1586</v>
      </c>
      <c r="E1985" s="20">
        <v>1.04</v>
      </c>
      <c r="G1985" t="s">
        <v>1073</v>
      </c>
      <c r="H1985" s="21">
        <v>31.15</v>
      </c>
      <c r="I1985" t="s">
        <v>1074</v>
      </c>
      <c r="J1985" s="22">
        <f>ROUND(E1985* H1985,5)</f>
        <v>32.396000000000001</v>
      </c>
      <c r="K1985" s="23"/>
    </row>
    <row r="1986" spans="1:27" x14ac:dyDescent="0.2">
      <c r="D1986" s="24" t="s">
        <v>1090</v>
      </c>
      <c r="E1986" s="23"/>
      <c r="H1986" s="23"/>
      <c r="K1986" s="21">
        <f>SUM(J1983:J1985)</f>
        <v>35.657049999999998</v>
      </c>
    </row>
    <row r="1987" spans="1:27" x14ac:dyDescent="0.2">
      <c r="E1987" s="23"/>
      <c r="H1987" s="23"/>
      <c r="K1987" s="23"/>
    </row>
    <row r="1988" spans="1:27" x14ac:dyDescent="0.2">
      <c r="D1988" s="24" t="s">
        <v>1092</v>
      </c>
      <c r="E1988" s="23"/>
      <c r="H1988" s="23">
        <v>1.5</v>
      </c>
      <c r="I1988" t="s">
        <v>1093</v>
      </c>
      <c r="J1988">
        <f>ROUND(H1988/100*K1981,5)</f>
        <v>0.34522000000000003</v>
      </c>
      <c r="K1988" s="23"/>
    </row>
    <row r="1989" spans="1:27" x14ac:dyDescent="0.2">
      <c r="D1989" s="24" t="s">
        <v>1091</v>
      </c>
      <c r="E1989" s="23"/>
      <c r="H1989" s="23"/>
      <c r="K1989" s="25">
        <f>SUM(J1977:J1988)</f>
        <v>59.017119999999998</v>
      </c>
    </row>
    <row r="1990" spans="1:27" x14ac:dyDescent="0.2">
      <c r="D1990" s="24" t="s">
        <v>1142</v>
      </c>
      <c r="E1990" s="23"/>
      <c r="H1990" s="23">
        <v>8</v>
      </c>
      <c r="I1990" t="s">
        <v>1093</v>
      </c>
      <c r="K1990" s="21">
        <f>ROUND(H1990/100*K1989,5)</f>
        <v>4.7213700000000003</v>
      </c>
    </row>
    <row r="1991" spans="1:27" x14ac:dyDescent="0.2">
      <c r="D1991" s="24" t="s">
        <v>1094</v>
      </c>
      <c r="E1991" s="23"/>
      <c r="H1991" s="23"/>
      <c r="K1991" s="25">
        <f>SUM(K1989:K1990)</f>
        <v>63.738489999999999</v>
      </c>
    </row>
    <row r="1993" spans="1:27" ht="45" customHeight="1" x14ac:dyDescent="0.2">
      <c r="A1993" s="17" t="s">
        <v>1905</v>
      </c>
      <c r="B1993" s="17" t="s">
        <v>565</v>
      </c>
      <c r="C1993" s="1" t="s">
        <v>18</v>
      </c>
      <c r="D1993" s="96" t="s">
        <v>566</v>
      </c>
      <c r="E1993" s="97"/>
      <c r="F1993" s="97"/>
      <c r="G1993" s="1"/>
      <c r="H1993" s="18" t="s">
        <v>1066</v>
      </c>
      <c r="I1993" s="98">
        <v>1</v>
      </c>
      <c r="J1993" s="99"/>
      <c r="K1993" s="19">
        <f>ROUND(K2010,2)</f>
        <v>21.16</v>
      </c>
      <c r="L1993" s="2" t="s">
        <v>1894</v>
      </c>
      <c r="M1993" s="1"/>
      <c r="N1993" s="1"/>
      <c r="O1993" s="1"/>
      <c r="P1993" s="1"/>
      <c r="Q1993" s="1"/>
      <c r="R1993" s="1"/>
      <c r="S1993" s="1"/>
      <c r="T1993" s="1"/>
      <c r="U1993" s="1"/>
      <c r="V1993" s="1"/>
      <c r="W1993" s="1"/>
      <c r="X1993" s="1"/>
      <c r="Y1993" s="1"/>
      <c r="Z1993" s="1"/>
      <c r="AA1993" s="1"/>
    </row>
    <row r="1994" spans="1:27" x14ac:dyDescent="0.2">
      <c r="B1994" s="14" t="s">
        <v>1068</v>
      </c>
    </row>
    <row r="1995" spans="1:27" x14ac:dyDescent="0.2">
      <c r="B1995" t="s">
        <v>1527</v>
      </c>
      <c r="C1995" t="s">
        <v>1070</v>
      </c>
      <c r="D1995" t="s">
        <v>1528</v>
      </c>
      <c r="E1995" s="20">
        <v>0.16</v>
      </c>
      <c r="F1995" t="s">
        <v>1072</v>
      </c>
      <c r="G1995" t="s">
        <v>1073</v>
      </c>
      <c r="H1995" s="21">
        <v>26.12</v>
      </c>
      <c r="I1995" t="s">
        <v>1074</v>
      </c>
      <c r="J1995" s="22">
        <f>ROUND(E1995/I1993* H1995,5)</f>
        <v>4.1791999999999998</v>
      </c>
      <c r="K1995" s="23"/>
    </row>
    <row r="1996" spans="1:27" x14ac:dyDescent="0.2">
      <c r="B1996" t="s">
        <v>1205</v>
      </c>
      <c r="C1996" t="s">
        <v>1070</v>
      </c>
      <c r="D1996" t="s">
        <v>1206</v>
      </c>
      <c r="E1996" s="20">
        <v>0.06</v>
      </c>
      <c r="F1996" t="s">
        <v>1072</v>
      </c>
      <c r="G1996" t="s">
        <v>1073</v>
      </c>
      <c r="H1996" s="21">
        <v>24.55</v>
      </c>
      <c r="I1996" t="s">
        <v>1074</v>
      </c>
      <c r="J1996" s="22">
        <f>ROUND(E1996/I1993* H1996,5)</f>
        <v>1.4730000000000001</v>
      </c>
      <c r="K1996" s="23"/>
    </row>
    <row r="1997" spans="1:27" x14ac:dyDescent="0.2">
      <c r="B1997" t="s">
        <v>1512</v>
      </c>
      <c r="C1997" t="s">
        <v>1070</v>
      </c>
      <c r="D1997" t="s">
        <v>1513</v>
      </c>
      <c r="E1997" s="20">
        <v>0.32</v>
      </c>
      <c r="F1997" t="s">
        <v>1072</v>
      </c>
      <c r="G1997" t="s">
        <v>1073</v>
      </c>
      <c r="H1997" s="21">
        <v>29.42</v>
      </c>
      <c r="I1997" t="s">
        <v>1074</v>
      </c>
      <c r="J1997" s="22">
        <f>ROUND(E1997/I1993* H1997,5)</f>
        <v>9.4144000000000005</v>
      </c>
      <c r="K1997" s="23"/>
    </row>
    <row r="1998" spans="1:27" x14ac:dyDescent="0.2">
      <c r="D1998" s="24" t="s">
        <v>1075</v>
      </c>
      <c r="E1998" s="23"/>
      <c r="H1998" s="23"/>
      <c r="K1998" s="21">
        <f>SUM(J1995:J1997)</f>
        <v>15.066600000000001</v>
      </c>
    </row>
    <row r="1999" spans="1:27" x14ac:dyDescent="0.2">
      <c r="B1999" s="14" t="s">
        <v>1080</v>
      </c>
      <c r="E1999" s="23"/>
      <c r="H1999" s="23"/>
      <c r="K1999" s="23"/>
    </row>
    <row r="2000" spans="1:27" x14ac:dyDescent="0.2">
      <c r="B2000" t="s">
        <v>1897</v>
      </c>
      <c r="C2000" t="s">
        <v>1084</v>
      </c>
      <c r="D2000" t="s">
        <v>1898</v>
      </c>
      <c r="E2000" s="20">
        <v>3.5700000000000003E-2</v>
      </c>
      <c r="G2000" t="s">
        <v>1073</v>
      </c>
      <c r="H2000" s="21">
        <v>21.26</v>
      </c>
      <c r="I2000" t="s">
        <v>1074</v>
      </c>
      <c r="J2000" s="22">
        <f>ROUND(E2000* H2000,5)</f>
        <v>0.75897999999999999</v>
      </c>
      <c r="K2000" s="23"/>
    </row>
    <row r="2001" spans="1:27" x14ac:dyDescent="0.2">
      <c r="B2001" t="s">
        <v>1895</v>
      </c>
      <c r="C2001" t="s">
        <v>103</v>
      </c>
      <c r="D2001" t="s">
        <v>1896</v>
      </c>
      <c r="E2001" s="20">
        <v>1.605</v>
      </c>
      <c r="G2001" t="s">
        <v>1073</v>
      </c>
      <c r="H2001" s="21">
        <v>0.98</v>
      </c>
      <c r="I2001" t="s">
        <v>1074</v>
      </c>
      <c r="J2001" s="22">
        <f>ROUND(E2001* H2001,5)</f>
        <v>1.5729</v>
      </c>
      <c r="K2001" s="23"/>
    </row>
    <row r="2002" spans="1:27" x14ac:dyDescent="0.2">
      <c r="D2002" s="24" t="s">
        <v>1090</v>
      </c>
      <c r="E2002" s="23"/>
      <c r="H2002" s="23"/>
      <c r="K2002" s="21">
        <f>SUM(J2000:J2001)</f>
        <v>2.33188</v>
      </c>
    </row>
    <row r="2003" spans="1:27" x14ac:dyDescent="0.2">
      <c r="B2003" s="14" t="s">
        <v>1063</v>
      </c>
      <c r="E2003" s="23"/>
      <c r="H2003" s="23"/>
      <c r="K2003" s="23"/>
    </row>
    <row r="2004" spans="1:27" x14ac:dyDescent="0.2">
      <c r="B2004" t="s">
        <v>1110</v>
      </c>
      <c r="C2004" t="s">
        <v>15</v>
      </c>
      <c r="D2004" t="s">
        <v>1111</v>
      </c>
      <c r="E2004" s="20">
        <v>2.1000000000000001E-2</v>
      </c>
      <c r="G2004" t="s">
        <v>1073</v>
      </c>
      <c r="H2004" s="21">
        <v>93.926400000000001</v>
      </c>
      <c r="I2004" t="s">
        <v>1074</v>
      </c>
      <c r="J2004" s="22">
        <f>ROUND(E2004* H2004,5)</f>
        <v>1.97245</v>
      </c>
      <c r="K2004" s="23"/>
    </row>
    <row r="2005" spans="1:27" x14ac:dyDescent="0.2">
      <c r="D2005" s="24" t="s">
        <v>1361</v>
      </c>
      <c r="E2005" s="23"/>
      <c r="H2005" s="23"/>
      <c r="K2005" s="21">
        <f>SUM(J2004:J2004)</f>
        <v>1.97245</v>
      </c>
    </row>
    <row r="2006" spans="1:27" x14ac:dyDescent="0.2">
      <c r="E2006" s="23"/>
      <c r="H2006" s="23"/>
      <c r="K2006" s="23"/>
    </row>
    <row r="2007" spans="1:27" x14ac:dyDescent="0.2">
      <c r="D2007" s="24" t="s">
        <v>1092</v>
      </c>
      <c r="E2007" s="23"/>
      <c r="H2007" s="23">
        <v>1.5</v>
      </c>
      <c r="I2007" t="s">
        <v>1093</v>
      </c>
      <c r="J2007">
        <f>ROUND(H2007/100*K1998,5)</f>
        <v>0.22600000000000001</v>
      </c>
      <c r="K2007" s="23"/>
    </row>
    <row r="2008" spans="1:27" x14ac:dyDescent="0.2">
      <c r="D2008" s="24" t="s">
        <v>1091</v>
      </c>
      <c r="E2008" s="23"/>
      <c r="H2008" s="23"/>
      <c r="K2008" s="25">
        <f>SUM(J1994:J2007)</f>
        <v>19.596929999999997</v>
      </c>
    </row>
    <row r="2009" spans="1:27" x14ac:dyDescent="0.2">
      <c r="D2009" s="24" t="s">
        <v>1142</v>
      </c>
      <c r="E2009" s="23"/>
      <c r="H2009" s="23">
        <v>8</v>
      </c>
      <c r="I2009" t="s">
        <v>1093</v>
      </c>
      <c r="K2009" s="21">
        <f>ROUND(H2009/100*K2008,5)</f>
        <v>1.56775</v>
      </c>
    </row>
    <row r="2010" spans="1:27" x14ac:dyDescent="0.2">
      <c r="D2010" s="24" t="s">
        <v>1094</v>
      </c>
      <c r="E2010" s="23"/>
      <c r="H2010" s="23"/>
      <c r="K2010" s="25">
        <f>SUM(K2008:K2009)</f>
        <v>21.164679999999997</v>
      </c>
    </row>
    <row r="2012" spans="1:27" ht="45" customHeight="1" x14ac:dyDescent="0.2">
      <c r="A2012" s="17" t="s">
        <v>1906</v>
      </c>
      <c r="B2012" s="17" t="s">
        <v>979</v>
      </c>
      <c r="C2012" s="1" t="s">
        <v>18</v>
      </c>
      <c r="D2012" s="96" t="s">
        <v>3996</v>
      </c>
      <c r="E2012" s="97"/>
      <c r="F2012" s="97"/>
      <c r="G2012" s="1"/>
      <c r="H2012" s="18" t="s">
        <v>1066</v>
      </c>
      <c r="I2012" s="98">
        <v>1</v>
      </c>
      <c r="J2012" s="99"/>
      <c r="K2012" s="19">
        <f>ROUND(K2027,2)</f>
        <v>128.38999999999999</v>
      </c>
      <c r="L2012" s="2" t="s">
        <v>4064</v>
      </c>
      <c r="M2012" s="1"/>
      <c r="N2012" s="1"/>
      <c r="O2012" s="1"/>
      <c r="P2012" s="1"/>
      <c r="Q2012" s="1"/>
      <c r="R2012" s="1"/>
      <c r="S2012" s="1"/>
      <c r="T2012" s="1"/>
      <c r="U2012" s="1"/>
      <c r="V2012" s="1"/>
      <c r="W2012" s="1"/>
      <c r="X2012" s="1"/>
      <c r="Y2012" s="1"/>
      <c r="Z2012" s="1"/>
      <c r="AA2012" s="1"/>
    </row>
    <row r="2013" spans="1:27" x14ac:dyDescent="0.2">
      <c r="B2013" s="14" t="s">
        <v>1068</v>
      </c>
    </row>
    <row r="2014" spans="1:27" x14ac:dyDescent="0.2">
      <c r="B2014" t="s">
        <v>1364</v>
      </c>
      <c r="C2014" t="s">
        <v>1070</v>
      </c>
      <c r="D2014" t="s">
        <v>1365</v>
      </c>
      <c r="E2014" s="20">
        <v>1.2</v>
      </c>
      <c r="F2014" t="s">
        <v>1072</v>
      </c>
      <c r="G2014" t="s">
        <v>1073</v>
      </c>
      <c r="H2014" s="21">
        <v>29.42</v>
      </c>
      <c r="I2014" t="s">
        <v>1074</v>
      </c>
      <c r="J2014" s="22">
        <f>ROUND(E2014/I2012* H2014,5)</f>
        <v>35.304000000000002</v>
      </c>
      <c r="K2014" s="23"/>
    </row>
    <row r="2015" spans="1:27" x14ac:dyDescent="0.2">
      <c r="B2015" t="s">
        <v>1205</v>
      </c>
      <c r="C2015" t="s">
        <v>1070</v>
      </c>
      <c r="D2015" t="s">
        <v>1206</v>
      </c>
      <c r="E2015" s="20">
        <v>0.6</v>
      </c>
      <c r="F2015" t="s">
        <v>1072</v>
      </c>
      <c r="G2015" t="s">
        <v>1073</v>
      </c>
      <c r="H2015" s="21">
        <v>24.55</v>
      </c>
      <c r="I2015" t="s">
        <v>1074</v>
      </c>
      <c r="J2015" s="22">
        <f>ROUND(E2015/I2012* H2015,5)</f>
        <v>14.73</v>
      </c>
      <c r="K2015" s="23"/>
    </row>
    <row r="2016" spans="1:27" x14ac:dyDescent="0.2">
      <c r="D2016" s="24" t="s">
        <v>1075</v>
      </c>
      <c r="E2016" s="23"/>
      <c r="H2016" s="23"/>
      <c r="K2016" s="21">
        <f>SUM(J2014:J2015)</f>
        <v>50.034000000000006</v>
      </c>
    </row>
    <row r="2017" spans="1:27" x14ac:dyDescent="0.2">
      <c r="B2017" s="14" t="s">
        <v>1080</v>
      </c>
      <c r="E2017" s="23"/>
      <c r="H2017" s="23"/>
      <c r="K2017" s="23"/>
    </row>
    <row r="2018" spans="1:27" x14ac:dyDescent="0.2">
      <c r="B2018" t="s">
        <v>1902</v>
      </c>
      <c r="C2018" t="s">
        <v>23</v>
      </c>
      <c r="D2018" t="s">
        <v>1903</v>
      </c>
      <c r="E2018" s="20">
        <v>148</v>
      </c>
      <c r="G2018" t="s">
        <v>1073</v>
      </c>
      <c r="H2018" s="21">
        <v>0.42</v>
      </c>
      <c r="I2018" t="s">
        <v>1074</v>
      </c>
      <c r="J2018" s="22">
        <f>ROUND(E2018* H2018,5)</f>
        <v>62.16</v>
      </c>
      <c r="K2018" s="23"/>
    </row>
    <row r="2019" spans="1:27" x14ac:dyDescent="0.2">
      <c r="D2019" s="24" t="s">
        <v>1090</v>
      </c>
      <c r="E2019" s="23"/>
      <c r="H2019" s="23"/>
      <c r="K2019" s="21">
        <f>SUM(J2018:J2018)</f>
        <v>62.16</v>
      </c>
    </row>
    <row r="2020" spans="1:27" x14ac:dyDescent="0.2">
      <c r="B2020" s="14" t="s">
        <v>1063</v>
      </c>
      <c r="E2020" s="23"/>
      <c r="H2020" s="23"/>
      <c r="K2020" s="23"/>
    </row>
    <row r="2021" spans="1:27" x14ac:dyDescent="0.2">
      <c r="B2021" t="s">
        <v>1113</v>
      </c>
      <c r="C2021" t="s">
        <v>15</v>
      </c>
      <c r="D2021" t="s">
        <v>1114</v>
      </c>
      <c r="E2021" s="20">
        <v>5.04E-2</v>
      </c>
      <c r="G2021" t="s">
        <v>1073</v>
      </c>
      <c r="H2021" s="21">
        <v>117.751</v>
      </c>
      <c r="I2021" t="s">
        <v>1074</v>
      </c>
      <c r="J2021" s="22">
        <f>ROUND(E2021* H2021,5)</f>
        <v>5.9346500000000004</v>
      </c>
      <c r="K2021" s="23"/>
    </row>
    <row r="2022" spans="1:27" x14ac:dyDescent="0.2">
      <c r="D2022" s="24" t="s">
        <v>1361</v>
      </c>
      <c r="E2022" s="23"/>
      <c r="H2022" s="23"/>
      <c r="K2022" s="21">
        <f>SUM(J2021:J2021)</f>
        <v>5.9346500000000004</v>
      </c>
    </row>
    <row r="2023" spans="1:27" x14ac:dyDescent="0.2">
      <c r="E2023" s="23"/>
      <c r="H2023" s="23"/>
      <c r="K2023" s="23"/>
    </row>
    <row r="2024" spans="1:27" x14ac:dyDescent="0.2">
      <c r="D2024" s="24" t="s">
        <v>1092</v>
      </c>
      <c r="E2024" s="23"/>
      <c r="H2024" s="23">
        <v>1.5</v>
      </c>
      <c r="I2024" t="s">
        <v>1093</v>
      </c>
      <c r="J2024">
        <f>ROUND(H2024/100*K2016,5)</f>
        <v>0.75051000000000001</v>
      </c>
      <c r="K2024" s="23"/>
    </row>
    <row r="2025" spans="1:27" x14ac:dyDescent="0.2">
      <c r="D2025" s="24" t="s">
        <v>1091</v>
      </c>
      <c r="E2025" s="23"/>
      <c r="H2025" s="23"/>
      <c r="K2025" s="25">
        <f>SUM(J2013:J2024)</f>
        <v>118.87916000000001</v>
      </c>
    </row>
    <row r="2026" spans="1:27" x14ac:dyDescent="0.2">
      <c r="D2026" s="24" t="s">
        <v>1142</v>
      </c>
      <c r="E2026" s="23"/>
      <c r="H2026" s="23">
        <v>8</v>
      </c>
      <c r="I2026" t="s">
        <v>1093</v>
      </c>
      <c r="K2026" s="21">
        <f>ROUND(H2026/100*K2025,5)</f>
        <v>9.5103299999999997</v>
      </c>
    </row>
    <row r="2027" spans="1:27" x14ac:dyDescent="0.2">
      <c r="D2027" s="24" t="s">
        <v>1094</v>
      </c>
      <c r="E2027" s="23"/>
      <c r="H2027" s="23"/>
      <c r="K2027" s="25">
        <f>SUM(K2025:K2026)</f>
        <v>128.38949000000002</v>
      </c>
    </row>
    <row r="2029" spans="1:27" ht="45" customHeight="1" x14ac:dyDescent="0.2">
      <c r="A2029" s="17" t="s">
        <v>1907</v>
      </c>
      <c r="B2029" s="17" t="s">
        <v>997</v>
      </c>
      <c r="C2029" s="1" t="s">
        <v>18</v>
      </c>
      <c r="D2029" s="96" t="s">
        <v>4018</v>
      </c>
      <c r="E2029" s="97"/>
      <c r="F2029" s="97"/>
      <c r="G2029" s="1"/>
      <c r="H2029" s="18" t="s">
        <v>1066</v>
      </c>
      <c r="I2029" s="98">
        <v>1</v>
      </c>
      <c r="J2029" s="99"/>
      <c r="K2029" s="19">
        <v>1863</v>
      </c>
      <c r="L2029" s="2" t="s">
        <v>4065</v>
      </c>
      <c r="M2029" s="1"/>
      <c r="N2029" s="1"/>
      <c r="O2029" s="1"/>
      <c r="P2029" s="1"/>
      <c r="Q2029" s="1"/>
      <c r="R2029" s="1"/>
      <c r="S2029" s="1"/>
      <c r="T2029" s="1"/>
      <c r="U2029" s="1"/>
      <c r="V2029" s="1"/>
      <c r="W2029" s="1"/>
      <c r="X2029" s="1"/>
      <c r="Y2029" s="1"/>
      <c r="Z2029" s="1"/>
      <c r="AA2029" s="1"/>
    </row>
    <row r="2030" spans="1:27" ht="45" customHeight="1" x14ac:dyDescent="0.2">
      <c r="A2030" s="17" t="s">
        <v>1910</v>
      </c>
      <c r="B2030" s="17" t="s">
        <v>980</v>
      </c>
      <c r="C2030" s="1" t="s">
        <v>18</v>
      </c>
      <c r="D2030" s="96" t="s">
        <v>4017</v>
      </c>
      <c r="E2030" s="97"/>
      <c r="F2030" s="97"/>
      <c r="G2030" s="1"/>
      <c r="H2030" s="18" t="s">
        <v>1066</v>
      </c>
      <c r="I2030" s="98">
        <v>1</v>
      </c>
      <c r="J2030" s="99"/>
      <c r="K2030" s="19">
        <v>162</v>
      </c>
      <c r="L2030" s="2" t="s">
        <v>4066</v>
      </c>
      <c r="M2030" s="1"/>
      <c r="N2030" s="1"/>
      <c r="O2030" s="1"/>
      <c r="P2030" s="1"/>
      <c r="Q2030" s="1"/>
      <c r="R2030" s="1"/>
      <c r="S2030" s="1"/>
      <c r="T2030" s="1"/>
      <c r="U2030" s="1"/>
      <c r="V2030" s="1"/>
      <c r="W2030" s="1"/>
      <c r="X2030" s="1"/>
      <c r="Y2030" s="1"/>
      <c r="Z2030" s="1"/>
      <c r="AA2030" s="1"/>
    </row>
    <row r="2031" spans="1:27" ht="45" customHeight="1" x14ac:dyDescent="0.2">
      <c r="A2031" s="17" t="s">
        <v>1930</v>
      </c>
      <c r="B2031" s="17" t="s">
        <v>569</v>
      </c>
      <c r="C2031" s="1" t="s">
        <v>18</v>
      </c>
      <c r="D2031" s="96" t="s">
        <v>3946</v>
      </c>
      <c r="E2031" s="97"/>
      <c r="F2031" s="97"/>
      <c r="G2031" s="1"/>
      <c r="H2031" s="18" t="s">
        <v>1066</v>
      </c>
      <c r="I2031" s="98">
        <v>1</v>
      </c>
      <c r="J2031" s="99"/>
      <c r="K2031" s="19">
        <f>ROUND(K2044,2)</f>
        <v>41.49</v>
      </c>
      <c r="L2031" s="2" t="s">
        <v>4067</v>
      </c>
      <c r="M2031" s="1"/>
      <c r="N2031" s="1"/>
      <c r="O2031" s="1"/>
      <c r="P2031" s="1"/>
      <c r="Q2031" s="1"/>
      <c r="R2031" s="1"/>
      <c r="S2031" s="1"/>
      <c r="T2031" s="1"/>
      <c r="U2031" s="1"/>
      <c r="V2031" s="1"/>
      <c r="W2031" s="1"/>
      <c r="X2031" s="1"/>
      <c r="Y2031" s="1"/>
      <c r="Z2031" s="1"/>
      <c r="AA2031" s="1"/>
    </row>
    <row r="2032" spans="1:27" x14ac:dyDescent="0.2">
      <c r="B2032" s="14" t="s">
        <v>1068</v>
      </c>
    </row>
    <row r="2033" spans="1:27" x14ac:dyDescent="0.2">
      <c r="B2033" t="s">
        <v>1512</v>
      </c>
      <c r="C2033" t="s">
        <v>1070</v>
      </c>
      <c r="D2033" t="s">
        <v>1513</v>
      </c>
      <c r="E2033" s="20">
        <v>0.2</v>
      </c>
      <c r="F2033" t="s">
        <v>1072</v>
      </c>
      <c r="G2033" t="s">
        <v>1073</v>
      </c>
      <c r="H2033" s="21">
        <v>29.42</v>
      </c>
      <c r="I2033" t="s">
        <v>1074</v>
      </c>
      <c r="J2033" s="22">
        <f>ROUND(E2033/I2031* H2033,5)</f>
        <v>5.8840000000000003</v>
      </c>
      <c r="K2033" s="23"/>
    </row>
    <row r="2034" spans="1:27" x14ac:dyDescent="0.2">
      <c r="B2034" t="s">
        <v>1527</v>
      </c>
      <c r="C2034" t="s">
        <v>1070</v>
      </c>
      <c r="D2034" t="s">
        <v>1528</v>
      </c>
      <c r="E2034" s="20">
        <v>0.2</v>
      </c>
      <c r="F2034" t="s">
        <v>1072</v>
      </c>
      <c r="G2034" t="s">
        <v>1073</v>
      </c>
      <c r="H2034" s="21">
        <v>26.12</v>
      </c>
      <c r="I2034" t="s">
        <v>1074</v>
      </c>
      <c r="J2034" s="22">
        <f>ROUND(E2034/I2031* H2034,5)</f>
        <v>5.2240000000000002</v>
      </c>
      <c r="K2034" s="23"/>
    </row>
    <row r="2035" spans="1:27" x14ac:dyDescent="0.2">
      <c r="D2035" s="24" t="s">
        <v>1075</v>
      </c>
      <c r="E2035" s="23"/>
      <c r="H2035" s="23"/>
      <c r="K2035" s="21">
        <f>SUM(J2033:J2034)</f>
        <v>11.108000000000001</v>
      </c>
    </row>
    <row r="2036" spans="1:27" x14ac:dyDescent="0.2">
      <c r="B2036" s="14" t="s">
        <v>1080</v>
      </c>
      <c r="E2036" s="23"/>
      <c r="H2036" s="23"/>
      <c r="K2036" s="23"/>
    </row>
    <row r="2037" spans="1:27" x14ac:dyDescent="0.2">
      <c r="B2037" t="s">
        <v>4068</v>
      </c>
      <c r="C2037" t="s">
        <v>18</v>
      </c>
      <c r="D2037" t="s">
        <v>3946</v>
      </c>
      <c r="E2037" s="20">
        <v>1.02</v>
      </c>
      <c r="G2037" t="s">
        <v>1073</v>
      </c>
      <c r="H2037" s="21">
        <v>25.22</v>
      </c>
      <c r="I2037" t="s">
        <v>1074</v>
      </c>
      <c r="J2037" s="22">
        <f>ROUND(E2037* H2037,5)</f>
        <v>25.724399999999999</v>
      </c>
      <c r="K2037" s="23"/>
    </row>
    <row r="2038" spans="1:27" x14ac:dyDescent="0.2">
      <c r="B2038" t="s">
        <v>1908</v>
      </c>
      <c r="C2038" t="s">
        <v>103</v>
      </c>
      <c r="D2038" t="s">
        <v>1909</v>
      </c>
      <c r="E2038" s="20">
        <v>0.252</v>
      </c>
      <c r="G2038" t="s">
        <v>1073</v>
      </c>
      <c r="H2038" s="21">
        <v>5.64</v>
      </c>
      <c r="I2038" t="s">
        <v>1074</v>
      </c>
      <c r="J2038" s="22">
        <f>ROUND(E2038* H2038,5)</f>
        <v>1.4212800000000001</v>
      </c>
      <c r="K2038" s="23"/>
    </row>
    <row r="2039" spans="1:27" x14ac:dyDescent="0.2">
      <c r="D2039" s="24" t="s">
        <v>1090</v>
      </c>
      <c r="E2039" s="23"/>
      <c r="H2039" s="23"/>
      <c r="K2039" s="21">
        <f>SUM(J2037:J2038)</f>
        <v>27.145679999999999</v>
      </c>
    </row>
    <row r="2040" spans="1:27" x14ac:dyDescent="0.2">
      <c r="E2040" s="23"/>
      <c r="H2040" s="23"/>
      <c r="K2040" s="23"/>
    </row>
    <row r="2041" spans="1:27" x14ac:dyDescent="0.2">
      <c r="D2041" s="24" t="s">
        <v>1092</v>
      </c>
      <c r="E2041" s="23"/>
      <c r="H2041" s="23">
        <v>1.5</v>
      </c>
      <c r="I2041" t="s">
        <v>1093</v>
      </c>
      <c r="J2041">
        <f>ROUND(H2041/100*K2035,5)</f>
        <v>0.16661999999999999</v>
      </c>
      <c r="K2041" s="23"/>
    </row>
    <row r="2042" spans="1:27" x14ac:dyDescent="0.2">
      <c r="D2042" s="24" t="s">
        <v>1091</v>
      </c>
      <c r="E2042" s="23"/>
      <c r="H2042" s="23"/>
      <c r="K2042" s="25">
        <f>SUM(J2032:J2041)</f>
        <v>38.420300000000005</v>
      </c>
    </row>
    <row r="2043" spans="1:27" x14ac:dyDescent="0.2">
      <c r="D2043" s="24" t="s">
        <v>1142</v>
      </c>
      <c r="E2043" s="23"/>
      <c r="H2043" s="23">
        <v>8</v>
      </c>
      <c r="I2043" t="s">
        <v>1093</v>
      </c>
      <c r="K2043" s="21">
        <f>ROUND(H2043/100*K2042,5)</f>
        <v>3.07362</v>
      </c>
    </row>
    <row r="2044" spans="1:27" x14ac:dyDescent="0.2">
      <c r="D2044" s="24" t="s">
        <v>1094</v>
      </c>
      <c r="E2044" s="23"/>
      <c r="H2044" s="23"/>
      <c r="K2044" s="25">
        <f>SUM(K2042:K2043)</f>
        <v>41.493920000000003</v>
      </c>
    </row>
    <row r="2046" spans="1:27" ht="45" customHeight="1" x14ac:dyDescent="0.2">
      <c r="A2046" s="17" t="s">
        <v>1932</v>
      </c>
      <c r="B2046" s="17" t="s">
        <v>3990</v>
      </c>
      <c r="C2046" s="1" t="s">
        <v>36</v>
      </c>
      <c r="D2046" s="96" t="s">
        <v>3991</v>
      </c>
      <c r="E2046" s="97"/>
      <c r="F2046" s="97"/>
      <c r="G2046" s="1"/>
      <c r="H2046" s="18" t="s">
        <v>1066</v>
      </c>
      <c r="I2046" s="98">
        <v>1</v>
      </c>
      <c r="J2046" s="99"/>
      <c r="K2046" s="19">
        <f>ROUND(K2059,2)</f>
        <v>29.2</v>
      </c>
      <c r="L2046" s="2" t="s">
        <v>4069</v>
      </c>
      <c r="M2046" s="1"/>
      <c r="N2046" s="1"/>
      <c r="O2046" s="1"/>
      <c r="P2046" s="1"/>
      <c r="Q2046" s="1"/>
      <c r="R2046" s="1"/>
      <c r="S2046" s="1"/>
      <c r="T2046" s="1"/>
      <c r="U2046" s="1"/>
      <c r="V2046" s="1"/>
      <c r="W2046" s="1"/>
      <c r="X2046" s="1"/>
      <c r="Y2046" s="1"/>
      <c r="Z2046" s="1"/>
      <c r="AA2046" s="1"/>
    </row>
    <row r="2047" spans="1:27" x14ac:dyDescent="0.2">
      <c r="B2047" s="14" t="s">
        <v>1068</v>
      </c>
    </row>
    <row r="2048" spans="1:27" x14ac:dyDescent="0.2">
      <c r="B2048" t="s">
        <v>1914</v>
      </c>
      <c r="C2048" t="s">
        <v>1070</v>
      </c>
      <c r="D2048" t="s">
        <v>1915</v>
      </c>
      <c r="E2048" s="20">
        <v>0.3</v>
      </c>
      <c r="F2048" t="s">
        <v>1072</v>
      </c>
      <c r="G2048" t="s">
        <v>1073</v>
      </c>
      <c r="H2048" s="21">
        <v>26.22</v>
      </c>
      <c r="I2048" t="s">
        <v>1074</v>
      </c>
      <c r="J2048" s="22">
        <f>ROUND(E2048/I2046* H2048,5)</f>
        <v>7.8659999999999997</v>
      </c>
      <c r="K2048" s="23"/>
    </row>
    <row r="2049" spans="1:27" x14ac:dyDescent="0.2">
      <c r="B2049" t="s">
        <v>1912</v>
      </c>
      <c r="C2049" t="s">
        <v>1070</v>
      </c>
      <c r="D2049" t="s">
        <v>1913</v>
      </c>
      <c r="E2049" s="20">
        <v>0.3</v>
      </c>
      <c r="F2049" t="s">
        <v>1072</v>
      </c>
      <c r="G2049" t="s">
        <v>1073</v>
      </c>
      <c r="H2049" s="21">
        <v>29.88</v>
      </c>
      <c r="I2049" t="s">
        <v>1074</v>
      </c>
      <c r="J2049" s="22">
        <f>ROUND(E2049/I2046* H2049,5)</f>
        <v>8.9640000000000004</v>
      </c>
      <c r="K2049" s="23"/>
    </row>
    <row r="2050" spans="1:27" x14ac:dyDescent="0.2">
      <c r="D2050" s="24" t="s">
        <v>1075</v>
      </c>
      <c r="E2050" s="23"/>
      <c r="H2050" s="23"/>
      <c r="K2050" s="21">
        <f>SUM(J2048:J2049)</f>
        <v>16.829999999999998</v>
      </c>
    </row>
    <row r="2051" spans="1:27" x14ac:dyDescent="0.2">
      <c r="B2051" s="14" t="s">
        <v>1080</v>
      </c>
      <c r="E2051" s="23"/>
      <c r="H2051" s="23"/>
      <c r="K2051" s="23"/>
    </row>
    <row r="2052" spans="1:27" x14ac:dyDescent="0.2">
      <c r="B2052" t="s">
        <v>4070</v>
      </c>
      <c r="C2052" t="s">
        <v>23</v>
      </c>
      <c r="D2052" t="s">
        <v>4071</v>
      </c>
      <c r="E2052" s="20">
        <v>3</v>
      </c>
      <c r="G2052" t="s">
        <v>1073</v>
      </c>
      <c r="H2052" s="21">
        <v>0.91</v>
      </c>
      <c r="I2052" t="s">
        <v>1074</v>
      </c>
      <c r="J2052" s="22">
        <f>ROUND(E2052* H2052,5)</f>
        <v>2.73</v>
      </c>
      <c r="K2052" s="23"/>
    </row>
    <row r="2053" spans="1:27" x14ac:dyDescent="0.2">
      <c r="B2053" t="s">
        <v>4072</v>
      </c>
      <c r="C2053" t="s">
        <v>103</v>
      </c>
      <c r="D2053" t="s">
        <v>4073</v>
      </c>
      <c r="E2053" s="20">
        <v>2.5</v>
      </c>
      <c r="G2053" t="s">
        <v>1073</v>
      </c>
      <c r="H2053" s="21">
        <v>2.89</v>
      </c>
      <c r="I2053" t="s">
        <v>1074</v>
      </c>
      <c r="J2053" s="22">
        <f>ROUND(E2053* H2053,5)</f>
        <v>7.2249999999999996</v>
      </c>
      <c r="K2053" s="23"/>
    </row>
    <row r="2054" spans="1:27" x14ac:dyDescent="0.2">
      <c r="D2054" s="24" t="s">
        <v>1090</v>
      </c>
      <c r="E2054" s="23"/>
      <c r="H2054" s="23"/>
      <c r="K2054" s="21">
        <f>SUM(J2052:J2053)</f>
        <v>9.9550000000000001</v>
      </c>
    </row>
    <row r="2055" spans="1:27" x14ac:dyDescent="0.2">
      <c r="E2055" s="23"/>
      <c r="H2055" s="23"/>
      <c r="K2055" s="23"/>
    </row>
    <row r="2056" spans="1:27" x14ac:dyDescent="0.2">
      <c r="D2056" s="24" t="s">
        <v>1092</v>
      </c>
      <c r="E2056" s="23"/>
      <c r="H2056" s="23">
        <v>1.5</v>
      </c>
      <c r="I2056" t="s">
        <v>1093</v>
      </c>
      <c r="J2056">
        <f>ROUND(H2056/100*K2050,5)</f>
        <v>0.25245000000000001</v>
      </c>
      <c r="K2056" s="23"/>
    </row>
    <row r="2057" spans="1:27" x14ac:dyDescent="0.2">
      <c r="D2057" s="24" t="s">
        <v>1091</v>
      </c>
      <c r="E2057" s="23"/>
      <c r="H2057" s="23"/>
      <c r="K2057" s="25">
        <f>SUM(J2047:J2056)</f>
        <v>27.037449999999996</v>
      </c>
    </row>
    <row r="2058" spans="1:27" x14ac:dyDescent="0.2">
      <c r="D2058" s="24" t="s">
        <v>1142</v>
      </c>
      <c r="E2058" s="23"/>
      <c r="H2058" s="23">
        <v>8</v>
      </c>
      <c r="I2058" t="s">
        <v>1093</v>
      </c>
      <c r="K2058" s="21">
        <f>ROUND(H2058/100*K2057,5)</f>
        <v>2.1629999999999998</v>
      </c>
    </row>
    <row r="2059" spans="1:27" x14ac:dyDescent="0.2">
      <c r="D2059" s="24" t="s">
        <v>1094</v>
      </c>
      <c r="E2059" s="23"/>
      <c r="H2059" s="23"/>
      <c r="K2059" s="25">
        <f>SUM(K2057:K2058)</f>
        <v>29.200449999999996</v>
      </c>
    </row>
    <row r="2061" spans="1:27" ht="45" customHeight="1" x14ac:dyDescent="0.2">
      <c r="A2061" s="17" t="s">
        <v>1934</v>
      </c>
      <c r="B2061" s="17" t="s">
        <v>3992</v>
      </c>
      <c r="C2061" s="1" t="s">
        <v>36</v>
      </c>
      <c r="D2061" s="96" t="s">
        <v>3993</v>
      </c>
      <c r="E2061" s="97"/>
      <c r="F2061" s="97"/>
      <c r="G2061" s="1"/>
      <c r="H2061" s="18" t="s">
        <v>1066</v>
      </c>
      <c r="I2061" s="98">
        <v>1</v>
      </c>
      <c r="J2061" s="99"/>
      <c r="K2061" s="19">
        <f>ROUND(K2074,2)</f>
        <v>25.14</v>
      </c>
      <c r="L2061" s="2" t="s">
        <v>4074</v>
      </c>
      <c r="M2061" s="1"/>
      <c r="N2061" s="1"/>
      <c r="O2061" s="1"/>
      <c r="P2061" s="1"/>
      <c r="Q2061" s="1"/>
      <c r="R2061" s="1"/>
      <c r="S2061" s="1"/>
      <c r="T2061" s="1"/>
      <c r="U2061" s="1"/>
      <c r="V2061" s="1"/>
      <c r="W2061" s="1"/>
      <c r="X2061" s="1"/>
      <c r="Y2061" s="1"/>
      <c r="Z2061" s="1"/>
      <c r="AA2061" s="1"/>
    </row>
    <row r="2062" spans="1:27" x14ac:dyDescent="0.2">
      <c r="B2062" s="14" t="s">
        <v>1068</v>
      </c>
    </row>
    <row r="2063" spans="1:27" x14ac:dyDescent="0.2">
      <c r="B2063" t="s">
        <v>1914</v>
      </c>
      <c r="C2063" t="s">
        <v>1070</v>
      </c>
      <c r="D2063" t="s">
        <v>1915</v>
      </c>
      <c r="E2063" s="20">
        <v>0.3</v>
      </c>
      <c r="F2063" t="s">
        <v>1072</v>
      </c>
      <c r="G2063" t="s">
        <v>1073</v>
      </c>
      <c r="H2063" s="21">
        <v>26.22</v>
      </c>
      <c r="I2063" t="s">
        <v>1074</v>
      </c>
      <c r="J2063" s="22">
        <f>ROUND(E2063/I2061* H2063,5)</f>
        <v>7.8659999999999997</v>
      </c>
      <c r="K2063" s="23"/>
    </row>
    <row r="2064" spans="1:27" x14ac:dyDescent="0.2">
      <c r="B2064" t="s">
        <v>1912</v>
      </c>
      <c r="C2064" t="s">
        <v>1070</v>
      </c>
      <c r="D2064" t="s">
        <v>1913</v>
      </c>
      <c r="E2064" s="20">
        <v>0.3</v>
      </c>
      <c r="F2064" t="s">
        <v>1072</v>
      </c>
      <c r="G2064" t="s">
        <v>1073</v>
      </c>
      <c r="H2064" s="21">
        <v>29.88</v>
      </c>
      <c r="I2064" t="s">
        <v>1074</v>
      </c>
      <c r="J2064" s="22">
        <f>ROUND(E2064/I2061* H2064,5)</f>
        <v>8.9640000000000004</v>
      </c>
      <c r="K2064" s="23"/>
    </row>
    <row r="2065" spans="1:27" x14ac:dyDescent="0.2">
      <c r="D2065" s="24" t="s">
        <v>1075</v>
      </c>
      <c r="E2065" s="23"/>
      <c r="H2065" s="23"/>
      <c r="K2065" s="21">
        <f>SUM(J2063:J2064)</f>
        <v>16.829999999999998</v>
      </c>
    </row>
    <row r="2066" spans="1:27" x14ac:dyDescent="0.2">
      <c r="B2066" s="14" t="s">
        <v>1080</v>
      </c>
      <c r="E2066" s="23"/>
      <c r="H2066" s="23"/>
      <c r="K2066" s="23"/>
    </row>
    <row r="2067" spans="1:27" x14ac:dyDescent="0.2">
      <c r="B2067" t="s">
        <v>4070</v>
      </c>
      <c r="C2067" t="s">
        <v>23</v>
      </c>
      <c r="D2067" t="s">
        <v>4071</v>
      </c>
      <c r="E2067" s="20">
        <v>3</v>
      </c>
      <c r="G2067" t="s">
        <v>1073</v>
      </c>
      <c r="H2067" s="21">
        <v>0.91</v>
      </c>
      <c r="I2067" t="s">
        <v>1074</v>
      </c>
      <c r="J2067" s="22">
        <f>ROUND(E2067* H2067,5)</f>
        <v>2.73</v>
      </c>
      <c r="K2067" s="23"/>
    </row>
    <row r="2068" spans="1:27" x14ac:dyDescent="0.2">
      <c r="B2068" t="s">
        <v>4072</v>
      </c>
      <c r="C2068" t="s">
        <v>103</v>
      </c>
      <c r="D2068" t="s">
        <v>4073</v>
      </c>
      <c r="E2068" s="20">
        <v>1.2</v>
      </c>
      <c r="G2068" t="s">
        <v>1073</v>
      </c>
      <c r="H2068" s="21">
        <v>2.89</v>
      </c>
      <c r="I2068" t="s">
        <v>1074</v>
      </c>
      <c r="J2068" s="22">
        <f>ROUND(E2068* H2068,5)</f>
        <v>3.468</v>
      </c>
      <c r="K2068" s="23"/>
    </row>
    <row r="2069" spans="1:27" x14ac:dyDescent="0.2">
      <c r="D2069" s="24" t="s">
        <v>1090</v>
      </c>
      <c r="E2069" s="23"/>
      <c r="H2069" s="23"/>
      <c r="K2069" s="21">
        <f>SUM(J2067:J2068)</f>
        <v>6.1980000000000004</v>
      </c>
    </row>
    <row r="2070" spans="1:27" x14ac:dyDescent="0.2">
      <c r="E2070" s="23"/>
      <c r="H2070" s="23"/>
      <c r="K2070" s="23"/>
    </row>
    <row r="2071" spans="1:27" x14ac:dyDescent="0.2">
      <c r="D2071" s="24" t="s">
        <v>1092</v>
      </c>
      <c r="E2071" s="23"/>
      <c r="H2071" s="23">
        <v>1.5</v>
      </c>
      <c r="I2071" t="s">
        <v>1093</v>
      </c>
      <c r="J2071">
        <f>ROUND(H2071/100*K2065,5)</f>
        <v>0.25245000000000001</v>
      </c>
      <c r="K2071" s="23"/>
    </row>
    <row r="2072" spans="1:27" x14ac:dyDescent="0.2">
      <c r="D2072" s="24" t="s">
        <v>1091</v>
      </c>
      <c r="E2072" s="23"/>
      <c r="H2072" s="23"/>
      <c r="K2072" s="25">
        <f>SUM(J2062:J2071)</f>
        <v>23.280449999999998</v>
      </c>
    </row>
    <row r="2073" spans="1:27" x14ac:dyDescent="0.2">
      <c r="D2073" s="24" t="s">
        <v>1142</v>
      </c>
      <c r="E2073" s="23"/>
      <c r="H2073" s="23">
        <v>8</v>
      </c>
      <c r="I2073" t="s">
        <v>1093</v>
      </c>
      <c r="K2073" s="21">
        <f>ROUND(H2073/100*K2072,5)</f>
        <v>1.8624400000000001</v>
      </c>
    </row>
    <row r="2074" spans="1:27" x14ac:dyDescent="0.2">
      <c r="D2074" s="24" t="s">
        <v>1094</v>
      </c>
      <c r="E2074" s="23"/>
      <c r="H2074" s="23"/>
      <c r="K2074" s="25">
        <f>SUM(K2072:K2073)</f>
        <v>25.142889999999998</v>
      </c>
    </row>
    <row r="2076" spans="1:27" ht="45" customHeight="1" x14ac:dyDescent="0.2">
      <c r="A2076" s="17" t="s">
        <v>1936</v>
      </c>
      <c r="B2076" s="17" t="s">
        <v>3988</v>
      </c>
      <c r="C2076" s="1" t="s">
        <v>36</v>
      </c>
      <c r="D2076" s="96" t="s">
        <v>3989</v>
      </c>
      <c r="E2076" s="97"/>
      <c r="F2076" s="97"/>
      <c r="G2076" s="1"/>
      <c r="H2076" s="18" t="s">
        <v>1066</v>
      </c>
      <c r="I2076" s="98">
        <v>1</v>
      </c>
      <c r="J2076" s="99"/>
      <c r="K2076" s="19">
        <f>ROUND(K2089,2)</f>
        <v>25.77</v>
      </c>
      <c r="L2076" s="2" t="s">
        <v>4075</v>
      </c>
      <c r="M2076" s="1"/>
      <c r="N2076" s="1"/>
      <c r="O2076" s="1"/>
      <c r="P2076" s="1"/>
      <c r="Q2076" s="1"/>
      <c r="R2076" s="1"/>
      <c r="S2076" s="1"/>
      <c r="T2076" s="1"/>
      <c r="U2076" s="1"/>
      <c r="V2076" s="1"/>
      <c r="W2076" s="1"/>
      <c r="X2076" s="1"/>
      <c r="Y2076" s="1"/>
      <c r="Z2076" s="1"/>
      <c r="AA2076" s="1"/>
    </row>
    <row r="2077" spans="1:27" x14ac:dyDescent="0.2">
      <c r="B2077" s="14" t="s">
        <v>1068</v>
      </c>
    </row>
    <row r="2078" spans="1:27" x14ac:dyDescent="0.2">
      <c r="B2078" t="s">
        <v>1914</v>
      </c>
      <c r="C2078" t="s">
        <v>1070</v>
      </c>
      <c r="D2078" t="s">
        <v>1915</v>
      </c>
      <c r="E2078" s="20">
        <v>0.3</v>
      </c>
      <c r="F2078" t="s">
        <v>1072</v>
      </c>
      <c r="G2078" t="s">
        <v>1073</v>
      </c>
      <c r="H2078" s="21">
        <v>26.22</v>
      </c>
      <c r="I2078" t="s">
        <v>1074</v>
      </c>
      <c r="J2078" s="22">
        <f>ROUND(E2078/I2076* H2078,5)</f>
        <v>7.8659999999999997</v>
      </c>
      <c r="K2078" s="23"/>
    </row>
    <row r="2079" spans="1:27" x14ac:dyDescent="0.2">
      <c r="B2079" t="s">
        <v>1912</v>
      </c>
      <c r="C2079" t="s">
        <v>1070</v>
      </c>
      <c r="D2079" t="s">
        <v>1913</v>
      </c>
      <c r="E2079" s="20">
        <v>0.3</v>
      </c>
      <c r="F2079" t="s">
        <v>1072</v>
      </c>
      <c r="G2079" t="s">
        <v>1073</v>
      </c>
      <c r="H2079" s="21">
        <v>29.88</v>
      </c>
      <c r="I2079" t="s">
        <v>1074</v>
      </c>
      <c r="J2079" s="22">
        <f>ROUND(E2079/I2076* H2079,5)</f>
        <v>8.9640000000000004</v>
      </c>
      <c r="K2079" s="23"/>
    </row>
    <row r="2080" spans="1:27" x14ac:dyDescent="0.2">
      <c r="D2080" s="24" t="s">
        <v>1075</v>
      </c>
      <c r="E2080" s="23"/>
      <c r="H2080" s="23"/>
      <c r="K2080" s="21">
        <f>SUM(J2078:J2079)</f>
        <v>16.829999999999998</v>
      </c>
    </row>
    <row r="2081" spans="1:27" x14ac:dyDescent="0.2">
      <c r="B2081" s="14" t="s">
        <v>1080</v>
      </c>
      <c r="E2081" s="23"/>
      <c r="H2081" s="23"/>
      <c r="K2081" s="23"/>
    </row>
    <row r="2082" spans="1:27" x14ac:dyDescent="0.2">
      <c r="B2082" t="s">
        <v>4072</v>
      </c>
      <c r="C2082" t="s">
        <v>103</v>
      </c>
      <c r="D2082" t="s">
        <v>4073</v>
      </c>
      <c r="E2082" s="20">
        <v>1.4</v>
      </c>
      <c r="G2082" t="s">
        <v>1073</v>
      </c>
      <c r="H2082" s="21">
        <v>2.89</v>
      </c>
      <c r="I2082" t="s">
        <v>1074</v>
      </c>
      <c r="J2082" s="22">
        <f>ROUND(E2082* H2082,5)</f>
        <v>4.0460000000000003</v>
      </c>
      <c r="K2082" s="23"/>
    </row>
    <row r="2083" spans="1:27" x14ac:dyDescent="0.2">
      <c r="B2083" t="s">
        <v>4070</v>
      </c>
      <c r="C2083" t="s">
        <v>23</v>
      </c>
      <c r="D2083" t="s">
        <v>4071</v>
      </c>
      <c r="E2083" s="20">
        <v>3</v>
      </c>
      <c r="G2083" t="s">
        <v>1073</v>
      </c>
      <c r="H2083" s="21">
        <v>0.91</v>
      </c>
      <c r="I2083" t="s">
        <v>1074</v>
      </c>
      <c r="J2083" s="22">
        <f>ROUND(E2083* H2083,5)</f>
        <v>2.73</v>
      </c>
      <c r="K2083" s="23"/>
    </row>
    <row r="2084" spans="1:27" x14ac:dyDescent="0.2">
      <c r="D2084" s="24" t="s">
        <v>1090</v>
      </c>
      <c r="E2084" s="23"/>
      <c r="H2084" s="23"/>
      <c r="K2084" s="21">
        <f>SUM(J2082:J2083)</f>
        <v>6.7759999999999998</v>
      </c>
    </row>
    <row r="2085" spans="1:27" x14ac:dyDescent="0.2">
      <c r="E2085" s="23"/>
      <c r="H2085" s="23"/>
      <c r="K2085" s="23"/>
    </row>
    <row r="2086" spans="1:27" x14ac:dyDescent="0.2">
      <c r="D2086" s="24" t="s">
        <v>1092</v>
      </c>
      <c r="E2086" s="23"/>
      <c r="H2086" s="23">
        <v>1.5</v>
      </c>
      <c r="I2086" t="s">
        <v>1093</v>
      </c>
      <c r="J2086">
        <f>ROUND(H2086/100*K2080,5)</f>
        <v>0.25245000000000001</v>
      </c>
      <c r="K2086" s="23"/>
    </row>
    <row r="2087" spans="1:27" x14ac:dyDescent="0.2">
      <c r="D2087" s="24" t="s">
        <v>1091</v>
      </c>
      <c r="E2087" s="23"/>
      <c r="H2087" s="23"/>
      <c r="K2087" s="25">
        <f>SUM(J2077:J2086)</f>
        <v>23.858449999999998</v>
      </c>
    </row>
    <row r="2088" spans="1:27" x14ac:dyDescent="0.2">
      <c r="D2088" s="24" t="s">
        <v>1142</v>
      </c>
      <c r="E2088" s="23"/>
      <c r="H2088" s="23">
        <v>8</v>
      </c>
      <c r="I2088" t="s">
        <v>1093</v>
      </c>
      <c r="K2088" s="21">
        <f>ROUND(H2088/100*K2087,5)</f>
        <v>1.9086799999999999</v>
      </c>
    </row>
    <row r="2089" spans="1:27" x14ac:dyDescent="0.2">
      <c r="D2089" s="24" t="s">
        <v>1094</v>
      </c>
      <c r="E2089" s="23"/>
      <c r="H2089" s="23"/>
      <c r="K2089" s="25">
        <f>SUM(K2087:K2088)</f>
        <v>25.767129999999998</v>
      </c>
    </row>
    <row r="2091" spans="1:27" ht="45" customHeight="1" x14ac:dyDescent="0.2">
      <c r="A2091" s="17" t="s">
        <v>1938</v>
      </c>
      <c r="B2091" s="17" t="s">
        <v>3994</v>
      </c>
      <c r="C2091" s="1" t="s">
        <v>36</v>
      </c>
      <c r="D2091" s="96" t="s">
        <v>3995</v>
      </c>
      <c r="E2091" s="97"/>
      <c r="F2091" s="97"/>
      <c r="G2091" s="1"/>
      <c r="H2091" s="18" t="s">
        <v>1066</v>
      </c>
      <c r="I2091" s="98">
        <v>1</v>
      </c>
      <c r="J2091" s="99"/>
      <c r="K2091" s="19">
        <f>ROUND(K2106,2)</f>
        <v>62.26</v>
      </c>
      <c r="L2091" s="2" t="s">
        <v>4076</v>
      </c>
      <c r="M2091" s="1"/>
      <c r="N2091" s="1"/>
      <c r="O2091" s="1"/>
      <c r="P2091" s="1"/>
      <c r="Q2091" s="1"/>
      <c r="R2091" s="1"/>
      <c r="S2091" s="1"/>
      <c r="T2091" s="1"/>
      <c r="U2091" s="1"/>
      <c r="V2091" s="1"/>
      <c r="W2091" s="1"/>
      <c r="X2091" s="1"/>
      <c r="Y2091" s="1"/>
      <c r="Z2091" s="1"/>
      <c r="AA2091" s="1"/>
    </row>
    <row r="2092" spans="1:27" x14ac:dyDescent="0.2">
      <c r="B2092" s="14" t="s">
        <v>1068</v>
      </c>
    </row>
    <row r="2093" spans="1:27" x14ac:dyDescent="0.2">
      <c r="B2093" t="s">
        <v>1414</v>
      </c>
      <c r="C2093" t="s">
        <v>1070</v>
      </c>
      <c r="D2093" t="s">
        <v>1415</v>
      </c>
      <c r="E2093" s="20">
        <v>0.4</v>
      </c>
      <c r="F2093" t="s">
        <v>1072</v>
      </c>
      <c r="G2093" t="s">
        <v>1073</v>
      </c>
      <c r="H2093" s="21">
        <v>29.94</v>
      </c>
      <c r="I2093" t="s">
        <v>1074</v>
      </c>
      <c r="J2093" s="22">
        <f>ROUND(E2093/I2091* H2093,5)</f>
        <v>11.976000000000001</v>
      </c>
      <c r="K2093" s="23"/>
    </row>
    <row r="2094" spans="1:27" x14ac:dyDescent="0.2">
      <c r="B2094" t="s">
        <v>1245</v>
      </c>
      <c r="C2094" t="s">
        <v>1070</v>
      </c>
      <c r="D2094" t="s">
        <v>1246</v>
      </c>
      <c r="E2094" s="20">
        <v>0.4</v>
      </c>
      <c r="F2094" t="s">
        <v>1072</v>
      </c>
      <c r="G2094" t="s">
        <v>1073</v>
      </c>
      <c r="H2094" s="21">
        <v>26.33</v>
      </c>
      <c r="I2094" t="s">
        <v>1074</v>
      </c>
      <c r="J2094" s="22">
        <f>ROUND(E2094/I2091* H2094,5)</f>
        <v>10.532</v>
      </c>
      <c r="K2094" s="23"/>
    </row>
    <row r="2095" spans="1:27" x14ac:dyDescent="0.2">
      <c r="D2095" s="24" t="s">
        <v>1075</v>
      </c>
      <c r="E2095" s="23"/>
      <c r="H2095" s="23"/>
      <c r="K2095" s="21">
        <f>SUM(J2093:J2094)</f>
        <v>22.508000000000003</v>
      </c>
    </row>
    <row r="2096" spans="1:27" x14ac:dyDescent="0.2">
      <c r="B2096" s="14" t="s">
        <v>1080</v>
      </c>
      <c r="E2096" s="23"/>
      <c r="H2096" s="23"/>
      <c r="K2096" s="23"/>
    </row>
    <row r="2097" spans="1:27" x14ac:dyDescent="0.2">
      <c r="B2097" t="s">
        <v>4077</v>
      </c>
      <c r="C2097" t="s">
        <v>23</v>
      </c>
      <c r="D2097" t="s">
        <v>3995</v>
      </c>
      <c r="E2097" s="20">
        <v>1</v>
      </c>
      <c r="G2097" t="s">
        <v>1073</v>
      </c>
      <c r="H2097" s="21">
        <v>32.5</v>
      </c>
      <c r="I2097" t="s">
        <v>1074</v>
      </c>
      <c r="J2097" s="22">
        <f>ROUND(E2097* H2097,5)</f>
        <v>32.5</v>
      </c>
      <c r="K2097" s="23"/>
    </row>
    <row r="2098" spans="1:27" x14ac:dyDescent="0.2">
      <c r="B2098" t="s">
        <v>1615</v>
      </c>
      <c r="C2098" t="s">
        <v>1393</v>
      </c>
      <c r="D2098" t="s">
        <v>1616</v>
      </c>
      <c r="E2098" s="20">
        <v>0.1</v>
      </c>
      <c r="G2098" t="s">
        <v>1073</v>
      </c>
      <c r="H2098" s="21">
        <v>4.92</v>
      </c>
      <c r="I2098" t="s">
        <v>1074</v>
      </c>
      <c r="J2098" s="22">
        <f>ROUND(E2098* H2098,5)</f>
        <v>0.49199999999999999</v>
      </c>
      <c r="K2098" s="23"/>
    </row>
    <row r="2099" spans="1:27" x14ac:dyDescent="0.2">
      <c r="B2099" t="s">
        <v>1611</v>
      </c>
      <c r="C2099" t="s">
        <v>23</v>
      </c>
      <c r="D2099" t="s">
        <v>1612</v>
      </c>
      <c r="E2099" s="20">
        <v>8</v>
      </c>
      <c r="G2099" t="s">
        <v>1073</v>
      </c>
      <c r="H2099" s="21">
        <v>0.17</v>
      </c>
      <c r="I2099" t="s">
        <v>1074</v>
      </c>
      <c r="J2099" s="22">
        <f>ROUND(E2099* H2099,5)</f>
        <v>1.36</v>
      </c>
      <c r="K2099" s="23"/>
    </row>
    <row r="2100" spans="1:27" x14ac:dyDescent="0.2">
      <c r="B2100" t="s">
        <v>1433</v>
      </c>
      <c r="C2100" t="s">
        <v>103</v>
      </c>
      <c r="D2100" t="s">
        <v>1434</v>
      </c>
      <c r="E2100" s="20">
        <v>0.2</v>
      </c>
      <c r="G2100" t="s">
        <v>1073</v>
      </c>
      <c r="H2100" s="21">
        <v>2.2599999999999998</v>
      </c>
      <c r="I2100" t="s">
        <v>1074</v>
      </c>
      <c r="J2100" s="22">
        <f>ROUND(E2100* H2100,5)</f>
        <v>0.45200000000000001</v>
      </c>
      <c r="K2100" s="23"/>
    </row>
    <row r="2101" spans="1:27" x14ac:dyDescent="0.2">
      <c r="D2101" s="24" t="s">
        <v>1090</v>
      </c>
      <c r="E2101" s="23"/>
      <c r="H2101" s="23"/>
      <c r="K2101" s="21">
        <f>SUM(J2097:J2100)</f>
        <v>34.803999999999995</v>
      </c>
    </row>
    <row r="2102" spans="1:27" x14ac:dyDescent="0.2">
      <c r="E2102" s="23"/>
      <c r="H2102" s="23"/>
      <c r="K2102" s="23"/>
    </row>
    <row r="2103" spans="1:27" x14ac:dyDescent="0.2">
      <c r="D2103" s="24" t="s">
        <v>1092</v>
      </c>
      <c r="E2103" s="23"/>
      <c r="H2103" s="23">
        <v>1.5</v>
      </c>
      <c r="I2103" t="s">
        <v>1093</v>
      </c>
      <c r="J2103">
        <f>ROUND(H2103/100*K2095,5)</f>
        <v>0.33761999999999998</v>
      </c>
      <c r="K2103" s="23"/>
    </row>
    <row r="2104" spans="1:27" x14ac:dyDescent="0.2">
      <c r="D2104" s="24" t="s">
        <v>1091</v>
      </c>
      <c r="E2104" s="23"/>
      <c r="H2104" s="23"/>
      <c r="K2104" s="25">
        <f>SUM(J2092:J2103)</f>
        <v>57.649619999999999</v>
      </c>
    </row>
    <row r="2105" spans="1:27" x14ac:dyDescent="0.2">
      <c r="D2105" s="24" t="s">
        <v>1142</v>
      </c>
      <c r="E2105" s="23"/>
      <c r="H2105" s="23">
        <v>8</v>
      </c>
      <c r="I2105" t="s">
        <v>1093</v>
      </c>
      <c r="K2105" s="21">
        <f>ROUND(H2105/100*K2104,5)</f>
        <v>4.6119700000000003</v>
      </c>
    </row>
    <row r="2106" spans="1:27" x14ac:dyDescent="0.2">
      <c r="D2106" s="24" t="s">
        <v>1094</v>
      </c>
      <c r="E2106" s="23"/>
      <c r="H2106" s="23"/>
      <c r="K2106" s="25">
        <f>SUM(K2104:K2105)</f>
        <v>62.261589999999998</v>
      </c>
    </row>
    <row r="2108" spans="1:27" ht="45" customHeight="1" x14ac:dyDescent="0.2">
      <c r="A2108" s="17" t="s">
        <v>1940</v>
      </c>
      <c r="B2108" s="17" t="s">
        <v>3942</v>
      </c>
      <c r="C2108" s="1" t="s">
        <v>18</v>
      </c>
      <c r="D2108" s="96" t="s">
        <v>3943</v>
      </c>
      <c r="E2108" s="97"/>
      <c r="F2108" s="97"/>
      <c r="G2108" s="1"/>
      <c r="H2108" s="18" t="s">
        <v>1066</v>
      </c>
      <c r="I2108" s="98">
        <v>1</v>
      </c>
      <c r="J2108" s="99"/>
      <c r="K2108" s="19">
        <f>ROUND(K2120,2)</f>
        <v>8.02</v>
      </c>
      <c r="L2108" s="2" t="s">
        <v>4078</v>
      </c>
      <c r="M2108" s="1"/>
      <c r="N2108" s="1"/>
      <c r="O2108" s="1"/>
      <c r="P2108" s="1"/>
      <c r="Q2108" s="1"/>
      <c r="R2108" s="1"/>
      <c r="S2108" s="1"/>
      <c r="T2108" s="1"/>
      <c r="U2108" s="1"/>
      <c r="V2108" s="1"/>
      <c r="W2108" s="1"/>
      <c r="X2108" s="1"/>
      <c r="Y2108" s="1"/>
      <c r="Z2108" s="1"/>
      <c r="AA2108" s="1"/>
    </row>
    <row r="2109" spans="1:27" x14ac:dyDescent="0.2">
      <c r="B2109" s="14" t="s">
        <v>1068</v>
      </c>
    </row>
    <row r="2110" spans="1:27" x14ac:dyDescent="0.2">
      <c r="B2110" t="s">
        <v>1125</v>
      </c>
      <c r="C2110" t="s">
        <v>1070</v>
      </c>
      <c r="D2110" t="s">
        <v>1126</v>
      </c>
      <c r="E2110" s="20">
        <v>1.7999999999999999E-2</v>
      </c>
      <c r="F2110" t="s">
        <v>1072</v>
      </c>
      <c r="G2110" t="s">
        <v>1073</v>
      </c>
      <c r="H2110" s="21">
        <v>26.12</v>
      </c>
      <c r="I2110" t="s">
        <v>1074</v>
      </c>
      <c r="J2110" s="22">
        <f>ROUND(E2110/I2108* H2110,5)</f>
        <v>0.47016000000000002</v>
      </c>
      <c r="K2110" s="23"/>
    </row>
    <row r="2111" spans="1:27" x14ac:dyDescent="0.2">
      <c r="B2111" t="s">
        <v>1123</v>
      </c>
      <c r="C2111" t="s">
        <v>1070</v>
      </c>
      <c r="D2111" t="s">
        <v>1124</v>
      </c>
      <c r="E2111" s="20">
        <v>1.7999999999999999E-2</v>
      </c>
      <c r="F2111" t="s">
        <v>1072</v>
      </c>
      <c r="G2111" t="s">
        <v>1073</v>
      </c>
      <c r="H2111" s="21">
        <v>29.42</v>
      </c>
      <c r="I2111" t="s">
        <v>1074</v>
      </c>
      <c r="J2111" s="22">
        <f>ROUND(E2111/I2108* H2111,5)</f>
        <v>0.52956000000000003</v>
      </c>
      <c r="K2111" s="23"/>
    </row>
    <row r="2112" spans="1:27" x14ac:dyDescent="0.2">
      <c r="D2112" s="24" t="s">
        <v>1075</v>
      </c>
      <c r="E2112" s="23"/>
      <c r="H2112" s="23"/>
      <c r="K2112" s="21">
        <f>SUM(J2110:J2111)</f>
        <v>0.99972000000000005</v>
      </c>
    </row>
    <row r="2113" spans="1:27" x14ac:dyDescent="0.2">
      <c r="B2113" s="14" t="s">
        <v>1080</v>
      </c>
      <c r="E2113" s="23"/>
      <c r="H2113" s="23"/>
      <c r="K2113" s="23"/>
    </row>
    <row r="2114" spans="1:27" x14ac:dyDescent="0.2">
      <c r="B2114" t="s">
        <v>4079</v>
      </c>
      <c r="C2114" t="s">
        <v>18</v>
      </c>
      <c r="D2114" t="s">
        <v>4080</v>
      </c>
      <c r="E2114" s="20">
        <v>1.2</v>
      </c>
      <c r="G2114" t="s">
        <v>1073</v>
      </c>
      <c r="H2114" s="21">
        <v>5.34</v>
      </c>
      <c r="I2114" t="s">
        <v>1074</v>
      </c>
      <c r="J2114" s="22">
        <f>ROUND(E2114* H2114,5)</f>
        <v>6.4080000000000004</v>
      </c>
      <c r="K2114" s="23"/>
    </row>
    <row r="2115" spans="1:27" x14ac:dyDescent="0.2">
      <c r="D2115" s="24" t="s">
        <v>1090</v>
      </c>
      <c r="E2115" s="23"/>
      <c r="H2115" s="23"/>
      <c r="K2115" s="21">
        <f>SUM(J2114:J2114)</f>
        <v>6.4080000000000004</v>
      </c>
    </row>
    <row r="2116" spans="1:27" x14ac:dyDescent="0.2">
      <c r="E2116" s="23"/>
      <c r="H2116" s="23"/>
      <c r="K2116" s="23"/>
    </row>
    <row r="2117" spans="1:27" x14ac:dyDescent="0.2">
      <c r="D2117" s="24" t="s">
        <v>1092</v>
      </c>
      <c r="E2117" s="23"/>
      <c r="H2117" s="23">
        <v>1.5</v>
      </c>
      <c r="I2117" t="s">
        <v>1093</v>
      </c>
      <c r="J2117">
        <f>ROUND(H2117/100*K2112,5)</f>
        <v>1.4999999999999999E-2</v>
      </c>
      <c r="K2117" s="23"/>
    </row>
    <row r="2118" spans="1:27" x14ac:dyDescent="0.2">
      <c r="D2118" s="24" t="s">
        <v>1091</v>
      </c>
      <c r="E2118" s="23"/>
      <c r="H2118" s="23"/>
      <c r="K2118" s="25">
        <f>SUM(J2109:J2117)</f>
        <v>7.42272</v>
      </c>
    </row>
    <row r="2119" spans="1:27" x14ac:dyDescent="0.2">
      <c r="D2119" s="24" t="s">
        <v>1142</v>
      </c>
      <c r="E2119" s="23"/>
      <c r="H2119" s="23">
        <v>8</v>
      </c>
      <c r="I2119" t="s">
        <v>1093</v>
      </c>
      <c r="K2119" s="21">
        <f>ROUND(H2119/100*K2118,5)</f>
        <v>0.59382000000000001</v>
      </c>
    </row>
    <row r="2120" spans="1:27" x14ac:dyDescent="0.2">
      <c r="D2120" s="24" t="s">
        <v>1094</v>
      </c>
      <c r="E2120" s="23"/>
      <c r="H2120" s="23"/>
      <c r="K2120" s="25">
        <f>SUM(K2118:K2119)</f>
        <v>8.0165399999999991</v>
      </c>
    </row>
    <row r="2122" spans="1:27" ht="45" customHeight="1" x14ac:dyDescent="0.2">
      <c r="A2122" s="17" t="s">
        <v>1942</v>
      </c>
      <c r="B2122" s="17" t="s">
        <v>446</v>
      </c>
      <c r="C2122" s="1" t="s">
        <v>23</v>
      </c>
      <c r="D2122" s="96" t="s">
        <v>447</v>
      </c>
      <c r="E2122" s="97"/>
      <c r="F2122" s="97"/>
      <c r="G2122" s="1"/>
      <c r="H2122" s="18" t="s">
        <v>1066</v>
      </c>
      <c r="I2122" s="98">
        <v>1</v>
      </c>
      <c r="J2122" s="99"/>
      <c r="K2122" s="19">
        <f>ROUND(K2146,2)</f>
        <v>1448.53</v>
      </c>
      <c r="L2122" s="2" t="s">
        <v>1911</v>
      </c>
      <c r="M2122" s="1"/>
      <c r="N2122" s="1"/>
      <c r="O2122" s="1"/>
      <c r="P2122" s="1"/>
      <c r="Q2122" s="1"/>
      <c r="R2122" s="1"/>
      <c r="S2122" s="1"/>
      <c r="T2122" s="1"/>
      <c r="U2122" s="1"/>
      <c r="V2122" s="1"/>
      <c r="W2122" s="1"/>
      <c r="X2122" s="1"/>
      <c r="Y2122" s="1"/>
      <c r="Z2122" s="1"/>
      <c r="AA2122" s="1"/>
    </row>
    <row r="2123" spans="1:27" x14ac:dyDescent="0.2">
      <c r="B2123" s="14" t="s">
        <v>1068</v>
      </c>
    </row>
    <row r="2124" spans="1:27" x14ac:dyDescent="0.2">
      <c r="B2124" t="s">
        <v>1569</v>
      </c>
      <c r="C2124" t="s">
        <v>1070</v>
      </c>
      <c r="D2124" t="s">
        <v>1570</v>
      </c>
      <c r="E2124" s="20">
        <v>4</v>
      </c>
      <c r="F2124" t="s">
        <v>1072</v>
      </c>
      <c r="G2124" t="s">
        <v>1073</v>
      </c>
      <c r="H2124" s="21">
        <v>26.12</v>
      </c>
      <c r="I2124" t="s">
        <v>1074</v>
      </c>
      <c r="J2124" s="22">
        <f>ROUND(E2124/I2122* H2124,5)</f>
        <v>104.48</v>
      </c>
      <c r="K2124" s="23"/>
    </row>
    <row r="2125" spans="1:27" x14ac:dyDescent="0.2">
      <c r="B2125" t="s">
        <v>1414</v>
      </c>
      <c r="C2125" t="s">
        <v>1070</v>
      </c>
      <c r="D2125" t="s">
        <v>1415</v>
      </c>
      <c r="E2125" s="20">
        <v>8</v>
      </c>
      <c r="F2125" t="s">
        <v>1072</v>
      </c>
      <c r="G2125" t="s">
        <v>1073</v>
      </c>
      <c r="H2125" s="21">
        <v>29.94</v>
      </c>
      <c r="I2125" t="s">
        <v>1074</v>
      </c>
      <c r="J2125" s="22">
        <f>ROUND(E2125/I2122* H2125,5)</f>
        <v>239.52</v>
      </c>
      <c r="K2125" s="23"/>
    </row>
    <row r="2126" spans="1:27" x14ac:dyDescent="0.2">
      <c r="B2126" t="s">
        <v>1245</v>
      </c>
      <c r="C2126" t="s">
        <v>1070</v>
      </c>
      <c r="D2126" t="s">
        <v>1246</v>
      </c>
      <c r="E2126" s="20">
        <v>8</v>
      </c>
      <c r="F2126" t="s">
        <v>1072</v>
      </c>
      <c r="G2126" t="s">
        <v>1073</v>
      </c>
      <c r="H2126" s="21">
        <v>26.33</v>
      </c>
      <c r="I2126" t="s">
        <v>1074</v>
      </c>
      <c r="J2126" s="22">
        <f>ROUND(E2126/I2122* H2126,5)</f>
        <v>210.64</v>
      </c>
      <c r="K2126" s="23"/>
    </row>
    <row r="2127" spans="1:27" x14ac:dyDescent="0.2">
      <c r="B2127" t="s">
        <v>1571</v>
      </c>
      <c r="C2127" t="s">
        <v>1070</v>
      </c>
      <c r="D2127" t="s">
        <v>1572</v>
      </c>
      <c r="E2127" s="20">
        <v>6</v>
      </c>
      <c r="F2127" t="s">
        <v>1072</v>
      </c>
      <c r="G2127" t="s">
        <v>1073</v>
      </c>
      <c r="H2127" s="21">
        <v>29.42</v>
      </c>
      <c r="I2127" t="s">
        <v>1074</v>
      </c>
      <c r="J2127" s="22">
        <f>ROUND(E2127/I2122* H2127,5)</f>
        <v>176.52</v>
      </c>
      <c r="K2127" s="23"/>
    </row>
    <row r="2128" spans="1:27" x14ac:dyDescent="0.2">
      <c r="B2128" t="s">
        <v>1912</v>
      </c>
      <c r="C2128" t="s">
        <v>1070</v>
      </c>
      <c r="D2128" t="s">
        <v>1913</v>
      </c>
      <c r="E2128" s="20">
        <v>5</v>
      </c>
      <c r="F2128" t="s">
        <v>1072</v>
      </c>
      <c r="G2128" t="s">
        <v>1073</v>
      </c>
      <c r="H2128" s="21">
        <v>29.88</v>
      </c>
      <c r="I2128" t="s">
        <v>1074</v>
      </c>
      <c r="J2128" s="22">
        <f>ROUND(E2128/I2122* H2128,5)</f>
        <v>149.4</v>
      </c>
      <c r="K2128" s="23"/>
    </row>
    <row r="2129" spans="2:11" x14ac:dyDescent="0.2">
      <c r="B2129" t="s">
        <v>1914</v>
      </c>
      <c r="C2129" t="s">
        <v>1070</v>
      </c>
      <c r="D2129" t="s">
        <v>1915</v>
      </c>
      <c r="E2129" s="20">
        <v>3</v>
      </c>
      <c r="F2129" t="s">
        <v>1072</v>
      </c>
      <c r="G2129" t="s">
        <v>1073</v>
      </c>
      <c r="H2129" s="21">
        <v>26.22</v>
      </c>
      <c r="I2129" t="s">
        <v>1074</v>
      </c>
      <c r="J2129" s="22">
        <f>ROUND(E2129/I2122* H2129,5)</f>
        <v>78.66</v>
      </c>
      <c r="K2129" s="23"/>
    </row>
    <row r="2130" spans="2:11" x14ac:dyDescent="0.2">
      <c r="B2130" t="s">
        <v>1483</v>
      </c>
      <c r="C2130" t="s">
        <v>1070</v>
      </c>
      <c r="D2130" t="s">
        <v>1484</v>
      </c>
      <c r="E2130" s="20">
        <v>3</v>
      </c>
      <c r="F2130" t="s">
        <v>1072</v>
      </c>
      <c r="G2130" t="s">
        <v>1073</v>
      </c>
      <c r="H2130" s="21">
        <v>38.840000000000003</v>
      </c>
      <c r="I2130" t="s">
        <v>1074</v>
      </c>
      <c r="J2130" s="22">
        <f>ROUND(E2130/I2122* H2130,5)</f>
        <v>116.52</v>
      </c>
      <c r="K2130" s="23"/>
    </row>
    <row r="2131" spans="2:11" x14ac:dyDescent="0.2">
      <c r="D2131" s="24" t="s">
        <v>1075</v>
      </c>
      <c r="E2131" s="23"/>
      <c r="H2131" s="23"/>
      <c r="K2131" s="21">
        <f>SUM(J2124:J2130)</f>
        <v>1075.74</v>
      </c>
    </row>
    <row r="2132" spans="2:11" x14ac:dyDescent="0.2">
      <c r="B2132" s="14" t="s">
        <v>1080</v>
      </c>
      <c r="E2132" s="23"/>
      <c r="H2132" s="23"/>
      <c r="K2132" s="23"/>
    </row>
    <row r="2133" spans="2:11" x14ac:dyDescent="0.2">
      <c r="B2133" t="s">
        <v>1657</v>
      </c>
      <c r="C2133" t="s">
        <v>1210</v>
      </c>
      <c r="D2133" t="s">
        <v>1658</v>
      </c>
      <c r="E2133" s="20">
        <v>2.5</v>
      </c>
      <c r="G2133" t="s">
        <v>1073</v>
      </c>
      <c r="H2133" s="21">
        <v>6.99</v>
      </c>
      <c r="I2133" t="s">
        <v>1074</v>
      </c>
      <c r="J2133" s="22">
        <f t="shared" ref="J2133:J2140" si="2">ROUND(E2133* H2133,5)</f>
        <v>17.475000000000001</v>
      </c>
      <c r="K2133" s="23"/>
    </row>
    <row r="2134" spans="2:11" x14ac:dyDescent="0.2">
      <c r="B2134" t="s">
        <v>1922</v>
      </c>
      <c r="C2134" t="s">
        <v>103</v>
      </c>
      <c r="D2134" t="s">
        <v>1923</v>
      </c>
      <c r="E2134" s="20">
        <v>2</v>
      </c>
      <c r="G2134" t="s">
        <v>1073</v>
      </c>
      <c r="H2134" s="21">
        <v>13.41</v>
      </c>
      <c r="I2134" t="s">
        <v>1074</v>
      </c>
      <c r="J2134" s="22">
        <f t="shared" si="2"/>
        <v>26.82</v>
      </c>
      <c r="K2134" s="23"/>
    </row>
    <row r="2135" spans="2:11" x14ac:dyDescent="0.2">
      <c r="B2135" t="s">
        <v>1928</v>
      </c>
      <c r="C2135" t="s">
        <v>103</v>
      </c>
      <c r="D2135" t="s">
        <v>1929</v>
      </c>
      <c r="E2135" s="20">
        <v>1</v>
      </c>
      <c r="G2135" t="s">
        <v>1073</v>
      </c>
      <c r="H2135" s="21">
        <v>7.55</v>
      </c>
      <c r="I2135" t="s">
        <v>1074</v>
      </c>
      <c r="J2135" s="22">
        <f t="shared" si="2"/>
        <v>7.55</v>
      </c>
      <c r="K2135" s="23"/>
    </row>
    <row r="2136" spans="2:11" x14ac:dyDescent="0.2">
      <c r="B2136" t="s">
        <v>1918</v>
      </c>
      <c r="C2136" t="s">
        <v>1210</v>
      </c>
      <c r="D2136" t="s">
        <v>1919</v>
      </c>
      <c r="E2136" s="20">
        <v>0.5</v>
      </c>
      <c r="G2136" t="s">
        <v>1073</v>
      </c>
      <c r="H2136" s="21">
        <v>16.8</v>
      </c>
      <c r="I2136" t="s">
        <v>1074</v>
      </c>
      <c r="J2136" s="22">
        <f t="shared" si="2"/>
        <v>8.4</v>
      </c>
      <c r="K2136" s="23"/>
    </row>
    <row r="2137" spans="2:11" x14ac:dyDescent="0.2">
      <c r="B2137" t="s">
        <v>1920</v>
      </c>
      <c r="C2137" t="s">
        <v>103</v>
      </c>
      <c r="D2137" t="s">
        <v>1921</v>
      </c>
      <c r="E2137" s="20">
        <v>3</v>
      </c>
      <c r="G2137" t="s">
        <v>1073</v>
      </c>
      <c r="H2137" s="21">
        <v>3.77</v>
      </c>
      <c r="I2137" t="s">
        <v>1074</v>
      </c>
      <c r="J2137" s="22">
        <f t="shared" si="2"/>
        <v>11.31</v>
      </c>
      <c r="K2137" s="23"/>
    </row>
    <row r="2138" spans="2:11" x14ac:dyDescent="0.2">
      <c r="B2138" t="s">
        <v>1924</v>
      </c>
      <c r="C2138" t="s">
        <v>103</v>
      </c>
      <c r="D2138" t="s">
        <v>1925</v>
      </c>
      <c r="E2138" s="20">
        <v>1.5</v>
      </c>
      <c r="G2138" t="s">
        <v>1073</v>
      </c>
      <c r="H2138" s="21">
        <v>21.3</v>
      </c>
      <c r="I2138" t="s">
        <v>1074</v>
      </c>
      <c r="J2138" s="22">
        <f t="shared" si="2"/>
        <v>31.95</v>
      </c>
      <c r="K2138" s="23"/>
    </row>
    <row r="2139" spans="2:11" x14ac:dyDescent="0.2">
      <c r="B2139" t="s">
        <v>1926</v>
      </c>
      <c r="C2139" t="s">
        <v>23</v>
      </c>
      <c r="D2139" t="s">
        <v>1927</v>
      </c>
      <c r="E2139" s="20">
        <v>1</v>
      </c>
      <c r="G2139" t="s">
        <v>1073</v>
      </c>
      <c r="H2139" s="21">
        <v>69.88</v>
      </c>
      <c r="I2139" t="s">
        <v>1074</v>
      </c>
      <c r="J2139" s="22">
        <f t="shared" si="2"/>
        <v>69.88</v>
      </c>
      <c r="K2139" s="23"/>
    </row>
    <row r="2140" spans="2:11" x14ac:dyDescent="0.2">
      <c r="B2140" t="s">
        <v>1916</v>
      </c>
      <c r="C2140" t="s">
        <v>15</v>
      </c>
      <c r="D2140" t="s">
        <v>1917</v>
      </c>
      <c r="E2140" s="20">
        <v>0.05</v>
      </c>
      <c r="G2140" t="s">
        <v>1073</v>
      </c>
      <c r="H2140" s="21">
        <v>1196.7</v>
      </c>
      <c r="I2140" t="s">
        <v>1074</v>
      </c>
      <c r="J2140" s="22">
        <f t="shared" si="2"/>
        <v>59.835000000000001</v>
      </c>
      <c r="K2140" s="23"/>
    </row>
    <row r="2141" spans="2:11" x14ac:dyDescent="0.2">
      <c r="D2141" s="24" t="s">
        <v>1090</v>
      </c>
      <c r="E2141" s="23"/>
      <c r="H2141" s="23"/>
      <c r="K2141" s="21">
        <f>SUM(J2133:J2140)</f>
        <v>233.22</v>
      </c>
    </row>
    <row r="2142" spans="2:11" x14ac:dyDescent="0.2">
      <c r="E2142" s="23"/>
      <c r="H2142" s="23"/>
      <c r="K2142" s="23"/>
    </row>
    <row r="2143" spans="2:11" x14ac:dyDescent="0.2">
      <c r="D2143" s="24" t="s">
        <v>1092</v>
      </c>
      <c r="E2143" s="23"/>
      <c r="H2143" s="23">
        <v>3</v>
      </c>
      <c r="I2143" t="s">
        <v>1093</v>
      </c>
      <c r="J2143">
        <f>ROUND(H2143/100*K2131,5)</f>
        <v>32.272199999999998</v>
      </c>
      <c r="K2143" s="23"/>
    </row>
    <row r="2144" spans="2:11" x14ac:dyDescent="0.2">
      <c r="D2144" s="24" t="s">
        <v>1091</v>
      </c>
      <c r="E2144" s="23"/>
      <c r="H2144" s="23"/>
      <c r="K2144" s="25">
        <f>SUM(J2123:J2143)</f>
        <v>1341.2321999999999</v>
      </c>
    </row>
    <row r="2145" spans="1:27" x14ac:dyDescent="0.2">
      <c r="D2145" s="24" t="s">
        <v>1142</v>
      </c>
      <c r="E2145" s="23"/>
      <c r="H2145" s="23">
        <v>8</v>
      </c>
      <c r="I2145" t="s">
        <v>1093</v>
      </c>
      <c r="K2145" s="21">
        <f>ROUND(H2145/100*K2144,5)</f>
        <v>107.29858</v>
      </c>
    </row>
    <row r="2146" spans="1:27" x14ac:dyDescent="0.2">
      <c r="D2146" s="24" t="s">
        <v>1094</v>
      </c>
      <c r="E2146" s="23"/>
      <c r="H2146" s="23"/>
      <c r="K2146" s="25">
        <f>SUM(K2144:K2145)</f>
        <v>1448.5307799999998</v>
      </c>
    </row>
    <row r="2148" spans="1:27" ht="45" customHeight="1" x14ac:dyDescent="0.2">
      <c r="A2148" s="17" t="s">
        <v>1945</v>
      </c>
      <c r="B2148" s="17" t="s">
        <v>448</v>
      </c>
      <c r="C2148" s="1" t="s">
        <v>23</v>
      </c>
      <c r="D2148" s="96" t="s">
        <v>449</v>
      </c>
      <c r="E2148" s="97"/>
      <c r="F2148" s="97"/>
      <c r="G2148" s="1"/>
      <c r="H2148" s="18" t="s">
        <v>1066</v>
      </c>
      <c r="I2148" s="98">
        <v>1</v>
      </c>
      <c r="J2148" s="99"/>
      <c r="K2148" s="19">
        <f>ROUND(K2172,2)</f>
        <v>982.54</v>
      </c>
      <c r="L2148" s="2" t="s">
        <v>1931</v>
      </c>
      <c r="M2148" s="1"/>
      <c r="N2148" s="1"/>
      <c r="O2148" s="1"/>
      <c r="P2148" s="1"/>
      <c r="Q2148" s="1"/>
      <c r="R2148" s="1"/>
      <c r="S2148" s="1"/>
      <c r="T2148" s="1"/>
      <c r="U2148" s="1"/>
      <c r="V2148" s="1"/>
      <c r="W2148" s="1"/>
      <c r="X2148" s="1"/>
      <c r="Y2148" s="1"/>
      <c r="Z2148" s="1"/>
      <c r="AA2148" s="1"/>
    </row>
    <row r="2149" spans="1:27" x14ac:dyDescent="0.2">
      <c r="B2149" s="14" t="s">
        <v>1068</v>
      </c>
    </row>
    <row r="2150" spans="1:27" x14ac:dyDescent="0.2">
      <c r="B2150" t="s">
        <v>1914</v>
      </c>
      <c r="C2150" t="s">
        <v>1070</v>
      </c>
      <c r="D2150" t="s">
        <v>1915</v>
      </c>
      <c r="E2150" s="20">
        <v>1.7</v>
      </c>
      <c r="F2150" t="s">
        <v>1072</v>
      </c>
      <c r="G2150" t="s">
        <v>1073</v>
      </c>
      <c r="H2150" s="21">
        <v>26.22</v>
      </c>
      <c r="I2150" t="s">
        <v>1074</v>
      </c>
      <c r="J2150" s="22">
        <f>ROUND(E2150/I2148* H2150,5)</f>
        <v>44.573999999999998</v>
      </c>
      <c r="K2150" s="23"/>
    </row>
    <row r="2151" spans="1:27" x14ac:dyDescent="0.2">
      <c r="B2151" t="s">
        <v>1571</v>
      </c>
      <c r="C2151" t="s">
        <v>1070</v>
      </c>
      <c r="D2151" t="s">
        <v>1572</v>
      </c>
      <c r="E2151" s="20">
        <v>4</v>
      </c>
      <c r="F2151" t="s">
        <v>1072</v>
      </c>
      <c r="G2151" t="s">
        <v>1073</v>
      </c>
      <c r="H2151" s="21">
        <v>29.42</v>
      </c>
      <c r="I2151" t="s">
        <v>1074</v>
      </c>
      <c r="J2151" s="22">
        <f>ROUND(E2151/I2148* H2151,5)</f>
        <v>117.68</v>
      </c>
      <c r="K2151" s="23"/>
    </row>
    <row r="2152" spans="1:27" x14ac:dyDescent="0.2">
      <c r="B2152" t="s">
        <v>1483</v>
      </c>
      <c r="C2152" t="s">
        <v>1070</v>
      </c>
      <c r="D2152" t="s">
        <v>1484</v>
      </c>
      <c r="E2152" s="20">
        <v>1.3</v>
      </c>
      <c r="F2152" t="s">
        <v>1072</v>
      </c>
      <c r="G2152" t="s">
        <v>1073</v>
      </c>
      <c r="H2152" s="21">
        <v>38.840000000000003</v>
      </c>
      <c r="I2152" t="s">
        <v>1074</v>
      </c>
      <c r="J2152" s="22">
        <f>ROUND(E2152/I2148* H2152,5)</f>
        <v>50.491999999999997</v>
      </c>
      <c r="K2152" s="23"/>
    </row>
    <row r="2153" spans="1:27" x14ac:dyDescent="0.2">
      <c r="B2153" t="s">
        <v>1912</v>
      </c>
      <c r="C2153" t="s">
        <v>1070</v>
      </c>
      <c r="D2153" t="s">
        <v>1913</v>
      </c>
      <c r="E2153" s="20">
        <v>4</v>
      </c>
      <c r="F2153" t="s">
        <v>1072</v>
      </c>
      <c r="G2153" t="s">
        <v>1073</v>
      </c>
      <c r="H2153" s="21">
        <v>29.88</v>
      </c>
      <c r="I2153" t="s">
        <v>1074</v>
      </c>
      <c r="J2153" s="22">
        <f>ROUND(E2153/I2148* H2153,5)</f>
        <v>119.52</v>
      </c>
      <c r="K2153" s="23"/>
    </row>
    <row r="2154" spans="1:27" x14ac:dyDescent="0.2">
      <c r="B2154" t="s">
        <v>1245</v>
      </c>
      <c r="C2154" t="s">
        <v>1070</v>
      </c>
      <c r="D2154" t="s">
        <v>1246</v>
      </c>
      <c r="E2154" s="20">
        <v>4.5</v>
      </c>
      <c r="F2154" t="s">
        <v>1072</v>
      </c>
      <c r="G2154" t="s">
        <v>1073</v>
      </c>
      <c r="H2154" s="21">
        <v>26.33</v>
      </c>
      <c r="I2154" t="s">
        <v>1074</v>
      </c>
      <c r="J2154" s="22">
        <f>ROUND(E2154/I2148* H2154,5)</f>
        <v>118.485</v>
      </c>
      <c r="K2154" s="23"/>
    </row>
    <row r="2155" spans="1:27" x14ac:dyDescent="0.2">
      <c r="B2155" t="s">
        <v>1414</v>
      </c>
      <c r="C2155" t="s">
        <v>1070</v>
      </c>
      <c r="D2155" t="s">
        <v>1415</v>
      </c>
      <c r="E2155" s="20">
        <v>5.4</v>
      </c>
      <c r="F2155" t="s">
        <v>1072</v>
      </c>
      <c r="G2155" t="s">
        <v>1073</v>
      </c>
      <c r="H2155" s="21">
        <v>29.94</v>
      </c>
      <c r="I2155" t="s">
        <v>1074</v>
      </c>
      <c r="J2155" s="22">
        <f>ROUND(E2155/I2148* H2155,5)</f>
        <v>161.67599999999999</v>
      </c>
      <c r="K2155" s="23"/>
    </row>
    <row r="2156" spans="1:27" x14ac:dyDescent="0.2">
      <c r="B2156" t="s">
        <v>1569</v>
      </c>
      <c r="C2156" t="s">
        <v>1070</v>
      </c>
      <c r="D2156" t="s">
        <v>1570</v>
      </c>
      <c r="E2156" s="20">
        <v>1.7</v>
      </c>
      <c r="F2156" t="s">
        <v>1072</v>
      </c>
      <c r="G2156" t="s">
        <v>1073</v>
      </c>
      <c r="H2156" s="21">
        <v>26.12</v>
      </c>
      <c r="I2156" t="s">
        <v>1074</v>
      </c>
      <c r="J2156" s="22">
        <f>ROUND(E2156/I2148* H2156,5)</f>
        <v>44.404000000000003</v>
      </c>
      <c r="K2156" s="23"/>
    </row>
    <row r="2157" spans="1:27" x14ac:dyDescent="0.2">
      <c r="D2157" s="24" t="s">
        <v>1075</v>
      </c>
      <c r="E2157" s="23"/>
      <c r="H2157" s="23"/>
      <c r="K2157" s="21">
        <f>SUM(J2150:J2156)</f>
        <v>656.83100000000002</v>
      </c>
    </row>
    <row r="2158" spans="1:27" x14ac:dyDescent="0.2">
      <c r="B2158" s="14" t="s">
        <v>1080</v>
      </c>
      <c r="E2158" s="23"/>
      <c r="H2158" s="23"/>
      <c r="K2158" s="23"/>
    </row>
    <row r="2159" spans="1:27" x14ac:dyDescent="0.2">
      <c r="B2159" t="s">
        <v>1922</v>
      </c>
      <c r="C2159" t="s">
        <v>103</v>
      </c>
      <c r="D2159" t="s">
        <v>1923</v>
      </c>
      <c r="E2159" s="20">
        <v>2</v>
      </c>
      <c r="G2159" t="s">
        <v>1073</v>
      </c>
      <c r="H2159" s="21">
        <v>13.41</v>
      </c>
      <c r="I2159" t="s">
        <v>1074</v>
      </c>
      <c r="J2159" s="22">
        <f t="shared" ref="J2159:J2166" si="3">ROUND(E2159* H2159,5)</f>
        <v>26.82</v>
      </c>
      <c r="K2159" s="23"/>
    </row>
    <row r="2160" spans="1:27" x14ac:dyDescent="0.2">
      <c r="B2160" t="s">
        <v>1928</v>
      </c>
      <c r="C2160" t="s">
        <v>103</v>
      </c>
      <c r="D2160" t="s">
        <v>1929</v>
      </c>
      <c r="E2160" s="20">
        <v>1</v>
      </c>
      <c r="G2160" t="s">
        <v>1073</v>
      </c>
      <c r="H2160" s="21">
        <v>7.55</v>
      </c>
      <c r="I2160" t="s">
        <v>1074</v>
      </c>
      <c r="J2160" s="22">
        <f t="shared" si="3"/>
        <v>7.55</v>
      </c>
      <c r="K2160" s="23"/>
    </row>
    <row r="2161" spans="1:27" x14ac:dyDescent="0.2">
      <c r="B2161" t="s">
        <v>1916</v>
      </c>
      <c r="C2161" t="s">
        <v>15</v>
      </c>
      <c r="D2161" t="s">
        <v>1917</v>
      </c>
      <c r="E2161" s="20">
        <v>0.05</v>
      </c>
      <c r="G2161" t="s">
        <v>1073</v>
      </c>
      <c r="H2161" s="21">
        <v>1196.7</v>
      </c>
      <c r="I2161" t="s">
        <v>1074</v>
      </c>
      <c r="J2161" s="22">
        <f t="shared" si="3"/>
        <v>59.835000000000001</v>
      </c>
      <c r="K2161" s="23"/>
    </row>
    <row r="2162" spans="1:27" x14ac:dyDescent="0.2">
      <c r="B2162" t="s">
        <v>1920</v>
      </c>
      <c r="C2162" t="s">
        <v>103</v>
      </c>
      <c r="D2162" t="s">
        <v>1921</v>
      </c>
      <c r="E2162" s="20">
        <v>3</v>
      </c>
      <c r="G2162" t="s">
        <v>1073</v>
      </c>
      <c r="H2162" s="21">
        <v>3.77</v>
      </c>
      <c r="I2162" t="s">
        <v>1074</v>
      </c>
      <c r="J2162" s="22">
        <f t="shared" si="3"/>
        <v>11.31</v>
      </c>
      <c r="K2162" s="23"/>
    </row>
    <row r="2163" spans="1:27" x14ac:dyDescent="0.2">
      <c r="B2163" t="s">
        <v>1924</v>
      </c>
      <c r="C2163" t="s">
        <v>103</v>
      </c>
      <c r="D2163" t="s">
        <v>1925</v>
      </c>
      <c r="E2163" s="20">
        <v>1.5</v>
      </c>
      <c r="G2163" t="s">
        <v>1073</v>
      </c>
      <c r="H2163" s="21">
        <v>21.3</v>
      </c>
      <c r="I2163" t="s">
        <v>1074</v>
      </c>
      <c r="J2163" s="22">
        <f t="shared" si="3"/>
        <v>31.95</v>
      </c>
      <c r="K2163" s="23"/>
    </row>
    <row r="2164" spans="1:27" x14ac:dyDescent="0.2">
      <c r="B2164" t="s">
        <v>1926</v>
      </c>
      <c r="C2164" t="s">
        <v>23</v>
      </c>
      <c r="D2164" t="s">
        <v>1927</v>
      </c>
      <c r="E2164" s="20">
        <v>1</v>
      </c>
      <c r="G2164" t="s">
        <v>1073</v>
      </c>
      <c r="H2164" s="21">
        <v>69.88</v>
      </c>
      <c r="I2164" t="s">
        <v>1074</v>
      </c>
      <c r="J2164" s="22">
        <f t="shared" si="3"/>
        <v>69.88</v>
      </c>
      <c r="K2164" s="23"/>
    </row>
    <row r="2165" spans="1:27" x14ac:dyDescent="0.2">
      <c r="B2165" t="s">
        <v>1918</v>
      </c>
      <c r="C2165" t="s">
        <v>1210</v>
      </c>
      <c r="D2165" t="s">
        <v>1919</v>
      </c>
      <c r="E2165" s="20">
        <v>0.5</v>
      </c>
      <c r="G2165" t="s">
        <v>1073</v>
      </c>
      <c r="H2165" s="21">
        <v>16.8</v>
      </c>
      <c r="I2165" t="s">
        <v>1074</v>
      </c>
      <c r="J2165" s="22">
        <f t="shared" si="3"/>
        <v>8.4</v>
      </c>
      <c r="K2165" s="23"/>
    </row>
    <row r="2166" spans="1:27" x14ac:dyDescent="0.2">
      <c r="B2166" t="s">
        <v>1657</v>
      </c>
      <c r="C2166" t="s">
        <v>1210</v>
      </c>
      <c r="D2166" t="s">
        <v>1658</v>
      </c>
      <c r="E2166" s="20">
        <v>2.5</v>
      </c>
      <c r="G2166" t="s">
        <v>1073</v>
      </c>
      <c r="H2166" s="21">
        <v>6.99</v>
      </c>
      <c r="I2166" t="s">
        <v>1074</v>
      </c>
      <c r="J2166" s="22">
        <f t="shared" si="3"/>
        <v>17.475000000000001</v>
      </c>
      <c r="K2166" s="23"/>
    </row>
    <row r="2167" spans="1:27" x14ac:dyDescent="0.2">
      <c r="D2167" s="24" t="s">
        <v>1090</v>
      </c>
      <c r="E2167" s="23"/>
      <c r="H2167" s="23"/>
      <c r="K2167" s="21">
        <f>SUM(J2159:J2166)</f>
        <v>233.22</v>
      </c>
    </row>
    <row r="2168" spans="1:27" x14ac:dyDescent="0.2">
      <c r="E2168" s="23"/>
      <c r="H2168" s="23"/>
      <c r="K2168" s="23"/>
    </row>
    <row r="2169" spans="1:27" x14ac:dyDescent="0.2">
      <c r="D2169" s="24" t="s">
        <v>1092</v>
      </c>
      <c r="E2169" s="23"/>
      <c r="H2169" s="23">
        <v>3</v>
      </c>
      <c r="I2169" t="s">
        <v>1093</v>
      </c>
      <c r="J2169">
        <f>ROUND(H2169/100*K2157,5)</f>
        <v>19.704930000000001</v>
      </c>
      <c r="K2169" s="23"/>
    </row>
    <row r="2170" spans="1:27" x14ac:dyDescent="0.2">
      <c r="D2170" s="24" t="s">
        <v>1091</v>
      </c>
      <c r="E2170" s="23"/>
      <c r="H2170" s="23"/>
      <c r="K2170" s="25">
        <f>SUM(J2149:J2169)</f>
        <v>909.75593000000003</v>
      </c>
    </row>
    <row r="2171" spans="1:27" x14ac:dyDescent="0.2">
      <c r="D2171" s="24" t="s">
        <v>1142</v>
      </c>
      <c r="E2171" s="23"/>
      <c r="H2171" s="23">
        <v>8</v>
      </c>
      <c r="I2171" t="s">
        <v>1093</v>
      </c>
      <c r="K2171" s="21">
        <f>ROUND(H2171/100*K2170,5)</f>
        <v>72.780469999999994</v>
      </c>
    </row>
    <row r="2172" spans="1:27" x14ac:dyDescent="0.2">
      <c r="D2172" s="24" t="s">
        <v>1094</v>
      </c>
      <c r="E2172" s="23"/>
      <c r="H2172" s="23"/>
      <c r="K2172" s="25">
        <f>SUM(K2170:K2171)</f>
        <v>982.53640000000007</v>
      </c>
    </row>
    <row r="2174" spans="1:27" ht="45" customHeight="1" x14ac:dyDescent="0.2">
      <c r="A2174" s="17" t="s">
        <v>1948</v>
      </c>
      <c r="B2174" s="17" t="s">
        <v>452</v>
      </c>
      <c r="C2174" s="1" t="s">
        <v>23</v>
      </c>
      <c r="D2174" s="96" t="s">
        <v>453</v>
      </c>
      <c r="E2174" s="97"/>
      <c r="F2174" s="97"/>
      <c r="G2174" s="1"/>
      <c r="H2174" s="18" t="s">
        <v>1066</v>
      </c>
      <c r="I2174" s="98">
        <v>1</v>
      </c>
      <c r="J2174" s="99"/>
      <c r="K2174" s="19">
        <f>ROUND(K2198,2)</f>
        <v>496.38</v>
      </c>
      <c r="L2174" s="2" t="s">
        <v>1933</v>
      </c>
      <c r="M2174" s="1"/>
      <c r="N2174" s="1"/>
      <c r="O2174" s="1"/>
      <c r="P2174" s="1"/>
      <c r="Q2174" s="1"/>
      <c r="R2174" s="1"/>
      <c r="S2174" s="1"/>
      <c r="T2174" s="1"/>
      <c r="U2174" s="1"/>
      <c r="V2174" s="1"/>
      <c r="W2174" s="1"/>
      <c r="X2174" s="1"/>
      <c r="Y2174" s="1"/>
      <c r="Z2174" s="1"/>
      <c r="AA2174" s="1"/>
    </row>
    <row r="2175" spans="1:27" x14ac:dyDescent="0.2">
      <c r="B2175" s="14" t="s">
        <v>1068</v>
      </c>
    </row>
    <row r="2176" spans="1:27" x14ac:dyDescent="0.2">
      <c r="B2176" t="s">
        <v>1912</v>
      </c>
      <c r="C2176" t="s">
        <v>1070</v>
      </c>
      <c r="D2176" t="s">
        <v>1913</v>
      </c>
      <c r="E2176" s="20">
        <v>2</v>
      </c>
      <c r="F2176" t="s">
        <v>1072</v>
      </c>
      <c r="G2176" t="s">
        <v>1073</v>
      </c>
      <c r="H2176" s="21">
        <v>29.88</v>
      </c>
      <c r="I2176" t="s">
        <v>1074</v>
      </c>
      <c r="J2176" s="22">
        <f>ROUND(E2176/I2174* H2176,5)</f>
        <v>59.76</v>
      </c>
      <c r="K2176" s="23"/>
    </row>
    <row r="2177" spans="2:11" x14ac:dyDescent="0.2">
      <c r="B2177" t="s">
        <v>1914</v>
      </c>
      <c r="C2177" t="s">
        <v>1070</v>
      </c>
      <c r="D2177" t="s">
        <v>1915</v>
      </c>
      <c r="E2177" s="20">
        <v>0.5</v>
      </c>
      <c r="F2177" t="s">
        <v>1072</v>
      </c>
      <c r="G2177" t="s">
        <v>1073</v>
      </c>
      <c r="H2177" s="21">
        <v>26.22</v>
      </c>
      <c r="I2177" t="s">
        <v>1074</v>
      </c>
      <c r="J2177" s="22">
        <f>ROUND(E2177/I2174* H2177,5)</f>
        <v>13.11</v>
      </c>
      <c r="K2177" s="23"/>
    </row>
    <row r="2178" spans="2:11" x14ac:dyDescent="0.2">
      <c r="B2178" t="s">
        <v>1483</v>
      </c>
      <c r="C2178" t="s">
        <v>1070</v>
      </c>
      <c r="D2178" t="s">
        <v>1484</v>
      </c>
      <c r="E2178" s="20">
        <v>0.5</v>
      </c>
      <c r="F2178" t="s">
        <v>1072</v>
      </c>
      <c r="G2178" t="s">
        <v>1073</v>
      </c>
      <c r="H2178" s="21">
        <v>38.840000000000003</v>
      </c>
      <c r="I2178" t="s">
        <v>1074</v>
      </c>
      <c r="J2178" s="22">
        <f>ROUND(E2178/I2174* H2178,5)</f>
        <v>19.420000000000002</v>
      </c>
      <c r="K2178" s="23"/>
    </row>
    <row r="2179" spans="2:11" x14ac:dyDescent="0.2">
      <c r="B2179" t="s">
        <v>1245</v>
      </c>
      <c r="C2179" t="s">
        <v>1070</v>
      </c>
      <c r="D2179" t="s">
        <v>1246</v>
      </c>
      <c r="E2179" s="20">
        <v>1.5</v>
      </c>
      <c r="F2179" t="s">
        <v>1072</v>
      </c>
      <c r="G2179" t="s">
        <v>1073</v>
      </c>
      <c r="H2179" s="21">
        <v>26.33</v>
      </c>
      <c r="I2179" t="s">
        <v>1074</v>
      </c>
      <c r="J2179" s="22">
        <f>ROUND(E2179/I2174* H2179,5)</f>
        <v>39.494999999999997</v>
      </c>
      <c r="K2179" s="23"/>
    </row>
    <row r="2180" spans="2:11" x14ac:dyDescent="0.2">
      <c r="B2180" t="s">
        <v>1414</v>
      </c>
      <c r="C2180" t="s">
        <v>1070</v>
      </c>
      <c r="D2180" t="s">
        <v>1415</v>
      </c>
      <c r="E2180" s="20">
        <v>1.5</v>
      </c>
      <c r="F2180" t="s">
        <v>1072</v>
      </c>
      <c r="G2180" t="s">
        <v>1073</v>
      </c>
      <c r="H2180" s="21">
        <v>29.94</v>
      </c>
      <c r="I2180" t="s">
        <v>1074</v>
      </c>
      <c r="J2180" s="22">
        <f>ROUND(E2180/I2174* H2180,5)</f>
        <v>44.91</v>
      </c>
      <c r="K2180" s="23"/>
    </row>
    <row r="2181" spans="2:11" x14ac:dyDescent="0.2">
      <c r="B2181" t="s">
        <v>1571</v>
      </c>
      <c r="C2181" t="s">
        <v>1070</v>
      </c>
      <c r="D2181" t="s">
        <v>1572</v>
      </c>
      <c r="E2181" s="20">
        <v>2</v>
      </c>
      <c r="F2181" t="s">
        <v>1072</v>
      </c>
      <c r="G2181" t="s">
        <v>1073</v>
      </c>
      <c r="H2181" s="21">
        <v>29.42</v>
      </c>
      <c r="I2181" t="s">
        <v>1074</v>
      </c>
      <c r="J2181" s="22">
        <f>ROUND(E2181/I2174* H2181,5)</f>
        <v>58.84</v>
      </c>
      <c r="K2181" s="23"/>
    </row>
    <row r="2182" spans="2:11" x14ac:dyDescent="0.2">
      <c r="B2182" t="s">
        <v>1569</v>
      </c>
      <c r="C2182" t="s">
        <v>1070</v>
      </c>
      <c r="D2182" t="s">
        <v>1570</v>
      </c>
      <c r="E2182" s="20">
        <v>0.5</v>
      </c>
      <c r="F2182" t="s">
        <v>1072</v>
      </c>
      <c r="G2182" t="s">
        <v>1073</v>
      </c>
      <c r="H2182" s="21">
        <v>26.12</v>
      </c>
      <c r="I2182" t="s">
        <v>1074</v>
      </c>
      <c r="J2182" s="22">
        <f>ROUND(E2182/I2174* H2182,5)</f>
        <v>13.06</v>
      </c>
      <c r="K2182" s="23"/>
    </row>
    <row r="2183" spans="2:11" x14ac:dyDescent="0.2">
      <c r="D2183" s="24" t="s">
        <v>1075</v>
      </c>
      <c r="E2183" s="23"/>
      <c r="H2183" s="23"/>
      <c r="K2183" s="21">
        <f>SUM(J2176:J2182)</f>
        <v>248.595</v>
      </c>
    </row>
    <row r="2184" spans="2:11" x14ac:dyDescent="0.2">
      <c r="B2184" s="14" t="s">
        <v>1080</v>
      </c>
      <c r="E2184" s="23"/>
      <c r="H2184" s="23"/>
      <c r="K2184" s="23"/>
    </row>
    <row r="2185" spans="2:11" x14ac:dyDescent="0.2">
      <c r="B2185" t="s">
        <v>1920</v>
      </c>
      <c r="C2185" t="s">
        <v>103</v>
      </c>
      <c r="D2185" t="s">
        <v>1921</v>
      </c>
      <c r="E2185" s="20">
        <v>2.5</v>
      </c>
      <c r="G2185" t="s">
        <v>1073</v>
      </c>
      <c r="H2185" s="21">
        <v>3.77</v>
      </c>
      <c r="I2185" t="s">
        <v>1074</v>
      </c>
      <c r="J2185" s="22">
        <f t="shared" ref="J2185:J2192" si="4">ROUND(E2185* H2185,5)</f>
        <v>9.4250000000000007</v>
      </c>
      <c r="K2185" s="23"/>
    </row>
    <row r="2186" spans="2:11" x14ac:dyDescent="0.2">
      <c r="B2186" t="s">
        <v>1924</v>
      </c>
      <c r="C2186" t="s">
        <v>103</v>
      </c>
      <c r="D2186" t="s">
        <v>1925</v>
      </c>
      <c r="E2186" s="20">
        <v>1.2</v>
      </c>
      <c r="G2186" t="s">
        <v>1073</v>
      </c>
      <c r="H2186" s="21">
        <v>21.3</v>
      </c>
      <c r="I2186" t="s">
        <v>1074</v>
      </c>
      <c r="J2186" s="22">
        <f t="shared" si="4"/>
        <v>25.56</v>
      </c>
      <c r="K2186" s="23"/>
    </row>
    <row r="2187" spans="2:11" x14ac:dyDescent="0.2">
      <c r="B2187" t="s">
        <v>1926</v>
      </c>
      <c r="C2187" t="s">
        <v>23</v>
      </c>
      <c r="D2187" t="s">
        <v>1927</v>
      </c>
      <c r="E2187" s="20">
        <v>1</v>
      </c>
      <c r="G2187" t="s">
        <v>1073</v>
      </c>
      <c r="H2187" s="21">
        <v>69.88</v>
      </c>
      <c r="I2187" t="s">
        <v>1074</v>
      </c>
      <c r="J2187" s="22">
        <f t="shared" si="4"/>
        <v>69.88</v>
      </c>
      <c r="K2187" s="23"/>
    </row>
    <row r="2188" spans="2:11" x14ac:dyDescent="0.2">
      <c r="B2188" t="s">
        <v>1657</v>
      </c>
      <c r="C2188" t="s">
        <v>1210</v>
      </c>
      <c r="D2188" t="s">
        <v>1658</v>
      </c>
      <c r="E2188" s="20">
        <v>1.8</v>
      </c>
      <c r="G2188" t="s">
        <v>1073</v>
      </c>
      <c r="H2188" s="21">
        <v>6.99</v>
      </c>
      <c r="I2188" t="s">
        <v>1074</v>
      </c>
      <c r="J2188" s="22">
        <f t="shared" si="4"/>
        <v>12.582000000000001</v>
      </c>
      <c r="K2188" s="23"/>
    </row>
    <row r="2189" spans="2:11" x14ac:dyDescent="0.2">
      <c r="B2189" t="s">
        <v>1928</v>
      </c>
      <c r="C2189" t="s">
        <v>103</v>
      </c>
      <c r="D2189" t="s">
        <v>1929</v>
      </c>
      <c r="E2189" s="20">
        <v>0.8</v>
      </c>
      <c r="G2189" t="s">
        <v>1073</v>
      </c>
      <c r="H2189" s="21">
        <v>7.55</v>
      </c>
      <c r="I2189" t="s">
        <v>1074</v>
      </c>
      <c r="J2189" s="22">
        <f t="shared" si="4"/>
        <v>6.04</v>
      </c>
      <c r="K2189" s="23"/>
    </row>
    <row r="2190" spans="2:11" x14ac:dyDescent="0.2">
      <c r="B2190" t="s">
        <v>1922</v>
      </c>
      <c r="C2190" t="s">
        <v>103</v>
      </c>
      <c r="D2190" t="s">
        <v>1923</v>
      </c>
      <c r="E2190" s="20">
        <v>1.9</v>
      </c>
      <c r="G2190" t="s">
        <v>1073</v>
      </c>
      <c r="H2190" s="21">
        <v>13.41</v>
      </c>
      <c r="I2190" t="s">
        <v>1074</v>
      </c>
      <c r="J2190" s="22">
        <f t="shared" si="4"/>
        <v>25.478999999999999</v>
      </c>
      <c r="K2190" s="23"/>
    </row>
    <row r="2191" spans="2:11" x14ac:dyDescent="0.2">
      <c r="B2191" t="s">
        <v>1918</v>
      </c>
      <c r="C2191" t="s">
        <v>1210</v>
      </c>
      <c r="D2191" t="s">
        <v>1919</v>
      </c>
      <c r="E2191" s="20">
        <v>0.4</v>
      </c>
      <c r="G2191" t="s">
        <v>1073</v>
      </c>
      <c r="H2191" s="21">
        <v>16.8</v>
      </c>
      <c r="I2191" t="s">
        <v>1074</v>
      </c>
      <c r="J2191" s="22">
        <f t="shared" si="4"/>
        <v>6.72</v>
      </c>
      <c r="K2191" s="23"/>
    </row>
    <row r="2192" spans="2:11" x14ac:dyDescent="0.2">
      <c r="B2192" t="s">
        <v>1916</v>
      </c>
      <c r="C2192" t="s">
        <v>15</v>
      </c>
      <c r="D2192" t="s">
        <v>1917</v>
      </c>
      <c r="E2192" s="20">
        <v>0.04</v>
      </c>
      <c r="G2192" t="s">
        <v>1073</v>
      </c>
      <c r="H2192" s="21">
        <v>1196.7</v>
      </c>
      <c r="I2192" t="s">
        <v>1074</v>
      </c>
      <c r="J2192" s="22">
        <f t="shared" si="4"/>
        <v>47.868000000000002</v>
      </c>
      <c r="K2192" s="23"/>
    </row>
    <row r="2193" spans="1:27" x14ac:dyDescent="0.2">
      <c r="D2193" s="24" t="s">
        <v>1090</v>
      </c>
      <c r="E2193" s="23"/>
      <c r="H2193" s="23"/>
      <c r="K2193" s="21">
        <f>SUM(J2185:J2192)</f>
        <v>203.554</v>
      </c>
    </row>
    <row r="2194" spans="1:27" x14ac:dyDescent="0.2">
      <c r="E2194" s="23"/>
      <c r="H2194" s="23"/>
      <c r="K2194" s="23"/>
    </row>
    <row r="2195" spans="1:27" x14ac:dyDescent="0.2">
      <c r="D2195" s="24" t="s">
        <v>1092</v>
      </c>
      <c r="E2195" s="23"/>
      <c r="H2195" s="23">
        <v>3</v>
      </c>
      <c r="I2195" t="s">
        <v>1093</v>
      </c>
      <c r="J2195">
        <f>ROUND(H2195/100*K2183,5)</f>
        <v>7.4578499999999996</v>
      </c>
      <c r="K2195" s="23"/>
    </row>
    <row r="2196" spans="1:27" x14ac:dyDescent="0.2">
      <c r="D2196" s="24" t="s">
        <v>1091</v>
      </c>
      <c r="E2196" s="23"/>
      <c r="H2196" s="23"/>
      <c r="K2196" s="25">
        <f>SUM(J2175:J2195)</f>
        <v>459.60685000000001</v>
      </c>
    </row>
    <row r="2197" spans="1:27" x14ac:dyDescent="0.2">
      <c r="D2197" s="24" t="s">
        <v>1142</v>
      </c>
      <c r="E2197" s="23"/>
      <c r="H2197" s="23">
        <v>8</v>
      </c>
      <c r="I2197" t="s">
        <v>1093</v>
      </c>
      <c r="K2197" s="21">
        <f>ROUND(H2197/100*K2196,5)</f>
        <v>36.768549999999998</v>
      </c>
    </row>
    <row r="2198" spans="1:27" x14ac:dyDescent="0.2">
      <c r="D2198" s="24" t="s">
        <v>1094</v>
      </c>
      <c r="E2198" s="23"/>
      <c r="H2198" s="23"/>
      <c r="K2198" s="25">
        <f>SUM(K2196:K2197)</f>
        <v>496.37540000000001</v>
      </c>
    </row>
    <row r="2200" spans="1:27" ht="45" customHeight="1" x14ac:dyDescent="0.2">
      <c r="A2200" s="17" t="s">
        <v>1951</v>
      </c>
      <c r="B2200" s="17" t="s">
        <v>456</v>
      </c>
      <c r="C2200" s="1" t="s">
        <v>23</v>
      </c>
      <c r="D2200" s="96" t="s">
        <v>457</v>
      </c>
      <c r="E2200" s="97"/>
      <c r="F2200" s="97"/>
      <c r="G2200" s="1"/>
      <c r="H2200" s="18" t="s">
        <v>1066</v>
      </c>
      <c r="I2200" s="98">
        <v>1</v>
      </c>
      <c r="J2200" s="99"/>
      <c r="K2200" s="19">
        <f>ROUND(K2224,2)</f>
        <v>620.70000000000005</v>
      </c>
      <c r="L2200" s="2" t="s">
        <v>1935</v>
      </c>
      <c r="M2200" s="1"/>
      <c r="N2200" s="1"/>
      <c r="O2200" s="1"/>
      <c r="P2200" s="1"/>
      <c r="Q2200" s="1"/>
      <c r="R2200" s="1"/>
      <c r="S2200" s="1"/>
      <c r="T2200" s="1"/>
      <c r="U2200" s="1"/>
      <c r="V2200" s="1"/>
      <c r="W2200" s="1"/>
      <c r="X2200" s="1"/>
      <c r="Y2200" s="1"/>
      <c r="Z2200" s="1"/>
      <c r="AA2200" s="1"/>
    </row>
    <row r="2201" spans="1:27" x14ac:dyDescent="0.2">
      <c r="B2201" s="14" t="s">
        <v>1068</v>
      </c>
    </row>
    <row r="2202" spans="1:27" x14ac:dyDescent="0.2">
      <c r="B2202" t="s">
        <v>1245</v>
      </c>
      <c r="C2202" t="s">
        <v>1070</v>
      </c>
      <c r="D2202" t="s">
        <v>1246</v>
      </c>
      <c r="E2202" s="20">
        <v>3</v>
      </c>
      <c r="F2202" t="s">
        <v>1072</v>
      </c>
      <c r="G2202" t="s">
        <v>1073</v>
      </c>
      <c r="H2202" s="21">
        <v>26.33</v>
      </c>
      <c r="I2202" t="s">
        <v>1074</v>
      </c>
      <c r="J2202" s="22">
        <f>ROUND(E2202/I2200* H2202,5)</f>
        <v>78.989999999999995</v>
      </c>
      <c r="K2202" s="23"/>
    </row>
    <row r="2203" spans="1:27" x14ac:dyDescent="0.2">
      <c r="B2203" t="s">
        <v>1912</v>
      </c>
      <c r="C2203" t="s">
        <v>1070</v>
      </c>
      <c r="D2203" t="s">
        <v>1913</v>
      </c>
      <c r="E2203" s="20">
        <v>2</v>
      </c>
      <c r="F2203" t="s">
        <v>1072</v>
      </c>
      <c r="G2203" t="s">
        <v>1073</v>
      </c>
      <c r="H2203" s="21">
        <v>29.88</v>
      </c>
      <c r="I2203" t="s">
        <v>1074</v>
      </c>
      <c r="J2203" s="22">
        <f>ROUND(E2203/I2200* H2203,5)</f>
        <v>59.76</v>
      </c>
      <c r="K2203" s="23"/>
    </row>
    <row r="2204" spans="1:27" x14ac:dyDescent="0.2">
      <c r="B2204" t="s">
        <v>1414</v>
      </c>
      <c r="C2204" t="s">
        <v>1070</v>
      </c>
      <c r="D2204" t="s">
        <v>1415</v>
      </c>
      <c r="E2204" s="20">
        <v>3</v>
      </c>
      <c r="F2204" t="s">
        <v>1072</v>
      </c>
      <c r="G2204" t="s">
        <v>1073</v>
      </c>
      <c r="H2204" s="21">
        <v>29.94</v>
      </c>
      <c r="I2204" t="s">
        <v>1074</v>
      </c>
      <c r="J2204" s="22">
        <f>ROUND(E2204/I2200* H2204,5)</f>
        <v>89.82</v>
      </c>
      <c r="K2204" s="23"/>
    </row>
    <row r="2205" spans="1:27" x14ac:dyDescent="0.2">
      <c r="B2205" t="s">
        <v>1483</v>
      </c>
      <c r="C2205" t="s">
        <v>1070</v>
      </c>
      <c r="D2205" t="s">
        <v>1484</v>
      </c>
      <c r="E2205" s="20">
        <v>0.8</v>
      </c>
      <c r="F2205" t="s">
        <v>1072</v>
      </c>
      <c r="G2205" t="s">
        <v>1073</v>
      </c>
      <c r="H2205" s="21">
        <v>38.840000000000003</v>
      </c>
      <c r="I2205" t="s">
        <v>1074</v>
      </c>
      <c r="J2205" s="22">
        <f>ROUND(E2205/I2200* H2205,5)</f>
        <v>31.071999999999999</v>
      </c>
      <c r="K2205" s="23"/>
    </row>
    <row r="2206" spans="1:27" x14ac:dyDescent="0.2">
      <c r="B2206" t="s">
        <v>1914</v>
      </c>
      <c r="C2206" t="s">
        <v>1070</v>
      </c>
      <c r="D2206" t="s">
        <v>1915</v>
      </c>
      <c r="E2206" s="20">
        <v>0.8</v>
      </c>
      <c r="F2206" t="s">
        <v>1072</v>
      </c>
      <c r="G2206" t="s">
        <v>1073</v>
      </c>
      <c r="H2206" s="21">
        <v>26.22</v>
      </c>
      <c r="I2206" t="s">
        <v>1074</v>
      </c>
      <c r="J2206" s="22">
        <f>ROUND(E2206/I2200* H2206,5)</f>
        <v>20.975999999999999</v>
      </c>
      <c r="K2206" s="23"/>
    </row>
    <row r="2207" spans="1:27" x14ac:dyDescent="0.2">
      <c r="B2207" t="s">
        <v>1569</v>
      </c>
      <c r="C2207" t="s">
        <v>1070</v>
      </c>
      <c r="D2207" t="s">
        <v>1570</v>
      </c>
      <c r="E2207" s="20">
        <v>0.8</v>
      </c>
      <c r="F2207" t="s">
        <v>1072</v>
      </c>
      <c r="G2207" t="s">
        <v>1073</v>
      </c>
      <c r="H2207" s="21">
        <v>26.12</v>
      </c>
      <c r="I2207" t="s">
        <v>1074</v>
      </c>
      <c r="J2207" s="22">
        <f>ROUND(E2207/I2200* H2207,5)</f>
        <v>20.896000000000001</v>
      </c>
      <c r="K2207" s="23"/>
    </row>
    <row r="2208" spans="1:27" x14ac:dyDescent="0.2">
      <c r="B2208" t="s">
        <v>1571</v>
      </c>
      <c r="C2208" t="s">
        <v>1070</v>
      </c>
      <c r="D2208" t="s">
        <v>1572</v>
      </c>
      <c r="E2208" s="20">
        <v>2</v>
      </c>
      <c r="F2208" t="s">
        <v>1072</v>
      </c>
      <c r="G2208" t="s">
        <v>1073</v>
      </c>
      <c r="H2208" s="21">
        <v>29.42</v>
      </c>
      <c r="I2208" t="s">
        <v>1074</v>
      </c>
      <c r="J2208" s="22">
        <f>ROUND(E2208/I2200* H2208,5)</f>
        <v>58.84</v>
      </c>
      <c r="K2208" s="23"/>
    </row>
    <row r="2209" spans="2:11" x14ac:dyDescent="0.2">
      <c r="D2209" s="24" t="s">
        <v>1075</v>
      </c>
      <c r="E2209" s="23"/>
      <c r="H2209" s="23"/>
      <c r="K2209" s="21">
        <f>SUM(J2202:J2208)</f>
        <v>360.35400000000004</v>
      </c>
    </row>
    <row r="2210" spans="2:11" x14ac:dyDescent="0.2">
      <c r="B2210" s="14" t="s">
        <v>1080</v>
      </c>
      <c r="E2210" s="23"/>
      <c r="H2210" s="23"/>
      <c r="K2210" s="23"/>
    </row>
    <row r="2211" spans="2:11" x14ac:dyDescent="0.2">
      <c r="B2211" t="s">
        <v>1918</v>
      </c>
      <c r="C2211" t="s">
        <v>1210</v>
      </c>
      <c r="D2211" t="s">
        <v>1919</v>
      </c>
      <c r="E2211" s="20">
        <v>0.4</v>
      </c>
      <c r="G2211" t="s">
        <v>1073</v>
      </c>
      <c r="H2211" s="21">
        <v>16.8</v>
      </c>
      <c r="I2211" t="s">
        <v>1074</v>
      </c>
      <c r="J2211" s="22">
        <f t="shared" ref="J2211:J2218" si="5">ROUND(E2211* H2211,5)</f>
        <v>6.72</v>
      </c>
      <c r="K2211" s="23"/>
    </row>
    <row r="2212" spans="2:11" x14ac:dyDescent="0.2">
      <c r="B2212" t="s">
        <v>1924</v>
      </c>
      <c r="C2212" t="s">
        <v>103</v>
      </c>
      <c r="D2212" t="s">
        <v>1925</v>
      </c>
      <c r="E2212" s="20">
        <v>1.2</v>
      </c>
      <c r="G2212" t="s">
        <v>1073</v>
      </c>
      <c r="H2212" s="21">
        <v>21.3</v>
      </c>
      <c r="I2212" t="s">
        <v>1074</v>
      </c>
      <c r="J2212" s="22">
        <f t="shared" si="5"/>
        <v>25.56</v>
      </c>
      <c r="K2212" s="23"/>
    </row>
    <row r="2213" spans="2:11" x14ac:dyDescent="0.2">
      <c r="B2213" t="s">
        <v>1657</v>
      </c>
      <c r="C2213" t="s">
        <v>1210</v>
      </c>
      <c r="D2213" t="s">
        <v>1658</v>
      </c>
      <c r="E2213" s="20">
        <v>1.8</v>
      </c>
      <c r="G2213" t="s">
        <v>1073</v>
      </c>
      <c r="H2213" s="21">
        <v>6.99</v>
      </c>
      <c r="I2213" t="s">
        <v>1074</v>
      </c>
      <c r="J2213" s="22">
        <f t="shared" si="5"/>
        <v>12.582000000000001</v>
      </c>
      <c r="K2213" s="23"/>
    </row>
    <row r="2214" spans="2:11" x14ac:dyDescent="0.2">
      <c r="B2214" t="s">
        <v>1922</v>
      </c>
      <c r="C2214" t="s">
        <v>103</v>
      </c>
      <c r="D2214" t="s">
        <v>1923</v>
      </c>
      <c r="E2214" s="20">
        <v>1.9</v>
      </c>
      <c r="G2214" t="s">
        <v>1073</v>
      </c>
      <c r="H2214" s="21">
        <v>13.41</v>
      </c>
      <c r="I2214" t="s">
        <v>1074</v>
      </c>
      <c r="J2214" s="22">
        <f t="shared" si="5"/>
        <v>25.478999999999999</v>
      </c>
      <c r="K2214" s="23"/>
    </row>
    <row r="2215" spans="2:11" x14ac:dyDescent="0.2">
      <c r="B2215" t="s">
        <v>1928</v>
      </c>
      <c r="C2215" t="s">
        <v>103</v>
      </c>
      <c r="D2215" t="s">
        <v>1929</v>
      </c>
      <c r="E2215" s="20">
        <v>0.8</v>
      </c>
      <c r="G2215" t="s">
        <v>1073</v>
      </c>
      <c r="H2215" s="21">
        <v>7.55</v>
      </c>
      <c r="I2215" t="s">
        <v>1074</v>
      </c>
      <c r="J2215" s="22">
        <f t="shared" si="5"/>
        <v>6.04</v>
      </c>
      <c r="K2215" s="23"/>
    </row>
    <row r="2216" spans="2:11" x14ac:dyDescent="0.2">
      <c r="B2216" t="s">
        <v>1916</v>
      </c>
      <c r="C2216" t="s">
        <v>15</v>
      </c>
      <c r="D2216" t="s">
        <v>1917</v>
      </c>
      <c r="E2216" s="20">
        <v>0.04</v>
      </c>
      <c r="G2216" t="s">
        <v>1073</v>
      </c>
      <c r="H2216" s="21">
        <v>1196.7</v>
      </c>
      <c r="I2216" t="s">
        <v>1074</v>
      </c>
      <c r="J2216" s="22">
        <f t="shared" si="5"/>
        <v>47.868000000000002</v>
      </c>
      <c r="K2216" s="23"/>
    </row>
    <row r="2217" spans="2:11" x14ac:dyDescent="0.2">
      <c r="B2217" t="s">
        <v>1920</v>
      </c>
      <c r="C2217" t="s">
        <v>103</v>
      </c>
      <c r="D2217" t="s">
        <v>1921</v>
      </c>
      <c r="E2217" s="20">
        <v>2.5</v>
      </c>
      <c r="G2217" t="s">
        <v>1073</v>
      </c>
      <c r="H2217" s="21">
        <v>3.77</v>
      </c>
      <c r="I2217" t="s">
        <v>1074</v>
      </c>
      <c r="J2217" s="22">
        <f t="shared" si="5"/>
        <v>9.4250000000000007</v>
      </c>
      <c r="K2217" s="23"/>
    </row>
    <row r="2218" spans="2:11" x14ac:dyDescent="0.2">
      <c r="B2218" t="s">
        <v>1926</v>
      </c>
      <c r="C2218" t="s">
        <v>23</v>
      </c>
      <c r="D2218" t="s">
        <v>1927</v>
      </c>
      <c r="E2218" s="20">
        <v>1</v>
      </c>
      <c r="G2218" t="s">
        <v>1073</v>
      </c>
      <c r="H2218" s="21">
        <v>69.88</v>
      </c>
      <c r="I2218" t="s">
        <v>1074</v>
      </c>
      <c r="J2218" s="22">
        <f t="shared" si="5"/>
        <v>69.88</v>
      </c>
      <c r="K2218" s="23"/>
    </row>
    <row r="2219" spans="2:11" x14ac:dyDescent="0.2">
      <c r="D2219" s="24" t="s">
        <v>1090</v>
      </c>
      <c r="E2219" s="23"/>
      <c r="H2219" s="23"/>
      <c r="K2219" s="21">
        <f>SUM(J2211:J2218)</f>
        <v>203.55400000000003</v>
      </c>
    </row>
    <row r="2220" spans="2:11" x14ac:dyDescent="0.2">
      <c r="E2220" s="23"/>
      <c r="H2220" s="23"/>
      <c r="K2220" s="23"/>
    </row>
    <row r="2221" spans="2:11" x14ac:dyDescent="0.2">
      <c r="D2221" s="24" t="s">
        <v>1092</v>
      </c>
      <c r="E2221" s="23"/>
      <c r="H2221" s="23">
        <v>3</v>
      </c>
      <c r="I2221" t="s">
        <v>1093</v>
      </c>
      <c r="J2221">
        <f>ROUND(H2221/100*K2209,5)</f>
        <v>10.81062</v>
      </c>
      <c r="K2221" s="23"/>
    </row>
    <row r="2222" spans="2:11" x14ac:dyDescent="0.2">
      <c r="D2222" s="24" t="s">
        <v>1091</v>
      </c>
      <c r="E2222" s="23"/>
      <c r="H2222" s="23"/>
      <c r="K2222" s="25">
        <f>SUM(J2201:J2221)</f>
        <v>574.7186200000001</v>
      </c>
    </row>
    <row r="2223" spans="2:11" x14ac:dyDescent="0.2">
      <c r="D2223" s="24" t="s">
        <v>1142</v>
      </c>
      <c r="E2223" s="23"/>
      <c r="H2223" s="23">
        <v>8</v>
      </c>
      <c r="I2223" t="s">
        <v>1093</v>
      </c>
      <c r="K2223" s="21">
        <f>ROUND(H2223/100*K2222,5)</f>
        <v>45.977490000000003</v>
      </c>
    </row>
    <row r="2224" spans="2:11" x14ac:dyDescent="0.2">
      <c r="D2224" s="24" t="s">
        <v>1094</v>
      </c>
      <c r="E2224" s="23"/>
      <c r="H2224" s="23"/>
      <c r="K2224" s="25">
        <f>SUM(K2222:K2223)</f>
        <v>620.69611000000009</v>
      </c>
    </row>
    <row r="2226" spans="1:27" ht="45" customHeight="1" x14ac:dyDescent="0.2">
      <c r="A2226" s="17" t="s">
        <v>1954</v>
      </c>
      <c r="B2226" s="17" t="s">
        <v>468</v>
      </c>
      <c r="C2226" s="1" t="s">
        <v>23</v>
      </c>
      <c r="D2226" s="96" t="s">
        <v>469</v>
      </c>
      <c r="E2226" s="97"/>
      <c r="F2226" s="97"/>
      <c r="G2226" s="1"/>
      <c r="H2226" s="18" t="s">
        <v>1066</v>
      </c>
      <c r="I2226" s="98">
        <v>1</v>
      </c>
      <c r="J2226" s="99"/>
      <c r="K2226" s="19">
        <f>ROUND(K2250,2)</f>
        <v>2980.09</v>
      </c>
      <c r="L2226" s="2" t="s">
        <v>1937</v>
      </c>
      <c r="M2226" s="1"/>
      <c r="N2226" s="1"/>
      <c r="O2226" s="1"/>
      <c r="P2226" s="1"/>
      <c r="Q2226" s="1"/>
      <c r="R2226" s="1"/>
      <c r="S2226" s="1"/>
      <c r="T2226" s="1"/>
      <c r="U2226" s="1"/>
      <c r="V2226" s="1"/>
      <c r="W2226" s="1"/>
      <c r="X2226" s="1"/>
      <c r="Y2226" s="1"/>
      <c r="Z2226" s="1"/>
      <c r="AA2226" s="1"/>
    </row>
    <row r="2227" spans="1:27" x14ac:dyDescent="0.2">
      <c r="B2227" s="14" t="s">
        <v>1068</v>
      </c>
    </row>
    <row r="2228" spans="1:27" x14ac:dyDescent="0.2">
      <c r="B2228" t="s">
        <v>1569</v>
      </c>
      <c r="C2228" t="s">
        <v>1070</v>
      </c>
      <c r="D2228" t="s">
        <v>1570</v>
      </c>
      <c r="E2228" s="20">
        <v>8</v>
      </c>
      <c r="F2228" t="s">
        <v>1072</v>
      </c>
      <c r="G2228" t="s">
        <v>1073</v>
      </c>
      <c r="H2228" s="21">
        <v>26.12</v>
      </c>
      <c r="I2228" t="s">
        <v>1074</v>
      </c>
      <c r="J2228" s="22">
        <f>ROUND(E2228/I2226* H2228,5)</f>
        <v>208.96</v>
      </c>
      <c r="K2228" s="23"/>
    </row>
    <row r="2229" spans="1:27" x14ac:dyDescent="0.2">
      <c r="B2229" t="s">
        <v>1414</v>
      </c>
      <c r="C2229" t="s">
        <v>1070</v>
      </c>
      <c r="D2229" t="s">
        <v>1415</v>
      </c>
      <c r="E2229" s="20">
        <v>19</v>
      </c>
      <c r="F2229" t="s">
        <v>1072</v>
      </c>
      <c r="G2229" t="s">
        <v>1073</v>
      </c>
      <c r="H2229" s="21">
        <v>29.94</v>
      </c>
      <c r="I2229" t="s">
        <v>1074</v>
      </c>
      <c r="J2229" s="22">
        <f>ROUND(E2229/I2226* H2229,5)</f>
        <v>568.86</v>
      </c>
      <c r="K2229" s="23"/>
    </row>
    <row r="2230" spans="1:27" x14ac:dyDescent="0.2">
      <c r="B2230" t="s">
        <v>1245</v>
      </c>
      <c r="C2230" t="s">
        <v>1070</v>
      </c>
      <c r="D2230" t="s">
        <v>1246</v>
      </c>
      <c r="E2230" s="20">
        <v>18</v>
      </c>
      <c r="F2230" t="s">
        <v>1072</v>
      </c>
      <c r="G2230" t="s">
        <v>1073</v>
      </c>
      <c r="H2230" s="21">
        <v>26.33</v>
      </c>
      <c r="I2230" t="s">
        <v>1074</v>
      </c>
      <c r="J2230" s="22">
        <f>ROUND(E2230/I2226* H2230,5)</f>
        <v>473.94</v>
      </c>
      <c r="K2230" s="23"/>
    </row>
    <row r="2231" spans="1:27" x14ac:dyDescent="0.2">
      <c r="B2231" t="s">
        <v>1483</v>
      </c>
      <c r="C2231" t="s">
        <v>1070</v>
      </c>
      <c r="D2231" t="s">
        <v>1484</v>
      </c>
      <c r="E2231" s="20">
        <v>6</v>
      </c>
      <c r="F2231" t="s">
        <v>1072</v>
      </c>
      <c r="G2231" t="s">
        <v>1073</v>
      </c>
      <c r="H2231" s="21">
        <v>38.840000000000003</v>
      </c>
      <c r="I2231" t="s">
        <v>1074</v>
      </c>
      <c r="J2231" s="22">
        <f>ROUND(E2231/I2226* H2231,5)</f>
        <v>233.04</v>
      </c>
      <c r="K2231" s="23"/>
    </row>
    <row r="2232" spans="1:27" x14ac:dyDescent="0.2">
      <c r="B2232" t="s">
        <v>1914</v>
      </c>
      <c r="C2232" t="s">
        <v>1070</v>
      </c>
      <c r="D2232" t="s">
        <v>1915</v>
      </c>
      <c r="E2232" s="20">
        <v>6</v>
      </c>
      <c r="F2232" t="s">
        <v>1072</v>
      </c>
      <c r="G2232" t="s">
        <v>1073</v>
      </c>
      <c r="H2232" s="21">
        <v>26.22</v>
      </c>
      <c r="I2232" t="s">
        <v>1074</v>
      </c>
      <c r="J2232" s="22">
        <f>ROUND(E2232/I2226* H2232,5)</f>
        <v>157.32</v>
      </c>
      <c r="K2232" s="23"/>
    </row>
    <row r="2233" spans="1:27" x14ac:dyDescent="0.2">
      <c r="B2233" t="s">
        <v>1571</v>
      </c>
      <c r="C2233" t="s">
        <v>1070</v>
      </c>
      <c r="D2233" t="s">
        <v>1572</v>
      </c>
      <c r="E2233" s="20">
        <v>12</v>
      </c>
      <c r="F2233" t="s">
        <v>1072</v>
      </c>
      <c r="G2233" t="s">
        <v>1073</v>
      </c>
      <c r="H2233" s="21">
        <v>29.42</v>
      </c>
      <c r="I2233" t="s">
        <v>1074</v>
      </c>
      <c r="J2233" s="22">
        <f>ROUND(E2233/I2226* H2233,5)</f>
        <v>353.04</v>
      </c>
      <c r="K2233" s="23"/>
    </row>
    <row r="2234" spans="1:27" x14ac:dyDescent="0.2">
      <c r="B2234" t="s">
        <v>1912</v>
      </c>
      <c r="C2234" t="s">
        <v>1070</v>
      </c>
      <c r="D2234" t="s">
        <v>1913</v>
      </c>
      <c r="E2234" s="20">
        <v>10</v>
      </c>
      <c r="F2234" t="s">
        <v>1072</v>
      </c>
      <c r="G2234" t="s">
        <v>1073</v>
      </c>
      <c r="H2234" s="21">
        <v>29.88</v>
      </c>
      <c r="I2234" t="s">
        <v>1074</v>
      </c>
      <c r="J2234" s="22">
        <f>ROUND(E2234/I2226* H2234,5)</f>
        <v>298.8</v>
      </c>
      <c r="K2234" s="23"/>
    </row>
    <row r="2235" spans="1:27" x14ac:dyDescent="0.2">
      <c r="D2235" s="24" t="s">
        <v>1075</v>
      </c>
      <c r="E2235" s="23"/>
      <c r="H2235" s="23"/>
      <c r="K2235" s="21">
        <f>SUM(J2228:J2234)</f>
        <v>2293.96</v>
      </c>
    </row>
    <row r="2236" spans="1:27" x14ac:dyDescent="0.2">
      <c r="B2236" s="14" t="s">
        <v>1080</v>
      </c>
      <c r="E2236" s="23"/>
      <c r="H2236" s="23"/>
      <c r="K2236" s="23"/>
    </row>
    <row r="2237" spans="1:27" x14ac:dyDescent="0.2">
      <c r="B2237" t="s">
        <v>1920</v>
      </c>
      <c r="C2237" t="s">
        <v>103</v>
      </c>
      <c r="D2237" t="s">
        <v>1921</v>
      </c>
      <c r="E2237" s="20">
        <v>6</v>
      </c>
      <c r="G2237" t="s">
        <v>1073</v>
      </c>
      <c r="H2237" s="21">
        <v>3.77</v>
      </c>
      <c r="I2237" t="s">
        <v>1074</v>
      </c>
      <c r="J2237" s="22">
        <f t="shared" ref="J2237:J2244" si="6">ROUND(E2237* H2237,5)</f>
        <v>22.62</v>
      </c>
      <c r="K2237" s="23"/>
    </row>
    <row r="2238" spans="1:27" x14ac:dyDescent="0.2">
      <c r="B2238" t="s">
        <v>1926</v>
      </c>
      <c r="C2238" t="s">
        <v>23</v>
      </c>
      <c r="D2238" t="s">
        <v>1927</v>
      </c>
      <c r="E2238" s="20">
        <v>1</v>
      </c>
      <c r="G2238" t="s">
        <v>1073</v>
      </c>
      <c r="H2238" s="21">
        <v>69.88</v>
      </c>
      <c r="I2238" t="s">
        <v>1074</v>
      </c>
      <c r="J2238" s="22">
        <f t="shared" si="6"/>
        <v>69.88</v>
      </c>
      <c r="K2238" s="23"/>
    </row>
    <row r="2239" spans="1:27" x14ac:dyDescent="0.2">
      <c r="B2239" t="s">
        <v>1924</v>
      </c>
      <c r="C2239" t="s">
        <v>103</v>
      </c>
      <c r="D2239" t="s">
        <v>1925</v>
      </c>
      <c r="E2239" s="20">
        <v>3</v>
      </c>
      <c r="G2239" t="s">
        <v>1073</v>
      </c>
      <c r="H2239" s="21">
        <v>21.3</v>
      </c>
      <c r="I2239" t="s">
        <v>1074</v>
      </c>
      <c r="J2239" s="22">
        <f t="shared" si="6"/>
        <v>63.9</v>
      </c>
      <c r="K2239" s="23"/>
    </row>
    <row r="2240" spans="1:27" x14ac:dyDescent="0.2">
      <c r="B2240" t="s">
        <v>1918</v>
      </c>
      <c r="C2240" t="s">
        <v>1210</v>
      </c>
      <c r="D2240" t="s">
        <v>1919</v>
      </c>
      <c r="E2240" s="20">
        <v>1</v>
      </c>
      <c r="G2240" t="s">
        <v>1073</v>
      </c>
      <c r="H2240" s="21">
        <v>16.8</v>
      </c>
      <c r="I2240" t="s">
        <v>1074</v>
      </c>
      <c r="J2240" s="22">
        <f t="shared" si="6"/>
        <v>16.8</v>
      </c>
      <c r="K2240" s="23"/>
    </row>
    <row r="2241" spans="1:27" x14ac:dyDescent="0.2">
      <c r="B2241" t="s">
        <v>1928</v>
      </c>
      <c r="C2241" t="s">
        <v>103</v>
      </c>
      <c r="D2241" t="s">
        <v>1929</v>
      </c>
      <c r="E2241" s="20">
        <v>2</v>
      </c>
      <c r="G2241" t="s">
        <v>1073</v>
      </c>
      <c r="H2241" s="21">
        <v>7.55</v>
      </c>
      <c r="I2241" t="s">
        <v>1074</v>
      </c>
      <c r="J2241" s="22">
        <f t="shared" si="6"/>
        <v>15.1</v>
      </c>
      <c r="K2241" s="23"/>
    </row>
    <row r="2242" spans="1:27" x14ac:dyDescent="0.2">
      <c r="B2242" t="s">
        <v>1922</v>
      </c>
      <c r="C2242" t="s">
        <v>103</v>
      </c>
      <c r="D2242" t="s">
        <v>1923</v>
      </c>
      <c r="E2242" s="20">
        <v>4</v>
      </c>
      <c r="G2242" t="s">
        <v>1073</v>
      </c>
      <c r="H2242" s="21">
        <v>13.41</v>
      </c>
      <c r="I2242" t="s">
        <v>1074</v>
      </c>
      <c r="J2242" s="22">
        <f t="shared" si="6"/>
        <v>53.64</v>
      </c>
      <c r="K2242" s="23"/>
    </row>
    <row r="2243" spans="1:27" x14ac:dyDescent="0.2">
      <c r="B2243" t="s">
        <v>1657</v>
      </c>
      <c r="C2243" t="s">
        <v>1210</v>
      </c>
      <c r="D2243" t="s">
        <v>1658</v>
      </c>
      <c r="E2243" s="20">
        <v>5</v>
      </c>
      <c r="G2243" t="s">
        <v>1073</v>
      </c>
      <c r="H2243" s="21">
        <v>6.99</v>
      </c>
      <c r="I2243" t="s">
        <v>1074</v>
      </c>
      <c r="J2243" s="22">
        <f t="shared" si="6"/>
        <v>34.950000000000003</v>
      </c>
      <c r="K2243" s="23"/>
    </row>
    <row r="2244" spans="1:27" x14ac:dyDescent="0.2">
      <c r="B2244" t="s">
        <v>1916</v>
      </c>
      <c r="C2244" t="s">
        <v>15</v>
      </c>
      <c r="D2244" t="s">
        <v>1917</v>
      </c>
      <c r="E2244" s="20">
        <v>0.1</v>
      </c>
      <c r="G2244" t="s">
        <v>1073</v>
      </c>
      <c r="H2244" s="21">
        <v>1196.7</v>
      </c>
      <c r="I2244" t="s">
        <v>1074</v>
      </c>
      <c r="J2244" s="22">
        <f t="shared" si="6"/>
        <v>119.67</v>
      </c>
      <c r="K2244" s="23"/>
    </row>
    <row r="2245" spans="1:27" x14ac:dyDescent="0.2">
      <c r="D2245" s="24" t="s">
        <v>1090</v>
      </c>
      <c r="E2245" s="23"/>
      <c r="H2245" s="23"/>
      <c r="K2245" s="21">
        <f>SUM(J2237:J2244)</f>
        <v>396.56</v>
      </c>
    </row>
    <row r="2246" spans="1:27" x14ac:dyDescent="0.2">
      <c r="E2246" s="23"/>
      <c r="H2246" s="23"/>
      <c r="K2246" s="23"/>
    </row>
    <row r="2247" spans="1:27" x14ac:dyDescent="0.2">
      <c r="D2247" s="24" t="s">
        <v>1092</v>
      </c>
      <c r="E2247" s="23"/>
      <c r="H2247" s="23">
        <v>3</v>
      </c>
      <c r="I2247" t="s">
        <v>1093</v>
      </c>
      <c r="J2247">
        <f>ROUND(H2247/100*K2235,5)</f>
        <v>68.818799999999996</v>
      </c>
      <c r="K2247" s="23"/>
    </row>
    <row r="2248" spans="1:27" x14ac:dyDescent="0.2">
      <c r="D2248" s="24" t="s">
        <v>1091</v>
      </c>
      <c r="E2248" s="23"/>
      <c r="H2248" s="23"/>
      <c r="K2248" s="25">
        <f>SUM(J2227:J2247)</f>
        <v>2759.3388</v>
      </c>
    </row>
    <row r="2249" spans="1:27" x14ac:dyDescent="0.2">
      <c r="D2249" s="24" t="s">
        <v>1142</v>
      </c>
      <c r="E2249" s="23"/>
      <c r="H2249" s="23">
        <v>8</v>
      </c>
      <c r="I2249" t="s">
        <v>1093</v>
      </c>
      <c r="K2249" s="21">
        <f>ROUND(H2249/100*K2248,5)</f>
        <v>220.74709999999999</v>
      </c>
    </row>
    <row r="2250" spans="1:27" x14ac:dyDescent="0.2">
      <c r="D2250" s="24" t="s">
        <v>1094</v>
      </c>
      <c r="E2250" s="23"/>
      <c r="H2250" s="23"/>
      <c r="K2250" s="25">
        <f>SUM(K2248:K2249)</f>
        <v>2980.0859</v>
      </c>
    </row>
    <row r="2252" spans="1:27" ht="45" customHeight="1" x14ac:dyDescent="0.2">
      <c r="A2252" s="17" t="s">
        <v>1957</v>
      </c>
      <c r="B2252" s="17" t="s">
        <v>470</v>
      </c>
      <c r="C2252" s="1" t="s">
        <v>23</v>
      </c>
      <c r="D2252" s="96" t="s">
        <v>471</v>
      </c>
      <c r="E2252" s="97"/>
      <c r="F2252" s="97"/>
      <c r="G2252" s="1"/>
      <c r="H2252" s="18" t="s">
        <v>1066</v>
      </c>
      <c r="I2252" s="98">
        <v>1</v>
      </c>
      <c r="J2252" s="99"/>
      <c r="K2252" s="19">
        <f>ROUND(K2276,2)</f>
        <v>1038.33</v>
      </c>
      <c r="L2252" s="2" t="s">
        <v>1939</v>
      </c>
      <c r="M2252" s="1"/>
      <c r="N2252" s="1"/>
      <c r="O2252" s="1"/>
      <c r="P2252" s="1"/>
      <c r="Q2252" s="1"/>
      <c r="R2252" s="1"/>
      <c r="S2252" s="1"/>
      <c r="T2252" s="1"/>
      <c r="U2252" s="1"/>
      <c r="V2252" s="1"/>
      <c r="W2252" s="1"/>
      <c r="X2252" s="1"/>
      <c r="Y2252" s="1"/>
      <c r="Z2252" s="1"/>
      <c r="AA2252" s="1"/>
    </row>
    <row r="2253" spans="1:27" x14ac:dyDescent="0.2">
      <c r="B2253" s="14" t="s">
        <v>1068</v>
      </c>
    </row>
    <row r="2254" spans="1:27" x14ac:dyDescent="0.2">
      <c r="B2254" t="s">
        <v>1414</v>
      </c>
      <c r="C2254" t="s">
        <v>1070</v>
      </c>
      <c r="D2254" t="s">
        <v>1415</v>
      </c>
      <c r="E2254" s="20">
        <v>6</v>
      </c>
      <c r="F2254" t="s">
        <v>1072</v>
      </c>
      <c r="G2254" t="s">
        <v>1073</v>
      </c>
      <c r="H2254" s="21">
        <v>29.94</v>
      </c>
      <c r="I2254" t="s">
        <v>1074</v>
      </c>
      <c r="J2254" s="22">
        <f>ROUND(E2254/I2252* H2254,5)</f>
        <v>179.64</v>
      </c>
      <c r="K2254" s="23"/>
    </row>
    <row r="2255" spans="1:27" x14ac:dyDescent="0.2">
      <c r="B2255" t="s">
        <v>1571</v>
      </c>
      <c r="C2255" t="s">
        <v>1070</v>
      </c>
      <c r="D2255" t="s">
        <v>1572</v>
      </c>
      <c r="E2255" s="20">
        <v>3</v>
      </c>
      <c r="F2255" t="s">
        <v>1072</v>
      </c>
      <c r="G2255" t="s">
        <v>1073</v>
      </c>
      <c r="H2255" s="21">
        <v>29.42</v>
      </c>
      <c r="I2255" t="s">
        <v>1074</v>
      </c>
      <c r="J2255" s="22">
        <f>ROUND(E2255/I2252* H2255,5)</f>
        <v>88.26</v>
      </c>
      <c r="K2255" s="23"/>
    </row>
    <row r="2256" spans="1:27" x14ac:dyDescent="0.2">
      <c r="B2256" t="s">
        <v>1569</v>
      </c>
      <c r="C2256" t="s">
        <v>1070</v>
      </c>
      <c r="D2256" t="s">
        <v>1570</v>
      </c>
      <c r="E2256" s="20">
        <v>2</v>
      </c>
      <c r="F2256" t="s">
        <v>1072</v>
      </c>
      <c r="G2256" t="s">
        <v>1073</v>
      </c>
      <c r="H2256" s="21">
        <v>26.12</v>
      </c>
      <c r="I2256" t="s">
        <v>1074</v>
      </c>
      <c r="J2256" s="22">
        <f>ROUND(E2256/I2252* H2256,5)</f>
        <v>52.24</v>
      </c>
      <c r="K2256" s="23"/>
    </row>
    <row r="2257" spans="2:11" x14ac:dyDescent="0.2">
      <c r="B2257" t="s">
        <v>1912</v>
      </c>
      <c r="C2257" t="s">
        <v>1070</v>
      </c>
      <c r="D2257" t="s">
        <v>1913</v>
      </c>
      <c r="E2257" s="20">
        <v>2</v>
      </c>
      <c r="F2257" t="s">
        <v>1072</v>
      </c>
      <c r="G2257" t="s">
        <v>1073</v>
      </c>
      <c r="H2257" s="21">
        <v>29.88</v>
      </c>
      <c r="I2257" t="s">
        <v>1074</v>
      </c>
      <c r="J2257" s="22">
        <f>ROUND(E2257/I2252* H2257,5)</f>
        <v>59.76</v>
      </c>
      <c r="K2257" s="23"/>
    </row>
    <row r="2258" spans="2:11" x14ac:dyDescent="0.2">
      <c r="B2258" t="s">
        <v>1914</v>
      </c>
      <c r="C2258" t="s">
        <v>1070</v>
      </c>
      <c r="D2258" t="s">
        <v>1915</v>
      </c>
      <c r="E2258" s="20">
        <v>2</v>
      </c>
      <c r="F2258" t="s">
        <v>1072</v>
      </c>
      <c r="G2258" t="s">
        <v>1073</v>
      </c>
      <c r="H2258" s="21">
        <v>26.22</v>
      </c>
      <c r="I2258" t="s">
        <v>1074</v>
      </c>
      <c r="J2258" s="22">
        <f>ROUND(E2258/I2252* H2258,5)</f>
        <v>52.44</v>
      </c>
      <c r="K2258" s="23"/>
    </row>
    <row r="2259" spans="2:11" x14ac:dyDescent="0.2">
      <c r="B2259" t="s">
        <v>1245</v>
      </c>
      <c r="C2259" t="s">
        <v>1070</v>
      </c>
      <c r="D2259" t="s">
        <v>1246</v>
      </c>
      <c r="E2259" s="20">
        <v>6</v>
      </c>
      <c r="F2259" t="s">
        <v>1072</v>
      </c>
      <c r="G2259" t="s">
        <v>1073</v>
      </c>
      <c r="H2259" s="21">
        <v>26.33</v>
      </c>
      <c r="I2259" t="s">
        <v>1074</v>
      </c>
      <c r="J2259" s="22">
        <f>ROUND(E2259/I2252* H2259,5)</f>
        <v>157.97999999999999</v>
      </c>
      <c r="K2259" s="23"/>
    </row>
    <row r="2260" spans="2:11" x14ac:dyDescent="0.2">
      <c r="B2260" t="s">
        <v>1483</v>
      </c>
      <c r="C2260" t="s">
        <v>1070</v>
      </c>
      <c r="D2260" t="s">
        <v>1484</v>
      </c>
      <c r="E2260" s="20">
        <v>2</v>
      </c>
      <c r="F2260" t="s">
        <v>1072</v>
      </c>
      <c r="G2260" t="s">
        <v>1073</v>
      </c>
      <c r="H2260" s="21">
        <v>38.840000000000003</v>
      </c>
      <c r="I2260" t="s">
        <v>1074</v>
      </c>
      <c r="J2260" s="22">
        <f>ROUND(E2260/I2252* H2260,5)</f>
        <v>77.680000000000007</v>
      </c>
      <c r="K2260" s="23"/>
    </row>
    <row r="2261" spans="2:11" x14ac:dyDescent="0.2">
      <c r="D2261" s="24" t="s">
        <v>1075</v>
      </c>
      <c r="E2261" s="23"/>
      <c r="H2261" s="23"/>
      <c r="K2261" s="21">
        <f>SUM(J2254:J2260)</f>
        <v>668</v>
      </c>
    </row>
    <row r="2262" spans="2:11" x14ac:dyDescent="0.2">
      <c r="B2262" s="14" t="s">
        <v>1080</v>
      </c>
      <c r="E2262" s="23"/>
      <c r="H2262" s="23"/>
      <c r="K2262" s="23"/>
    </row>
    <row r="2263" spans="2:11" x14ac:dyDescent="0.2">
      <c r="B2263" t="s">
        <v>1922</v>
      </c>
      <c r="C2263" t="s">
        <v>103</v>
      </c>
      <c r="D2263" t="s">
        <v>1923</v>
      </c>
      <c r="E2263" s="20">
        <v>2</v>
      </c>
      <c r="G2263" t="s">
        <v>1073</v>
      </c>
      <c r="H2263" s="21">
        <v>13.41</v>
      </c>
      <c r="I2263" t="s">
        <v>1074</v>
      </c>
      <c r="J2263" s="22">
        <f t="shared" ref="J2263:J2270" si="7">ROUND(E2263* H2263,5)</f>
        <v>26.82</v>
      </c>
      <c r="K2263" s="23"/>
    </row>
    <row r="2264" spans="2:11" x14ac:dyDescent="0.2">
      <c r="B2264" t="s">
        <v>1926</v>
      </c>
      <c r="C2264" t="s">
        <v>23</v>
      </c>
      <c r="D2264" t="s">
        <v>1927</v>
      </c>
      <c r="E2264" s="20">
        <v>1</v>
      </c>
      <c r="G2264" t="s">
        <v>1073</v>
      </c>
      <c r="H2264" s="21">
        <v>69.88</v>
      </c>
      <c r="I2264" t="s">
        <v>1074</v>
      </c>
      <c r="J2264" s="22">
        <f t="shared" si="7"/>
        <v>69.88</v>
      </c>
      <c r="K2264" s="23"/>
    </row>
    <row r="2265" spans="2:11" x14ac:dyDescent="0.2">
      <c r="B2265" t="s">
        <v>1928</v>
      </c>
      <c r="C2265" t="s">
        <v>103</v>
      </c>
      <c r="D2265" t="s">
        <v>1929</v>
      </c>
      <c r="E2265" s="20">
        <v>1</v>
      </c>
      <c r="G2265" t="s">
        <v>1073</v>
      </c>
      <c r="H2265" s="21">
        <v>7.55</v>
      </c>
      <c r="I2265" t="s">
        <v>1074</v>
      </c>
      <c r="J2265" s="22">
        <f t="shared" si="7"/>
        <v>7.55</v>
      </c>
      <c r="K2265" s="23"/>
    </row>
    <row r="2266" spans="2:11" x14ac:dyDescent="0.2">
      <c r="B2266" t="s">
        <v>1924</v>
      </c>
      <c r="C2266" t="s">
        <v>103</v>
      </c>
      <c r="D2266" t="s">
        <v>1925</v>
      </c>
      <c r="E2266" s="20">
        <v>2</v>
      </c>
      <c r="G2266" t="s">
        <v>1073</v>
      </c>
      <c r="H2266" s="21">
        <v>21.3</v>
      </c>
      <c r="I2266" t="s">
        <v>1074</v>
      </c>
      <c r="J2266" s="22">
        <f t="shared" si="7"/>
        <v>42.6</v>
      </c>
      <c r="K2266" s="23"/>
    </row>
    <row r="2267" spans="2:11" x14ac:dyDescent="0.2">
      <c r="B2267" t="s">
        <v>1918</v>
      </c>
      <c r="C2267" t="s">
        <v>1210</v>
      </c>
      <c r="D2267" t="s">
        <v>1919</v>
      </c>
      <c r="E2267" s="20">
        <v>0.8</v>
      </c>
      <c r="G2267" t="s">
        <v>1073</v>
      </c>
      <c r="H2267" s="21">
        <v>16.8</v>
      </c>
      <c r="I2267" t="s">
        <v>1074</v>
      </c>
      <c r="J2267" s="22">
        <f t="shared" si="7"/>
        <v>13.44</v>
      </c>
      <c r="K2267" s="23"/>
    </row>
    <row r="2268" spans="2:11" x14ac:dyDescent="0.2">
      <c r="B2268" t="s">
        <v>1916</v>
      </c>
      <c r="C2268" t="s">
        <v>15</v>
      </c>
      <c r="D2268" t="s">
        <v>1917</v>
      </c>
      <c r="E2268" s="20">
        <v>0.05</v>
      </c>
      <c r="G2268" t="s">
        <v>1073</v>
      </c>
      <c r="H2268" s="21">
        <v>1196.7</v>
      </c>
      <c r="I2268" t="s">
        <v>1074</v>
      </c>
      <c r="J2268" s="22">
        <f t="shared" si="7"/>
        <v>59.835000000000001</v>
      </c>
      <c r="K2268" s="23"/>
    </row>
    <row r="2269" spans="2:11" x14ac:dyDescent="0.2">
      <c r="B2269" t="s">
        <v>1657</v>
      </c>
      <c r="C2269" t="s">
        <v>1210</v>
      </c>
      <c r="D2269" t="s">
        <v>1658</v>
      </c>
      <c r="E2269" s="20">
        <v>6</v>
      </c>
      <c r="G2269" t="s">
        <v>1073</v>
      </c>
      <c r="H2269" s="21">
        <v>6.99</v>
      </c>
      <c r="I2269" t="s">
        <v>1074</v>
      </c>
      <c r="J2269" s="22">
        <f t="shared" si="7"/>
        <v>41.94</v>
      </c>
      <c r="K2269" s="23"/>
    </row>
    <row r="2270" spans="2:11" x14ac:dyDescent="0.2">
      <c r="B2270" t="s">
        <v>1920</v>
      </c>
      <c r="C2270" t="s">
        <v>103</v>
      </c>
      <c r="D2270" t="s">
        <v>1921</v>
      </c>
      <c r="E2270" s="20">
        <v>3</v>
      </c>
      <c r="G2270" t="s">
        <v>1073</v>
      </c>
      <c r="H2270" s="21">
        <v>3.77</v>
      </c>
      <c r="I2270" t="s">
        <v>1074</v>
      </c>
      <c r="J2270" s="22">
        <f t="shared" si="7"/>
        <v>11.31</v>
      </c>
      <c r="K2270" s="23"/>
    </row>
    <row r="2271" spans="2:11" x14ac:dyDescent="0.2">
      <c r="D2271" s="24" t="s">
        <v>1090</v>
      </c>
      <c r="E2271" s="23"/>
      <c r="H2271" s="23"/>
      <c r="K2271" s="21">
        <f>SUM(J2263:J2270)</f>
        <v>273.375</v>
      </c>
    </row>
    <row r="2272" spans="2:11" x14ac:dyDescent="0.2">
      <c r="E2272" s="23"/>
      <c r="H2272" s="23"/>
      <c r="K2272" s="23"/>
    </row>
    <row r="2273" spans="1:27" x14ac:dyDescent="0.2">
      <c r="D2273" s="24" t="s">
        <v>1092</v>
      </c>
      <c r="E2273" s="23"/>
      <c r="H2273" s="23">
        <v>3</v>
      </c>
      <c r="I2273" t="s">
        <v>1093</v>
      </c>
      <c r="J2273">
        <f>ROUND(H2273/100*K2261,5)</f>
        <v>20.04</v>
      </c>
      <c r="K2273" s="23"/>
    </row>
    <row r="2274" spans="1:27" x14ac:dyDescent="0.2">
      <c r="D2274" s="24" t="s">
        <v>1091</v>
      </c>
      <c r="E2274" s="23"/>
      <c r="H2274" s="23"/>
      <c r="K2274" s="25">
        <f>SUM(J2253:J2273)</f>
        <v>961.41499999999996</v>
      </c>
    </row>
    <row r="2275" spans="1:27" x14ac:dyDescent="0.2">
      <c r="D2275" s="24" t="s">
        <v>1142</v>
      </c>
      <c r="E2275" s="23"/>
      <c r="H2275" s="23">
        <v>8</v>
      </c>
      <c r="I2275" t="s">
        <v>1093</v>
      </c>
      <c r="K2275" s="21">
        <f>ROUND(H2275/100*K2274,5)</f>
        <v>76.913200000000003</v>
      </c>
    </row>
    <row r="2276" spans="1:27" x14ac:dyDescent="0.2">
      <c r="D2276" s="24" t="s">
        <v>1094</v>
      </c>
      <c r="E2276" s="23"/>
      <c r="H2276" s="23"/>
      <c r="K2276" s="25">
        <f>SUM(K2274:K2275)</f>
        <v>1038.3281999999999</v>
      </c>
    </row>
    <row r="2278" spans="1:27" ht="45" customHeight="1" x14ac:dyDescent="0.2">
      <c r="A2278" s="17" t="s">
        <v>1960</v>
      </c>
      <c r="B2278" s="17" t="s">
        <v>472</v>
      </c>
      <c r="C2278" s="1" t="s">
        <v>23</v>
      </c>
      <c r="D2278" s="96" t="s">
        <v>473</v>
      </c>
      <c r="E2278" s="97"/>
      <c r="F2278" s="97"/>
      <c r="G2278" s="1"/>
      <c r="H2278" s="18" t="s">
        <v>1066</v>
      </c>
      <c r="I2278" s="98">
        <v>1</v>
      </c>
      <c r="J2278" s="99"/>
      <c r="K2278" s="19">
        <f>ROUND(K2302,2)</f>
        <v>1679.88</v>
      </c>
      <c r="L2278" s="2" t="s">
        <v>1941</v>
      </c>
      <c r="M2278" s="1"/>
      <c r="N2278" s="1"/>
      <c r="O2278" s="1"/>
      <c r="P2278" s="1"/>
      <c r="Q2278" s="1"/>
      <c r="R2278" s="1"/>
      <c r="S2278" s="1"/>
      <c r="T2278" s="1"/>
      <c r="U2278" s="1"/>
      <c r="V2278" s="1"/>
      <c r="W2278" s="1"/>
      <c r="X2278" s="1"/>
      <c r="Y2278" s="1"/>
      <c r="Z2278" s="1"/>
      <c r="AA2278" s="1"/>
    </row>
    <row r="2279" spans="1:27" x14ac:dyDescent="0.2">
      <c r="B2279" s="14" t="s">
        <v>1068</v>
      </c>
    </row>
    <row r="2280" spans="1:27" x14ac:dyDescent="0.2">
      <c r="B2280" t="s">
        <v>1571</v>
      </c>
      <c r="C2280" t="s">
        <v>1070</v>
      </c>
      <c r="D2280" t="s">
        <v>1572</v>
      </c>
      <c r="E2280" s="20">
        <v>6</v>
      </c>
      <c r="F2280" t="s">
        <v>1072</v>
      </c>
      <c r="G2280" t="s">
        <v>1073</v>
      </c>
      <c r="H2280" s="21">
        <v>29.42</v>
      </c>
      <c r="I2280" t="s">
        <v>1074</v>
      </c>
      <c r="J2280" s="22">
        <f>ROUND(E2280/I2278* H2280,5)</f>
        <v>176.52</v>
      </c>
      <c r="K2280" s="23"/>
    </row>
    <row r="2281" spans="1:27" x14ac:dyDescent="0.2">
      <c r="B2281" t="s">
        <v>1414</v>
      </c>
      <c r="C2281" t="s">
        <v>1070</v>
      </c>
      <c r="D2281" t="s">
        <v>1415</v>
      </c>
      <c r="E2281" s="20">
        <v>9</v>
      </c>
      <c r="F2281" t="s">
        <v>1072</v>
      </c>
      <c r="G2281" t="s">
        <v>1073</v>
      </c>
      <c r="H2281" s="21">
        <v>29.94</v>
      </c>
      <c r="I2281" t="s">
        <v>1074</v>
      </c>
      <c r="J2281" s="22">
        <f>ROUND(E2281/I2278* H2281,5)</f>
        <v>269.45999999999998</v>
      </c>
      <c r="K2281" s="23"/>
    </row>
    <row r="2282" spans="1:27" x14ac:dyDescent="0.2">
      <c r="B2282" t="s">
        <v>1245</v>
      </c>
      <c r="C2282" t="s">
        <v>1070</v>
      </c>
      <c r="D2282" t="s">
        <v>1246</v>
      </c>
      <c r="E2282" s="20">
        <v>9</v>
      </c>
      <c r="F2282" t="s">
        <v>1072</v>
      </c>
      <c r="G2282" t="s">
        <v>1073</v>
      </c>
      <c r="H2282" s="21">
        <v>26.33</v>
      </c>
      <c r="I2282" t="s">
        <v>1074</v>
      </c>
      <c r="J2282" s="22">
        <f>ROUND(E2282/I2278* H2282,5)</f>
        <v>236.97</v>
      </c>
      <c r="K2282" s="23"/>
    </row>
    <row r="2283" spans="1:27" x14ac:dyDescent="0.2">
      <c r="B2283" t="s">
        <v>1483</v>
      </c>
      <c r="C2283" t="s">
        <v>1070</v>
      </c>
      <c r="D2283" t="s">
        <v>1484</v>
      </c>
      <c r="E2283" s="20">
        <v>3</v>
      </c>
      <c r="F2283" t="s">
        <v>1072</v>
      </c>
      <c r="G2283" t="s">
        <v>1073</v>
      </c>
      <c r="H2283" s="21">
        <v>38.840000000000003</v>
      </c>
      <c r="I2283" t="s">
        <v>1074</v>
      </c>
      <c r="J2283" s="22">
        <f>ROUND(E2283/I2278* H2283,5)</f>
        <v>116.52</v>
      </c>
      <c r="K2283" s="23"/>
    </row>
    <row r="2284" spans="1:27" x14ac:dyDescent="0.2">
      <c r="B2284" t="s">
        <v>1914</v>
      </c>
      <c r="C2284" t="s">
        <v>1070</v>
      </c>
      <c r="D2284" t="s">
        <v>1915</v>
      </c>
      <c r="E2284" s="20">
        <v>4</v>
      </c>
      <c r="F2284" t="s">
        <v>1072</v>
      </c>
      <c r="G2284" t="s">
        <v>1073</v>
      </c>
      <c r="H2284" s="21">
        <v>26.22</v>
      </c>
      <c r="I2284" t="s">
        <v>1074</v>
      </c>
      <c r="J2284" s="22">
        <f>ROUND(E2284/I2278* H2284,5)</f>
        <v>104.88</v>
      </c>
      <c r="K2284" s="23"/>
    </row>
    <row r="2285" spans="1:27" x14ac:dyDescent="0.2">
      <c r="B2285" t="s">
        <v>1569</v>
      </c>
      <c r="C2285" t="s">
        <v>1070</v>
      </c>
      <c r="D2285" t="s">
        <v>1570</v>
      </c>
      <c r="E2285" s="20">
        <v>4</v>
      </c>
      <c r="F2285" t="s">
        <v>1072</v>
      </c>
      <c r="G2285" t="s">
        <v>1073</v>
      </c>
      <c r="H2285" s="21">
        <v>26.12</v>
      </c>
      <c r="I2285" t="s">
        <v>1074</v>
      </c>
      <c r="J2285" s="22">
        <f>ROUND(E2285/I2278* H2285,5)</f>
        <v>104.48</v>
      </c>
      <c r="K2285" s="23"/>
    </row>
    <row r="2286" spans="1:27" x14ac:dyDescent="0.2">
      <c r="B2286" t="s">
        <v>1912</v>
      </c>
      <c r="C2286" t="s">
        <v>1070</v>
      </c>
      <c r="D2286" t="s">
        <v>1913</v>
      </c>
      <c r="E2286" s="20">
        <v>5</v>
      </c>
      <c r="F2286" t="s">
        <v>1072</v>
      </c>
      <c r="G2286" t="s">
        <v>1073</v>
      </c>
      <c r="H2286" s="21">
        <v>29.88</v>
      </c>
      <c r="I2286" t="s">
        <v>1074</v>
      </c>
      <c r="J2286" s="22">
        <f>ROUND(E2286/I2278* H2286,5)</f>
        <v>149.4</v>
      </c>
      <c r="K2286" s="23"/>
    </row>
    <row r="2287" spans="1:27" x14ac:dyDescent="0.2">
      <c r="D2287" s="24" t="s">
        <v>1075</v>
      </c>
      <c r="E2287" s="23"/>
      <c r="H2287" s="23"/>
      <c r="K2287" s="21">
        <f>SUM(J2280:J2286)</f>
        <v>1158.23</v>
      </c>
    </row>
    <row r="2288" spans="1:27" x14ac:dyDescent="0.2">
      <c r="B2288" s="14" t="s">
        <v>1080</v>
      </c>
      <c r="E2288" s="23"/>
      <c r="H2288" s="23"/>
      <c r="K2288" s="23"/>
    </row>
    <row r="2289" spans="1:27" x14ac:dyDescent="0.2">
      <c r="B2289" t="s">
        <v>1924</v>
      </c>
      <c r="C2289" t="s">
        <v>103</v>
      </c>
      <c r="D2289" t="s">
        <v>1925</v>
      </c>
      <c r="E2289" s="20">
        <v>3</v>
      </c>
      <c r="G2289" t="s">
        <v>1073</v>
      </c>
      <c r="H2289" s="21">
        <v>21.3</v>
      </c>
      <c r="I2289" t="s">
        <v>1074</v>
      </c>
      <c r="J2289" s="22">
        <f t="shared" ref="J2289:J2296" si="8">ROUND(E2289* H2289,5)</f>
        <v>63.9</v>
      </c>
      <c r="K2289" s="23"/>
    </row>
    <row r="2290" spans="1:27" x14ac:dyDescent="0.2">
      <c r="B2290" t="s">
        <v>1926</v>
      </c>
      <c r="C2290" t="s">
        <v>23</v>
      </c>
      <c r="D2290" t="s">
        <v>1927</v>
      </c>
      <c r="E2290" s="20">
        <v>1</v>
      </c>
      <c r="G2290" t="s">
        <v>1073</v>
      </c>
      <c r="H2290" s="21">
        <v>69.88</v>
      </c>
      <c r="I2290" t="s">
        <v>1074</v>
      </c>
      <c r="J2290" s="22">
        <f t="shared" si="8"/>
        <v>69.88</v>
      </c>
      <c r="K2290" s="23"/>
    </row>
    <row r="2291" spans="1:27" x14ac:dyDescent="0.2">
      <c r="B2291" t="s">
        <v>1918</v>
      </c>
      <c r="C2291" t="s">
        <v>1210</v>
      </c>
      <c r="D2291" t="s">
        <v>1919</v>
      </c>
      <c r="E2291" s="20">
        <v>1</v>
      </c>
      <c r="G2291" t="s">
        <v>1073</v>
      </c>
      <c r="H2291" s="21">
        <v>16.8</v>
      </c>
      <c r="I2291" t="s">
        <v>1074</v>
      </c>
      <c r="J2291" s="22">
        <f t="shared" si="8"/>
        <v>16.8</v>
      </c>
      <c r="K2291" s="23"/>
    </row>
    <row r="2292" spans="1:27" x14ac:dyDescent="0.2">
      <c r="B2292" t="s">
        <v>1916</v>
      </c>
      <c r="C2292" t="s">
        <v>15</v>
      </c>
      <c r="D2292" t="s">
        <v>1917</v>
      </c>
      <c r="E2292" s="20">
        <v>0.1</v>
      </c>
      <c r="G2292" t="s">
        <v>1073</v>
      </c>
      <c r="H2292" s="21">
        <v>1196.7</v>
      </c>
      <c r="I2292" t="s">
        <v>1074</v>
      </c>
      <c r="J2292" s="22">
        <f t="shared" si="8"/>
        <v>119.67</v>
      </c>
      <c r="K2292" s="23"/>
    </row>
    <row r="2293" spans="1:27" x14ac:dyDescent="0.2">
      <c r="B2293" t="s">
        <v>1928</v>
      </c>
      <c r="C2293" t="s">
        <v>103</v>
      </c>
      <c r="D2293" t="s">
        <v>1929</v>
      </c>
      <c r="E2293" s="20">
        <v>2</v>
      </c>
      <c r="G2293" t="s">
        <v>1073</v>
      </c>
      <c r="H2293" s="21">
        <v>7.55</v>
      </c>
      <c r="I2293" t="s">
        <v>1074</v>
      </c>
      <c r="J2293" s="22">
        <f t="shared" si="8"/>
        <v>15.1</v>
      </c>
      <c r="K2293" s="23"/>
    </row>
    <row r="2294" spans="1:27" x14ac:dyDescent="0.2">
      <c r="B2294" t="s">
        <v>1922</v>
      </c>
      <c r="C2294" t="s">
        <v>103</v>
      </c>
      <c r="D2294" t="s">
        <v>1923</v>
      </c>
      <c r="E2294" s="20">
        <v>2.5</v>
      </c>
      <c r="G2294" t="s">
        <v>1073</v>
      </c>
      <c r="H2294" s="21">
        <v>13.41</v>
      </c>
      <c r="I2294" t="s">
        <v>1074</v>
      </c>
      <c r="J2294" s="22">
        <f t="shared" si="8"/>
        <v>33.524999999999999</v>
      </c>
      <c r="K2294" s="23"/>
    </row>
    <row r="2295" spans="1:27" x14ac:dyDescent="0.2">
      <c r="B2295" t="s">
        <v>1657</v>
      </c>
      <c r="C2295" t="s">
        <v>1210</v>
      </c>
      <c r="D2295" t="s">
        <v>1658</v>
      </c>
      <c r="E2295" s="20">
        <v>3</v>
      </c>
      <c r="G2295" t="s">
        <v>1073</v>
      </c>
      <c r="H2295" s="21">
        <v>6.99</v>
      </c>
      <c r="I2295" t="s">
        <v>1074</v>
      </c>
      <c r="J2295" s="22">
        <f t="shared" si="8"/>
        <v>20.97</v>
      </c>
      <c r="K2295" s="23"/>
    </row>
    <row r="2296" spans="1:27" x14ac:dyDescent="0.2">
      <c r="B2296" t="s">
        <v>1920</v>
      </c>
      <c r="C2296" t="s">
        <v>103</v>
      </c>
      <c r="D2296" t="s">
        <v>1921</v>
      </c>
      <c r="E2296" s="20">
        <v>6</v>
      </c>
      <c r="G2296" t="s">
        <v>1073</v>
      </c>
      <c r="H2296" s="21">
        <v>3.77</v>
      </c>
      <c r="I2296" t="s">
        <v>1074</v>
      </c>
      <c r="J2296" s="22">
        <f t="shared" si="8"/>
        <v>22.62</v>
      </c>
      <c r="K2296" s="23"/>
    </row>
    <row r="2297" spans="1:27" x14ac:dyDescent="0.2">
      <c r="D2297" s="24" t="s">
        <v>1090</v>
      </c>
      <c r="E2297" s="23"/>
      <c r="H2297" s="23"/>
      <c r="K2297" s="21">
        <f>SUM(J2289:J2296)</f>
        <v>362.46500000000003</v>
      </c>
    </row>
    <row r="2298" spans="1:27" x14ac:dyDescent="0.2">
      <c r="E2298" s="23"/>
      <c r="H2298" s="23"/>
      <c r="K2298" s="23"/>
    </row>
    <row r="2299" spans="1:27" x14ac:dyDescent="0.2">
      <c r="D2299" s="24" t="s">
        <v>1092</v>
      </c>
      <c r="E2299" s="23"/>
      <c r="H2299" s="23">
        <v>3</v>
      </c>
      <c r="I2299" t="s">
        <v>1093</v>
      </c>
      <c r="J2299">
        <f>ROUND(H2299/100*K2287,5)</f>
        <v>34.746899999999997</v>
      </c>
      <c r="K2299" s="23"/>
    </row>
    <row r="2300" spans="1:27" x14ac:dyDescent="0.2">
      <c r="D2300" s="24" t="s">
        <v>1091</v>
      </c>
      <c r="E2300" s="23"/>
      <c r="H2300" s="23"/>
      <c r="K2300" s="25">
        <f>SUM(J2279:J2299)</f>
        <v>1555.4419000000003</v>
      </c>
    </row>
    <row r="2301" spans="1:27" x14ac:dyDescent="0.2">
      <c r="D2301" s="24" t="s">
        <v>1142</v>
      </c>
      <c r="E2301" s="23"/>
      <c r="H2301" s="23">
        <v>8</v>
      </c>
      <c r="I2301" t="s">
        <v>1093</v>
      </c>
      <c r="K2301" s="21">
        <f>ROUND(H2301/100*K2300,5)</f>
        <v>124.43535</v>
      </c>
    </row>
    <row r="2302" spans="1:27" x14ac:dyDescent="0.2">
      <c r="D2302" s="24" t="s">
        <v>1094</v>
      </c>
      <c r="E2302" s="23"/>
      <c r="H2302" s="23"/>
      <c r="K2302" s="25">
        <f>SUM(K2300:K2301)</f>
        <v>1679.8772500000002</v>
      </c>
    </row>
    <row r="2304" spans="1:27" ht="45" customHeight="1" x14ac:dyDescent="0.2">
      <c r="A2304" s="17" t="s">
        <v>1961</v>
      </c>
      <c r="B2304" s="17" t="s">
        <v>413</v>
      </c>
      <c r="C2304" s="1" t="s">
        <v>23</v>
      </c>
      <c r="D2304" s="96" t="s">
        <v>414</v>
      </c>
      <c r="E2304" s="97"/>
      <c r="F2304" s="97"/>
      <c r="G2304" s="1"/>
      <c r="H2304" s="18" t="s">
        <v>1066</v>
      </c>
      <c r="I2304" s="98">
        <v>1</v>
      </c>
      <c r="J2304" s="99"/>
      <c r="K2304" s="19">
        <f>ROUND(K2315,2)</f>
        <v>3640.42</v>
      </c>
      <c r="L2304" s="2" t="s">
        <v>1943</v>
      </c>
      <c r="M2304" s="1"/>
      <c r="N2304" s="1"/>
      <c r="O2304" s="1"/>
      <c r="P2304" s="1"/>
      <c r="Q2304" s="1"/>
      <c r="R2304" s="1"/>
      <c r="S2304" s="1"/>
      <c r="T2304" s="1"/>
      <c r="U2304" s="1"/>
      <c r="V2304" s="1"/>
      <c r="W2304" s="1"/>
      <c r="X2304" s="1"/>
      <c r="Y2304" s="1"/>
      <c r="Z2304" s="1"/>
      <c r="AA2304" s="1"/>
    </row>
    <row r="2305" spans="1:27" x14ac:dyDescent="0.2">
      <c r="B2305" s="14" t="s">
        <v>1068</v>
      </c>
    </row>
    <row r="2306" spans="1:27" x14ac:dyDescent="0.2">
      <c r="B2306" t="s">
        <v>1912</v>
      </c>
      <c r="C2306" t="s">
        <v>1070</v>
      </c>
      <c r="D2306" t="s">
        <v>1913</v>
      </c>
      <c r="E2306" s="20">
        <v>6</v>
      </c>
      <c r="F2306" t="s">
        <v>1072</v>
      </c>
      <c r="G2306" t="s">
        <v>1073</v>
      </c>
      <c r="H2306" s="21">
        <v>29.88</v>
      </c>
      <c r="I2306" t="s">
        <v>1074</v>
      </c>
      <c r="J2306" s="22">
        <f>ROUND(E2306/I2304* H2306,5)</f>
        <v>179.28</v>
      </c>
      <c r="K2306" s="23"/>
    </row>
    <row r="2307" spans="1:27" x14ac:dyDescent="0.2">
      <c r="D2307" s="24" t="s">
        <v>1075</v>
      </c>
      <c r="E2307" s="23"/>
      <c r="H2307" s="23"/>
      <c r="K2307" s="21">
        <f>SUM(J2306:J2306)</f>
        <v>179.28</v>
      </c>
    </row>
    <row r="2308" spans="1:27" x14ac:dyDescent="0.2">
      <c r="B2308" s="14" t="s">
        <v>1080</v>
      </c>
      <c r="E2308" s="23"/>
      <c r="H2308" s="23"/>
      <c r="K2308" s="23"/>
    </row>
    <row r="2309" spans="1:27" ht="409.6" x14ac:dyDescent="0.2">
      <c r="B2309" t="s">
        <v>1944</v>
      </c>
      <c r="C2309" t="s">
        <v>23</v>
      </c>
      <c r="D2309" s="26" t="s">
        <v>414</v>
      </c>
      <c r="E2309" s="20">
        <v>1</v>
      </c>
      <c r="G2309" t="s">
        <v>1073</v>
      </c>
      <c r="H2309" s="21">
        <v>3187</v>
      </c>
      <c r="I2309" t="s">
        <v>1074</v>
      </c>
      <c r="J2309" s="22">
        <f>ROUND(E2309* H2309,5)</f>
        <v>3187</v>
      </c>
      <c r="K2309" s="23"/>
    </row>
    <row r="2310" spans="1:27" x14ac:dyDescent="0.2">
      <c r="D2310" s="24" t="s">
        <v>1090</v>
      </c>
      <c r="E2310" s="23"/>
      <c r="H2310" s="23"/>
      <c r="K2310" s="21">
        <f>SUM(J2309:J2309)</f>
        <v>3187</v>
      </c>
    </row>
    <row r="2311" spans="1:27" x14ac:dyDescent="0.2">
      <c r="E2311" s="23"/>
      <c r="H2311" s="23"/>
      <c r="K2311" s="23"/>
    </row>
    <row r="2312" spans="1:27" x14ac:dyDescent="0.2">
      <c r="D2312" s="24" t="s">
        <v>1092</v>
      </c>
      <c r="E2312" s="23"/>
      <c r="H2312" s="23">
        <v>2.5</v>
      </c>
      <c r="I2312" t="s">
        <v>1093</v>
      </c>
      <c r="J2312">
        <f>ROUND(H2312/100*K2307,5)</f>
        <v>4.4820000000000002</v>
      </c>
      <c r="K2312" s="23"/>
    </row>
    <row r="2313" spans="1:27" x14ac:dyDescent="0.2">
      <c r="D2313" s="24" t="s">
        <v>1091</v>
      </c>
      <c r="E2313" s="23"/>
      <c r="H2313" s="23"/>
      <c r="K2313" s="25">
        <f>SUM(J2305:J2312)</f>
        <v>3370.7620000000002</v>
      </c>
    </row>
    <row r="2314" spans="1:27" x14ac:dyDescent="0.2">
      <c r="D2314" s="24" t="s">
        <v>1142</v>
      </c>
      <c r="E2314" s="23"/>
      <c r="H2314" s="23">
        <v>8</v>
      </c>
      <c r="I2314" t="s">
        <v>1093</v>
      </c>
      <c r="K2314" s="21">
        <f>ROUND(H2314/100*K2313,5)</f>
        <v>269.66095999999999</v>
      </c>
    </row>
    <row r="2315" spans="1:27" x14ac:dyDescent="0.2">
      <c r="D2315" s="24" t="s">
        <v>1094</v>
      </c>
      <c r="E2315" s="23"/>
      <c r="H2315" s="23"/>
      <c r="K2315" s="25">
        <f>SUM(K2313:K2314)</f>
        <v>3640.4229600000003</v>
      </c>
    </row>
    <row r="2317" spans="1:27" ht="45" customHeight="1" x14ac:dyDescent="0.2">
      <c r="A2317" s="17" t="s">
        <v>1962</v>
      </c>
      <c r="B2317" s="17" t="s">
        <v>478</v>
      </c>
      <c r="C2317" s="1" t="s">
        <v>23</v>
      </c>
      <c r="D2317" s="96" t="s">
        <v>479</v>
      </c>
      <c r="E2317" s="97"/>
      <c r="F2317" s="97"/>
      <c r="G2317" s="1"/>
      <c r="H2317" s="18" t="s">
        <v>1066</v>
      </c>
      <c r="I2317" s="98">
        <v>1</v>
      </c>
      <c r="J2317" s="99"/>
      <c r="K2317" s="19">
        <f>ROUND(K2328,2)</f>
        <v>3134.71</v>
      </c>
      <c r="L2317" s="2" t="s">
        <v>1946</v>
      </c>
      <c r="M2317" s="1"/>
      <c r="N2317" s="1"/>
      <c r="O2317" s="1"/>
      <c r="P2317" s="1"/>
      <c r="Q2317" s="1"/>
      <c r="R2317" s="1"/>
      <c r="S2317" s="1"/>
      <c r="T2317" s="1"/>
      <c r="U2317" s="1"/>
      <c r="V2317" s="1"/>
      <c r="W2317" s="1"/>
      <c r="X2317" s="1"/>
      <c r="Y2317" s="1"/>
      <c r="Z2317" s="1"/>
      <c r="AA2317" s="1"/>
    </row>
    <row r="2318" spans="1:27" x14ac:dyDescent="0.2">
      <c r="B2318" s="14" t="s">
        <v>1068</v>
      </c>
    </row>
    <row r="2319" spans="1:27" x14ac:dyDescent="0.2">
      <c r="B2319" t="s">
        <v>1912</v>
      </c>
      <c r="C2319" t="s">
        <v>1070</v>
      </c>
      <c r="D2319" t="s">
        <v>1913</v>
      </c>
      <c r="E2319" s="20">
        <v>4</v>
      </c>
      <c r="F2319" t="s">
        <v>1072</v>
      </c>
      <c r="G2319" t="s">
        <v>1073</v>
      </c>
      <c r="H2319" s="21">
        <v>29.88</v>
      </c>
      <c r="I2319" t="s">
        <v>1074</v>
      </c>
      <c r="J2319" s="22">
        <f>ROUND(E2319/I2317* H2319,5)</f>
        <v>119.52</v>
      </c>
      <c r="K2319" s="23"/>
    </row>
    <row r="2320" spans="1:27" x14ac:dyDescent="0.2">
      <c r="D2320" s="24" t="s">
        <v>1075</v>
      </c>
      <c r="E2320" s="23"/>
      <c r="H2320" s="23"/>
      <c r="K2320" s="21">
        <f>SUM(J2319:J2319)</f>
        <v>119.52</v>
      </c>
    </row>
    <row r="2321" spans="1:27" x14ac:dyDescent="0.2">
      <c r="B2321" s="14" t="s">
        <v>1080</v>
      </c>
      <c r="E2321" s="23"/>
      <c r="H2321" s="23"/>
      <c r="K2321" s="23"/>
    </row>
    <row r="2322" spans="1:27" ht="409.6" x14ac:dyDescent="0.2">
      <c r="B2322" t="s">
        <v>1947</v>
      </c>
      <c r="C2322" t="s">
        <v>23</v>
      </c>
      <c r="D2322" s="26" t="s">
        <v>479</v>
      </c>
      <c r="E2322" s="20">
        <v>1</v>
      </c>
      <c r="G2322" t="s">
        <v>1073</v>
      </c>
      <c r="H2322" s="21">
        <v>2780</v>
      </c>
      <c r="I2322" t="s">
        <v>1074</v>
      </c>
      <c r="J2322" s="22">
        <f>ROUND(E2322* H2322,5)</f>
        <v>2780</v>
      </c>
      <c r="K2322" s="23"/>
    </row>
    <row r="2323" spans="1:27" x14ac:dyDescent="0.2">
      <c r="D2323" s="24" t="s">
        <v>1090</v>
      </c>
      <c r="E2323" s="23"/>
      <c r="H2323" s="23"/>
      <c r="K2323" s="21">
        <f>SUM(J2322:J2322)</f>
        <v>2780</v>
      </c>
    </row>
    <row r="2324" spans="1:27" x14ac:dyDescent="0.2">
      <c r="E2324" s="23"/>
      <c r="H2324" s="23"/>
      <c r="K2324" s="23"/>
    </row>
    <row r="2325" spans="1:27" x14ac:dyDescent="0.2">
      <c r="D2325" s="24" t="s">
        <v>1092</v>
      </c>
      <c r="E2325" s="23"/>
      <c r="H2325" s="23">
        <v>2.5</v>
      </c>
      <c r="I2325" t="s">
        <v>1093</v>
      </c>
      <c r="J2325">
        <f>ROUND(H2325/100*K2320,5)</f>
        <v>2.988</v>
      </c>
      <c r="K2325" s="23"/>
    </row>
    <row r="2326" spans="1:27" x14ac:dyDescent="0.2">
      <c r="D2326" s="24" t="s">
        <v>1091</v>
      </c>
      <c r="E2326" s="23"/>
      <c r="H2326" s="23"/>
      <c r="K2326" s="25">
        <f>SUM(J2318:J2325)</f>
        <v>2902.5079999999998</v>
      </c>
    </row>
    <row r="2327" spans="1:27" x14ac:dyDescent="0.2">
      <c r="D2327" s="24" t="s">
        <v>1142</v>
      </c>
      <c r="E2327" s="23"/>
      <c r="H2327" s="23">
        <v>8</v>
      </c>
      <c r="I2327" t="s">
        <v>1093</v>
      </c>
      <c r="K2327" s="21">
        <f>ROUND(H2327/100*K2326,5)</f>
        <v>232.20063999999999</v>
      </c>
    </row>
    <row r="2328" spans="1:27" x14ac:dyDescent="0.2">
      <c r="D2328" s="24" t="s">
        <v>1094</v>
      </c>
      <c r="E2328" s="23"/>
      <c r="H2328" s="23"/>
      <c r="K2328" s="25">
        <f>SUM(K2326:K2327)</f>
        <v>3134.7086399999998</v>
      </c>
    </row>
    <row r="2330" spans="1:27" ht="45" customHeight="1" x14ac:dyDescent="0.2">
      <c r="A2330" s="17" t="s">
        <v>1966</v>
      </c>
      <c r="B2330" s="17" t="s">
        <v>480</v>
      </c>
      <c r="C2330" s="1" t="s">
        <v>23</v>
      </c>
      <c r="D2330" s="96" t="s">
        <v>481</v>
      </c>
      <c r="E2330" s="97"/>
      <c r="F2330" s="97"/>
      <c r="G2330" s="1"/>
      <c r="H2330" s="18" t="s">
        <v>1066</v>
      </c>
      <c r="I2330" s="98">
        <v>1</v>
      </c>
      <c r="J2330" s="99"/>
      <c r="K2330" s="19">
        <f>ROUND(K2341,2)</f>
        <v>2358.59</v>
      </c>
      <c r="L2330" s="2" t="s">
        <v>1949</v>
      </c>
      <c r="M2330" s="1"/>
      <c r="N2330" s="1"/>
      <c r="O2330" s="1"/>
      <c r="P2330" s="1"/>
      <c r="Q2330" s="1"/>
      <c r="R2330" s="1"/>
      <c r="S2330" s="1"/>
      <c r="T2330" s="1"/>
      <c r="U2330" s="1"/>
      <c r="V2330" s="1"/>
      <c r="W2330" s="1"/>
      <c r="X2330" s="1"/>
      <c r="Y2330" s="1"/>
      <c r="Z2330" s="1"/>
      <c r="AA2330" s="1"/>
    </row>
    <row r="2331" spans="1:27" x14ac:dyDescent="0.2">
      <c r="B2331" s="14" t="s">
        <v>1068</v>
      </c>
    </row>
    <row r="2332" spans="1:27" x14ac:dyDescent="0.2">
      <c r="B2332" t="s">
        <v>1912</v>
      </c>
      <c r="C2332" t="s">
        <v>1070</v>
      </c>
      <c r="D2332" t="s">
        <v>1913</v>
      </c>
      <c r="E2332" s="20">
        <v>3</v>
      </c>
      <c r="F2332" t="s">
        <v>1072</v>
      </c>
      <c r="G2332" t="s">
        <v>1073</v>
      </c>
      <c r="H2332" s="21">
        <v>29.88</v>
      </c>
      <c r="I2332" t="s">
        <v>1074</v>
      </c>
      <c r="J2332" s="22">
        <f>ROUND(E2332/I2330* H2332,5)</f>
        <v>89.64</v>
      </c>
      <c r="K2332" s="23"/>
    </row>
    <row r="2333" spans="1:27" x14ac:dyDescent="0.2">
      <c r="D2333" s="24" t="s">
        <v>1075</v>
      </c>
      <c r="E2333" s="23"/>
      <c r="H2333" s="23"/>
      <c r="K2333" s="21">
        <f>SUM(J2332:J2332)</f>
        <v>89.64</v>
      </c>
    </row>
    <row r="2334" spans="1:27" x14ac:dyDescent="0.2">
      <c r="B2334" s="14" t="s">
        <v>1080</v>
      </c>
      <c r="E2334" s="23"/>
      <c r="H2334" s="23"/>
      <c r="K2334" s="23"/>
    </row>
    <row r="2335" spans="1:27" ht="409.6" x14ac:dyDescent="0.2">
      <c r="B2335" t="s">
        <v>1950</v>
      </c>
      <c r="C2335" t="s">
        <v>23</v>
      </c>
      <c r="D2335" s="26" t="s">
        <v>481</v>
      </c>
      <c r="E2335" s="20">
        <v>1</v>
      </c>
      <c r="G2335" t="s">
        <v>1073</v>
      </c>
      <c r="H2335" s="21">
        <v>2092</v>
      </c>
      <c r="I2335" t="s">
        <v>1074</v>
      </c>
      <c r="J2335" s="22">
        <f>ROUND(E2335* H2335,5)</f>
        <v>2092</v>
      </c>
      <c r="K2335" s="23"/>
    </row>
    <row r="2336" spans="1:27" x14ac:dyDescent="0.2">
      <c r="D2336" s="24" t="s">
        <v>1090</v>
      </c>
      <c r="E2336" s="23"/>
      <c r="H2336" s="23"/>
      <c r="K2336" s="21">
        <f>SUM(J2335:J2335)</f>
        <v>2092</v>
      </c>
    </row>
    <row r="2337" spans="1:27" x14ac:dyDescent="0.2">
      <c r="E2337" s="23"/>
      <c r="H2337" s="23"/>
      <c r="K2337" s="23"/>
    </row>
    <row r="2338" spans="1:27" x14ac:dyDescent="0.2">
      <c r="D2338" s="24" t="s">
        <v>1092</v>
      </c>
      <c r="E2338" s="23"/>
      <c r="H2338" s="23">
        <v>2.5</v>
      </c>
      <c r="I2338" t="s">
        <v>1093</v>
      </c>
      <c r="J2338">
        <f>ROUND(H2338/100*K2333,5)</f>
        <v>2.2410000000000001</v>
      </c>
      <c r="K2338" s="23"/>
    </row>
    <row r="2339" spans="1:27" x14ac:dyDescent="0.2">
      <c r="D2339" s="24" t="s">
        <v>1091</v>
      </c>
      <c r="E2339" s="23"/>
      <c r="H2339" s="23"/>
      <c r="K2339" s="25">
        <f>SUM(J2331:J2338)</f>
        <v>2183.8809999999999</v>
      </c>
    </row>
    <row r="2340" spans="1:27" x14ac:dyDescent="0.2">
      <c r="D2340" s="24" t="s">
        <v>1142</v>
      </c>
      <c r="E2340" s="23"/>
      <c r="H2340" s="23">
        <v>8</v>
      </c>
      <c r="I2340" t="s">
        <v>1093</v>
      </c>
      <c r="K2340" s="21">
        <f>ROUND(H2340/100*K2339,5)</f>
        <v>174.71047999999999</v>
      </c>
    </row>
    <row r="2341" spans="1:27" x14ac:dyDescent="0.2">
      <c r="D2341" s="24" t="s">
        <v>1094</v>
      </c>
      <c r="E2341" s="23"/>
      <c r="H2341" s="23"/>
      <c r="K2341" s="25">
        <f>SUM(K2339:K2340)</f>
        <v>2358.59148</v>
      </c>
    </row>
    <row r="2343" spans="1:27" ht="45" customHeight="1" x14ac:dyDescent="0.2">
      <c r="A2343" s="17" t="s">
        <v>1970</v>
      </c>
      <c r="B2343" s="17" t="s">
        <v>482</v>
      </c>
      <c r="C2343" s="1" t="s">
        <v>23</v>
      </c>
      <c r="D2343" s="96" t="s">
        <v>483</v>
      </c>
      <c r="E2343" s="97"/>
      <c r="F2343" s="97"/>
      <c r="G2343" s="1"/>
      <c r="H2343" s="18" t="s">
        <v>1066</v>
      </c>
      <c r="I2343" s="98">
        <v>1</v>
      </c>
      <c r="J2343" s="99"/>
      <c r="K2343" s="19">
        <f>ROUND(K2354,2)</f>
        <v>2358.59</v>
      </c>
      <c r="L2343" s="2" t="s">
        <v>1952</v>
      </c>
      <c r="M2343" s="1"/>
      <c r="N2343" s="1"/>
      <c r="O2343" s="1"/>
      <c r="P2343" s="1"/>
      <c r="Q2343" s="1"/>
      <c r="R2343" s="1"/>
      <c r="S2343" s="1"/>
      <c r="T2343" s="1"/>
      <c r="U2343" s="1"/>
      <c r="V2343" s="1"/>
      <c r="W2343" s="1"/>
      <c r="X2343" s="1"/>
      <c r="Y2343" s="1"/>
      <c r="Z2343" s="1"/>
      <c r="AA2343" s="1"/>
    </row>
    <row r="2344" spans="1:27" x14ac:dyDescent="0.2">
      <c r="B2344" s="14" t="s">
        <v>1068</v>
      </c>
    </row>
    <row r="2345" spans="1:27" x14ac:dyDescent="0.2">
      <c r="B2345" t="s">
        <v>1912</v>
      </c>
      <c r="C2345" t="s">
        <v>1070</v>
      </c>
      <c r="D2345" t="s">
        <v>1913</v>
      </c>
      <c r="E2345" s="20">
        <v>3</v>
      </c>
      <c r="F2345" t="s">
        <v>1072</v>
      </c>
      <c r="G2345" t="s">
        <v>1073</v>
      </c>
      <c r="H2345" s="21">
        <v>29.88</v>
      </c>
      <c r="I2345" t="s">
        <v>1074</v>
      </c>
      <c r="J2345" s="22">
        <f>ROUND(E2345/I2343* H2345,5)</f>
        <v>89.64</v>
      </c>
      <c r="K2345" s="23"/>
    </row>
    <row r="2346" spans="1:27" x14ac:dyDescent="0.2">
      <c r="D2346" s="24" t="s">
        <v>1075</v>
      </c>
      <c r="E2346" s="23"/>
      <c r="H2346" s="23"/>
      <c r="K2346" s="21">
        <f>SUM(J2345:J2345)</f>
        <v>89.64</v>
      </c>
    </row>
    <row r="2347" spans="1:27" x14ac:dyDescent="0.2">
      <c r="B2347" s="14" t="s">
        <v>1080</v>
      </c>
      <c r="E2347" s="23"/>
      <c r="H2347" s="23"/>
      <c r="K2347" s="23"/>
    </row>
    <row r="2348" spans="1:27" ht="409.6" x14ac:dyDescent="0.2">
      <c r="B2348" t="s">
        <v>1953</v>
      </c>
      <c r="C2348" t="s">
        <v>23</v>
      </c>
      <c r="D2348" s="26" t="s">
        <v>483</v>
      </c>
      <c r="E2348" s="20">
        <v>1</v>
      </c>
      <c r="G2348" t="s">
        <v>1073</v>
      </c>
      <c r="H2348" s="21">
        <v>2092</v>
      </c>
      <c r="I2348" t="s">
        <v>1074</v>
      </c>
      <c r="J2348" s="22">
        <f>ROUND(E2348* H2348,5)</f>
        <v>2092</v>
      </c>
      <c r="K2348" s="23"/>
    </row>
    <row r="2349" spans="1:27" x14ac:dyDescent="0.2">
      <c r="D2349" s="24" t="s">
        <v>1090</v>
      </c>
      <c r="E2349" s="23"/>
      <c r="H2349" s="23"/>
      <c r="K2349" s="21">
        <f>SUM(J2348:J2348)</f>
        <v>2092</v>
      </c>
    </row>
    <row r="2350" spans="1:27" x14ac:dyDescent="0.2">
      <c r="E2350" s="23"/>
      <c r="H2350" s="23"/>
      <c r="K2350" s="23"/>
    </row>
    <row r="2351" spans="1:27" x14ac:dyDescent="0.2">
      <c r="D2351" s="24" t="s">
        <v>1092</v>
      </c>
      <c r="E2351" s="23"/>
      <c r="H2351" s="23">
        <v>2.5</v>
      </c>
      <c r="I2351" t="s">
        <v>1093</v>
      </c>
      <c r="J2351">
        <f>ROUND(H2351/100*K2346,5)</f>
        <v>2.2410000000000001</v>
      </c>
      <c r="K2351" s="23"/>
    </row>
    <row r="2352" spans="1:27" x14ac:dyDescent="0.2">
      <c r="D2352" s="24" t="s">
        <v>1091</v>
      </c>
      <c r="E2352" s="23"/>
      <c r="H2352" s="23"/>
      <c r="K2352" s="25">
        <f>SUM(J2344:J2351)</f>
        <v>2183.8809999999999</v>
      </c>
    </row>
    <row r="2353" spans="1:27" x14ac:dyDescent="0.2">
      <c r="D2353" s="24" t="s">
        <v>1142</v>
      </c>
      <c r="E2353" s="23"/>
      <c r="H2353" s="23">
        <v>8</v>
      </c>
      <c r="I2353" t="s">
        <v>1093</v>
      </c>
      <c r="K2353" s="21">
        <f>ROUND(H2353/100*K2352,5)</f>
        <v>174.71047999999999</v>
      </c>
    </row>
    <row r="2354" spans="1:27" x14ac:dyDescent="0.2">
      <c r="D2354" s="24" t="s">
        <v>1094</v>
      </c>
      <c r="E2354" s="23"/>
      <c r="H2354" s="23"/>
      <c r="K2354" s="25">
        <f>SUM(K2352:K2353)</f>
        <v>2358.59148</v>
      </c>
    </row>
    <row r="2356" spans="1:27" ht="45" customHeight="1" x14ac:dyDescent="0.2">
      <c r="A2356" s="17" t="s">
        <v>1974</v>
      </c>
      <c r="B2356" s="17" t="s">
        <v>484</v>
      </c>
      <c r="C2356" s="1" t="s">
        <v>23</v>
      </c>
      <c r="D2356" s="96" t="s">
        <v>485</v>
      </c>
      <c r="E2356" s="97"/>
      <c r="F2356" s="97"/>
      <c r="G2356" s="1"/>
      <c r="H2356" s="18" t="s">
        <v>1066</v>
      </c>
      <c r="I2356" s="98">
        <v>1</v>
      </c>
      <c r="J2356" s="99"/>
      <c r="K2356" s="19">
        <f>ROUND(K2367,2)</f>
        <v>2358.59</v>
      </c>
      <c r="L2356" s="2" t="s">
        <v>1955</v>
      </c>
      <c r="M2356" s="1"/>
      <c r="N2356" s="1"/>
      <c r="O2356" s="1"/>
      <c r="P2356" s="1"/>
      <c r="Q2356" s="1"/>
      <c r="R2356" s="1"/>
      <c r="S2356" s="1"/>
      <c r="T2356" s="1"/>
      <c r="U2356" s="1"/>
      <c r="V2356" s="1"/>
      <c r="W2356" s="1"/>
      <c r="X2356" s="1"/>
      <c r="Y2356" s="1"/>
      <c r="Z2356" s="1"/>
      <c r="AA2356" s="1"/>
    </row>
    <row r="2357" spans="1:27" x14ac:dyDescent="0.2">
      <c r="B2357" s="14" t="s">
        <v>1068</v>
      </c>
    </row>
    <row r="2358" spans="1:27" x14ac:dyDescent="0.2">
      <c r="B2358" t="s">
        <v>1912</v>
      </c>
      <c r="C2358" t="s">
        <v>1070</v>
      </c>
      <c r="D2358" t="s">
        <v>1913</v>
      </c>
      <c r="E2358" s="20">
        <v>3</v>
      </c>
      <c r="F2358" t="s">
        <v>1072</v>
      </c>
      <c r="G2358" t="s">
        <v>1073</v>
      </c>
      <c r="H2358" s="21">
        <v>29.88</v>
      </c>
      <c r="I2358" t="s">
        <v>1074</v>
      </c>
      <c r="J2358" s="22">
        <f>ROUND(E2358/I2356* H2358,5)</f>
        <v>89.64</v>
      </c>
      <c r="K2358" s="23"/>
    </row>
    <row r="2359" spans="1:27" x14ac:dyDescent="0.2">
      <c r="D2359" s="24" t="s">
        <v>1075</v>
      </c>
      <c r="E2359" s="23"/>
      <c r="H2359" s="23"/>
      <c r="K2359" s="21">
        <f>SUM(J2358:J2358)</f>
        <v>89.64</v>
      </c>
    </row>
    <row r="2360" spans="1:27" x14ac:dyDescent="0.2">
      <c r="B2360" s="14" t="s">
        <v>1080</v>
      </c>
      <c r="E2360" s="23"/>
      <c r="H2360" s="23"/>
      <c r="K2360" s="23"/>
    </row>
    <row r="2361" spans="1:27" ht="409.6" x14ac:dyDescent="0.2">
      <c r="B2361" t="s">
        <v>1956</v>
      </c>
      <c r="C2361" t="s">
        <v>23</v>
      </c>
      <c r="D2361" s="26" t="s">
        <v>485</v>
      </c>
      <c r="E2361" s="20">
        <v>1</v>
      </c>
      <c r="G2361" t="s">
        <v>1073</v>
      </c>
      <c r="H2361" s="21">
        <v>2092</v>
      </c>
      <c r="I2361" t="s">
        <v>1074</v>
      </c>
      <c r="J2361" s="22">
        <f>ROUND(E2361* H2361,5)</f>
        <v>2092</v>
      </c>
      <c r="K2361" s="23"/>
    </row>
    <row r="2362" spans="1:27" x14ac:dyDescent="0.2">
      <c r="D2362" s="24" t="s">
        <v>1090</v>
      </c>
      <c r="E2362" s="23"/>
      <c r="H2362" s="23"/>
      <c r="K2362" s="21">
        <f>SUM(J2361:J2361)</f>
        <v>2092</v>
      </c>
    </row>
    <row r="2363" spans="1:27" x14ac:dyDescent="0.2">
      <c r="E2363" s="23"/>
      <c r="H2363" s="23"/>
      <c r="K2363" s="23"/>
    </row>
    <row r="2364" spans="1:27" x14ac:dyDescent="0.2">
      <c r="D2364" s="24" t="s">
        <v>1092</v>
      </c>
      <c r="E2364" s="23"/>
      <c r="H2364" s="23">
        <v>2.5</v>
      </c>
      <c r="I2364" t="s">
        <v>1093</v>
      </c>
      <c r="J2364">
        <f>ROUND(H2364/100*K2359,5)</f>
        <v>2.2410000000000001</v>
      </c>
      <c r="K2364" s="23"/>
    </row>
    <row r="2365" spans="1:27" x14ac:dyDescent="0.2">
      <c r="D2365" s="24" t="s">
        <v>1091</v>
      </c>
      <c r="E2365" s="23"/>
      <c r="H2365" s="23"/>
      <c r="K2365" s="25">
        <f>SUM(J2357:J2364)</f>
        <v>2183.8809999999999</v>
      </c>
    </row>
    <row r="2366" spans="1:27" x14ac:dyDescent="0.2">
      <c r="D2366" s="24" t="s">
        <v>1142</v>
      </c>
      <c r="E2366" s="23"/>
      <c r="H2366" s="23">
        <v>8</v>
      </c>
      <c r="I2366" t="s">
        <v>1093</v>
      </c>
      <c r="K2366" s="21">
        <f>ROUND(H2366/100*K2365,5)</f>
        <v>174.71047999999999</v>
      </c>
    </row>
    <row r="2367" spans="1:27" x14ac:dyDescent="0.2">
      <c r="D2367" s="24" t="s">
        <v>1094</v>
      </c>
      <c r="E2367" s="23"/>
      <c r="H2367" s="23"/>
      <c r="K2367" s="25">
        <f>SUM(K2365:K2366)</f>
        <v>2358.59148</v>
      </c>
    </row>
    <row r="2369" spans="1:27" ht="45" customHeight="1" x14ac:dyDescent="0.2">
      <c r="A2369" s="17" t="s">
        <v>1978</v>
      </c>
      <c r="B2369" s="17" t="s">
        <v>486</v>
      </c>
      <c r="C2369" s="1" t="s">
        <v>23</v>
      </c>
      <c r="D2369" s="96" t="s">
        <v>487</v>
      </c>
      <c r="E2369" s="97"/>
      <c r="F2369" s="97"/>
      <c r="G2369" s="1"/>
      <c r="H2369" s="18" t="s">
        <v>1066</v>
      </c>
      <c r="I2369" s="98">
        <v>1</v>
      </c>
      <c r="J2369" s="99"/>
      <c r="K2369" s="19">
        <f>ROUND(K2380,2)</f>
        <v>2358.59</v>
      </c>
      <c r="L2369" s="2" t="s">
        <v>1958</v>
      </c>
      <c r="M2369" s="1"/>
      <c r="N2369" s="1"/>
      <c r="O2369" s="1"/>
      <c r="P2369" s="1"/>
      <c r="Q2369" s="1"/>
      <c r="R2369" s="1"/>
      <c r="S2369" s="1"/>
      <c r="T2369" s="1"/>
      <c r="U2369" s="1"/>
      <c r="V2369" s="1"/>
      <c r="W2369" s="1"/>
      <c r="X2369" s="1"/>
      <c r="Y2369" s="1"/>
      <c r="Z2369" s="1"/>
      <c r="AA2369" s="1"/>
    </row>
    <row r="2370" spans="1:27" x14ac:dyDescent="0.2">
      <c r="B2370" s="14" t="s">
        <v>1068</v>
      </c>
    </row>
    <row r="2371" spans="1:27" x14ac:dyDescent="0.2">
      <c r="B2371" t="s">
        <v>1912</v>
      </c>
      <c r="C2371" t="s">
        <v>1070</v>
      </c>
      <c r="D2371" t="s">
        <v>1913</v>
      </c>
      <c r="E2371" s="20">
        <v>3</v>
      </c>
      <c r="F2371" t="s">
        <v>1072</v>
      </c>
      <c r="G2371" t="s">
        <v>1073</v>
      </c>
      <c r="H2371" s="21">
        <v>29.88</v>
      </c>
      <c r="I2371" t="s">
        <v>1074</v>
      </c>
      <c r="J2371" s="22">
        <f>ROUND(E2371/I2369* H2371,5)</f>
        <v>89.64</v>
      </c>
      <c r="K2371" s="23"/>
    </row>
    <row r="2372" spans="1:27" x14ac:dyDescent="0.2">
      <c r="D2372" s="24" t="s">
        <v>1075</v>
      </c>
      <c r="E2372" s="23"/>
      <c r="H2372" s="23"/>
      <c r="K2372" s="21">
        <f>SUM(J2371:J2371)</f>
        <v>89.64</v>
      </c>
    </row>
    <row r="2373" spans="1:27" x14ac:dyDescent="0.2">
      <c r="B2373" s="14" t="s">
        <v>1080</v>
      </c>
      <c r="E2373" s="23"/>
      <c r="H2373" s="23"/>
      <c r="K2373" s="23"/>
    </row>
    <row r="2374" spans="1:27" ht="409.6" x14ac:dyDescent="0.2">
      <c r="B2374" t="s">
        <v>1959</v>
      </c>
      <c r="C2374" t="s">
        <v>23</v>
      </c>
      <c r="D2374" s="26" t="s">
        <v>487</v>
      </c>
      <c r="E2374" s="20">
        <v>1</v>
      </c>
      <c r="G2374" t="s">
        <v>1073</v>
      </c>
      <c r="H2374" s="21">
        <v>2092</v>
      </c>
      <c r="I2374" t="s">
        <v>1074</v>
      </c>
      <c r="J2374" s="22">
        <f>ROUND(E2374* H2374,5)</f>
        <v>2092</v>
      </c>
      <c r="K2374" s="23"/>
    </row>
    <row r="2375" spans="1:27" x14ac:dyDescent="0.2">
      <c r="D2375" s="24" t="s">
        <v>1090</v>
      </c>
      <c r="E2375" s="23"/>
      <c r="H2375" s="23"/>
      <c r="K2375" s="21">
        <f>SUM(J2374:J2374)</f>
        <v>2092</v>
      </c>
    </row>
    <row r="2376" spans="1:27" x14ac:dyDescent="0.2">
      <c r="E2376" s="23"/>
      <c r="H2376" s="23"/>
      <c r="K2376" s="23"/>
    </row>
    <row r="2377" spans="1:27" x14ac:dyDescent="0.2">
      <c r="D2377" s="24" t="s">
        <v>1092</v>
      </c>
      <c r="E2377" s="23"/>
      <c r="H2377" s="23">
        <v>2.5</v>
      </c>
      <c r="I2377" t="s">
        <v>1093</v>
      </c>
      <c r="J2377">
        <f>ROUND(H2377/100*K2372,5)</f>
        <v>2.2410000000000001</v>
      </c>
      <c r="K2377" s="23"/>
    </row>
    <row r="2378" spans="1:27" x14ac:dyDescent="0.2">
      <c r="D2378" s="24" t="s">
        <v>1091</v>
      </c>
      <c r="E2378" s="23"/>
      <c r="H2378" s="23"/>
      <c r="K2378" s="25">
        <f>SUM(J2370:J2377)</f>
        <v>2183.8809999999999</v>
      </c>
    </row>
    <row r="2379" spans="1:27" x14ac:dyDescent="0.2">
      <c r="D2379" s="24" t="s">
        <v>1142</v>
      </c>
      <c r="E2379" s="23"/>
      <c r="H2379" s="23">
        <v>8</v>
      </c>
      <c r="I2379" t="s">
        <v>1093</v>
      </c>
      <c r="K2379" s="21">
        <f>ROUND(H2379/100*K2378,5)</f>
        <v>174.71047999999999</v>
      </c>
    </row>
    <row r="2380" spans="1:27" x14ac:dyDescent="0.2">
      <c r="D2380" s="24" t="s">
        <v>1094</v>
      </c>
      <c r="E2380" s="23"/>
      <c r="H2380" s="23"/>
      <c r="K2380" s="25">
        <f>SUM(K2378:K2379)</f>
        <v>2358.59148</v>
      </c>
    </row>
    <row r="2382" spans="1:27" ht="45" customHeight="1" x14ac:dyDescent="0.2">
      <c r="A2382" s="17" t="s">
        <v>1981</v>
      </c>
      <c r="B2382" s="17" t="s">
        <v>488</v>
      </c>
      <c r="C2382" s="1" t="s">
        <v>23</v>
      </c>
      <c r="D2382" s="96" t="s">
        <v>489</v>
      </c>
      <c r="E2382" s="97"/>
      <c r="F2382" s="97"/>
      <c r="G2382" s="1"/>
      <c r="H2382" s="18" t="s">
        <v>1066</v>
      </c>
      <c r="I2382" s="98">
        <v>1</v>
      </c>
      <c r="J2382" s="99"/>
      <c r="K2382" s="19">
        <f>ROUND(K2393,2)</f>
        <v>4285.92</v>
      </c>
      <c r="L2382" s="2" t="s">
        <v>1963</v>
      </c>
      <c r="M2382" s="1"/>
      <c r="N2382" s="1"/>
      <c r="O2382" s="1"/>
      <c r="P2382" s="1"/>
      <c r="Q2382" s="1"/>
      <c r="R2382" s="1"/>
      <c r="S2382" s="1"/>
      <c r="T2382" s="1"/>
      <c r="U2382" s="1"/>
      <c r="V2382" s="1"/>
      <c r="W2382" s="1"/>
      <c r="X2382" s="1"/>
      <c r="Y2382" s="1"/>
      <c r="Z2382" s="1"/>
      <c r="AA2382" s="1"/>
    </row>
    <row r="2383" spans="1:27" x14ac:dyDescent="0.2">
      <c r="B2383" s="14" t="s">
        <v>1068</v>
      </c>
    </row>
    <row r="2384" spans="1:27" x14ac:dyDescent="0.2">
      <c r="B2384" t="s">
        <v>1912</v>
      </c>
      <c r="C2384" t="s">
        <v>1070</v>
      </c>
      <c r="D2384" t="s">
        <v>1913</v>
      </c>
      <c r="E2384" s="20">
        <v>5.5</v>
      </c>
      <c r="F2384" t="s">
        <v>1072</v>
      </c>
      <c r="G2384" t="s">
        <v>1073</v>
      </c>
      <c r="H2384" s="21">
        <v>29.88</v>
      </c>
      <c r="I2384" t="s">
        <v>1074</v>
      </c>
      <c r="J2384" s="22">
        <f>ROUND(E2384/I2382* H2384,5)</f>
        <v>164.34</v>
      </c>
      <c r="K2384" s="23"/>
    </row>
    <row r="2385" spans="1:27" x14ac:dyDescent="0.2">
      <c r="D2385" s="24" t="s">
        <v>1075</v>
      </c>
      <c r="E2385" s="23"/>
      <c r="H2385" s="23"/>
      <c r="K2385" s="21">
        <f>SUM(J2384:J2384)</f>
        <v>164.34</v>
      </c>
    </row>
    <row r="2386" spans="1:27" x14ac:dyDescent="0.2">
      <c r="B2386" s="14" t="s">
        <v>1080</v>
      </c>
      <c r="E2386" s="23"/>
      <c r="H2386" s="23"/>
      <c r="K2386" s="23"/>
    </row>
    <row r="2387" spans="1:27" ht="409.6" x14ac:dyDescent="0.2">
      <c r="B2387" t="s">
        <v>1964</v>
      </c>
      <c r="C2387" t="s">
        <v>23</v>
      </c>
      <c r="D2387" s="26" t="s">
        <v>1965</v>
      </c>
      <c r="E2387" s="20">
        <v>1</v>
      </c>
      <c r="G2387" t="s">
        <v>1073</v>
      </c>
      <c r="H2387" s="21">
        <v>3800</v>
      </c>
      <c r="I2387" t="s">
        <v>1074</v>
      </c>
      <c r="J2387" s="22">
        <f>ROUND(E2387* H2387,5)</f>
        <v>3800</v>
      </c>
      <c r="K2387" s="23"/>
    </row>
    <row r="2388" spans="1:27" x14ac:dyDescent="0.2">
      <c r="D2388" s="24" t="s">
        <v>1090</v>
      </c>
      <c r="E2388" s="23"/>
      <c r="H2388" s="23"/>
      <c r="K2388" s="21">
        <f>SUM(J2387:J2387)</f>
        <v>3800</v>
      </c>
    </row>
    <row r="2389" spans="1:27" x14ac:dyDescent="0.2">
      <c r="E2389" s="23"/>
      <c r="H2389" s="23"/>
      <c r="K2389" s="23"/>
    </row>
    <row r="2390" spans="1:27" x14ac:dyDescent="0.2">
      <c r="D2390" s="24" t="s">
        <v>1092</v>
      </c>
      <c r="E2390" s="23"/>
      <c r="H2390" s="23">
        <v>2.5</v>
      </c>
      <c r="I2390" t="s">
        <v>1093</v>
      </c>
      <c r="J2390">
        <f>ROUND(H2390/100*K2385,5)</f>
        <v>4.1085000000000003</v>
      </c>
      <c r="K2390" s="23"/>
    </row>
    <row r="2391" spans="1:27" x14ac:dyDescent="0.2">
      <c r="D2391" s="24" t="s">
        <v>1091</v>
      </c>
      <c r="E2391" s="23"/>
      <c r="H2391" s="23"/>
      <c r="K2391" s="25">
        <f>SUM(J2383:J2390)</f>
        <v>3968.4485</v>
      </c>
    </row>
    <row r="2392" spans="1:27" x14ac:dyDescent="0.2">
      <c r="D2392" s="24" t="s">
        <v>1142</v>
      </c>
      <c r="E2392" s="23"/>
      <c r="H2392" s="23">
        <v>8</v>
      </c>
      <c r="I2392" t="s">
        <v>1093</v>
      </c>
      <c r="K2392" s="21">
        <f>ROUND(H2392/100*K2391,5)</f>
        <v>317.47588000000002</v>
      </c>
    </row>
    <row r="2393" spans="1:27" x14ac:dyDescent="0.2">
      <c r="D2393" s="24" t="s">
        <v>1094</v>
      </c>
      <c r="E2393" s="23"/>
      <c r="H2393" s="23"/>
      <c r="K2393" s="25">
        <f>SUM(K2391:K2392)</f>
        <v>4285.9243800000004</v>
      </c>
    </row>
    <row r="2395" spans="1:27" ht="45" customHeight="1" x14ac:dyDescent="0.2">
      <c r="A2395" s="17" t="s">
        <v>1984</v>
      </c>
      <c r="B2395" s="17" t="s">
        <v>490</v>
      </c>
      <c r="C2395" s="1" t="s">
        <v>23</v>
      </c>
      <c r="D2395" s="96" t="s">
        <v>491</v>
      </c>
      <c r="E2395" s="97"/>
      <c r="F2395" s="97"/>
      <c r="G2395" s="1"/>
      <c r="H2395" s="18" t="s">
        <v>1066</v>
      </c>
      <c r="I2395" s="98">
        <v>1</v>
      </c>
      <c r="J2395" s="99"/>
      <c r="K2395" s="19">
        <f>ROUND(K2406,2)</f>
        <v>6091.22</v>
      </c>
      <c r="L2395" s="2" t="s">
        <v>1967</v>
      </c>
      <c r="M2395" s="1"/>
      <c r="N2395" s="1"/>
      <c r="O2395" s="1"/>
      <c r="P2395" s="1"/>
      <c r="Q2395" s="1"/>
      <c r="R2395" s="1"/>
      <c r="S2395" s="1"/>
      <c r="T2395" s="1"/>
      <c r="U2395" s="1"/>
      <c r="V2395" s="1"/>
      <c r="W2395" s="1"/>
      <c r="X2395" s="1"/>
      <c r="Y2395" s="1"/>
      <c r="Z2395" s="1"/>
      <c r="AA2395" s="1"/>
    </row>
    <row r="2396" spans="1:27" x14ac:dyDescent="0.2">
      <c r="B2396" s="14" t="s">
        <v>1068</v>
      </c>
    </row>
    <row r="2397" spans="1:27" x14ac:dyDescent="0.2">
      <c r="B2397" t="s">
        <v>1912</v>
      </c>
      <c r="C2397" t="s">
        <v>1070</v>
      </c>
      <c r="D2397" t="s">
        <v>1913</v>
      </c>
      <c r="E2397" s="20">
        <v>8</v>
      </c>
      <c r="F2397" t="s">
        <v>1072</v>
      </c>
      <c r="G2397" t="s">
        <v>1073</v>
      </c>
      <c r="H2397" s="21">
        <v>29.88</v>
      </c>
      <c r="I2397" t="s">
        <v>1074</v>
      </c>
      <c r="J2397" s="22">
        <f>ROUND(E2397/I2395* H2397,5)</f>
        <v>239.04</v>
      </c>
      <c r="K2397" s="23"/>
    </row>
    <row r="2398" spans="1:27" x14ac:dyDescent="0.2">
      <c r="D2398" s="24" t="s">
        <v>1075</v>
      </c>
      <c r="E2398" s="23"/>
      <c r="H2398" s="23"/>
      <c r="K2398" s="21">
        <f>SUM(J2397:J2397)</f>
        <v>239.04</v>
      </c>
    </row>
    <row r="2399" spans="1:27" x14ac:dyDescent="0.2">
      <c r="B2399" s="14" t="s">
        <v>1080</v>
      </c>
      <c r="E2399" s="23"/>
      <c r="H2399" s="23"/>
      <c r="K2399" s="23"/>
    </row>
    <row r="2400" spans="1:27" ht="409.6" x14ac:dyDescent="0.2">
      <c r="B2400" t="s">
        <v>1968</v>
      </c>
      <c r="C2400" t="s">
        <v>23</v>
      </c>
      <c r="D2400" s="26" t="s">
        <v>1969</v>
      </c>
      <c r="E2400" s="20">
        <v>1</v>
      </c>
      <c r="G2400" t="s">
        <v>1073</v>
      </c>
      <c r="H2400" s="21">
        <v>5395</v>
      </c>
      <c r="I2400" t="s">
        <v>1074</v>
      </c>
      <c r="J2400" s="22">
        <f>ROUND(E2400* H2400,5)</f>
        <v>5395</v>
      </c>
      <c r="K2400" s="23"/>
    </row>
    <row r="2401" spans="1:27" x14ac:dyDescent="0.2">
      <c r="D2401" s="24" t="s">
        <v>1090</v>
      </c>
      <c r="E2401" s="23"/>
      <c r="H2401" s="23"/>
      <c r="K2401" s="21">
        <f>SUM(J2400:J2400)</f>
        <v>5395</v>
      </c>
    </row>
    <row r="2402" spans="1:27" x14ac:dyDescent="0.2">
      <c r="E2402" s="23"/>
      <c r="H2402" s="23"/>
      <c r="K2402" s="23"/>
    </row>
    <row r="2403" spans="1:27" x14ac:dyDescent="0.2">
      <c r="D2403" s="24" t="s">
        <v>1092</v>
      </c>
      <c r="E2403" s="23"/>
      <c r="H2403" s="23">
        <v>2.5</v>
      </c>
      <c r="I2403" t="s">
        <v>1093</v>
      </c>
      <c r="J2403">
        <f>ROUND(H2403/100*K2398,5)</f>
        <v>5.976</v>
      </c>
      <c r="K2403" s="23"/>
    </row>
    <row r="2404" spans="1:27" x14ac:dyDescent="0.2">
      <c r="D2404" s="24" t="s">
        <v>1091</v>
      </c>
      <c r="E2404" s="23"/>
      <c r="H2404" s="23"/>
      <c r="K2404" s="25">
        <f>SUM(J2396:J2403)</f>
        <v>5640.0159999999996</v>
      </c>
    </row>
    <row r="2405" spans="1:27" x14ac:dyDescent="0.2">
      <c r="D2405" s="24" t="s">
        <v>1142</v>
      </c>
      <c r="E2405" s="23"/>
      <c r="H2405" s="23">
        <v>8</v>
      </c>
      <c r="I2405" t="s">
        <v>1093</v>
      </c>
      <c r="K2405" s="21">
        <f>ROUND(H2405/100*K2404,5)</f>
        <v>451.20128</v>
      </c>
    </row>
    <row r="2406" spans="1:27" x14ac:dyDescent="0.2">
      <c r="D2406" s="24" t="s">
        <v>1094</v>
      </c>
      <c r="E2406" s="23"/>
      <c r="H2406" s="23"/>
      <c r="K2406" s="25">
        <f>SUM(K2404:K2405)</f>
        <v>6091.2172799999998</v>
      </c>
    </row>
    <row r="2408" spans="1:27" ht="45" customHeight="1" x14ac:dyDescent="0.2">
      <c r="A2408" s="17" t="s">
        <v>1987</v>
      </c>
      <c r="B2408" s="17" t="s">
        <v>492</v>
      </c>
      <c r="C2408" s="1" t="s">
        <v>23</v>
      </c>
      <c r="D2408" s="96" t="s">
        <v>493</v>
      </c>
      <c r="E2408" s="97"/>
      <c r="F2408" s="97"/>
      <c r="G2408" s="1"/>
      <c r="H2408" s="18" t="s">
        <v>1066</v>
      </c>
      <c r="I2408" s="98">
        <v>1</v>
      </c>
      <c r="J2408" s="99"/>
      <c r="K2408" s="19">
        <f>ROUND(K2419,2)</f>
        <v>5972.42</v>
      </c>
      <c r="L2408" s="2" t="s">
        <v>1971</v>
      </c>
      <c r="M2408" s="1"/>
      <c r="N2408" s="1"/>
      <c r="O2408" s="1"/>
      <c r="P2408" s="1"/>
      <c r="Q2408" s="1"/>
      <c r="R2408" s="1"/>
      <c r="S2408" s="1"/>
      <c r="T2408" s="1"/>
      <c r="U2408" s="1"/>
      <c r="V2408" s="1"/>
      <c r="W2408" s="1"/>
      <c r="X2408" s="1"/>
      <c r="Y2408" s="1"/>
      <c r="Z2408" s="1"/>
      <c r="AA2408" s="1"/>
    </row>
    <row r="2409" spans="1:27" x14ac:dyDescent="0.2">
      <c r="B2409" s="14" t="s">
        <v>1068</v>
      </c>
    </row>
    <row r="2410" spans="1:27" x14ac:dyDescent="0.2">
      <c r="B2410" t="s">
        <v>1912</v>
      </c>
      <c r="C2410" t="s">
        <v>1070</v>
      </c>
      <c r="D2410" t="s">
        <v>1913</v>
      </c>
      <c r="E2410" s="20">
        <v>8</v>
      </c>
      <c r="F2410" t="s">
        <v>1072</v>
      </c>
      <c r="G2410" t="s">
        <v>1073</v>
      </c>
      <c r="H2410" s="21">
        <v>29.88</v>
      </c>
      <c r="I2410" t="s">
        <v>1074</v>
      </c>
      <c r="J2410" s="22">
        <f>ROUND(E2410/I2408* H2410,5)</f>
        <v>239.04</v>
      </c>
      <c r="K2410" s="23"/>
    </row>
    <row r="2411" spans="1:27" x14ac:dyDescent="0.2">
      <c r="D2411" s="24" t="s">
        <v>1075</v>
      </c>
      <c r="E2411" s="23"/>
      <c r="H2411" s="23"/>
      <c r="K2411" s="21">
        <f>SUM(J2410:J2410)</f>
        <v>239.04</v>
      </c>
    </row>
    <row r="2412" spans="1:27" x14ac:dyDescent="0.2">
      <c r="B2412" s="14" t="s">
        <v>1080</v>
      </c>
      <c r="E2412" s="23"/>
      <c r="H2412" s="23"/>
      <c r="K2412" s="23"/>
    </row>
    <row r="2413" spans="1:27" ht="409.6" x14ac:dyDescent="0.2">
      <c r="B2413" t="s">
        <v>1972</v>
      </c>
      <c r="C2413" t="s">
        <v>23</v>
      </c>
      <c r="D2413" s="26" t="s">
        <v>1973</v>
      </c>
      <c r="E2413" s="20">
        <v>1</v>
      </c>
      <c r="G2413" t="s">
        <v>1073</v>
      </c>
      <c r="H2413" s="21">
        <v>5285</v>
      </c>
      <c r="I2413" t="s">
        <v>1074</v>
      </c>
      <c r="J2413" s="22">
        <f>ROUND(E2413* H2413,5)</f>
        <v>5285</v>
      </c>
      <c r="K2413" s="23"/>
    </row>
    <row r="2414" spans="1:27" x14ac:dyDescent="0.2">
      <c r="D2414" s="24" t="s">
        <v>1090</v>
      </c>
      <c r="E2414" s="23"/>
      <c r="H2414" s="23"/>
      <c r="K2414" s="21">
        <f>SUM(J2413:J2413)</f>
        <v>5285</v>
      </c>
    </row>
    <row r="2415" spans="1:27" x14ac:dyDescent="0.2">
      <c r="E2415" s="23"/>
      <c r="H2415" s="23"/>
      <c r="K2415" s="23"/>
    </row>
    <row r="2416" spans="1:27" x14ac:dyDescent="0.2">
      <c r="D2416" s="24" t="s">
        <v>1092</v>
      </c>
      <c r="E2416" s="23"/>
      <c r="H2416" s="23">
        <v>2.5</v>
      </c>
      <c r="I2416" t="s">
        <v>1093</v>
      </c>
      <c r="J2416">
        <f>ROUND(H2416/100*K2411,5)</f>
        <v>5.976</v>
      </c>
      <c r="K2416" s="23"/>
    </row>
    <row r="2417" spans="1:27" x14ac:dyDescent="0.2">
      <c r="D2417" s="24" t="s">
        <v>1091</v>
      </c>
      <c r="E2417" s="23"/>
      <c r="H2417" s="23"/>
      <c r="K2417" s="25">
        <f>SUM(J2409:J2416)</f>
        <v>5530.0159999999996</v>
      </c>
    </row>
    <row r="2418" spans="1:27" x14ac:dyDescent="0.2">
      <c r="D2418" s="24" t="s">
        <v>1142</v>
      </c>
      <c r="E2418" s="23"/>
      <c r="H2418" s="23">
        <v>8</v>
      </c>
      <c r="I2418" t="s">
        <v>1093</v>
      </c>
      <c r="K2418" s="21">
        <f>ROUND(H2418/100*K2417,5)</f>
        <v>442.40127999999999</v>
      </c>
    </row>
    <row r="2419" spans="1:27" x14ac:dyDescent="0.2">
      <c r="D2419" s="24" t="s">
        <v>1094</v>
      </c>
      <c r="E2419" s="23"/>
      <c r="H2419" s="23"/>
      <c r="K2419" s="25">
        <f>SUM(K2417:K2418)</f>
        <v>5972.4172799999997</v>
      </c>
    </row>
    <row r="2421" spans="1:27" ht="45" customHeight="1" x14ac:dyDescent="0.2">
      <c r="A2421" s="17" t="s">
        <v>1990</v>
      </c>
      <c r="B2421" s="17" t="s">
        <v>494</v>
      </c>
      <c r="C2421" s="1" t="s">
        <v>23</v>
      </c>
      <c r="D2421" s="96" t="s">
        <v>495</v>
      </c>
      <c r="E2421" s="97"/>
      <c r="F2421" s="97"/>
      <c r="G2421" s="1"/>
      <c r="H2421" s="18" t="s">
        <v>1066</v>
      </c>
      <c r="I2421" s="98">
        <v>1</v>
      </c>
      <c r="J2421" s="99"/>
      <c r="K2421" s="19">
        <f>ROUND(K2432,2)</f>
        <v>20387.599999999999</v>
      </c>
      <c r="L2421" s="2" t="s">
        <v>1975</v>
      </c>
      <c r="M2421" s="1"/>
      <c r="N2421" s="1"/>
      <c r="O2421" s="1"/>
      <c r="P2421" s="1"/>
      <c r="Q2421" s="1"/>
      <c r="R2421" s="1"/>
      <c r="S2421" s="1"/>
      <c r="T2421" s="1"/>
      <c r="U2421" s="1"/>
      <c r="V2421" s="1"/>
      <c r="W2421" s="1"/>
      <c r="X2421" s="1"/>
      <c r="Y2421" s="1"/>
      <c r="Z2421" s="1"/>
      <c r="AA2421" s="1"/>
    </row>
    <row r="2422" spans="1:27" x14ac:dyDescent="0.2">
      <c r="B2422" s="14" t="s">
        <v>1068</v>
      </c>
    </row>
    <row r="2423" spans="1:27" x14ac:dyDescent="0.2">
      <c r="B2423" t="s">
        <v>1912</v>
      </c>
      <c r="C2423" t="s">
        <v>1070</v>
      </c>
      <c r="D2423" t="s">
        <v>1913</v>
      </c>
      <c r="E2423" s="20">
        <v>15</v>
      </c>
      <c r="F2423" t="s">
        <v>1072</v>
      </c>
      <c r="G2423" t="s">
        <v>1073</v>
      </c>
      <c r="H2423" s="21">
        <v>29.88</v>
      </c>
      <c r="I2423" t="s">
        <v>1074</v>
      </c>
      <c r="J2423" s="22">
        <f>ROUND(E2423/I2421* H2423,5)</f>
        <v>448.2</v>
      </c>
      <c r="K2423" s="23"/>
    </row>
    <row r="2424" spans="1:27" x14ac:dyDescent="0.2">
      <c r="D2424" s="24" t="s">
        <v>1075</v>
      </c>
      <c r="E2424" s="23"/>
      <c r="H2424" s="23"/>
      <c r="K2424" s="21">
        <f>SUM(J2423:J2423)</f>
        <v>448.2</v>
      </c>
    </row>
    <row r="2425" spans="1:27" x14ac:dyDescent="0.2">
      <c r="B2425" s="14" t="s">
        <v>1080</v>
      </c>
      <c r="E2425" s="23"/>
      <c r="H2425" s="23"/>
      <c r="K2425" s="23"/>
    </row>
    <row r="2426" spans="1:27" ht="409.6" x14ac:dyDescent="0.2">
      <c r="B2426" t="s">
        <v>1976</v>
      </c>
      <c r="C2426" t="s">
        <v>23</v>
      </c>
      <c r="D2426" s="26" t="s">
        <v>1977</v>
      </c>
      <c r="E2426" s="20">
        <v>1</v>
      </c>
      <c r="G2426" t="s">
        <v>1073</v>
      </c>
      <c r="H2426" s="21">
        <v>18418</v>
      </c>
      <c r="I2426" t="s">
        <v>1074</v>
      </c>
      <c r="J2426" s="22">
        <f>ROUND(E2426* H2426,5)</f>
        <v>18418</v>
      </c>
      <c r="K2426" s="23"/>
    </row>
    <row r="2427" spans="1:27" x14ac:dyDescent="0.2">
      <c r="D2427" s="24" t="s">
        <v>1090</v>
      </c>
      <c r="E2427" s="23"/>
      <c r="H2427" s="23"/>
      <c r="K2427" s="21">
        <f>SUM(J2426:J2426)</f>
        <v>18418</v>
      </c>
    </row>
    <row r="2428" spans="1:27" x14ac:dyDescent="0.2">
      <c r="E2428" s="23"/>
      <c r="H2428" s="23"/>
      <c r="K2428" s="23"/>
    </row>
    <row r="2429" spans="1:27" x14ac:dyDescent="0.2">
      <c r="D2429" s="24" t="s">
        <v>1092</v>
      </c>
      <c r="E2429" s="23"/>
      <c r="H2429" s="23">
        <v>2.5</v>
      </c>
      <c r="I2429" t="s">
        <v>1093</v>
      </c>
      <c r="J2429">
        <f>ROUND(H2429/100*K2424,5)</f>
        <v>11.205</v>
      </c>
      <c r="K2429" s="23"/>
    </row>
    <row r="2430" spans="1:27" x14ac:dyDescent="0.2">
      <c r="D2430" s="24" t="s">
        <v>1091</v>
      </c>
      <c r="E2430" s="23"/>
      <c r="H2430" s="23"/>
      <c r="K2430" s="25">
        <f>SUM(J2422:J2429)</f>
        <v>18877.405000000002</v>
      </c>
    </row>
    <row r="2431" spans="1:27" x14ac:dyDescent="0.2">
      <c r="D2431" s="24" t="s">
        <v>1142</v>
      </c>
      <c r="E2431" s="23"/>
      <c r="H2431" s="23">
        <v>8</v>
      </c>
      <c r="I2431" t="s">
        <v>1093</v>
      </c>
      <c r="K2431" s="21">
        <f>ROUND(H2431/100*K2430,5)</f>
        <v>1510.1923999999999</v>
      </c>
    </row>
    <row r="2432" spans="1:27" x14ac:dyDescent="0.2">
      <c r="D2432" s="24" t="s">
        <v>1094</v>
      </c>
      <c r="E2432" s="23"/>
      <c r="H2432" s="23"/>
      <c r="K2432" s="25">
        <f>SUM(K2430:K2431)</f>
        <v>20387.597400000002</v>
      </c>
    </row>
    <row r="2434" spans="1:27" ht="45" customHeight="1" x14ac:dyDescent="0.2">
      <c r="A2434" s="17" t="s">
        <v>1993</v>
      </c>
      <c r="B2434" s="17" t="s">
        <v>496</v>
      </c>
      <c r="C2434" s="1" t="s">
        <v>23</v>
      </c>
      <c r="D2434" s="96" t="s">
        <v>497</v>
      </c>
      <c r="E2434" s="97"/>
      <c r="F2434" s="97"/>
      <c r="G2434" s="1"/>
      <c r="H2434" s="18" t="s">
        <v>1066</v>
      </c>
      <c r="I2434" s="98">
        <v>1</v>
      </c>
      <c r="J2434" s="99"/>
      <c r="K2434" s="19">
        <f>ROUND(K2445,2)</f>
        <v>3137.27</v>
      </c>
      <c r="L2434" s="2" t="s">
        <v>1979</v>
      </c>
      <c r="M2434" s="1"/>
      <c r="N2434" s="1"/>
      <c r="O2434" s="1"/>
      <c r="P2434" s="1"/>
      <c r="Q2434" s="1"/>
      <c r="R2434" s="1"/>
      <c r="S2434" s="1"/>
      <c r="T2434" s="1"/>
      <c r="U2434" s="1"/>
      <c r="V2434" s="1"/>
      <c r="W2434" s="1"/>
      <c r="X2434" s="1"/>
      <c r="Y2434" s="1"/>
      <c r="Z2434" s="1"/>
      <c r="AA2434" s="1"/>
    </row>
    <row r="2435" spans="1:27" x14ac:dyDescent="0.2">
      <c r="B2435" s="14" t="s">
        <v>1068</v>
      </c>
    </row>
    <row r="2436" spans="1:27" x14ac:dyDescent="0.2">
      <c r="B2436" t="s">
        <v>1912</v>
      </c>
      <c r="C2436" t="s">
        <v>1070</v>
      </c>
      <c r="D2436" t="s">
        <v>1913</v>
      </c>
      <c r="E2436" s="20">
        <v>3</v>
      </c>
      <c r="F2436" t="s">
        <v>1072</v>
      </c>
      <c r="G2436" t="s">
        <v>1073</v>
      </c>
      <c r="H2436" s="21">
        <v>29.88</v>
      </c>
      <c r="I2436" t="s">
        <v>1074</v>
      </c>
      <c r="J2436" s="22">
        <f>ROUND(E2436/I2434* H2436,5)</f>
        <v>89.64</v>
      </c>
      <c r="K2436" s="23"/>
    </row>
    <row r="2437" spans="1:27" x14ac:dyDescent="0.2">
      <c r="D2437" s="24" t="s">
        <v>1075</v>
      </c>
      <c r="E2437" s="23"/>
      <c r="H2437" s="23"/>
      <c r="K2437" s="21">
        <f>SUM(J2436:J2436)</f>
        <v>89.64</v>
      </c>
    </row>
    <row r="2438" spans="1:27" x14ac:dyDescent="0.2">
      <c r="B2438" s="14" t="s">
        <v>1080</v>
      </c>
      <c r="E2438" s="23"/>
      <c r="H2438" s="23"/>
      <c r="K2438" s="23"/>
    </row>
    <row r="2439" spans="1:27" ht="409.6" x14ac:dyDescent="0.2">
      <c r="B2439" t="s">
        <v>1980</v>
      </c>
      <c r="C2439" t="s">
        <v>23</v>
      </c>
      <c r="D2439" s="26" t="s">
        <v>497</v>
      </c>
      <c r="E2439" s="20">
        <v>1</v>
      </c>
      <c r="G2439" t="s">
        <v>1073</v>
      </c>
      <c r="H2439" s="21">
        <v>2813</v>
      </c>
      <c r="I2439" t="s">
        <v>1074</v>
      </c>
      <c r="J2439" s="22">
        <f>ROUND(E2439* H2439,5)</f>
        <v>2813</v>
      </c>
      <c r="K2439" s="23"/>
    </row>
    <row r="2440" spans="1:27" x14ac:dyDescent="0.2">
      <c r="D2440" s="24" t="s">
        <v>1090</v>
      </c>
      <c r="E2440" s="23"/>
      <c r="H2440" s="23"/>
      <c r="K2440" s="21">
        <f>SUM(J2439:J2439)</f>
        <v>2813</v>
      </c>
    </row>
    <row r="2441" spans="1:27" x14ac:dyDescent="0.2">
      <c r="E2441" s="23"/>
      <c r="H2441" s="23"/>
      <c r="K2441" s="23"/>
    </row>
    <row r="2442" spans="1:27" x14ac:dyDescent="0.2">
      <c r="D2442" s="24" t="s">
        <v>1092</v>
      </c>
      <c r="E2442" s="23"/>
      <c r="H2442" s="23">
        <v>2.5</v>
      </c>
      <c r="I2442" t="s">
        <v>1093</v>
      </c>
      <c r="J2442">
        <f>ROUND(H2442/100*K2437,5)</f>
        <v>2.2410000000000001</v>
      </c>
      <c r="K2442" s="23"/>
    </row>
    <row r="2443" spans="1:27" x14ac:dyDescent="0.2">
      <c r="D2443" s="24" t="s">
        <v>1091</v>
      </c>
      <c r="E2443" s="23"/>
      <c r="H2443" s="23"/>
      <c r="K2443" s="25">
        <f>SUM(J2435:J2442)</f>
        <v>2904.8809999999999</v>
      </c>
    </row>
    <row r="2444" spans="1:27" x14ac:dyDescent="0.2">
      <c r="D2444" s="24" t="s">
        <v>1142</v>
      </c>
      <c r="E2444" s="23"/>
      <c r="H2444" s="23">
        <v>8</v>
      </c>
      <c r="I2444" t="s">
        <v>1093</v>
      </c>
      <c r="K2444" s="21">
        <f>ROUND(H2444/100*K2443,5)</f>
        <v>232.39048</v>
      </c>
    </row>
    <row r="2445" spans="1:27" x14ac:dyDescent="0.2">
      <c r="D2445" s="24" t="s">
        <v>1094</v>
      </c>
      <c r="E2445" s="23"/>
      <c r="H2445" s="23"/>
      <c r="K2445" s="25">
        <f>SUM(K2443:K2444)</f>
        <v>3137.2714799999999</v>
      </c>
    </row>
    <row r="2447" spans="1:27" ht="45" customHeight="1" x14ac:dyDescent="0.2">
      <c r="A2447" s="17" t="s">
        <v>1996</v>
      </c>
      <c r="B2447" s="17" t="s">
        <v>498</v>
      </c>
      <c r="C2447" s="1" t="s">
        <v>23</v>
      </c>
      <c r="D2447" s="96" t="s">
        <v>499</v>
      </c>
      <c r="E2447" s="97"/>
      <c r="F2447" s="97"/>
      <c r="G2447" s="1"/>
      <c r="H2447" s="18" t="s">
        <v>1066</v>
      </c>
      <c r="I2447" s="98">
        <v>1</v>
      </c>
      <c r="J2447" s="99"/>
      <c r="K2447" s="19">
        <f>ROUND(K2458,2)</f>
        <v>3137.27</v>
      </c>
      <c r="L2447" s="2" t="s">
        <v>1982</v>
      </c>
      <c r="M2447" s="1"/>
      <c r="N2447" s="1"/>
      <c r="O2447" s="1"/>
      <c r="P2447" s="1"/>
      <c r="Q2447" s="1"/>
      <c r="R2447" s="1"/>
      <c r="S2447" s="1"/>
      <c r="T2447" s="1"/>
      <c r="U2447" s="1"/>
      <c r="V2447" s="1"/>
      <c r="W2447" s="1"/>
      <c r="X2447" s="1"/>
      <c r="Y2447" s="1"/>
      <c r="Z2447" s="1"/>
      <c r="AA2447" s="1"/>
    </row>
    <row r="2448" spans="1:27" x14ac:dyDescent="0.2">
      <c r="B2448" s="14" t="s">
        <v>1068</v>
      </c>
    </row>
    <row r="2449" spans="1:27" x14ac:dyDescent="0.2">
      <c r="B2449" t="s">
        <v>1912</v>
      </c>
      <c r="C2449" t="s">
        <v>1070</v>
      </c>
      <c r="D2449" t="s">
        <v>1913</v>
      </c>
      <c r="E2449" s="20">
        <v>3</v>
      </c>
      <c r="F2449" t="s">
        <v>1072</v>
      </c>
      <c r="G2449" t="s">
        <v>1073</v>
      </c>
      <c r="H2449" s="21">
        <v>29.88</v>
      </c>
      <c r="I2449" t="s">
        <v>1074</v>
      </c>
      <c r="J2449" s="22">
        <f>ROUND(E2449/I2447* H2449,5)</f>
        <v>89.64</v>
      </c>
      <c r="K2449" s="23"/>
    </row>
    <row r="2450" spans="1:27" x14ac:dyDescent="0.2">
      <c r="D2450" s="24" t="s">
        <v>1075</v>
      </c>
      <c r="E2450" s="23"/>
      <c r="H2450" s="23"/>
      <c r="K2450" s="21">
        <f>SUM(J2449:J2449)</f>
        <v>89.64</v>
      </c>
    </row>
    <row r="2451" spans="1:27" x14ac:dyDescent="0.2">
      <c r="B2451" s="14" t="s">
        <v>1080</v>
      </c>
      <c r="E2451" s="23"/>
      <c r="H2451" s="23"/>
      <c r="K2451" s="23"/>
    </row>
    <row r="2452" spans="1:27" ht="409.6" x14ac:dyDescent="0.2">
      <c r="B2452" t="s">
        <v>1983</v>
      </c>
      <c r="C2452" t="s">
        <v>23</v>
      </c>
      <c r="D2452" s="26" t="s">
        <v>499</v>
      </c>
      <c r="E2452" s="20">
        <v>1</v>
      </c>
      <c r="G2452" t="s">
        <v>1073</v>
      </c>
      <c r="H2452" s="21">
        <v>2813</v>
      </c>
      <c r="I2452" t="s">
        <v>1074</v>
      </c>
      <c r="J2452" s="22">
        <f>ROUND(E2452* H2452,5)</f>
        <v>2813</v>
      </c>
      <c r="K2452" s="23"/>
    </row>
    <row r="2453" spans="1:27" x14ac:dyDescent="0.2">
      <c r="D2453" s="24" t="s">
        <v>1090</v>
      </c>
      <c r="E2453" s="23"/>
      <c r="H2453" s="23"/>
      <c r="K2453" s="21">
        <f>SUM(J2452:J2452)</f>
        <v>2813</v>
      </c>
    </row>
    <row r="2454" spans="1:27" x14ac:dyDescent="0.2">
      <c r="E2454" s="23"/>
      <c r="H2454" s="23"/>
      <c r="K2454" s="23"/>
    </row>
    <row r="2455" spans="1:27" x14ac:dyDescent="0.2">
      <c r="D2455" s="24" t="s">
        <v>1092</v>
      </c>
      <c r="E2455" s="23"/>
      <c r="H2455" s="23">
        <v>2.5</v>
      </c>
      <c r="I2455" t="s">
        <v>1093</v>
      </c>
      <c r="J2455">
        <f>ROUND(H2455/100*K2450,5)</f>
        <v>2.2410000000000001</v>
      </c>
      <c r="K2455" s="23"/>
    </row>
    <row r="2456" spans="1:27" x14ac:dyDescent="0.2">
      <c r="D2456" s="24" t="s">
        <v>1091</v>
      </c>
      <c r="E2456" s="23"/>
      <c r="H2456" s="23"/>
      <c r="K2456" s="25">
        <f>SUM(J2448:J2455)</f>
        <v>2904.8809999999999</v>
      </c>
    </row>
    <row r="2457" spans="1:27" x14ac:dyDescent="0.2">
      <c r="D2457" s="24" t="s">
        <v>1142</v>
      </c>
      <c r="E2457" s="23"/>
      <c r="H2457" s="23">
        <v>8</v>
      </c>
      <c r="I2457" t="s">
        <v>1093</v>
      </c>
      <c r="K2457" s="21">
        <f>ROUND(H2457/100*K2456,5)</f>
        <v>232.39048</v>
      </c>
    </row>
    <row r="2458" spans="1:27" x14ac:dyDescent="0.2">
      <c r="D2458" s="24" t="s">
        <v>1094</v>
      </c>
      <c r="E2458" s="23"/>
      <c r="H2458" s="23"/>
      <c r="K2458" s="25">
        <f>SUM(K2456:K2457)</f>
        <v>3137.2714799999999</v>
      </c>
    </row>
    <row r="2460" spans="1:27" ht="45" customHeight="1" x14ac:dyDescent="0.2">
      <c r="A2460" s="17" t="s">
        <v>1999</v>
      </c>
      <c r="B2460" s="17" t="s">
        <v>500</v>
      </c>
      <c r="C2460" s="1" t="s">
        <v>23</v>
      </c>
      <c r="D2460" s="96" t="s">
        <v>501</v>
      </c>
      <c r="E2460" s="97"/>
      <c r="F2460" s="97"/>
      <c r="G2460" s="1"/>
      <c r="H2460" s="18" t="s">
        <v>1066</v>
      </c>
      <c r="I2460" s="98">
        <v>1</v>
      </c>
      <c r="J2460" s="99"/>
      <c r="K2460" s="19">
        <f>ROUND(K2471,2)</f>
        <v>3137.27</v>
      </c>
      <c r="L2460" s="2" t="s">
        <v>1985</v>
      </c>
      <c r="M2460" s="1"/>
      <c r="N2460" s="1"/>
      <c r="O2460" s="1"/>
      <c r="P2460" s="1"/>
      <c r="Q2460" s="1"/>
      <c r="R2460" s="1"/>
      <c r="S2460" s="1"/>
      <c r="T2460" s="1"/>
      <c r="U2460" s="1"/>
      <c r="V2460" s="1"/>
      <c r="W2460" s="1"/>
      <c r="X2460" s="1"/>
      <c r="Y2460" s="1"/>
      <c r="Z2460" s="1"/>
      <c r="AA2460" s="1"/>
    </row>
    <row r="2461" spans="1:27" x14ac:dyDescent="0.2">
      <c r="B2461" s="14" t="s">
        <v>1068</v>
      </c>
    </row>
    <row r="2462" spans="1:27" x14ac:dyDescent="0.2">
      <c r="B2462" t="s">
        <v>1912</v>
      </c>
      <c r="C2462" t="s">
        <v>1070</v>
      </c>
      <c r="D2462" t="s">
        <v>1913</v>
      </c>
      <c r="E2462" s="20">
        <v>3</v>
      </c>
      <c r="F2462" t="s">
        <v>1072</v>
      </c>
      <c r="G2462" t="s">
        <v>1073</v>
      </c>
      <c r="H2462" s="21">
        <v>29.88</v>
      </c>
      <c r="I2462" t="s">
        <v>1074</v>
      </c>
      <c r="J2462" s="22">
        <f>ROUND(E2462/I2460* H2462,5)</f>
        <v>89.64</v>
      </c>
      <c r="K2462" s="23"/>
    </row>
    <row r="2463" spans="1:27" x14ac:dyDescent="0.2">
      <c r="D2463" s="24" t="s">
        <v>1075</v>
      </c>
      <c r="E2463" s="23"/>
      <c r="H2463" s="23"/>
      <c r="K2463" s="21">
        <f>SUM(J2462:J2462)</f>
        <v>89.64</v>
      </c>
    </row>
    <row r="2464" spans="1:27" x14ac:dyDescent="0.2">
      <c r="B2464" s="14" t="s">
        <v>1080</v>
      </c>
      <c r="E2464" s="23"/>
      <c r="H2464" s="23"/>
      <c r="K2464" s="23"/>
    </row>
    <row r="2465" spans="1:27" ht="409.6" x14ac:dyDescent="0.2">
      <c r="B2465" t="s">
        <v>1986</v>
      </c>
      <c r="C2465" t="s">
        <v>23</v>
      </c>
      <c r="D2465" s="26" t="s">
        <v>501</v>
      </c>
      <c r="E2465" s="20">
        <v>1</v>
      </c>
      <c r="G2465" t="s">
        <v>1073</v>
      </c>
      <c r="H2465" s="21">
        <v>2813</v>
      </c>
      <c r="I2465" t="s">
        <v>1074</v>
      </c>
      <c r="J2465" s="22">
        <f>ROUND(E2465* H2465,5)</f>
        <v>2813</v>
      </c>
      <c r="K2465" s="23"/>
    </row>
    <row r="2466" spans="1:27" x14ac:dyDescent="0.2">
      <c r="D2466" s="24" t="s">
        <v>1090</v>
      </c>
      <c r="E2466" s="23"/>
      <c r="H2466" s="23"/>
      <c r="K2466" s="21">
        <f>SUM(J2465:J2465)</f>
        <v>2813</v>
      </c>
    </row>
    <row r="2467" spans="1:27" x14ac:dyDescent="0.2">
      <c r="E2467" s="23"/>
      <c r="H2467" s="23"/>
      <c r="K2467" s="23"/>
    </row>
    <row r="2468" spans="1:27" x14ac:dyDescent="0.2">
      <c r="D2468" s="24" t="s">
        <v>1092</v>
      </c>
      <c r="E2468" s="23"/>
      <c r="H2468" s="23">
        <v>2.5</v>
      </c>
      <c r="I2468" t="s">
        <v>1093</v>
      </c>
      <c r="J2468">
        <f>ROUND(H2468/100*K2463,5)</f>
        <v>2.2410000000000001</v>
      </c>
      <c r="K2468" s="23"/>
    </row>
    <row r="2469" spans="1:27" x14ac:dyDescent="0.2">
      <c r="D2469" s="24" t="s">
        <v>1091</v>
      </c>
      <c r="E2469" s="23"/>
      <c r="H2469" s="23"/>
      <c r="K2469" s="25">
        <f>SUM(J2461:J2468)</f>
        <v>2904.8809999999999</v>
      </c>
    </row>
    <row r="2470" spans="1:27" x14ac:dyDescent="0.2">
      <c r="D2470" s="24" t="s">
        <v>1142</v>
      </c>
      <c r="E2470" s="23"/>
      <c r="H2470" s="23">
        <v>8</v>
      </c>
      <c r="I2470" t="s">
        <v>1093</v>
      </c>
      <c r="K2470" s="21">
        <f>ROUND(H2470/100*K2469,5)</f>
        <v>232.39048</v>
      </c>
    </row>
    <row r="2471" spans="1:27" x14ac:dyDescent="0.2">
      <c r="D2471" s="24" t="s">
        <v>1094</v>
      </c>
      <c r="E2471" s="23"/>
      <c r="H2471" s="23"/>
      <c r="K2471" s="25">
        <f>SUM(K2469:K2470)</f>
        <v>3137.2714799999999</v>
      </c>
    </row>
    <row r="2473" spans="1:27" ht="45" customHeight="1" x14ac:dyDescent="0.2">
      <c r="A2473" s="17" t="s">
        <v>2002</v>
      </c>
      <c r="B2473" s="17" t="s">
        <v>502</v>
      </c>
      <c r="C2473" s="1" t="s">
        <v>23</v>
      </c>
      <c r="D2473" s="96" t="s">
        <v>503</v>
      </c>
      <c r="E2473" s="97"/>
      <c r="F2473" s="97"/>
      <c r="G2473" s="1"/>
      <c r="H2473" s="18" t="s">
        <v>1066</v>
      </c>
      <c r="I2473" s="98">
        <v>1</v>
      </c>
      <c r="J2473" s="99"/>
      <c r="K2473" s="19">
        <f>ROUND(K2484,2)</f>
        <v>3137.27</v>
      </c>
      <c r="L2473" s="2" t="s">
        <v>1988</v>
      </c>
      <c r="M2473" s="1"/>
      <c r="N2473" s="1"/>
      <c r="O2473" s="1"/>
      <c r="P2473" s="1"/>
      <c r="Q2473" s="1"/>
      <c r="R2473" s="1"/>
      <c r="S2473" s="1"/>
      <c r="T2473" s="1"/>
      <c r="U2473" s="1"/>
      <c r="V2473" s="1"/>
      <c r="W2473" s="1"/>
      <c r="X2473" s="1"/>
      <c r="Y2473" s="1"/>
      <c r="Z2473" s="1"/>
      <c r="AA2473" s="1"/>
    </row>
    <row r="2474" spans="1:27" x14ac:dyDescent="0.2">
      <c r="B2474" s="14" t="s">
        <v>1068</v>
      </c>
    </row>
    <row r="2475" spans="1:27" x14ac:dyDescent="0.2">
      <c r="B2475" t="s">
        <v>1912</v>
      </c>
      <c r="C2475" t="s">
        <v>1070</v>
      </c>
      <c r="D2475" t="s">
        <v>1913</v>
      </c>
      <c r="E2475" s="20">
        <v>3</v>
      </c>
      <c r="F2475" t="s">
        <v>1072</v>
      </c>
      <c r="G2475" t="s">
        <v>1073</v>
      </c>
      <c r="H2475" s="21">
        <v>29.88</v>
      </c>
      <c r="I2475" t="s">
        <v>1074</v>
      </c>
      <c r="J2475" s="22">
        <f>ROUND(E2475/I2473* H2475,5)</f>
        <v>89.64</v>
      </c>
      <c r="K2475" s="23"/>
    </row>
    <row r="2476" spans="1:27" x14ac:dyDescent="0.2">
      <c r="D2476" s="24" t="s">
        <v>1075</v>
      </c>
      <c r="E2476" s="23"/>
      <c r="H2476" s="23"/>
      <c r="K2476" s="21">
        <f>SUM(J2475:J2475)</f>
        <v>89.64</v>
      </c>
    </row>
    <row r="2477" spans="1:27" x14ac:dyDescent="0.2">
      <c r="B2477" s="14" t="s">
        <v>1080</v>
      </c>
      <c r="E2477" s="23"/>
      <c r="H2477" s="23"/>
      <c r="K2477" s="23"/>
    </row>
    <row r="2478" spans="1:27" ht="409.6" x14ac:dyDescent="0.2">
      <c r="B2478" t="s">
        <v>1989</v>
      </c>
      <c r="C2478" t="s">
        <v>23</v>
      </c>
      <c r="D2478" s="26" t="s">
        <v>503</v>
      </c>
      <c r="E2478" s="20">
        <v>1</v>
      </c>
      <c r="G2478" t="s">
        <v>1073</v>
      </c>
      <c r="H2478" s="21">
        <v>2813</v>
      </c>
      <c r="I2478" t="s">
        <v>1074</v>
      </c>
      <c r="J2478" s="22">
        <f>ROUND(E2478* H2478,5)</f>
        <v>2813</v>
      </c>
      <c r="K2478" s="23"/>
    </row>
    <row r="2479" spans="1:27" x14ac:dyDescent="0.2">
      <c r="D2479" s="24" t="s">
        <v>1090</v>
      </c>
      <c r="E2479" s="23"/>
      <c r="H2479" s="23"/>
      <c r="K2479" s="21">
        <f>SUM(J2478:J2478)</f>
        <v>2813</v>
      </c>
    </row>
    <row r="2480" spans="1:27" x14ac:dyDescent="0.2">
      <c r="E2480" s="23"/>
      <c r="H2480" s="23"/>
      <c r="K2480" s="23"/>
    </row>
    <row r="2481" spans="1:27" x14ac:dyDescent="0.2">
      <c r="D2481" s="24" t="s">
        <v>1092</v>
      </c>
      <c r="E2481" s="23"/>
      <c r="H2481" s="23">
        <v>2.5</v>
      </c>
      <c r="I2481" t="s">
        <v>1093</v>
      </c>
      <c r="J2481">
        <f>ROUND(H2481/100*K2476,5)</f>
        <v>2.2410000000000001</v>
      </c>
      <c r="K2481" s="23"/>
    </row>
    <row r="2482" spans="1:27" x14ac:dyDescent="0.2">
      <c r="D2482" s="24" t="s">
        <v>1091</v>
      </c>
      <c r="E2482" s="23"/>
      <c r="H2482" s="23"/>
      <c r="K2482" s="25">
        <f>SUM(J2474:J2481)</f>
        <v>2904.8809999999999</v>
      </c>
    </row>
    <row r="2483" spans="1:27" x14ac:dyDescent="0.2">
      <c r="D2483" s="24" t="s">
        <v>1142</v>
      </c>
      <c r="E2483" s="23"/>
      <c r="H2483" s="23">
        <v>8</v>
      </c>
      <c r="I2483" t="s">
        <v>1093</v>
      </c>
      <c r="K2483" s="21">
        <f>ROUND(H2483/100*K2482,5)</f>
        <v>232.39048</v>
      </c>
    </row>
    <row r="2484" spans="1:27" x14ac:dyDescent="0.2">
      <c r="D2484" s="24" t="s">
        <v>1094</v>
      </c>
      <c r="E2484" s="23"/>
      <c r="H2484" s="23"/>
      <c r="K2484" s="25">
        <f>SUM(K2482:K2483)</f>
        <v>3137.2714799999999</v>
      </c>
    </row>
    <row r="2486" spans="1:27" ht="45" customHeight="1" x14ac:dyDescent="0.2">
      <c r="A2486" s="17" t="s">
        <v>2005</v>
      </c>
      <c r="B2486" s="17" t="s">
        <v>504</v>
      </c>
      <c r="C2486" s="1" t="s">
        <v>23</v>
      </c>
      <c r="D2486" s="96" t="s">
        <v>505</v>
      </c>
      <c r="E2486" s="97"/>
      <c r="F2486" s="97"/>
      <c r="G2486" s="1"/>
      <c r="H2486" s="18" t="s">
        <v>1066</v>
      </c>
      <c r="I2486" s="98">
        <v>1</v>
      </c>
      <c r="J2486" s="99"/>
      <c r="K2486" s="19">
        <f>ROUND(K2497,2)</f>
        <v>3802.83</v>
      </c>
      <c r="L2486" s="2" t="s">
        <v>1991</v>
      </c>
      <c r="M2486" s="1"/>
      <c r="N2486" s="1"/>
      <c r="O2486" s="1"/>
      <c r="P2486" s="1"/>
      <c r="Q2486" s="1"/>
      <c r="R2486" s="1"/>
      <c r="S2486" s="1"/>
      <c r="T2486" s="1"/>
      <c r="U2486" s="1"/>
      <c r="V2486" s="1"/>
      <c r="W2486" s="1"/>
      <c r="X2486" s="1"/>
      <c r="Y2486" s="1"/>
      <c r="Z2486" s="1"/>
      <c r="AA2486" s="1"/>
    </row>
    <row r="2487" spans="1:27" x14ac:dyDescent="0.2">
      <c r="B2487" s="14" t="s">
        <v>1068</v>
      </c>
    </row>
    <row r="2488" spans="1:27" x14ac:dyDescent="0.2">
      <c r="B2488" t="s">
        <v>1912</v>
      </c>
      <c r="C2488" t="s">
        <v>1070</v>
      </c>
      <c r="D2488" t="s">
        <v>1913</v>
      </c>
      <c r="E2488" s="20">
        <v>5</v>
      </c>
      <c r="F2488" t="s">
        <v>1072</v>
      </c>
      <c r="G2488" t="s">
        <v>1073</v>
      </c>
      <c r="H2488" s="21">
        <v>29.88</v>
      </c>
      <c r="I2488" t="s">
        <v>1074</v>
      </c>
      <c r="J2488" s="22">
        <f>ROUND(E2488/I2486* H2488,5)</f>
        <v>149.4</v>
      </c>
      <c r="K2488" s="23"/>
    </row>
    <row r="2489" spans="1:27" x14ac:dyDescent="0.2">
      <c r="D2489" s="24" t="s">
        <v>1075</v>
      </c>
      <c r="E2489" s="23"/>
      <c r="H2489" s="23"/>
      <c r="K2489" s="21">
        <f>SUM(J2488:J2488)</f>
        <v>149.4</v>
      </c>
    </row>
    <row r="2490" spans="1:27" x14ac:dyDescent="0.2">
      <c r="B2490" s="14" t="s">
        <v>1080</v>
      </c>
      <c r="E2490" s="23"/>
      <c r="H2490" s="23"/>
      <c r="K2490" s="23"/>
    </row>
    <row r="2491" spans="1:27" ht="409.6" x14ac:dyDescent="0.2">
      <c r="B2491" t="s">
        <v>1992</v>
      </c>
      <c r="C2491" t="s">
        <v>23</v>
      </c>
      <c r="D2491" s="26" t="s">
        <v>505</v>
      </c>
      <c r="E2491" s="20">
        <v>1</v>
      </c>
      <c r="G2491" t="s">
        <v>1073</v>
      </c>
      <c r="H2491" s="21">
        <v>3368</v>
      </c>
      <c r="I2491" t="s">
        <v>1074</v>
      </c>
      <c r="J2491" s="22">
        <f>ROUND(E2491* H2491,5)</f>
        <v>3368</v>
      </c>
      <c r="K2491" s="23"/>
    </row>
    <row r="2492" spans="1:27" x14ac:dyDescent="0.2">
      <c r="D2492" s="24" t="s">
        <v>1090</v>
      </c>
      <c r="E2492" s="23"/>
      <c r="H2492" s="23"/>
      <c r="K2492" s="21">
        <f>SUM(J2491:J2491)</f>
        <v>3368</v>
      </c>
    </row>
    <row r="2493" spans="1:27" x14ac:dyDescent="0.2">
      <c r="E2493" s="23"/>
      <c r="H2493" s="23"/>
      <c r="K2493" s="23"/>
    </row>
    <row r="2494" spans="1:27" x14ac:dyDescent="0.2">
      <c r="D2494" s="24" t="s">
        <v>1092</v>
      </c>
      <c r="E2494" s="23"/>
      <c r="H2494" s="23">
        <v>2.5</v>
      </c>
      <c r="I2494" t="s">
        <v>1093</v>
      </c>
      <c r="J2494">
        <f>ROUND(H2494/100*K2489,5)</f>
        <v>3.7349999999999999</v>
      </c>
      <c r="K2494" s="23"/>
    </row>
    <row r="2495" spans="1:27" x14ac:dyDescent="0.2">
      <c r="D2495" s="24" t="s">
        <v>1091</v>
      </c>
      <c r="E2495" s="23"/>
      <c r="H2495" s="23"/>
      <c r="K2495" s="25">
        <f>SUM(J2487:J2494)</f>
        <v>3521.1350000000002</v>
      </c>
    </row>
    <row r="2496" spans="1:27" x14ac:dyDescent="0.2">
      <c r="D2496" s="24" t="s">
        <v>1142</v>
      </c>
      <c r="E2496" s="23"/>
      <c r="H2496" s="23">
        <v>8</v>
      </c>
      <c r="I2496" t="s">
        <v>1093</v>
      </c>
      <c r="K2496" s="21">
        <f>ROUND(H2496/100*K2495,5)</f>
        <v>281.69080000000002</v>
      </c>
    </row>
    <row r="2497" spans="1:27" x14ac:dyDescent="0.2">
      <c r="D2497" s="24" t="s">
        <v>1094</v>
      </c>
      <c r="E2497" s="23"/>
      <c r="H2497" s="23"/>
      <c r="K2497" s="25">
        <f>SUM(K2495:K2496)</f>
        <v>3802.8258000000001</v>
      </c>
    </row>
    <row r="2499" spans="1:27" ht="45" customHeight="1" x14ac:dyDescent="0.2">
      <c r="A2499" s="17" t="s">
        <v>2008</v>
      </c>
      <c r="B2499" s="17" t="s">
        <v>506</v>
      </c>
      <c r="C2499" s="1" t="s">
        <v>23</v>
      </c>
      <c r="D2499" s="96" t="s">
        <v>507</v>
      </c>
      <c r="E2499" s="97"/>
      <c r="F2499" s="97"/>
      <c r="G2499" s="1"/>
      <c r="H2499" s="18" t="s">
        <v>1066</v>
      </c>
      <c r="I2499" s="98">
        <v>1</v>
      </c>
      <c r="J2499" s="99"/>
      <c r="K2499" s="19">
        <f>ROUND(K2510,2)</f>
        <v>11191.25</v>
      </c>
      <c r="L2499" s="2" t="s">
        <v>1994</v>
      </c>
      <c r="M2499" s="1"/>
      <c r="N2499" s="1"/>
      <c r="O2499" s="1"/>
      <c r="P2499" s="1"/>
      <c r="Q2499" s="1"/>
      <c r="R2499" s="1"/>
      <c r="S2499" s="1"/>
      <c r="T2499" s="1"/>
      <c r="U2499" s="1"/>
      <c r="V2499" s="1"/>
      <c r="W2499" s="1"/>
      <c r="X2499" s="1"/>
      <c r="Y2499" s="1"/>
      <c r="Z2499" s="1"/>
      <c r="AA2499" s="1"/>
    </row>
    <row r="2500" spans="1:27" x14ac:dyDescent="0.2">
      <c r="B2500" s="14" t="s">
        <v>1068</v>
      </c>
    </row>
    <row r="2501" spans="1:27" x14ac:dyDescent="0.2">
      <c r="B2501" t="s">
        <v>1912</v>
      </c>
      <c r="C2501" t="s">
        <v>1070</v>
      </c>
      <c r="D2501" t="s">
        <v>1913</v>
      </c>
      <c r="E2501" s="20">
        <v>10</v>
      </c>
      <c r="F2501" t="s">
        <v>1072</v>
      </c>
      <c r="G2501" t="s">
        <v>1073</v>
      </c>
      <c r="H2501" s="21">
        <v>29.88</v>
      </c>
      <c r="I2501" t="s">
        <v>1074</v>
      </c>
      <c r="J2501" s="22">
        <f>ROUND(E2501/I2499* H2501,5)</f>
        <v>298.8</v>
      </c>
      <c r="K2501" s="23"/>
    </row>
    <row r="2502" spans="1:27" x14ac:dyDescent="0.2">
      <c r="D2502" s="24" t="s">
        <v>1075</v>
      </c>
      <c r="E2502" s="23"/>
      <c r="H2502" s="23"/>
      <c r="K2502" s="21">
        <f>SUM(J2501:J2501)</f>
        <v>298.8</v>
      </c>
    </row>
    <row r="2503" spans="1:27" x14ac:dyDescent="0.2">
      <c r="B2503" s="14" t="s">
        <v>1080</v>
      </c>
      <c r="E2503" s="23"/>
      <c r="H2503" s="23"/>
      <c r="K2503" s="23"/>
    </row>
    <row r="2504" spans="1:27" ht="409.6" x14ac:dyDescent="0.2">
      <c r="B2504" t="s">
        <v>1995</v>
      </c>
      <c r="C2504" t="s">
        <v>23</v>
      </c>
      <c r="D2504" s="26" t="s">
        <v>507</v>
      </c>
      <c r="E2504" s="20">
        <v>1</v>
      </c>
      <c r="G2504" t="s">
        <v>1073</v>
      </c>
      <c r="H2504" s="21">
        <v>10056</v>
      </c>
      <c r="I2504" t="s">
        <v>1074</v>
      </c>
      <c r="J2504" s="22">
        <f>ROUND(E2504* H2504,5)</f>
        <v>10056</v>
      </c>
      <c r="K2504" s="23"/>
    </row>
    <row r="2505" spans="1:27" x14ac:dyDescent="0.2">
      <c r="D2505" s="24" t="s">
        <v>1090</v>
      </c>
      <c r="E2505" s="23"/>
      <c r="H2505" s="23"/>
      <c r="K2505" s="21">
        <f>SUM(J2504:J2504)</f>
        <v>10056</v>
      </c>
    </row>
    <row r="2506" spans="1:27" x14ac:dyDescent="0.2">
      <c r="E2506" s="23"/>
      <c r="H2506" s="23"/>
      <c r="K2506" s="23"/>
    </row>
    <row r="2507" spans="1:27" x14ac:dyDescent="0.2">
      <c r="D2507" s="24" t="s">
        <v>1092</v>
      </c>
      <c r="E2507" s="23"/>
      <c r="H2507" s="23">
        <v>2.5</v>
      </c>
      <c r="I2507" t="s">
        <v>1093</v>
      </c>
      <c r="J2507">
        <f>ROUND(H2507/100*K2502,5)</f>
        <v>7.47</v>
      </c>
      <c r="K2507" s="23"/>
    </row>
    <row r="2508" spans="1:27" x14ac:dyDescent="0.2">
      <c r="D2508" s="24" t="s">
        <v>1091</v>
      </c>
      <c r="E2508" s="23"/>
      <c r="H2508" s="23"/>
      <c r="K2508" s="25">
        <f>SUM(J2500:J2507)</f>
        <v>10362.269999999999</v>
      </c>
    </row>
    <row r="2509" spans="1:27" x14ac:dyDescent="0.2">
      <c r="D2509" s="24" t="s">
        <v>1142</v>
      </c>
      <c r="E2509" s="23"/>
      <c r="H2509" s="23">
        <v>8</v>
      </c>
      <c r="I2509" t="s">
        <v>1093</v>
      </c>
      <c r="K2509" s="21">
        <f>ROUND(H2509/100*K2508,5)</f>
        <v>828.98159999999996</v>
      </c>
    </row>
    <row r="2510" spans="1:27" x14ac:dyDescent="0.2">
      <c r="D2510" s="24" t="s">
        <v>1094</v>
      </c>
      <c r="E2510" s="23"/>
      <c r="H2510" s="23"/>
      <c r="K2510" s="25">
        <f>SUM(K2508:K2509)</f>
        <v>11191.251599999998</v>
      </c>
    </row>
    <row r="2512" spans="1:27" ht="45" customHeight="1" x14ac:dyDescent="0.2">
      <c r="A2512" s="17" t="s">
        <v>2011</v>
      </c>
      <c r="B2512" s="17" t="s">
        <v>450</v>
      </c>
      <c r="C2512" s="1" t="s">
        <v>23</v>
      </c>
      <c r="D2512" s="96" t="s">
        <v>451</v>
      </c>
      <c r="E2512" s="97"/>
      <c r="F2512" s="97"/>
      <c r="G2512" s="1"/>
      <c r="H2512" s="18" t="s">
        <v>1066</v>
      </c>
      <c r="I2512" s="98">
        <v>1</v>
      </c>
      <c r="J2512" s="99"/>
      <c r="K2512" s="19">
        <f>ROUND(K2528,2)</f>
        <v>1530.58</v>
      </c>
      <c r="L2512" s="2" t="s">
        <v>1997</v>
      </c>
      <c r="M2512" s="1"/>
      <c r="N2512" s="1"/>
      <c r="O2512" s="1"/>
      <c r="P2512" s="1"/>
      <c r="Q2512" s="1"/>
      <c r="R2512" s="1"/>
      <c r="S2512" s="1"/>
      <c r="T2512" s="1"/>
      <c r="U2512" s="1"/>
      <c r="V2512" s="1"/>
      <c r="W2512" s="1"/>
      <c r="X2512" s="1"/>
      <c r="Y2512" s="1"/>
      <c r="Z2512" s="1"/>
      <c r="AA2512" s="1"/>
    </row>
    <row r="2513" spans="2:11" x14ac:dyDescent="0.2">
      <c r="B2513" s="14" t="s">
        <v>1068</v>
      </c>
    </row>
    <row r="2514" spans="2:11" x14ac:dyDescent="0.2">
      <c r="B2514" t="s">
        <v>1571</v>
      </c>
      <c r="C2514" t="s">
        <v>1070</v>
      </c>
      <c r="D2514" t="s">
        <v>1572</v>
      </c>
      <c r="E2514" s="20">
        <v>2</v>
      </c>
      <c r="F2514" t="s">
        <v>1072</v>
      </c>
      <c r="G2514" t="s">
        <v>1073</v>
      </c>
      <c r="H2514" s="21">
        <v>29.42</v>
      </c>
      <c r="I2514" t="s">
        <v>1074</v>
      </c>
      <c r="J2514" s="22">
        <f>ROUND(E2514/I2512* H2514,5)</f>
        <v>58.84</v>
      </c>
      <c r="K2514" s="23"/>
    </row>
    <row r="2515" spans="2:11" x14ac:dyDescent="0.2">
      <c r="B2515" t="s">
        <v>1912</v>
      </c>
      <c r="C2515" t="s">
        <v>1070</v>
      </c>
      <c r="D2515" t="s">
        <v>1913</v>
      </c>
      <c r="E2515" s="20">
        <v>2</v>
      </c>
      <c r="F2515" t="s">
        <v>1072</v>
      </c>
      <c r="G2515" t="s">
        <v>1073</v>
      </c>
      <c r="H2515" s="21">
        <v>29.88</v>
      </c>
      <c r="I2515" t="s">
        <v>1074</v>
      </c>
      <c r="J2515" s="22">
        <f>ROUND(E2515/I2512* H2515,5)</f>
        <v>59.76</v>
      </c>
      <c r="K2515" s="23"/>
    </row>
    <row r="2516" spans="2:11" x14ac:dyDescent="0.2">
      <c r="B2516" t="s">
        <v>1569</v>
      </c>
      <c r="C2516" t="s">
        <v>1070</v>
      </c>
      <c r="D2516" t="s">
        <v>1570</v>
      </c>
      <c r="E2516" s="20">
        <v>2</v>
      </c>
      <c r="F2516" t="s">
        <v>1072</v>
      </c>
      <c r="G2516" t="s">
        <v>1073</v>
      </c>
      <c r="H2516" s="21">
        <v>26.12</v>
      </c>
      <c r="I2516" t="s">
        <v>1074</v>
      </c>
      <c r="J2516" s="22">
        <f>ROUND(E2516/I2512* H2516,5)</f>
        <v>52.24</v>
      </c>
      <c r="K2516" s="23"/>
    </row>
    <row r="2517" spans="2:11" x14ac:dyDescent="0.2">
      <c r="B2517" t="s">
        <v>1914</v>
      </c>
      <c r="C2517" t="s">
        <v>1070</v>
      </c>
      <c r="D2517" t="s">
        <v>1915</v>
      </c>
      <c r="E2517" s="20">
        <v>2</v>
      </c>
      <c r="F2517" t="s">
        <v>1072</v>
      </c>
      <c r="G2517" t="s">
        <v>1073</v>
      </c>
      <c r="H2517" s="21">
        <v>26.22</v>
      </c>
      <c r="I2517" t="s">
        <v>1074</v>
      </c>
      <c r="J2517" s="22">
        <f>ROUND(E2517/I2512* H2517,5)</f>
        <v>52.44</v>
      </c>
      <c r="K2517" s="23"/>
    </row>
    <row r="2518" spans="2:11" x14ac:dyDescent="0.2">
      <c r="B2518" t="s">
        <v>1245</v>
      </c>
      <c r="C2518" t="s">
        <v>1070</v>
      </c>
      <c r="D2518" t="s">
        <v>1246</v>
      </c>
      <c r="E2518" s="20">
        <v>5</v>
      </c>
      <c r="F2518" t="s">
        <v>1072</v>
      </c>
      <c r="G2518" t="s">
        <v>1073</v>
      </c>
      <c r="H2518" s="21">
        <v>26.33</v>
      </c>
      <c r="I2518" t="s">
        <v>1074</v>
      </c>
      <c r="J2518" s="22">
        <f>ROUND(E2518/I2512* H2518,5)</f>
        <v>131.65</v>
      </c>
      <c r="K2518" s="23"/>
    </row>
    <row r="2519" spans="2:11" x14ac:dyDescent="0.2">
      <c r="B2519" t="s">
        <v>1414</v>
      </c>
      <c r="C2519" t="s">
        <v>1070</v>
      </c>
      <c r="D2519" t="s">
        <v>1415</v>
      </c>
      <c r="E2519" s="20">
        <v>5</v>
      </c>
      <c r="F2519" t="s">
        <v>1072</v>
      </c>
      <c r="G2519" t="s">
        <v>1073</v>
      </c>
      <c r="H2519" s="21">
        <v>29.94</v>
      </c>
      <c r="I2519" t="s">
        <v>1074</v>
      </c>
      <c r="J2519" s="22">
        <f>ROUND(E2519/I2512* H2519,5)</f>
        <v>149.69999999999999</v>
      </c>
      <c r="K2519" s="23"/>
    </row>
    <row r="2520" spans="2:11" x14ac:dyDescent="0.2">
      <c r="D2520" s="24" t="s">
        <v>1075</v>
      </c>
      <c r="E2520" s="23"/>
      <c r="H2520" s="23"/>
      <c r="K2520" s="21">
        <f>SUM(J2514:J2519)</f>
        <v>504.63</v>
      </c>
    </row>
    <row r="2521" spans="2:11" x14ac:dyDescent="0.2">
      <c r="B2521" s="14" t="s">
        <v>1080</v>
      </c>
      <c r="E2521" s="23"/>
      <c r="H2521" s="23"/>
      <c r="K2521" s="23"/>
    </row>
    <row r="2522" spans="2:11" ht="409.6" x14ac:dyDescent="0.2">
      <c r="B2522" t="s">
        <v>1998</v>
      </c>
      <c r="C2522" t="s">
        <v>23</v>
      </c>
      <c r="D2522" s="26" t="s">
        <v>451</v>
      </c>
      <c r="E2522" s="20">
        <v>1</v>
      </c>
      <c r="G2522" t="s">
        <v>1073</v>
      </c>
      <c r="H2522" s="21">
        <v>905</v>
      </c>
      <c r="I2522" t="s">
        <v>1074</v>
      </c>
      <c r="J2522" s="22">
        <f>ROUND(E2522* H2522,5)</f>
        <v>905</v>
      </c>
      <c r="K2522" s="23"/>
    </row>
    <row r="2523" spans="2:11" x14ac:dyDescent="0.2">
      <c r="D2523" s="24" t="s">
        <v>1090</v>
      </c>
      <c r="E2523" s="23"/>
      <c r="H2523" s="23"/>
      <c r="K2523" s="21">
        <f>SUM(J2522:J2522)</f>
        <v>905</v>
      </c>
    </row>
    <row r="2524" spans="2:11" x14ac:dyDescent="0.2">
      <c r="E2524" s="23"/>
      <c r="H2524" s="23"/>
      <c r="K2524" s="23"/>
    </row>
    <row r="2525" spans="2:11" x14ac:dyDescent="0.2">
      <c r="D2525" s="24" t="s">
        <v>1092</v>
      </c>
      <c r="E2525" s="23"/>
      <c r="H2525" s="23">
        <v>1.5</v>
      </c>
      <c r="I2525" t="s">
        <v>1093</v>
      </c>
      <c r="J2525">
        <f>ROUND(H2525/100*K2520,5)</f>
        <v>7.5694499999999998</v>
      </c>
      <c r="K2525" s="23"/>
    </row>
    <row r="2526" spans="2:11" x14ac:dyDescent="0.2">
      <c r="D2526" s="24" t="s">
        <v>1091</v>
      </c>
      <c r="E2526" s="23"/>
      <c r="H2526" s="23"/>
      <c r="K2526" s="25">
        <f>SUM(J2513:J2525)</f>
        <v>1417.1994500000001</v>
      </c>
    </row>
    <row r="2527" spans="2:11" x14ac:dyDescent="0.2">
      <c r="D2527" s="24" t="s">
        <v>1142</v>
      </c>
      <c r="E2527" s="23"/>
      <c r="H2527" s="23">
        <v>8</v>
      </c>
      <c r="I2527" t="s">
        <v>1093</v>
      </c>
      <c r="K2527" s="21">
        <f>ROUND(H2527/100*K2526,5)</f>
        <v>113.37596000000001</v>
      </c>
    </row>
    <row r="2528" spans="2:11" x14ac:dyDescent="0.2">
      <c r="D2528" s="24" t="s">
        <v>1094</v>
      </c>
      <c r="E2528" s="23"/>
      <c r="H2528" s="23"/>
      <c r="K2528" s="25">
        <f>SUM(K2526:K2527)</f>
        <v>1530.5754100000001</v>
      </c>
    </row>
    <row r="2530" spans="1:27" ht="45" customHeight="1" x14ac:dyDescent="0.2">
      <c r="A2530" s="17" t="s">
        <v>2014</v>
      </c>
      <c r="B2530" s="17" t="s">
        <v>454</v>
      </c>
      <c r="C2530" s="1" t="s">
        <v>23</v>
      </c>
      <c r="D2530" s="96" t="s">
        <v>455</v>
      </c>
      <c r="E2530" s="97"/>
      <c r="F2530" s="97"/>
      <c r="G2530" s="1"/>
      <c r="H2530" s="18" t="s">
        <v>1066</v>
      </c>
      <c r="I2530" s="98">
        <v>1</v>
      </c>
      <c r="J2530" s="99"/>
      <c r="K2530" s="19">
        <f>ROUND(K2546,2)</f>
        <v>515.75</v>
      </c>
      <c r="L2530" s="2" t="s">
        <v>2000</v>
      </c>
      <c r="M2530" s="1"/>
      <c r="N2530" s="1"/>
      <c r="O2530" s="1"/>
      <c r="P2530" s="1"/>
      <c r="Q2530" s="1"/>
      <c r="R2530" s="1"/>
      <c r="S2530" s="1"/>
      <c r="T2530" s="1"/>
      <c r="U2530" s="1"/>
      <c r="V2530" s="1"/>
      <c r="W2530" s="1"/>
      <c r="X2530" s="1"/>
      <c r="Y2530" s="1"/>
      <c r="Z2530" s="1"/>
      <c r="AA2530" s="1"/>
    </row>
    <row r="2531" spans="1:27" x14ac:dyDescent="0.2">
      <c r="B2531" s="14" t="s">
        <v>1068</v>
      </c>
    </row>
    <row r="2532" spans="1:27" x14ac:dyDescent="0.2">
      <c r="B2532" t="s">
        <v>1914</v>
      </c>
      <c r="C2532" t="s">
        <v>1070</v>
      </c>
      <c r="D2532" t="s">
        <v>1915</v>
      </c>
      <c r="E2532" s="20">
        <v>1</v>
      </c>
      <c r="F2532" t="s">
        <v>1072</v>
      </c>
      <c r="G2532" t="s">
        <v>1073</v>
      </c>
      <c r="H2532" s="21">
        <v>26.22</v>
      </c>
      <c r="I2532" t="s">
        <v>1074</v>
      </c>
      <c r="J2532" s="22">
        <f>ROUND(E2532/I2530* H2532,5)</f>
        <v>26.22</v>
      </c>
      <c r="K2532" s="23"/>
    </row>
    <row r="2533" spans="1:27" x14ac:dyDescent="0.2">
      <c r="B2533" t="s">
        <v>1414</v>
      </c>
      <c r="C2533" t="s">
        <v>1070</v>
      </c>
      <c r="D2533" t="s">
        <v>1415</v>
      </c>
      <c r="E2533" s="20">
        <v>2</v>
      </c>
      <c r="F2533" t="s">
        <v>1072</v>
      </c>
      <c r="G2533" t="s">
        <v>1073</v>
      </c>
      <c r="H2533" s="21">
        <v>29.94</v>
      </c>
      <c r="I2533" t="s">
        <v>1074</v>
      </c>
      <c r="J2533" s="22">
        <f>ROUND(E2533/I2530* H2533,5)</f>
        <v>59.88</v>
      </c>
      <c r="K2533" s="23"/>
    </row>
    <row r="2534" spans="1:27" x14ac:dyDescent="0.2">
      <c r="B2534" t="s">
        <v>1569</v>
      </c>
      <c r="C2534" t="s">
        <v>1070</v>
      </c>
      <c r="D2534" t="s">
        <v>1570</v>
      </c>
      <c r="E2534" s="20">
        <v>1</v>
      </c>
      <c r="F2534" t="s">
        <v>1072</v>
      </c>
      <c r="G2534" t="s">
        <v>1073</v>
      </c>
      <c r="H2534" s="21">
        <v>26.12</v>
      </c>
      <c r="I2534" t="s">
        <v>1074</v>
      </c>
      <c r="J2534" s="22">
        <f>ROUND(E2534/I2530* H2534,5)</f>
        <v>26.12</v>
      </c>
      <c r="K2534" s="23"/>
    </row>
    <row r="2535" spans="1:27" x14ac:dyDescent="0.2">
      <c r="B2535" t="s">
        <v>1571</v>
      </c>
      <c r="C2535" t="s">
        <v>1070</v>
      </c>
      <c r="D2535" t="s">
        <v>1572</v>
      </c>
      <c r="E2535" s="20">
        <v>1</v>
      </c>
      <c r="F2535" t="s">
        <v>1072</v>
      </c>
      <c r="G2535" t="s">
        <v>1073</v>
      </c>
      <c r="H2535" s="21">
        <v>29.42</v>
      </c>
      <c r="I2535" t="s">
        <v>1074</v>
      </c>
      <c r="J2535" s="22">
        <f>ROUND(E2535/I2530* H2535,5)</f>
        <v>29.42</v>
      </c>
      <c r="K2535" s="23"/>
    </row>
    <row r="2536" spans="1:27" x14ac:dyDescent="0.2">
      <c r="B2536" t="s">
        <v>1912</v>
      </c>
      <c r="C2536" t="s">
        <v>1070</v>
      </c>
      <c r="D2536" t="s">
        <v>1913</v>
      </c>
      <c r="E2536" s="20">
        <v>1</v>
      </c>
      <c r="F2536" t="s">
        <v>1072</v>
      </c>
      <c r="G2536" t="s">
        <v>1073</v>
      </c>
      <c r="H2536" s="21">
        <v>29.88</v>
      </c>
      <c r="I2536" t="s">
        <v>1074</v>
      </c>
      <c r="J2536" s="22">
        <f>ROUND(E2536/I2530* H2536,5)</f>
        <v>29.88</v>
      </c>
      <c r="K2536" s="23"/>
    </row>
    <row r="2537" spans="1:27" x14ac:dyDescent="0.2">
      <c r="B2537" t="s">
        <v>1245</v>
      </c>
      <c r="C2537" t="s">
        <v>1070</v>
      </c>
      <c r="D2537" t="s">
        <v>1246</v>
      </c>
      <c r="E2537" s="20">
        <v>2</v>
      </c>
      <c r="F2537" t="s">
        <v>1072</v>
      </c>
      <c r="G2537" t="s">
        <v>1073</v>
      </c>
      <c r="H2537" s="21">
        <v>26.33</v>
      </c>
      <c r="I2537" t="s">
        <v>1074</v>
      </c>
      <c r="J2537" s="22">
        <f>ROUND(E2537/I2530* H2537,5)</f>
        <v>52.66</v>
      </c>
      <c r="K2537" s="23"/>
    </row>
    <row r="2538" spans="1:27" x14ac:dyDescent="0.2">
      <c r="D2538" s="24" t="s">
        <v>1075</v>
      </c>
      <c r="E2538" s="23"/>
      <c r="H2538" s="23"/>
      <c r="K2538" s="21">
        <f>SUM(J2532:J2537)</f>
        <v>224.17999999999998</v>
      </c>
    </row>
    <row r="2539" spans="1:27" x14ac:dyDescent="0.2">
      <c r="B2539" s="14" t="s">
        <v>1080</v>
      </c>
      <c r="E2539" s="23"/>
      <c r="H2539" s="23"/>
      <c r="K2539" s="23"/>
    </row>
    <row r="2540" spans="1:27" ht="409.6" x14ac:dyDescent="0.2">
      <c r="B2540" t="s">
        <v>2001</v>
      </c>
      <c r="C2540" t="s">
        <v>23</v>
      </c>
      <c r="D2540" s="26" t="s">
        <v>455</v>
      </c>
      <c r="E2540" s="20">
        <v>1</v>
      </c>
      <c r="G2540" t="s">
        <v>1073</v>
      </c>
      <c r="H2540" s="21">
        <v>250</v>
      </c>
      <c r="I2540" t="s">
        <v>1074</v>
      </c>
      <c r="J2540" s="22">
        <f>ROUND(E2540* H2540,5)</f>
        <v>250</v>
      </c>
      <c r="K2540" s="23"/>
    </row>
    <row r="2541" spans="1:27" x14ac:dyDescent="0.2">
      <c r="D2541" s="24" t="s">
        <v>1090</v>
      </c>
      <c r="E2541" s="23"/>
      <c r="H2541" s="23"/>
      <c r="K2541" s="21">
        <f>SUM(J2540:J2540)</f>
        <v>250</v>
      </c>
    </row>
    <row r="2542" spans="1:27" x14ac:dyDescent="0.2">
      <c r="E2542" s="23"/>
      <c r="H2542" s="23"/>
      <c r="K2542" s="23"/>
    </row>
    <row r="2543" spans="1:27" x14ac:dyDescent="0.2">
      <c r="D2543" s="24" t="s">
        <v>1092</v>
      </c>
      <c r="E2543" s="23"/>
      <c r="H2543" s="23">
        <v>1.5</v>
      </c>
      <c r="I2543" t="s">
        <v>1093</v>
      </c>
      <c r="J2543">
        <f>ROUND(H2543/100*K2538,5)</f>
        <v>3.3626999999999998</v>
      </c>
      <c r="K2543" s="23"/>
    </row>
    <row r="2544" spans="1:27" x14ac:dyDescent="0.2">
      <c r="D2544" s="24" t="s">
        <v>1091</v>
      </c>
      <c r="E2544" s="23"/>
      <c r="H2544" s="23"/>
      <c r="K2544" s="25">
        <f>SUM(J2531:J2543)</f>
        <v>477.54269999999997</v>
      </c>
    </row>
    <row r="2545" spans="1:27" x14ac:dyDescent="0.2">
      <c r="D2545" s="24" t="s">
        <v>1142</v>
      </c>
      <c r="E2545" s="23"/>
      <c r="H2545" s="23">
        <v>8</v>
      </c>
      <c r="I2545" t="s">
        <v>1093</v>
      </c>
      <c r="K2545" s="21">
        <f>ROUND(H2545/100*K2544,5)</f>
        <v>38.203420000000001</v>
      </c>
    </row>
    <row r="2546" spans="1:27" x14ac:dyDescent="0.2">
      <c r="D2546" s="24" t="s">
        <v>1094</v>
      </c>
      <c r="E2546" s="23"/>
      <c r="H2546" s="23"/>
      <c r="K2546" s="25">
        <f>SUM(K2544:K2545)</f>
        <v>515.74612000000002</v>
      </c>
    </row>
    <row r="2548" spans="1:27" ht="45" customHeight="1" x14ac:dyDescent="0.2">
      <c r="A2548" s="17" t="s">
        <v>2017</v>
      </c>
      <c r="B2548" s="17" t="s">
        <v>458</v>
      </c>
      <c r="C2548" s="1" t="s">
        <v>23</v>
      </c>
      <c r="D2548" s="96" t="s">
        <v>459</v>
      </c>
      <c r="E2548" s="97"/>
      <c r="F2548" s="97"/>
      <c r="G2548" s="1"/>
      <c r="H2548" s="18" t="s">
        <v>1066</v>
      </c>
      <c r="I2548" s="98">
        <v>1</v>
      </c>
      <c r="J2548" s="99"/>
      <c r="K2548" s="19">
        <f>ROUND(K2564,2)</f>
        <v>762.59</v>
      </c>
      <c r="L2548" s="2" t="s">
        <v>2003</v>
      </c>
      <c r="M2548" s="1"/>
      <c r="N2548" s="1"/>
      <c r="O2548" s="1"/>
      <c r="P2548" s="1"/>
      <c r="Q2548" s="1"/>
      <c r="R2548" s="1"/>
      <c r="S2548" s="1"/>
      <c r="T2548" s="1"/>
      <c r="U2548" s="1"/>
      <c r="V2548" s="1"/>
      <c r="W2548" s="1"/>
      <c r="X2548" s="1"/>
      <c r="Y2548" s="1"/>
      <c r="Z2548" s="1"/>
      <c r="AA2548" s="1"/>
    </row>
    <row r="2549" spans="1:27" x14ac:dyDescent="0.2">
      <c r="B2549" s="14" t="s">
        <v>1068</v>
      </c>
    </row>
    <row r="2550" spans="1:27" x14ac:dyDescent="0.2">
      <c r="B2550" t="s">
        <v>1914</v>
      </c>
      <c r="C2550" t="s">
        <v>1070</v>
      </c>
      <c r="D2550" t="s">
        <v>1915</v>
      </c>
      <c r="E2550" s="20">
        <v>1</v>
      </c>
      <c r="F2550" t="s">
        <v>1072</v>
      </c>
      <c r="G2550" t="s">
        <v>1073</v>
      </c>
      <c r="H2550" s="21">
        <v>26.22</v>
      </c>
      <c r="I2550" t="s">
        <v>1074</v>
      </c>
      <c r="J2550" s="22">
        <f>ROUND(E2550/I2548* H2550,5)</f>
        <v>26.22</v>
      </c>
      <c r="K2550" s="23"/>
    </row>
    <row r="2551" spans="1:27" x14ac:dyDescent="0.2">
      <c r="B2551" t="s">
        <v>1569</v>
      </c>
      <c r="C2551" t="s">
        <v>1070</v>
      </c>
      <c r="D2551" t="s">
        <v>1570</v>
      </c>
      <c r="E2551" s="20">
        <v>1</v>
      </c>
      <c r="F2551" t="s">
        <v>1072</v>
      </c>
      <c r="G2551" t="s">
        <v>1073</v>
      </c>
      <c r="H2551" s="21">
        <v>26.12</v>
      </c>
      <c r="I2551" t="s">
        <v>1074</v>
      </c>
      <c r="J2551" s="22">
        <f>ROUND(E2551/I2548* H2551,5)</f>
        <v>26.12</v>
      </c>
      <c r="K2551" s="23"/>
    </row>
    <row r="2552" spans="1:27" x14ac:dyDescent="0.2">
      <c r="B2552" t="s">
        <v>1245</v>
      </c>
      <c r="C2552" t="s">
        <v>1070</v>
      </c>
      <c r="D2552" t="s">
        <v>1246</v>
      </c>
      <c r="E2552" s="20">
        <v>2.5</v>
      </c>
      <c r="F2552" t="s">
        <v>1072</v>
      </c>
      <c r="G2552" t="s">
        <v>1073</v>
      </c>
      <c r="H2552" s="21">
        <v>26.33</v>
      </c>
      <c r="I2552" t="s">
        <v>1074</v>
      </c>
      <c r="J2552" s="22">
        <f>ROUND(E2552/I2548* H2552,5)</f>
        <v>65.825000000000003</v>
      </c>
      <c r="K2552" s="23"/>
    </row>
    <row r="2553" spans="1:27" x14ac:dyDescent="0.2">
      <c r="B2553" t="s">
        <v>1912</v>
      </c>
      <c r="C2553" t="s">
        <v>1070</v>
      </c>
      <c r="D2553" t="s">
        <v>1913</v>
      </c>
      <c r="E2553" s="20">
        <v>1</v>
      </c>
      <c r="F2553" t="s">
        <v>1072</v>
      </c>
      <c r="G2553" t="s">
        <v>1073</v>
      </c>
      <c r="H2553" s="21">
        <v>29.88</v>
      </c>
      <c r="I2553" t="s">
        <v>1074</v>
      </c>
      <c r="J2553" s="22">
        <f>ROUND(E2553/I2548* H2553,5)</f>
        <v>29.88</v>
      </c>
      <c r="K2553" s="23"/>
    </row>
    <row r="2554" spans="1:27" x14ac:dyDescent="0.2">
      <c r="B2554" t="s">
        <v>1414</v>
      </c>
      <c r="C2554" t="s">
        <v>1070</v>
      </c>
      <c r="D2554" t="s">
        <v>1415</v>
      </c>
      <c r="E2554" s="20">
        <v>2.5</v>
      </c>
      <c r="F2554" t="s">
        <v>1072</v>
      </c>
      <c r="G2554" t="s">
        <v>1073</v>
      </c>
      <c r="H2554" s="21">
        <v>29.94</v>
      </c>
      <c r="I2554" t="s">
        <v>1074</v>
      </c>
      <c r="J2554" s="22">
        <f>ROUND(E2554/I2548* H2554,5)</f>
        <v>74.849999999999994</v>
      </c>
      <c r="K2554" s="23"/>
    </row>
    <row r="2555" spans="1:27" x14ac:dyDescent="0.2">
      <c r="B2555" t="s">
        <v>1571</v>
      </c>
      <c r="C2555" t="s">
        <v>1070</v>
      </c>
      <c r="D2555" t="s">
        <v>1572</v>
      </c>
      <c r="E2555" s="20">
        <v>1</v>
      </c>
      <c r="F2555" t="s">
        <v>1072</v>
      </c>
      <c r="G2555" t="s">
        <v>1073</v>
      </c>
      <c r="H2555" s="21">
        <v>29.42</v>
      </c>
      <c r="I2555" t="s">
        <v>1074</v>
      </c>
      <c r="J2555" s="22">
        <f>ROUND(E2555/I2548* H2555,5)</f>
        <v>29.42</v>
      </c>
      <c r="K2555" s="23"/>
    </row>
    <row r="2556" spans="1:27" x14ac:dyDescent="0.2">
      <c r="D2556" s="24" t="s">
        <v>1075</v>
      </c>
      <c r="E2556" s="23"/>
      <c r="H2556" s="23"/>
      <c r="K2556" s="21">
        <f>SUM(J2550:J2555)</f>
        <v>252.315</v>
      </c>
    </row>
    <row r="2557" spans="1:27" x14ac:dyDescent="0.2">
      <c r="B2557" s="14" t="s">
        <v>1080</v>
      </c>
      <c r="E2557" s="23"/>
      <c r="H2557" s="23"/>
      <c r="K2557" s="23"/>
    </row>
    <row r="2558" spans="1:27" ht="409.6" x14ac:dyDescent="0.2">
      <c r="B2558" t="s">
        <v>2004</v>
      </c>
      <c r="C2558" t="s">
        <v>23</v>
      </c>
      <c r="D2558" s="26" t="s">
        <v>459</v>
      </c>
      <c r="E2558" s="20">
        <v>1</v>
      </c>
      <c r="G2558" t="s">
        <v>1073</v>
      </c>
      <c r="H2558" s="21">
        <v>450</v>
      </c>
      <c r="I2558" t="s">
        <v>1074</v>
      </c>
      <c r="J2558" s="22">
        <f>ROUND(E2558* H2558,5)</f>
        <v>450</v>
      </c>
      <c r="K2558" s="23"/>
    </row>
    <row r="2559" spans="1:27" x14ac:dyDescent="0.2">
      <c r="D2559" s="24" t="s">
        <v>1090</v>
      </c>
      <c r="E2559" s="23"/>
      <c r="H2559" s="23"/>
      <c r="K2559" s="21">
        <f>SUM(J2558:J2558)</f>
        <v>450</v>
      </c>
    </row>
    <row r="2560" spans="1:27" x14ac:dyDescent="0.2">
      <c r="E2560" s="23"/>
      <c r="H2560" s="23"/>
      <c r="K2560" s="23"/>
    </row>
    <row r="2561" spans="1:27" x14ac:dyDescent="0.2">
      <c r="D2561" s="24" t="s">
        <v>1092</v>
      </c>
      <c r="E2561" s="23"/>
      <c r="H2561" s="23">
        <v>1.5</v>
      </c>
      <c r="I2561" t="s">
        <v>1093</v>
      </c>
      <c r="J2561">
        <f>ROUND(H2561/100*K2556,5)</f>
        <v>3.7847300000000001</v>
      </c>
      <c r="K2561" s="23"/>
    </row>
    <row r="2562" spans="1:27" x14ac:dyDescent="0.2">
      <c r="D2562" s="24" t="s">
        <v>1091</v>
      </c>
      <c r="E2562" s="23"/>
      <c r="H2562" s="23"/>
      <c r="K2562" s="25">
        <f>SUM(J2549:J2561)</f>
        <v>706.09973000000002</v>
      </c>
    </row>
    <row r="2563" spans="1:27" x14ac:dyDescent="0.2">
      <c r="D2563" s="24" t="s">
        <v>1142</v>
      </c>
      <c r="E2563" s="23"/>
      <c r="H2563" s="23">
        <v>8</v>
      </c>
      <c r="I2563" t="s">
        <v>1093</v>
      </c>
      <c r="K2563" s="21">
        <f>ROUND(H2563/100*K2562,5)</f>
        <v>56.48798</v>
      </c>
    </row>
    <row r="2564" spans="1:27" x14ac:dyDescent="0.2">
      <c r="D2564" s="24" t="s">
        <v>1094</v>
      </c>
      <c r="E2564" s="23"/>
      <c r="H2564" s="23"/>
      <c r="K2564" s="25">
        <f>SUM(K2562:K2563)</f>
        <v>762.58771000000002</v>
      </c>
    </row>
    <row r="2566" spans="1:27" ht="45" customHeight="1" x14ac:dyDescent="0.2">
      <c r="A2566" s="17" t="s">
        <v>2019</v>
      </c>
      <c r="B2566" s="17" t="s">
        <v>460</v>
      </c>
      <c r="C2566" s="1" t="s">
        <v>23</v>
      </c>
      <c r="D2566" s="96" t="s">
        <v>461</v>
      </c>
      <c r="E2566" s="97"/>
      <c r="F2566" s="97"/>
      <c r="G2566" s="1"/>
      <c r="H2566" s="18" t="s">
        <v>1066</v>
      </c>
      <c r="I2566" s="98">
        <v>1</v>
      </c>
      <c r="J2566" s="99"/>
      <c r="K2566" s="19">
        <f>ROUND(K2582,2)</f>
        <v>430.9</v>
      </c>
      <c r="L2566" s="2" t="s">
        <v>2006</v>
      </c>
      <c r="M2566" s="1"/>
      <c r="N2566" s="1"/>
      <c r="O2566" s="1"/>
      <c r="P2566" s="1"/>
      <c r="Q2566" s="1"/>
      <c r="R2566" s="1"/>
      <c r="S2566" s="1"/>
      <c r="T2566" s="1"/>
      <c r="U2566" s="1"/>
      <c r="V2566" s="1"/>
      <c r="W2566" s="1"/>
      <c r="X2566" s="1"/>
      <c r="Y2566" s="1"/>
      <c r="Z2566" s="1"/>
      <c r="AA2566" s="1"/>
    </row>
    <row r="2567" spans="1:27" x14ac:dyDescent="0.2">
      <c r="B2567" s="14" t="s">
        <v>1068</v>
      </c>
    </row>
    <row r="2568" spans="1:27" x14ac:dyDescent="0.2">
      <c r="B2568" t="s">
        <v>1414</v>
      </c>
      <c r="C2568" t="s">
        <v>1070</v>
      </c>
      <c r="D2568" t="s">
        <v>1415</v>
      </c>
      <c r="E2568" s="20">
        <v>1.5</v>
      </c>
      <c r="F2568" t="s">
        <v>1072</v>
      </c>
      <c r="G2568" t="s">
        <v>1073</v>
      </c>
      <c r="H2568" s="21">
        <v>29.94</v>
      </c>
      <c r="I2568" t="s">
        <v>1074</v>
      </c>
      <c r="J2568" s="22">
        <f>ROUND(E2568/I2566* H2568,5)</f>
        <v>44.91</v>
      </c>
      <c r="K2568" s="23"/>
    </row>
    <row r="2569" spans="1:27" x14ac:dyDescent="0.2">
      <c r="B2569" t="s">
        <v>1912</v>
      </c>
      <c r="C2569" t="s">
        <v>1070</v>
      </c>
      <c r="D2569" t="s">
        <v>1913</v>
      </c>
      <c r="E2569" s="20">
        <v>1</v>
      </c>
      <c r="F2569" t="s">
        <v>1072</v>
      </c>
      <c r="G2569" t="s">
        <v>1073</v>
      </c>
      <c r="H2569" s="21">
        <v>29.88</v>
      </c>
      <c r="I2569" t="s">
        <v>1074</v>
      </c>
      <c r="J2569" s="22">
        <f>ROUND(E2569/I2566* H2569,5)</f>
        <v>29.88</v>
      </c>
      <c r="K2569" s="23"/>
    </row>
    <row r="2570" spans="1:27" x14ac:dyDescent="0.2">
      <c r="B2570" t="s">
        <v>1245</v>
      </c>
      <c r="C2570" t="s">
        <v>1070</v>
      </c>
      <c r="D2570" t="s">
        <v>1246</v>
      </c>
      <c r="E2570" s="20">
        <v>1.5</v>
      </c>
      <c r="F2570" t="s">
        <v>1072</v>
      </c>
      <c r="G2570" t="s">
        <v>1073</v>
      </c>
      <c r="H2570" s="21">
        <v>26.33</v>
      </c>
      <c r="I2570" t="s">
        <v>1074</v>
      </c>
      <c r="J2570" s="22">
        <f>ROUND(E2570/I2566* H2570,5)</f>
        <v>39.494999999999997</v>
      </c>
      <c r="K2570" s="23"/>
    </row>
    <row r="2571" spans="1:27" x14ac:dyDescent="0.2">
      <c r="B2571" t="s">
        <v>1571</v>
      </c>
      <c r="C2571" t="s">
        <v>1070</v>
      </c>
      <c r="D2571" t="s">
        <v>1572</v>
      </c>
      <c r="E2571" s="20">
        <v>1</v>
      </c>
      <c r="F2571" t="s">
        <v>1072</v>
      </c>
      <c r="G2571" t="s">
        <v>1073</v>
      </c>
      <c r="H2571" s="21">
        <v>29.42</v>
      </c>
      <c r="I2571" t="s">
        <v>1074</v>
      </c>
      <c r="J2571" s="22">
        <f>ROUND(E2571/I2566* H2571,5)</f>
        <v>29.42</v>
      </c>
      <c r="K2571" s="23"/>
    </row>
    <row r="2572" spans="1:27" x14ac:dyDescent="0.2">
      <c r="B2572" t="s">
        <v>1569</v>
      </c>
      <c r="C2572" t="s">
        <v>1070</v>
      </c>
      <c r="D2572" t="s">
        <v>1570</v>
      </c>
      <c r="E2572" s="20">
        <v>1</v>
      </c>
      <c r="F2572" t="s">
        <v>1072</v>
      </c>
      <c r="G2572" t="s">
        <v>1073</v>
      </c>
      <c r="H2572" s="21">
        <v>26.12</v>
      </c>
      <c r="I2572" t="s">
        <v>1074</v>
      </c>
      <c r="J2572" s="22">
        <f>ROUND(E2572/I2566* H2572,5)</f>
        <v>26.12</v>
      </c>
      <c r="K2572" s="23"/>
    </row>
    <row r="2573" spans="1:27" x14ac:dyDescent="0.2">
      <c r="B2573" t="s">
        <v>1914</v>
      </c>
      <c r="C2573" t="s">
        <v>1070</v>
      </c>
      <c r="D2573" t="s">
        <v>1915</v>
      </c>
      <c r="E2573" s="20">
        <v>1</v>
      </c>
      <c r="F2573" t="s">
        <v>1072</v>
      </c>
      <c r="G2573" t="s">
        <v>1073</v>
      </c>
      <c r="H2573" s="21">
        <v>26.22</v>
      </c>
      <c r="I2573" t="s">
        <v>1074</v>
      </c>
      <c r="J2573" s="22">
        <f>ROUND(E2573/I2566* H2573,5)</f>
        <v>26.22</v>
      </c>
      <c r="K2573" s="23"/>
    </row>
    <row r="2574" spans="1:27" x14ac:dyDescent="0.2">
      <c r="D2574" s="24" t="s">
        <v>1075</v>
      </c>
      <c r="E2574" s="23"/>
      <c r="H2574" s="23"/>
      <c r="K2574" s="21">
        <f>SUM(J2568:J2573)</f>
        <v>196.04499999999999</v>
      </c>
    </row>
    <row r="2575" spans="1:27" x14ac:dyDescent="0.2">
      <c r="B2575" s="14" t="s">
        <v>1080</v>
      </c>
      <c r="E2575" s="23"/>
      <c r="H2575" s="23"/>
      <c r="K2575" s="23"/>
    </row>
    <row r="2576" spans="1:27" ht="409.6" x14ac:dyDescent="0.2">
      <c r="B2576" t="s">
        <v>2007</v>
      </c>
      <c r="C2576" t="s">
        <v>23</v>
      </c>
      <c r="D2576" s="26" t="s">
        <v>461</v>
      </c>
      <c r="E2576" s="20">
        <v>1</v>
      </c>
      <c r="G2576" t="s">
        <v>1073</v>
      </c>
      <c r="H2576" s="21">
        <v>200</v>
      </c>
      <c r="I2576" t="s">
        <v>1074</v>
      </c>
      <c r="J2576" s="22">
        <f>ROUND(E2576* H2576,5)</f>
        <v>200</v>
      </c>
      <c r="K2576" s="23"/>
    </row>
    <row r="2577" spans="1:27" x14ac:dyDescent="0.2">
      <c r="D2577" s="24" t="s">
        <v>1090</v>
      </c>
      <c r="E2577" s="23"/>
      <c r="H2577" s="23"/>
      <c r="K2577" s="21">
        <f>SUM(J2576:J2576)</f>
        <v>200</v>
      </c>
    </row>
    <row r="2578" spans="1:27" x14ac:dyDescent="0.2">
      <c r="E2578" s="23"/>
      <c r="H2578" s="23"/>
      <c r="K2578" s="23"/>
    </row>
    <row r="2579" spans="1:27" x14ac:dyDescent="0.2">
      <c r="D2579" s="24" t="s">
        <v>1092</v>
      </c>
      <c r="E2579" s="23"/>
      <c r="H2579" s="23">
        <v>1.5</v>
      </c>
      <c r="I2579" t="s">
        <v>1093</v>
      </c>
      <c r="J2579">
        <f>ROUND(H2579/100*K2574,5)</f>
        <v>2.94068</v>
      </c>
      <c r="K2579" s="23"/>
    </row>
    <row r="2580" spans="1:27" x14ac:dyDescent="0.2">
      <c r="D2580" s="24" t="s">
        <v>1091</v>
      </c>
      <c r="E2580" s="23"/>
      <c r="H2580" s="23"/>
      <c r="K2580" s="25">
        <f>SUM(J2567:J2579)</f>
        <v>398.98567999999995</v>
      </c>
    </row>
    <row r="2581" spans="1:27" x14ac:dyDescent="0.2">
      <c r="D2581" s="24" t="s">
        <v>1142</v>
      </c>
      <c r="E2581" s="23"/>
      <c r="H2581" s="23">
        <v>8</v>
      </c>
      <c r="I2581" t="s">
        <v>1093</v>
      </c>
      <c r="K2581" s="21">
        <f>ROUND(H2581/100*K2580,5)</f>
        <v>31.918849999999999</v>
      </c>
    </row>
    <row r="2582" spans="1:27" x14ac:dyDescent="0.2">
      <c r="D2582" s="24" t="s">
        <v>1094</v>
      </c>
      <c r="E2582" s="23"/>
      <c r="H2582" s="23"/>
      <c r="K2582" s="25">
        <f>SUM(K2580:K2581)</f>
        <v>430.90452999999997</v>
      </c>
    </row>
    <row r="2584" spans="1:27" ht="45" customHeight="1" x14ac:dyDescent="0.2">
      <c r="A2584" s="17" t="s">
        <v>2021</v>
      </c>
      <c r="B2584" s="17" t="s">
        <v>462</v>
      </c>
      <c r="C2584" s="1" t="s">
        <v>23</v>
      </c>
      <c r="D2584" s="96" t="s">
        <v>463</v>
      </c>
      <c r="E2584" s="97"/>
      <c r="F2584" s="97"/>
      <c r="G2584" s="1"/>
      <c r="H2584" s="18" t="s">
        <v>1066</v>
      </c>
      <c r="I2584" s="98">
        <v>1</v>
      </c>
      <c r="J2584" s="99"/>
      <c r="K2584" s="19">
        <f>ROUND(K2600,2)</f>
        <v>747.47</v>
      </c>
      <c r="L2584" s="2" t="s">
        <v>2009</v>
      </c>
      <c r="M2584" s="1"/>
      <c r="N2584" s="1"/>
      <c r="O2584" s="1"/>
      <c r="P2584" s="1"/>
      <c r="Q2584" s="1"/>
      <c r="R2584" s="1"/>
      <c r="S2584" s="1"/>
      <c r="T2584" s="1"/>
      <c r="U2584" s="1"/>
      <c r="V2584" s="1"/>
      <c r="W2584" s="1"/>
      <c r="X2584" s="1"/>
      <c r="Y2584" s="1"/>
      <c r="Z2584" s="1"/>
      <c r="AA2584" s="1"/>
    </row>
    <row r="2585" spans="1:27" x14ac:dyDescent="0.2">
      <c r="B2585" s="14" t="s">
        <v>1068</v>
      </c>
    </row>
    <row r="2586" spans="1:27" x14ac:dyDescent="0.2">
      <c r="B2586" t="s">
        <v>1571</v>
      </c>
      <c r="C2586" t="s">
        <v>1070</v>
      </c>
      <c r="D2586" t="s">
        <v>1572</v>
      </c>
      <c r="E2586" s="20">
        <v>1</v>
      </c>
      <c r="F2586" t="s">
        <v>1072</v>
      </c>
      <c r="G2586" t="s">
        <v>1073</v>
      </c>
      <c r="H2586" s="21">
        <v>29.42</v>
      </c>
      <c r="I2586" t="s">
        <v>1074</v>
      </c>
      <c r="J2586" s="22">
        <f>ROUND(E2586/I2584* H2586,5)</f>
        <v>29.42</v>
      </c>
      <c r="K2586" s="23"/>
    </row>
    <row r="2587" spans="1:27" x14ac:dyDescent="0.2">
      <c r="B2587" t="s">
        <v>1912</v>
      </c>
      <c r="C2587" t="s">
        <v>1070</v>
      </c>
      <c r="D2587" t="s">
        <v>1913</v>
      </c>
      <c r="E2587" s="20">
        <v>1</v>
      </c>
      <c r="F2587" t="s">
        <v>1072</v>
      </c>
      <c r="G2587" t="s">
        <v>1073</v>
      </c>
      <c r="H2587" s="21">
        <v>29.88</v>
      </c>
      <c r="I2587" t="s">
        <v>1074</v>
      </c>
      <c r="J2587" s="22">
        <f>ROUND(E2587/I2584* H2587,5)</f>
        <v>29.88</v>
      </c>
      <c r="K2587" s="23"/>
    </row>
    <row r="2588" spans="1:27" x14ac:dyDescent="0.2">
      <c r="B2588" t="s">
        <v>1569</v>
      </c>
      <c r="C2588" t="s">
        <v>1070</v>
      </c>
      <c r="D2588" t="s">
        <v>1570</v>
      </c>
      <c r="E2588" s="20">
        <v>1</v>
      </c>
      <c r="F2588" t="s">
        <v>1072</v>
      </c>
      <c r="G2588" t="s">
        <v>1073</v>
      </c>
      <c r="H2588" s="21">
        <v>26.12</v>
      </c>
      <c r="I2588" t="s">
        <v>1074</v>
      </c>
      <c r="J2588" s="22">
        <f>ROUND(E2588/I2584* H2588,5)</f>
        <v>26.12</v>
      </c>
      <c r="K2588" s="23"/>
    </row>
    <row r="2589" spans="1:27" x14ac:dyDescent="0.2">
      <c r="B2589" t="s">
        <v>1914</v>
      </c>
      <c r="C2589" t="s">
        <v>1070</v>
      </c>
      <c r="D2589" t="s">
        <v>1915</v>
      </c>
      <c r="E2589" s="20">
        <v>1</v>
      </c>
      <c r="F2589" t="s">
        <v>1072</v>
      </c>
      <c r="G2589" t="s">
        <v>1073</v>
      </c>
      <c r="H2589" s="21">
        <v>26.22</v>
      </c>
      <c r="I2589" t="s">
        <v>1074</v>
      </c>
      <c r="J2589" s="22">
        <f>ROUND(E2589/I2584* H2589,5)</f>
        <v>26.22</v>
      </c>
      <c r="K2589" s="23"/>
    </row>
    <row r="2590" spans="1:27" x14ac:dyDescent="0.2">
      <c r="B2590" t="s">
        <v>1414</v>
      </c>
      <c r="C2590" t="s">
        <v>1070</v>
      </c>
      <c r="D2590" t="s">
        <v>1415</v>
      </c>
      <c r="E2590" s="20">
        <v>2.5</v>
      </c>
      <c r="F2590" t="s">
        <v>1072</v>
      </c>
      <c r="G2590" t="s">
        <v>1073</v>
      </c>
      <c r="H2590" s="21">
        <v>29.94</v>
      </c>
      <c r="I2590" t="s">
        <v>1074</v>
      </c>
      <c r="J2590" s="22">
        <f>ROUND(E2590/I2584* H2590,5)</f>
        <v>74.849999999999994</v>
      </c>
      <c r="K2590" s="23"/>
    </row>
    <row r="2591" spans="1:27" x14ac:dyDescent="0.2">
      <c r="B2591" t="s">
        <v>1245</v>
      </c>
      <c r="C2591" t="s">
        <v>1070</v>
      </c>
      <c r="D2591" t="s">
        <v>1246</v>
      </c>
      <c r="E2591" s="20">
        <v>2.5</v>
      </c>
      <c r="F2591" t="s">
        <v>1072</v>
      </c>
      <c r="G2591" t="s">
        <v>1073</v>
      </c>
      <c r="H2591" s="21">
        <v>26.33</v>
      </c>
      <c r="I2591" t="s">
        <v>1074</v>
      </c>
      <c r="J2591" s="22">
        <f>ROUND(E2591/I2584* H2591,5)</f>
        <v>65.825000000000003</v>
      </c>
      <c r="K2591" s="23"/>
    </row>
    <row r="2592" spans="1:27" x14ac:dyDescent="0.2">
      <c r="D2592" s="24" t="s">
        <v>1075</v>
      </c>
      <c r="E2592" s="23"/>
      <c r="H2592" s="23"/>
      <c r="K2592" s="21">
        <f>SUM(J2586:J2591)</f>
        <v>252.315</v>
      </c>
    </row>
    <row r="2593" spans="1:27" x14ac:dyDescent="0.2">
      <c r="B2593" s="14" t="s">
        <v>1080</v>
      </c>
      <c r="E2593" s="23"/>
      <c r="H2593" s="23"/>
      <c r="K2593" s="23"/>
    </row>
    <row r="2594" spans="1:27" ht="409.6" x14ac:dyDescent="0.2">
      <c r="B2594" t="s">
        <v>2010</v>
      </c>
      <c r="C2594" t="s">
        <v>23</v>
      </c>
      <c r="D2594" s="26" t="s">
        <v>463</v>
      </c>
      <c r="E2594" s="20">
        <v>1</v>
      </c>
      <c r="G2594" t="s">
        <v>1073</v>
      </c>
      <c r="H2594" s="21">
        <v>436</v>
      </c>
      <c r="I2594" t="s">
        <v>1074</v>
      </c>
      <c r="J2594" s="22">
        <f>ROUND(E2594* H2594,5)</f>
        <v>436</v>
      </c>
      <c r="K2594" s="23"/>
    </row>
    <row r="2595" spans="1:27" x14ac:dyDescent="0.2">
      <c r="D2595" s="24" t="s">
        <v>1090</v>
      </c>
      <c r="E2595" s="23"/>
      <c r="H2595" s="23"/>
      <c r="K2595" s="21">
        <f>SUM(J2594:J2594)</f>
        <v>436</v>
      </c>
    </row>
    <row r="2596" spans="1:27" x14ac:dyDescent="0.2">
      <c r="E2596" s="23"/>
      <c r="H2596" s="23"/>
      <c r="K2596" s="23"/>
    </row>
    <row r="2597" spans="1:27" x14ac:dyDescent="0.2">
      <c r="D2597" s="24" t="s">
        <v>1092</v>
      </c>
      <c r="E2597" s="23"/>
      <c r="H2597" s="23">
        <v>1.5</v>
      </c>
      <c r="I2597" t="s">
        <v>1093</v>
      </c>
      <c r="J2597">
        <f>ROUND(H2597/100*K2592,5)</f>
        <v>3.7847300000000001</v>
      </c>
      <c r="K2597" s="23"/>
    </row>
    <row r="2598" spans="1:27" x14ac:dyDescent="0.2">
      <c r="D2598" s="24" t="s">
        <v>1091</v>
      </c>
      <c r="E2598" s="23"/>
      <c r="H2598" s="23"/>
      <c r="K2598" s="25">
        <f>SUM(J2585:J2597)</f>
        <v>692.09973000000002</v>
      </c>
    </row>
    <row r="2599" spans="1:27" x14ac:dyDescent="0.2">
      <c r="D2599" s="24" t="s">
        <v>1142</v>
      </c>
      <c r="E2599" s="23"/>
      <c r="H2599" s="23">
        <v>8</v>
      </c>
      <c r="I2599" t="s">
        <v>1093</v>
      </c>
      <c r="K2599" s="21">
        <f>ROUND(H2599/100*K2598,5)</f>
        <v>55.367980000000003</v>
      </c>
    </row>
    <row r="2600" spans="1:27" x14ac:dyDescent="0.2">
      <c r="D2600" s="24" t="s">
        <v>1094</v>
      </c>
      <c r="E2600" s="23"/>
      <c r="H2600" s="23"/>
      <c r="K2600" s="25">
        <f>SUM(K2598:K2599)</f>
        <v>747.46771000000001</v>
      </c>
    </row>
    <row r="2602" spans="1:27" ht="45" customHeight="1" x14ac:dyDescent="0.2">
      <c r="A2602" s="17" t="s">
        <v>2023</v>
      </c>
      <c r="B2602" s="17" t="s">
        <v>464</v>
      </c>
      <c r="C2602" s="1" t="s">
        <v>23</v>
      </c>
      <c r="D2602" s="96" t="s">
        <v>465</v>
      </c>
      <c r="E2602" s="97"/>
      <c r="F2602" s="97"/>
      <c r="G2602" s="1"/>
      <c r="H2602" s="18" t="s">
        <v>1066</v>
      </c>
      <c r="I2602" s="98">
        <v>1</v>
      </c>
      <c r="J2602" s="99"/>
      <c r="K2602" s="19">
        <f>ROUND(K2618,2)</f>
        <v>1418.73</v>
      </c>
      <c r="L2602" s="2" t="s">
        <v>2012</v>
      </c>
      <c r="M2602" s="1"/>
      <c r="N2602" s="1"/>
      <c r="O2602" s="1"/>
      <c r="P2602" s="1"/>
      <c r="Q2602" s="1"/>
      <c r="R2602" s="1"/>
      <c r="S2602" s="1"/>
      <c r="T2602" s="1"/>
      <c r="U2602" s="1"/>
      <c r="V2602" s="1"/>
      <c r="W2602" s="1"/>
      <c r="X2602" s="1"/>
      <c r="Y2602" s="1"/>
      <c r="Z2602" s="1"/>
      <c r="AA2602" s="1"/>
    </row>
    <row r="2603" spans="1:27" x14ac:dyDescent="0.2">
      <c r="B2603" s="14" t="s">
        <v>1068</v>
      </c>
    </row>
    <row r="2604" spans="1:27" x14ac:dyDescent="0.2">
      <c r="B2604" t="s">
        <v>1245</v>
      </c>
      <c r="C2604" t="s">
        <v>1070</v>
      </c>
      <c r="D2604" t="s">
        <v>1246</v>
      </c>
      <c r="E2604" s="20">
        <v>4.5</v>
      </c>
      <c r="F2604" t="s">
        <v>1072</v>
      </c>
      <c r="G2604" t="s">
        <v>1073</v>
      </c>
      <c r="H2604" s="21">
        <v>26.33</v>
      </c>
      <c r="I2604" t="s">
        <v>1074</v>
      </c>
      <c r="J2604" s="22">
        <f>ROUND(E2604/I2602* H2604,5)</f>
        <v>118.485</v>
      </c>
      <c r="K2604" s="23"/>
    </row>
    <row r="2605" spans="1:27" x14ac:dyDescent="0.2">
      <c r="B2605" t="s">
        <v>1414</v>
      </c>
      <c r="C2605" t="s">
        <v>1070</v>
      </c>
      <c r="D2605" t="s">
        <v>1415</v>
      </c>
      <c r="E2605" s="20">
        <v>4.5</v>
      </c>
      <c r="F2605" t="s">
        <v>1072</v>
      </c>
      <c r="G2605" t="s">
        <v>1073</v>
      </c>
      <c r="H2605" s="21">
        <v>29.94</v>
      </c>
      <c r="I2605" t="s">
        <v>1074</v>
      </c>
      <c r="J2605" s="22">
        <f>ROUND(E2605/I2602* H2605,5)</f>
        <v>134.72999999999999</v>
      </c>
      <c r="K2605" s="23"/>
    </row>
    <row r="2606" spans="1:27" x14ac:dyDescent="0.2">
      <c r="B2606" t="s">
        <v>1914</v>
      </c>
      <c r="C2606" t="s">
        <v>1070</v>
      </c>
      <c r="D2606" t="s">
        <v>1915</v>
      </c>
      <c r="E2606" s="20">
        <v>2</v>
      </c>
      <c r="F2606" t="s">
        <v>1072</v>
      </c>
      <c r="G2606" t="s">
        <v>1073</v>
      </c>
      <c r="H2606" s="21">
        <v>26.22</v>
      </c>
      <c r="I2606" t="s">
        <v>1074</v>
      </c>
      <c r="J2606" s="22">
        <f>ROUND(E2606/I2602* H2606,5)</f>
        <v>52.44</v>
      </c>
      <c r="K2606" s="23"/>
    </row>
    <row r="2607" spans="1:27" x14ac:dyDescent="0.2">
      <c r="B2607" t="s">
        <v>1569</v>
      </c>
      <c r="C2607" t="s">
        <v>1070</v>
      </c>
      <c r="D2607" t="s">
        <v>1570</v>
      </c>
      <c r="E2607" s="20">
        <v>2</v>
      </c>
      <c r="F2607" t="s">
        <v>1072</v>
      </c>
      <c r="G2607" t="s">
        <v>1073</v>
      </c>
      <c r="H2607" s="21">
        <v>26.12</v>
      </c>
      <c r="I2607" t="s">
        <v>1074</v>
      </c>
      <c r="J2607" s="22">
        <f>ROUND(E2607/I2602* H2607,5)</f>
        <v>52.24</v>
      </c>
      <c r="K2607" s="23"/>
    </row>
    <row r="2608" spans="1:27" x14ac:dyDescent="0.2">
      <c r="B2608" t="s">
        <v>1912</v>
      </c>
      <c r="C2608" t="s">
        <v>1070</v>
      </c>
      <c r="D2608" t="s">
        <v>1913</v>
      </c>
      <c r="E2608" s="20">
        <v>2</v>
      </c>
      <c r="F2608" t="s">
        <v>1072</v>
      </c>
      <c r="G2608" t="s">
        <v>1073</v>
      </c>
      <c r="H2608" s="21">
        <v>29.88</v>
      </c>
      <c r="I2608" t="s">
        <v>1074</v>
      </c>
      <c r="J2608" s="22">
        <f>ROUND(E2608/I2602* H2608,5)</f>
        <v>59.76</v>
      </c>
      <c r="K2608" s="23"/>
    </row>
    <row r="2609" spans="1:27" x14ac:dyDescent="0.2">
      <c r="B2609" t="s">
        <v>1571</v>
      </c>
      <c r="C2609" t="s">
        <v>1070</v>
      </c>
      <c r="D2609" t="s">
        <v>1572</v>
      </c>
      <c r="E2609" s="20">
        <v>2</v>
      </c>
      <c r="F2609" t="s">
        <v>1072</v>
      </c>
      <c r="G2609" t="s">
        <v>1073</v>
      </c>
      <c r="H2609" s="21">
        <v>29.42</v>
      </c>
      <c r="I2609" t="s">
        <v>1074</v>
      </c>
      <c r="J2609" s="22">
        <f>ROUND(E2609/I2602* H2609,5)</f>
        <v>58.84</v>
      </c>
      <c r="K2609" s="23"/>
    </row>
    <row r="2610" spans="1:27" x14ac:dyDescent="0.2">
      <c r="D2610" s="24" t="s">
        <v>1075</v>
      </c>
      <c r="E2610" s="23"/>
      <c r="H2610" s="23"/>
      <c r="K2610" s="21">
        <f>SUM(J2604:J2609)</f>
        <v>476.495</v>
      </c>
    </row>
    <row r="2611" spans="1:27" x14ac:dyDescent="0.2">
      <c r="B2611" s="14" t="s">
        <v>1080</v>
      </c>
      <c r="E2611" s="23"/>
      <c r="H2611" s="23"/>
      <c r="K2611" s="23"/>
    </row>
    <row r="2612" spans="1:27" ht="409.6" x14ac:dyDescent="0.2">
      <c r="B2612" t="s">
        <v>2013</v>
      </c>
      <c r="C2612" t="s">
        <v>23</v>
      </c>
      <c r="D2612" s="26" t="s">
        <v>465</v>
      </c>
      <c r="E2612" s="20">
        <v>1</v>
      </c>
      <c r="G2612" t="s">
        <v>1073</v>
      </c>
      <c r="H2612" s="21">
        <v>830</v>
      </c>
      <c r="I2612" t="s">
        <v>1074</v>
      </c>
      <c r="J2612" s="22">
        <f>ROUND(E2612* H2612,5)</f>
        <v>830</v>
      </c>
      <c r="K2612" s="23"/>
    </row>
    <row r="2613" spans="1:27" x14ac:dyDescent="0.2">
      <c r="D2613" s="24" t="s">
        <v>1090</v>
      </c>
      <c r="E2613" s="23"/>
      <c r="H2613" s="23"/>
      <c r="K2613" s="21">
        <f>SUM(J2612:J2612)</f>
        <v>830</v>
      </c>
    </row>
    <row r="2614" spans="1:27" x14ac:dyDescent="0.2">
      <c r="E2614" s="23"/>
      <c r="H2614" s="23"/>
      <c r="K2614" s="23"/>
    </row>
    <row r="2615" spans="1:27" x14ac:dyDescent="0.2">
      <c r="D2615" s="24" t="s">
        <v>1092</v>
      </c>
      <c r="E2615" s="23"/>
      <c r="H2615" s="23">
        <v>1.5</v>
      </c>
      <c r="I2615" t="s">
        <v>1093</v>
      </c>
      <c r="J2615">
        <f>ROUND(H2615/100*K2610,5)</f>
        <v>7.1474299999999999</v>
      </c>
      <c r="K2615" s="23"/>
    </row>
    <row r="2616" spans="1:27" x14ac:dyDescent="0.2">
      <c r="D2616" s="24" t="s">
        <v>1091</v>
      </c>
      <c r="E2616" s="23"/>
      <c r="H2616" s="23"/>
      <c r="K2616" s="25">
        <f>SUM(J2603:J2615)</f>
        <v>1313.6424299999999</v>
      </c>
    </row>
    <row r="2617" spans="1:27" x14ac:dyDescent="0.2">
      <c r="D2617" s="24" t="s">
        <v>1142</v>
      </c>
      <c r="E2617" s="23"/>
      <c r="H2617" s="23">
        <v>8</v>
      </c>
      <c r="I2617" t="s">
        <v>1093</v>
      </c>
      <c r="K2617" s="21">
        <f>ROUND(H2617/100*K2616,5)</f>
        <v>105.09139</v>
      </c>
    </row>
    <row r="2618" spans="1:27" x14ac:dyDescent="0.2">
      <c r="D2618" s="24" t="s">
        <v>1094</v>
      </c>
      <c r="E2618" s="23"/>
      <c r="H2618" s="23"/>
      <c r="K2618" s="25">
        <f>SUM(K2616:K2617)</f>
        <v>1418.7338199999999</v>
      </c>
    </row>
    <row r="2620" spans="1:27" ht="45" customHeight="1" x14ac:dyDescent="0.2">
      <c r="A2620" s="17" t="s">
        <v>2025</v>
      </c>
      <c r="B2620" s="17" t="s">
        <v>466</v>
      </c>
      <c r="C2620" s="1" t="s">
        <v>23</v>
      </c>
      <c r="D2620" s="96" t="s">
        <v>467</v>
      </c>
      <c r="E2620" s="97"/>
      <c r="F2620" s="97"/>
      <c r="G2620" s="1"/>
      <c r="H2620" s="18" t="s">
        <v>1066</v>
      </c>
      <c r="I2620" s="98">
        <v>1</v>
      </c>
      <c r="J2620" s="99"/>
      <c r="K2620" s="19">
        <f>ROUND(K2636,2)</f>
        <v>762.59</v>
      </c>
      <c r="L2620" s="2" t="s">
        <v>2015</v>
      </c>
      <c r="M2620" s="1"/>
      <c r="N2620" s="1"/>
      <c r="O2620" s="1"/>
      <c r="P2620" s="1"/>
      <c r="Q2620" s="1"/>
      <c r="R2620" s="1"/>
      <c r="S2620" s="1"/>
      <c r="T2620" s="1"/>
      <c r="U2620" s="1"/>
      <c r="V2620" s="1"/>
      <c r="W2620" s="1"/>
      <c r="X2620" s="1"/>
      <c r="Y2620" s="1"/>
      <c r="Z2620" s="1"/>
      <c r="AA2620" s="1"/>
    </row>
    <row r="2621" spans="1:27" x14ac:dyDescent="0.2">
      <c r="B2621" s="14" t="s">
        <v>1068</v>
      </c>
    </row>
    <row r="2622" spans="1:27" x14ac:dyDescent="0.2">
      <c r="B2622" t="s">
        <v>1569</v>
      </c>
      <c r="C2622" t="s">
        <v>1070</v>
      </c>
      <c r="D2622" t="s">
        <v>1570</v>
      </c>
      <c r="E2622" s="20">
        <v>1</v>
      </c>
      <c r="F2622" t="s">
        <v>1072</v>
      </c>
      <c r="G2622" t="s">
        <v>1073</v>
      </c>
      <c r="H2622" s="21">
        <v>26.12</v>
      </c>
      <c r="I2622" t="s">
        <v>1074</v>
      </c>
      <c r="J2622" s="22">
        <f>ROUND(E2622/I2620* H2622,5)</f>
        <v>26.12</v>
      </c>
      <c r="K2622" s="23"/>
    </row>
    <row r="2623" spans="1:27" x14ac:dyDescent="0.2">
      <c r="B2623" t="s">
        <v>1912</v>
      </c>
      <c r="C2623" t="s">
        <v>1070</v>
      </c>
      <c r="D2623" t="s">
        <v>1913</v>
      </c>
      <c r="E2623" s="20">
        <v>1</v>
      </c>
      <c r="F2623" t="s">
        <v>1072</v>
      </c>
      <c r="G2623" t="s">
        <v>1073</v>
      </c>
      <c r="H2623" s="21">
        <v>29.88</v>
      </c>
      <c r="I2623" t="s">
        <v>1074</v>
      </c>
      <c r="J2623" s="22">
        <f>ROUND(E2623/I2620* H2623,5)</f>
        <v>29.88</v>
      </c>
      <c r="K2623" s="23"/>
    </row>
    <row r="2624" spans="1:27" x14ac:dyDescent="0.2">
      <c r="B2624" t="s">
        <v>1414</v>
      </c>
      <c r="C2624" t="s">
        <v>1070</v>
      </c>
      <c r="D2624" t="s">
        <v>1415</v>
      </c>
      <c r="E2624" s="20">
        <v>2.5</v>
      </c>
      <c r="F2624" t="s">
        <v>1072</v>
      </c>
      <c r="G2624" t="s">
        <v>1073</v>
      </c>
      <c r="H2624" s="21">
        <v>29.94</v>
      </c>
      <c r="I2624" t="s">
        <v>1074</v>
      </c>
      <c r="J2624" s="22">
        <f>ROUND(E2624/I2620* H2624,5)</f>
        <v>74.849999999999994</v>
      </c>
      <c r="K2624" s="23"/>
    </row>
    <row r="2625" spans="1:27" x14ac:dyDescent="0.2">
      <c r="B2625" t="s">
        <v>1571</v>
      </c>
      <c r="C2625" t="s">
        <v>1070</v>
      </c>
      <c r="D2625" t="s">
        <v>1572</v>
      </c>
      <c r="E2625" s="20">
        <v>1</v>
      </c>
      <c r="F2625" t="s">
        <v>1072</v>
      </c>
      <c r="G2625" t="s">
        <v>1073</v>
      </c>
      <c r="H2625" s="21">
        <v>29.42</v>
      </c>
      <c r="I2625" t="s">
        <v>1074</v>
      </c>
      <c r="J2625" s="22">
        <f>ROUND(E2625/I2620* H2625,5)</f>
        <v>29.42</v>
      </c>
      <c r="K2625" s="23"/>
    </row>
    <row r="2626" spans="1:27" x14ac:dyDescent="0.2">
      <c r="B2626" t="s">
        <v>1245</v>
      </c>
      <c r="C2626" t="s">
        <v>1070</v>
      </c>
      <c r="D2626" t="s">
        <v>1246</v>
      </c>
      <c r="E2626" s="20">
        <v>2.5</v>
      </c>
      <c r="F2626" t="s">
        <v>1072</v>
      </c>
      <c r="G2626" t="s">
        <v>1073</v>
      </c>
      <c r="H2626" s="21">
        <v>26.33</v>
      </c>
      <c r="I2626" t="s">
        <v>1074</v>
      </c>
      <c r="J2626" s="22">
        <f>ROUND(E2626/I2620* H2626,5)</f>
        <v>65.825000000000003</v>
      </c>
      <c r="K2626" s="23"/>
    </row>
    <row r="2627" spans="1:27" x14ac:dyDescent="0.2">
      <c r="B2627" t="s">
        <v>1914</v>
      </c>
      <c r="C2627" t="s">
        <v>1070</v>
      </c>
      <c r="D2627" t="s">
        <v>1915</v>
      </c>
      <c r="E2627" s="20">
        <v>1</v>
      </c>
      <c r="F2627" t="s">
        <v>1072</v>
      </c>
      <c r="G2627" t="s">
        <v>1073</v>
      </c>
      <c r="H2627" s="21">
        <v>26.22</v>
      </c>
      <c r="I2627" t="s">
        <v>1074</v>
      </c>
      <c r="J2627" s="22">
        <f>ROUND(E2627/I2620* H2627,5)</f>
        <v>26.22</v>
      </c>
      <c r="K2627" s="23"/>
    </row>
    <row r="2628" spans="1:27" x14ac:dyDescent="0.2">
      <c r="D2628" s="24" t="s">
        <v>1075</v>
      </c>
      <c r="E2628" s="23"/>
      <c r="H2628" s="23"/>
      <c r="K2628" s="21">
        <f>SUM(J2622:J2627)</f>
        <v>252.31499999999997</v>
      </c>
    </row>
    <row r="2629" spans="1:27" x14ac:dyDescent="0.2">
      <c r="B2629" s="14" t="s">
        <v>1080</v>
      </c>
      <c r="E2629" s="23"/>
      <c r="H2629" s="23"/>
      <c r="K2629" s="23"/>
    </row>
    <row r="2630" spans="1:27" ht="409.6" x14ac:dyDescent="0.2">
      <c r="B2630" t="s">
        <v>2016</v>
      </c>
      <c r="C2630" t="s">
        <v>23</v>
      </c>
      <c r="D2630" s="26" t="s">
        <v>467</v>
      </c>
      <c r="E2630" s="20">
        <v>1</v>
      </c>
      <c r="G2630" t="s">
        <v>1073</v>
      </c>
      <c r="H2630" s="21">
        <v>450</v>
      </c>
      <c r="I2630" t="s">
        <v>1074</v>
      </c>
      <c r="J2630" s="22">
        <f>ROUND(E2630* H2630,5)</f>
        <v>450</v>
      </c>
      <c r="K2630" s="23"/>
    </row>
    <row r="2631" spans="1:27" x14ac:dyDescent="0.2">
      <c r="D2631" s="24" t="s">
        <v>1090</v>
      </c>
      <c r="E2631" s="23"/>
      <c r="H2631" s="23"/>
      <c r="K2631" s="21">
        <f>SUM(J2630:J2630)</f>
        <v>450</v>
      </c>
    </row>
    <row r="2632" spans="1:27" x14ac:dyDescent="0.2">
      <c r="E2632" s="23"/>
      <c r="H2632" s="23"/>
      <c r="K2632" s="23"/>
    </row>
    <row r="2633" spans="1:27" x14ac:dyDescent="0.2">
      <c r="D2633" s="24" t="s">
        <v>1092</v>
      </c>
      <c r="E2633" s="23"/>
      <c r="H2633" s="23">
        <v>1.5</v>
      </c>
      <c r="I2633" t="s">
        <v>1093</v>
      </c>
      <c r="J2633">
        <f>ROUND(H2633/100*K2628,5)</f>
        <v>3.7847300000000001</v>
      </c>
      <c r="K2633" s="23"/>
    </row>
    <row r="2634" spans="1:27" x14ac:dyDescent="0.2">
      <c r="D2634" s="24" t="s">
        <v>1091</v>
      </c>
      <c r="E2634" s="23"/>
      <c r="H2634" s="23"/>
      <c r="K2634" s="25">
        <f>SUM(J2621:J2633)</f>
        <v>706.09972999999991</v>
      </c>
    </row>
    <row r="2635" spans="1:27" x14ac:dyDescent="0.2">
      <c r="D2635" s="24" t="s">
        <v>1142</v>
      </c>
      <c r="E2635" s="23"/>
      <c r="H2635" s="23">
        <v>8</v>
      </c>
      <c r="I2635" t="s">
        <v>1093</v>
      </c>
      <c r="K2635" s="21">
        <f>ROUND(H2635/100*K2634,5)</f>
        <v>56.48798</v>
      </c>
    </row>
    <row r="2636" spans="1:27" x14ac:dyDescent="0.2">
      <c r="D2636" s="24" t="s">
        <v>1094</v>
      </c>
      <c r="E2636" s="23"/>
      <c r="H2636" s="23"/>
      <c r="K2636" s="25">
        <f>SUM(K2634:K2635)</f>
        <v>762.5877099999999</v>
      </c>
    </row>
    <row r="2638" spans="1:27" ht="45" customHeight="1" x14ac:dyDescent="0.2">
      <c r="A2638" s="17" t="s">
        <v>2026</v>
      </c>
      <c r="B2638" s="17" t="s">
        <v>541</v>
      </c>
      <c r="C2638" s="1" t="s">
        <v>23</v>
      </c>
      <c r="D2638" s="96" t="s">
        <v>4081</v>
      </c>
      <c r="E2638" s="97"/>
      <c r="F2638" s="97"/>
      <c r="G2638" s="1"/>
      <c r="H2638" s="18" t="s">
        <v>1066</v>
      </c>
      <c r="I2638" s="98">
        <v>1</v>
      </c>
      <c r="J2638" s="99"/>
      <c r="K2638" s="19">
        <v>583.20000000000005</v>
      </c>
      <c r="L2638" s="2" t="s">
        <v>2018</v>
      </c>
      <c r="M2638" s="1"/>
      <c r="N2638" s="1"/>
      <c r="O2638" s="1"/>
      <c r="P2638" s="1"/>
      <c r="Q2638" s="1"/>
      <c r="R2638" s="1"/>
      <c r="S2638" s="1"/>
      <c r="T2638" s="1"/>
      <c r="U2638" s="1"/>
      <c r="V2638" s="1"/>
      <c r="W2638" s="1"/>
      <c r="X2638" s="1"/>
      <c r="Y2638" s="1"/>
      <c r="Z2638" s="1"/>
      <c r="AA2638" s="1"/>
    </row>
    <row r="2639" spans="1:27" ht="45" customHeight="1" x14ac:dyDescent="0.2">
      <c r="A2639" s="17" t="s">
        <v>2027</v>
      </c>
      <c r="B2639" s="17" t="s">
        <v>543</v>
      </c>
      <c r="C2639" s="1" t="s">
        <v>23</v>
      </c>
      <c r="D2639" s="96" t="s">
        <v>4082</v>
      </c>
      <c r="E2639" s="97"/>
      <c r="F2639" s="97"/>
      <c r="G2639" s="1"/>
      <c r="H2639" s="18" t="s">
        <v>1066</v>
      </c>
      <c r="I2639" s="98">
        <v>1</v>
      </c>
      <c r="J2639" s="99"/>
      <c r="K2639" s="19">
        <v>615.6</v>
      </c>
      <c r="L2639" s="2" t="s">
        <v>2020</v>
      </c>
      <c r="M2639" s="1"/>
      <c r="N2639" s="1"/>
      <c r="O2639" s="1"/>
      <c r="P2639" s="1"/>
      <c r="Q2639" s="1"/>
      <c r="R2639" s="1"/>
      <c r="S2639" s="1"/>
      <c r="T2639" s="1"/>
      <c r="U2639" s="1"/>
      <c r="V2639" s="1"/>
      <c r="W2639" s="1"/>
      <c r="X2639" s="1"/>
      <c r="Y2639" s="1"/>
      <c r="Z2639" s="1"/>
      <c r="AA2639" s="1"/>
    </row>
    <row r="2640" spans="1:27" ht="45" customHeight="1" x14ac:dyDescent="0.2">
      <c r="A2640" s="17" t="s">
        <v>2028</v>
      </c>
      <c r="B2640" s="17" t="s">
        <v>545</v>
      </c>
      <c r="C2640" s="1" t="s">
        <v>23</v>
      </c>
      <c r="D2640" s="96" t="s">
        <v>4083</v>
      </c>
      <c r="E2640" s="97"/>
      <c r="F2640" s="97"/>
      <c r="G2640" s="1"/>
      <c r="H2640" s="18" t="s">
        <v>1066</v>
      </c>
      <c r="I2640" s="98">
        <v>1</v>
      </c>
      <c r="J2640" s="99"/>
      <c r="K2640" s="19">
        <v>583.20000000000005</v>
      </c>
      <c r="L2640" s="2" t="s">
        <v>2022</v>
      </c>
      <c r="M2640" s="1"/>
      <c r="N2640" s="1"/>
      <c r="O2640" s="1"/>
      <c r="P2640" s="1"/>
      <c r="Q2640" s="1"/>
      <c r="R2640" s="1"/>
      <c r="S2640" s="1"/>
      <c r="T2640" s="1"/>
      <c r="U2640" s="1"/>
      <c r="V2640" s="1"/>
      <c r="W2640" s="1"/>
      <c r="X2640" s="1"/>
      <c r="Y2640" s="1"/>
      <c r="Z2640" s="1"/>
      <c r="AA2640" s="1"/>
    </row>
    <row r="2641" spans="1:27" ht="45" customHeight="1" x14ac:dyDescent="0.2">
      <c r="A2641" s="17" t="s">
        <v>2031</v>
      </c>
      <c r="B2641" s="17" t="s">
        <v>547</v>
      </c>
      <c r="C2641" s="1" t="s">
        <v>23</v>
      </c>
      <c r="D2641" s="96" t="s">
        <v>4084</v>
      </c>
      <c r="E2641" s="97"/>
      <c r="F2641" s="97"/>
      <c r="G2641" s="1"/>
      <c r="H2641" s="18" t="s">
        <v>1066</v>
      </c>
      <c r="I2641" s="98">
        <v>1</v>
      </c>
      <c r="J2641" s="99"/>
      <c r="K2641" s="19">
        <v>550.79999999999995</v>
      </c>
      <c r="L2641" s="2" t="s">
        <v>2024</v>
      </c>
      <c r="M2641" s="1"/>
      <c r="N2641" s="1"/>
      <c r="O2641" s="1"/>
      <c r="P2641" s="1"/>
      <c r="Q2641" s="1"/>
      <c r="R2641" s="1"/>
      <c r="S2641" s="1"/>
      <c r="T2641" s="1"/>
      <c r="U2641" s="1"/>
      <c r="V2641" s="1"/>
      <c r="W2641" s="1"/>
      <c r="X2641" s="1"/>
      <c r="Y2641" s="1"/>
      <c r="Z2641" s="1"/>
      <c r="AA2641" s="1"/>
    </row>
    <row r="2642" spans="1:27" ht="45" customHeight="1" x14ac:dyDescent="0.2">
      <c r="A2642" s="17" t="s">
        <v>2034</v>
      </c>
      <c r="B2642" s="17" t="s">
        <v>549</v>
      </c>
      <c r="C2642" s="1" t="s">
        <v>23</v>
      </c>
      <c r="D2642" s="96" t="s">
        <v>4085</v>
      </c>
      <c r="E2642" s="97"/>
      <c r="F2642" s="97"/>
      <c r="G2642" s="1"/>
      <c r="H2642" s="18" t="s">
        <v>1066</v>
      </c>
      <c r="I2642" s="98">
        <v>1</v>
      </c>
      <c r="J2642" s="99"/>
      <c r="K2642" s="19">
        <v>604.79999999999995</v>
      </c>
      <c r="L2642" s="2" t="s">
        <v>550</v>
      </c>
      <c r="M2642" s="1"/>
      <c r="N2642" s="1"/>
      <c r="O2642" s="1"/>
      <c r="P2642" s="1"/>
      <c r="Q2642" s="1"/>
      <c r="R2642" s="1"/>
      <c r="S2642" s="1"/>
      <c r="T2642" s="1"/>
      <c r="U2642" s="1"/>
      <c r="V2642" s="1"/>
      <c r="W2642" s="1"/>
      <c r="X2642" s="1"/>
      <c r="Y2642" s="1"/>
      <c r="Z2642" s="1"/>
      <c r="AA2642" s="1"/>
    </row>
    <row r="2643" spans="1:27" ht="45" customHeight="1" x14ac:dyDescent="0.2">
      <c r="A2643" s="17" t="s">
        <v>2037</v>
      </c>
      <c r="B2643" s="17" t="s">
        <v>551</v>
      </c>
      <c r="C2643" s="1" t="s">
        <v>23</v>
      </c>
      <c r="D2643" s="96" t="s">
        <v>4086</v>
      </c>
      <c r="E2643" s="97"/>
      <c r="F2643" s="97"/>
      <c r="G2643" s="1"/>
      <c r="H2643" s="18" t="s">
        <v>1066</v>
      </c>
      <c r="I2643" s="98">
        <v>1</v>
      </c>
      <c r="J2643" s="99"/>
      <c r="K2643" s="19">
        <v>604.79999999999995</v>
      </c>
      <c r="L2643" s="2" t="s">
        <v>552</v>
      </c>
      <c r="M2643" s="1"/>
      <c r="N2643" s="1"/>
      <c r="O2643" s="1"/>
      <c r="P2643" s="1"/>
      <c r="Q2643" s="1"/>
      <c r="R2643" s="1"/>
      <c r="S2643" s="1"/>
      <c r="T2643" s="1"/>
      <c r="U2643" s="1"/>
      <c r="V2643" s="1"/>
      <c r="W2643" s="1"/>
      <c r="X2643" s="1"/>
      <c r="Y2643" s="1"/>
      <c r="Z2643" s="1"/>
      <c r="AA2643" s="1"/>
    </row>
    <row r="2644" spans="1:27" ht="45" customHeight="1" x14ac:dyDescent="0.2">
      <c r="A2644" s="17" t="s">
        <v>2040</v>
      </c>
      <c r="B2644" s="17" t="s">
        <v>553</v>
      </c>
      <c r="C2644" s="1" t="s">
        <v>23</v>
      </c>
      <c r="D2644" s="96" t="s">
        <v>4087</v>
      </c>
      <c r="E2644" s="97"/>
      <c r="F2644" s="97"/>
      <c r="G2644" s="1"/>
      <c r="H2644" s="18" t="s">
        <v>1066</v>
      </c>
      <c r="I2644" s="98">
        <v>1</v>
      </c>
      <c r="J2644" s="99"/>
      <c r="K2644" s="19">
        <v>2592</v>
      </c>
      <c r="L2644" s="2" t="s">
        <v>554</v>
      </c>
      <c r="M2644" s="1"/>
      <c r="N2644" s="1"/>
      <c r="O2644" s="1"/>
      <c r="P2644" s="1"/>
      <c r="Q2644" s="1"/>
      <c r="R2644" s="1"/>
      <c r="S2644" s="1"/>
      <c r="T2644" s="1"/>
      <c r="U2644" s="1"/>
      <c r="V2644" s="1"/>
      <c r="W2644" s="1"/>
      <c r="X2644" s="1"/>
      <c r="Y2644" s="1"/>
      <c r="Z2644" s="1"/>
      <c r="AA2644" s="1"/>
    </row>
    <row r="2645" spans="1:27" ht="45" customHeight="1" x14ac:dyDescent="0.2">
      <c r="A2645" s="17" t="s">
        <v>2043</v>
      </c>
      <c r="B2645" s="17" t="s">
        <v>4088</v>
      </c>
      <c r="C2645" s="1" t="s">
        <v>23</v>
      </c>
      <c r="D2645" s="96" t="s">
        <v>3900</v>
      </c>
      <c r="E2645" s="97"/>
      <c r="F2645" s="97"/>
      <c r="G2645" s="1"/>
      <c r="H2645" s="18" t="s">
        <v>1066</v>
      </c>
      <c r="I2645" s="98">
        <v>1</v>
      </c>
      <c r="J2645" s="99"/>
      <c r="K2645" s="19">
        <v>4211</v>
      </c>
      <c r="L2645" s="2" t="s">
        <v>4089</v>
      </c>
      <c r="M2645" s="1"/>
      <c r="N2645" s="1"/>
      <c r="O2645" s="1"/>
      <c r="P2645" s="1"/>
      <c r="Q2645" s="1"/>
      <c r="R2645" s="1"/>
      <c r="S2645" s="1"/>
      <c r="T2645" s="1"/>
      <c r="U2645" s="1"/>
      <c r="V2645" s="1"/>
      <c r="W2645" s="1"/>
      <c r="X2645" s="1"/>
      <c r="Y2645" s="1"/>
      <c r="Z2645" s="1"/>
      <c r="AA2645" s="1"/>
    </row>
    <row r="2646" spans="1:27" ht="45" customHeight="1" x14ac:dyDescent="0.2">
      <c r="A2646" s="17" t="s">
        <v>2048</v>
      </c>
      <c r="B2646" s="17" t="s">
        <v>4090</v>
      </c>
      <c r="C2646" s="1" t="s">
        <v>23</v>
      </c>
      <c r="D2646" s="96" t="s">
        <v>3901</v>
      </c>
      <c r="E2646" s="97"/>
      <c r="F2646" s="97"/>
      <c r="G2646" s="1"/>
      <c r="H2646" s="18" t="s">
        <v>1066</v>
      </c>
      <c r="I2646" s="98">
        <v>1</v>
      </c>
      <c r="J2646" s="99"/>
      <c r="K2646" s="19">
        <v>5235</v>
      </c>
      <c r="L2646" s="2" t="s">
        <v>4091</v>
      </c>
      <c r="M2646" s="1"/>
      <c r="N2646" s="1"/>
      <c r="O2646" s="1"/>
      <c r="P2646" s="1"/>
      <c r="Q2646" s="1"/>
      <c r="R2646" s="1"/>
      <c r="S2646" s="1"/>
      <c r="T2646" s="1"/>
      <c r="U2646" s="1"/>
      <c r="V2646" s="1"/>
      <c r="W2646" s="1"/>
      <c r="X2646" s="1"/>
      <c r="Y2646" s="1"/>
      <c r="Z2646" s="1"/>
      <c r="AA2646" s="1"/>
    </row>
    <row r="2647" spans="1:27" ht="45" customHeight="1" x14ac:dyDescent="0.2">
      <c r="A2647" s="17" t="s">
        <v>2053</v>
      </c>
      <c r="B2647" s="17" t="s">
        <v>4011</v>
      </c>
      <c r="C2647" s="1" t="s">
        <v>36</v>
      </c>
      <c r="D2647" s="96" t="s">
        <v>4012</v>
      </c>
      <c r="E2647" s="97"/>
      <c r="F2647" s="97"/>
      <c r="G2647" s="1"/>
      <c r="H2647" s="18" t="s">
        <v>1066</v>
      </c>
      <c r="I2647" s="98">
        <v>1</v>
      </c>
      <c r="J2647" s="99"/>
      <c r="K2647" s="19">
        <f>ROUND(K2660,2)</f>
        <v>23.17</v>
      </c>
      <c r="L2647" s="2" t="s">
        <v>4092</v>
      </c>
      <c r="M2647" s="1"/>
      <c r="N2647" s="1"/>
      <c r="O2647" s="1"/>
      <c r="P2647" s="1"/>
      <c r="Q2647" s="1"/>
      <c r="R2647" s="1"/>
      <c r="S2647" s="1"/>
      <c r="T2647" s="1"/>
      <c r="U2647" s="1"/>
      <c r="V2647" s="1"/>
      <c r="W2647" s="1"/>
      <c r="X2647" s="1"/>
      <c r="Y2647" s="1"/>
      <c r="Z2647" s="1"/>
      <c r="AA2647" s="1"/>
    </row>
    <row r="2648" spans="1:27" x14ac:dyDescent="0.2">
      <c r="B2648" s="14" t="s">
        <v>1068</v>
      </c>
    </row>
    <row r="2649" spans="1:27" x14ac:dyDescent="0.2">
      <c r="B2649" t="s">
        <v>1205</v>
      </c>
      <c r="C2649" t="s">
        <v>1070</v>
      </c>
      <c r="D2649" t="s">
        <v>1206</v>
      </c>
      <c r="E2649" s="20">
        <v>0.1</v>
      </c>
      <c r="F2649" t="s">
        <v>1072</v>
      </c>
      <c r="G2649" t="s">
        <v>1073</v>
      </c>
      <c r="H2649" s="21">
        <v>24.55</v>
      </c>
      <c r="I2649" t="s">
        <v>1074</v>
      </c>
      <c r="J2649" s="22">
        <f>ROUND(E2649/I2647* H2649,5)</f>
        <v>2.4550000000000001</v>
      </c>
      <c r="K2649" s="23"/>
    </row>
    <row r="2650" spans="1:27" x14ac:dyDescent="0.2">
      <c r="B2650" t="s">
        <v>1364</v>
      </c>
      <c r="C2650" t="s">
        <v>1070</v>
      </c>
      <c r="D2650" t="s">
        <v>1365</v>
      </c>
      <c r="E2650" s="20">
        <v>0.1</v>
      </c>
      <c r="F2650" t="s">
        <v>1072</v>
      </c>
      <c r="G2650" t="s">
        <v>1073</v>
      </c>
      <c r="H2650" s="21">
        <v>29.42</v>
      </c>
      <c r="I2650" t="s">
        <v>1074</v>
      </c>
      <c r="J2650" s="22">
        <f>ROUND(E2650/I2647* H2650,5)</f>
        <v>2.9420000000000002</v>
      </c>
      <c r="K2650" s="23"/>
    </row>
    <row r="2651" spans="1:27" x14ac:dyDescent="0.2">
      <c r="D2651" s="24" t="s">
        <v>1075</v>
      </c>
      <c r="E2651" s="23"/>
      <c r="H2651" s="23"/>
      <c r="K2651" s="21">
        <f>SUM(J2649:J2650)</f>
        <v>5.3970000000000002</v>
      </c>
    </row>
    <row r="2652" spans="1:27" x14ac:dyDescent="0.2">
      <c r="B2652" s="14" t="s">
        <v>1080</v>
      </c>
      <c r="E2652" s="23"/>
      <c r="H2652" s="23"/>
      <c r="K2652" s="23"/>
    </row>
    <row r="2653" spans="1:27" x14ac:dyDescent="0.2">
      <c r="B2653" t="s">
        <v>4093</v>
      </c>
      <c r="C2653" t="s">
        <v>36</v>
      </c>
      <c r="D2653" t="s">
        <v>4094</v>
      </c>
      <c r="E2653" s="20">
        <v>1</v>
      </c>
      <c r="G2653" t="s">
        <v>1073</v>
      </c>
      <c r="H2653" s="21">
        <v>15.06</v>
      </c>
      <c r="I2653" t="s">
        <v>1074</v>
      </c>
      <c r="J2653" s="22">
        <f>ROUND(E2653* H2653,5)</f>
        <v>15.06</v>
      </c>
      <c r="K2653" s="23"/>
    </row>
    <row r="2654" spans="1:27" x14ac:dyDescent="0.2">
      <c r="B2654" t="s">
        <v>4095</v>
      </c>
      <c r="C2654" t="s">
        <v>1084</v>
      </c>
      <c r="D2654" t="s">
        <v>4096</v>
      </c>
      <c r="E2654" s="20">
        <v>1.4500000000000001E-2</v>
      </c>
      <c r="G2654" t="s">
        <v>1073</v>
      </c>
      <c r="H2654" s="21">
        <v>59.47</v>
      </c>
      <c r="I2654" t="s">
        <v>1074</v>
      </c>
      <c r="J2654" s="22">
        <f>ROUND(E2654* H2654,5)</f>
        <v>0.86231999999999998</v>
      </c>
      <c r="K2654" s="23"/>
    </row>
    <row r="2655" spans="1:27" x14ac:dyDescent="0.2">
      <c r="D2655" s="24" t="s">
        <v>1090</v>
      </c>
      <c r="E2655" s="23"/>
      <c r="H2655" s="23"/>
      <c r="K2655" s="21">
        <f>SUM(J2653:J2654)</f>
        <v>15.922320000000001</v>
      </c>
    </row>
    <row r="2656" spans="1:27" x14ac:dyDescent="0.2">
      <c r="E2656" s="23"/>
      <c r="H2656" s="23"/>
      <c r="K2656" s="23"/>
    </row>
    <row r="2657" spans="1:27" x14ac:dyDescent="0.2">
      <c r="D2657" s="24" t="s">
        <v>1092</v>
      </c>
      <c r="E2657" s="23"/>
      <c r="H2657" s="23">
        <v>2.5</v>
      </c>
      <c r="I2657" t="s">
        <v>1093</v>
      </c>
      <c r="J2657">
        <f>ROUND(H2657/100*K2651,5)</f>
        <v>0.13492999999999999</v>
      </c>
      <c r="K2657" s="23"/>
    </row>
    <row r="2658" spans="1:27" x14ac:dyDescent="0.2">
      <c r="D2658" s="24" t="s">
        <v>1091</v>
      </c>
      <c r="E2658" s="23"/>
      <c r="H2658" s="23"/>
      <c r="K2658" s="25">
        <f>SUM(J2648:J2657)</f>
        <v>21.454250000000002</v>
      </c>
    </row>
    <row r="2659" spans="1:27" x14ac:dyDescent="0.2">
      <c r="D2659" s="24" t="s">
        <v>1142</v>
      </c>
      <c r="E2659" s="23"/>
      <c r="H2659" s="23">
        <v>8</v>
      </c>
      <c r="I2659" t="s">
        <v>1093</v>
      </c>
      <c r="K2659" s="21">
        <f>ROUND(H2659/100*K2658,5)</f>
        <v>1.71634</v>
      </c>
    </row>
    <row r="2660" spans="1:27" x14ac:dyDescent="0.2">
      <c r="D2660" s="24" t="s">
        <v>1094</v>
      </c>
      <c r="E2660" s="23"/>
      <c r="H2660" s="23"/>
      <c r="K2660" s="25">
        <f>SUM(K2658:K2659)</f>
        <v>23.170590000000001</v>
      </c>
    </row>
    <row r="2662" spans="1:27" ht="45" customHeight="1" x14ac:dyDescent="0.2">
      <c r="A2662" s="17" t="s">
        <v>2057</v>
      </c>
      <c r="B2662" s="17" t="s">
        <v>512</v>
      </c>
      <c r="C2662" s="1" t="s">
        <v>23</v>
      </c>
      <c r="D2662" s="96" t="s">
        <v>513</v>
      </c>
      <c r="E2662" s="97"/>
      <c r="F2662" s="97"/>
      <c r="G2662" s="1"/>
      <c r="H2662" s="18" t="s">
        <v>1066</v>
      </c>
      <c r="I2662" s="98">
        <v>1</v>
      </c>
      <c r="J2662" s="99"/>
      <c r="K2662" s="19">
        <f>ROUND(K2674,2)</f>
        <v>475.2</v>
      </c>
      <c r="L2662" s="2" t="s">
        <v>2029</v>
      </c>
      <c r="M2662" s="1"/>
      <c r="N2662" s="1"/>
      <c r="O2662" s="1"/>
      <c r="P2662" s="1"/>
      <c r="Q2662" s="1"/>
      <c r="R2662" s="1"/>
      <c r="S2662" s="1"/>
      <c r="T2662" s="1"/>
      <c r="U2662" s="1"/>
      <c r="V2662" s="1"/>
      <c r="W2662" s="1"/>
      <c r="X2662" s="1"/>
      <c r="Y2662" s="1"/>
      <c r="Z2662" s="1"/>
      <c r="AA2662" s="1"/>
    </row>
    <row r="2663" spans="1:27" x14ac:dyDescent="0.2">
      <c r="B2663" s="14" t="s">
        <v>1068</v>
      </c>
    </row>
    <row r="2664" spans="1:27" x14ac:dyDescent="0.2">
      <c r="B2664" t="s">
        <v>1912</v>
      </c>
      <c r="C2664" t="s">
        <v>1070</v>
      </c>
      <c r="D2664" t="s">
        <v>1913</v>
      </c>
      <c r="E2664" s="20">
        <v>1.6</v>
      </c>
      <c r="F2664" t="s">
        <v>1072</v>
      </c>
      <c r="G2664" t="s">
        <v>1073</v>
      </c>
      <c r="H2664" s="21">
        <v>29.88</v>
      </c>
      <c r="I2664" t="s">
        <v>1074</v>
      </c>
      <c r="J2664" s="22">
        <f>ROUND(E2664/I2662* H2664,5)</f>
        <v>47.808</v>
      </c>
      <c r="K2664" s="23"/>
    </row>
    <row r="2665" spans="1:27" x14ac:dyDescent="0.2">
      <c r="B2665" t="s">
        <v>1914</v>
      </c>
      <c r="C2665" t="s">
        <v>1070</v>
      </c>
      <c r="D2665" t="s">
        <v>1915</v>
      </c>
      <c r="E2665" s="20">
        <v>1.6</v>
      </c>
      <c r="F2665" t="s">
        <v>1072</v>
      </c>
      <c r="G2665" t="s">
        <v>1073</v>
      </c>
      <c r="H2665" s="21">
        <v>26.22</v>
      </c>
      <c r="I2665" t="s">
        <v>1074</v>
      </c>
      <c r="J2665" s="22">
        <f>ROUND(E2665/I2662* H2665,5)</f>
        <v>41.951999999999998</v>
      </c>
      <c r="K2665" s="23"/>
    </row>
    <row r="2666" spans="1:27" x14ac:dyDescent="0.2">
      <c r="D2666" s="24" t="s">
        <v>1075</v>
      </c>
      <c r="E2666" s="23"/>
      <c r="H2666" s="23"/>
      <c r="K2666" s="21">
        <f>SUM(J2664:J2665)</f>
        <v>89.759999999999991</v>
      </c>
    </row>
    <row r="2667" spans="1:27" x14ac:dyDescent="0.2">
      <c r="B2667" s="14" t="s">
        <v>1080</v>
      </c>
      <c r="E2667" s="23"/>
      <c r="H2667" s="23"/>
      <c r="K2667" s="23"/>
    </row>
    <row r="2668" spans="1:27" x14ac:dyDescent="0.2">
      <c r="B2668" t="s">
        <v>2030</v>
      </c>
      <c r="C2668" t="s">
        <v>23</v>
      </c>
      <c r="D2668" t="s">
        <v>513</v>
      </c>
      <c r="E2668" s="20">
        <v>1</v>
      </c>
      <c r="G2668" t="s">
        <v>1073</v>
      </c>
      <c r="H2668" s="21">
        <v>348</v>
      </c>
      <c r="I2668" t="s">
        <v>1074</v>
      </c>
      <c r="J2668" s="22">
        <f>ROUND(E2668* H2668,5)</f>
        <v>348</v>
      </c>
      <c r="K2668" s="23"/>
    </row>
    <row r="2669" spans="1:27" x14ac:dyDescent="0.2">
      <c r="D2669" s="24" t="s">
        <v>1090</v>
      </c>
      <c r="E2669" s="23"/>
      <c r="H2669" s="23"/>
      <c r="K2669" s="21">
        <f>SUM(J2668:J2668)</f>
        <v>348</v>
      </c>
    </row>
    <row r="2670" spans="1:27" x14ac:dyDescent="0.2">
      <c r="E2670" s="23"/>
      <c r="H2670" s="23"/>
      <c r="K2670" s="23"/>
    </row>
    <row r="2671" spans="1:27" x14ac:dyDescent="0.2">
      <c r="D2671" s="24" t="s">
        <v>1092</v>
      </c>
      <c r="E2671" s="23"/>
      <c r="H2671" s="23">
        <v>2.5</v>
      </c>
      <c r="I2671" t="s">
        <v>1093</v>
      </c>
      <c r="J2671">
        <f>ROUND(H2671/100*K2666,5)</f>
        <v>2.2440000000000002</v>
      </c>
      <c r="K2671" s="23"/>
    </row>
    <row r="2672" spans="1:27" x14ac:dyDescent="0.2">
      <c r="D2672" s="24" t="s">
        <v>1091</v>
      </c>
      <c r="E2672" s="23"/>
      <c r="H2672" s="23"/>
      <c r="K2672" s="25">
        <f>SUM(J2663:J2671)</f>
        <v>440.00400000000002</v>
      </c>
    </row>
    <row r="2673" spans="1:27" x14ac:dyDescent="0.2">
      <c r="D2673" s="24" t="s">
        <v>1142</v>
      </c>
      <c r="E2673" s="23"/>
      <c r="H2673" s="23">
        <v>8</v>
      </c>
      <c r="I2673" t="s">
        <v>1093</v>
      </c>
      <c r="K2673" s="21">
        <f>ROUND(H2673/100*K2672,5)</f>
        <v>35.200319999999998</v>
      </c>
    </row>
    <row r="2674" spans="1:27" x14ac:dyDescent="0.2">
      <c r="D2674" s="24" t="s">
        <v>1094</v>
      </c>
      <c r="E2674" s="23"/>
      <c r="H2674" s="23"/>
      <c r="K2674" s="25">
        <f>SUM(K2672:K2673)</f>
        <v>475.20432</v>
      </c>
    </row>
    <row r="2676" spans="1:27" ht="45" customHeight="1" x14ac:dyDescent="0.2">
      <c r="A2676" s="17" t="s">
        <v>2067</v>
      </c>
      <c r="B2676" s="17" t="s">
        <v>514</v>
      </c>
      <c r="C2676" s="1" t="s">
        <v>23</v>
      </c>
      <c r="D2676" s="96" t="s">
        <v>515</v>
      </c>
      <c r="E2676" s="97"/>
      <c r="F2676" s="97"/>
      <c r="G2676" s="1"/>
      <c r="H2676" s="18" t="s">
        <v>1066</v>
      </c>
      <c r="I2676" s="98">
        <v>1</v>
      </c>
      <c r="J2676" s="99"/>
      <c r="K2676" s="19">
        <f>ROUND(K2688,2)</f>
        <v>224.64</v>
      </c>
      <c r="L2676" s="2" t="s">
        <v>2032</v>
      </c>
      <c r="M2676" s="1"/>
      <c r="N2676" s="1"/>
      <c r="O2676" s="1"/>
      <c r="P2676" s="1"/>
      <c r="Q2676" s="1"/>
      <c r="R2676" s="1"/>
      <c r="S2676" s="1"/>
      <c r="T2676" s="1"/>
      <c r="U2676" s="1"/>
      <c r="V2676" s="1"/>
      <c r="W2676" s="1"/>
      <c r="X2676" s="1"/>
      <c r="Y2676" s="1"/>
      <c r="Z2676" s="1"/>
      <c r="AA2676" s="1"/>
    </row>
    <row r="2677" spans="1:27" x14ac:dyDescent="0.2">
      <c r="B2677" s="14" t="s">
        <v>1068</v>
      </c>
    </row>
    <row r="2678" spans="1:27" x14ac:dyDescent="0.2">
      <c r="B2678" t="s">
        <v>1914</v>
      </c>
      <c r="C2678" t="s">
        <v>1070</v>
      </c>
      <c r="D2678" t="s">
        <v>1915</v>
      </c>
      <c r="E2678" s="20">
        <v>0.8</v>
      </c>
      <c r="F2678" t="s">
        <v>1072</v>
      </c>
      <c r="G2678" t="s">
        <v>1073</v>
      </c>
      <c r="H2678" s="21">
        <v>26.22</v>
      </c>
      <c r="I2678" t="s">
        <v>1074</v>
      </c>
      <c r="J2678" s="22">
        <f>ROUND(E2678/I2676* H2678,5)</f>
        <v>20.975999999999999</v>
      </c>
      <c r="K2678" s="23"/>
    </row>
    <row r="2679" spans="1:27" x14ac:dyDescent="0.2">
      <c r="B2679" t="s">
        <v>1912</v>
      </c>
      <c r="C2679" t="s">
        <v>1070</v>
      </c>
      <c r="D2679" t="s">
        <v>1913</v>
      </c>
      <c r="E2679" s="20">
        <v>0.8</v>
      </c>
      <c r="F2679" t="s">
        <v>1072</v>
      </c>
      <c r="G2679" t="s">
        <v>1073</v>
      </c>
      <c r="H2679" s="21">
        <v>29.88</v>
      </c>
      <c r="I2679" t="s">
        <v>1074</v>
      </c>
      <c r="J2679" s="22">
        <f>ROUND(E2679/I2676* H2679,5)</f>
        <v>23.904</v>
      </c>
      <c r="K2679" s="23"/>
    </row>
    <row r="2680" spans="1:27" x14ac:dyDescent="0.2">
      <c r="D2680" s="24" t="s">
        <v>1075</v>
      </c>
      <c r="E2680" s="23"/>
      <c r="H2680" s="23"/>
      <c r="K2680" s="21">
        <f>SUM(J2678:J2679)</f>
        <v>44.879999999999995</v>
      </c>
    </row>
    <row r="2681" spans="1:27" x14ac:dyDescent="0.2">
      <c r="B2681" s="14" t="s">
        <v>1080</v>
      </c>
      <c r="E2681" s="23"/>
      <c r="H2681" s="23"/>
      <c r="K2681" s="23"/>
    </row>
    <row r="2682" spans="1:27" x14ac:dyDescent="0.2">
      <c r="B2682" t="s">
        <v>2033</v>
      </c>
      <c r="C2682" t="s">
        <v>23</v>
      </c>
      <c r="D2682" t="s">
        <v>515</v>
      </c>
      <c r="E2682" s="20">
        <v>1</v>
      </c>
      <c r="G2682" t="s">
        <v>1073</v>
      </c>
      <c r="H2682" s="21">
        <v>162</v>
      </c>
      <c r="I2682" t="s">
        <v>1074</v>
      </c>
      <c r="J2682" s="22">
        <f>ROUND(E2682* H2682,5)</f>
        <v>162</v>
      </c>
      <c r="K2682" s="23"/>
    </row>
    <row r="2683" spans="1:27" x14ac:dyDescent="0.2">
      <c r="D2683" s="24" t="s">
        <v>1090</v>
      </c>
      <c r="E2683" s="23"/>
      <c r="H2683" s="23"/>
      <c r="K2683" s="21">
        <f>SUM(J2682:J2682)</f>
        <v>162</v>
      </c>
    </row>
    <row r="2684" spans="1:27" x14ac:dyDescent="0.2">
      <c r="E2684" s="23"/>
      <c r="H2684" s="23"/>
      <c r="K2684" s="23"/>
    </row>
    <row r="2685" spans="1:27" x14ac:dyDescent="0.2">
      <c r="D2685" s="24" t="s">
        <v>1092</v>
      </c>
      <c r="E2685" s="23"/>
      <c r="H2685" s="23">
        <v>2.5</v>
      </c>
      <c r="I2685" t="s">
        <v>1093</v>
      </c>
      <c r="J2685">
        <f>ROUND(H2685/100*K2680,5)</f>
        <v>1.1220000000000001</v>
      </c>
      <c r="K2685" s="23"/>
    </row>
    <row r="2686" spans="1:27" x14ac:dyDescent="0.2">
      <c r="D2686" s="24" t="s">
        <v>1091</v>
      </c>
      <c r="E2686" s="23"/>
      <c r="H2686" s="23"/>
      <c r="K2686" s="25">
        <f>SUM(J2677:J2685)</f>
        <v>208.00200000000001</v>
      </c>
    </row>
    <row r="2687" spans="1:27" x14ac:dyDescent="0.2">
      <c r="D2687" s="24" t="s">
        <v>1142</v>
      </c>
      <c r="E2687" s="23"/>
      <c r="H2687" s="23">
        <v>8</v>
      </c>
      <c r="I2687" t="s">
        <v>1093</v>
      </c>
      <c r="K2687" s="21">
        <f>ROUND(H2687/100*K2686,5)</f>
        <v>16.640160000000002</v>
      </c>
    </row>
    <row r="2688" spans="1:27" x14ac:dyDescent="0.2">
      <c r="D2688" s="24" t="s">
        <v>1094</v>
      </c>
      <c r="E2688" s="23"/>
      <c r="H2688" s="23"/>
      <c r="K2688" s="25">
        <f>SUM(K2686:K2687)</f>
        <v>224.64216000000002</v>
      </c>
    </row>
    <row r="2690" spans="1:27" ht="45" customHeight="1" x14ac:dyDescent="0.2">
      <c r="A2690" s="17" t="s">
        <v>2077</v>
      </c>
      <c r="B2690" s="17" t="s">
        <v>516</v>
      </c>
      <c r="C2690" s="1" t="s">
        <v>23</v>
      </c>
      <c r="D2690" s="96" t="s">
        <v>517</v>
      </c>
      <c r="E2690" s="97"/>
      <c r="F2690" s="97"/>
      <c r="G2690" s="1"/>
      <c r="H2690" s="18" t="s">
        <v>1066</v>
      </c>
      <c r="I2690" s="98">
        <v>1</v>
      </c>
      <c r="J2690" s="99"/>
      <c r="K2690" s="19">
        <f>ROUND(K2702,2)</f>
        <v>206.28</v>
      </c>
      <c r="L2690" s="2" t="s">
        <v>2035</v>
      </c>
      <c r="M2690" s="1"/>
      <c r="N2690" s="1"/>
      <c r="O2690" s="1"/>
      <c r="P2690" s="1"/>
      <c r="Q2690" s="1"/>
      <c r="R2690" s="1"/>
      <c r="S2690" s="1"/>
      <c r="T2690" s="1"/>
      <c r="U2690" s="1"/>
      <c r="V2690" s="1"/>
      <c r="W2690" s="1"/>
      <c r="X2690" s="1"/>
      <c r="Y2690" s="1"/>
      <c r="Z2690" s="1"/>
      <c r="AA2690" s="1"/>
    </row>
    <row r="2691" spans="1:27" x14ac:dyDescent="0.2">
      <c r="B2691" s="14" t="s">
        <v>1068</v>
      </c>
    </row>
    <row r="2692" spans="1:27" x14ac:dyDescent="0.2">
      <c r="B2692" t="s">
        <v>1912</v>
      </c>
      <c r="C2692" t="s">
        <v>1070</v>
      </c>
      <c r="D2692" t="s">
        <v>1913</v>
      </c>
      <c r="E2692" s="20">
        <v>0.8</v>
      </c>
      <c r="F2692" t="s">
        <v>1072</v>
      </c>
      <c r="G2692" t="s">
        <v>1073</v>
      </c>
      <c r="H2692" s="21">
        <v>29.88</v>
      </c>
      <c r="I2692" t="s">
        <v>1074</v>
      </c>
      <c r="J2692" s="22">
        <f>ROUND(E2692/I2690* H2692,5)</f>
        <v>23.904</v>
      </c>
      <c r="K2692" s="23"/>
    </row>
    <row r="2693" spans="1:27" x14ac:dyDescent="0.2">
      <c r="B2693" t="s">
        <v>1914</v>
      </c>
      <c r="C2693" t="s">
        <v>1070</v>
      </c>
      <c r="D2693" t="s">
        <v>1915</v>
      </c>
      <c r="E2693" s="20">
        <v>0.8</v>
      </c>
      <c r="F2693" t="s">
        <v>1072</v>
      </c>
      <c r="G2693" t="s">
        <v>1073</v>
      </c>
      <c r="H2693" s="21">
        <v>26.22</v>
      </c>
      <c r="I2693" t="s">
        <v>1074</v>
      </c>
      <c r="J2693" s="22">
        <f>ROUND(E2693/I2690* H2693,5)</f>
        <v>20.975999999999999</v>
      </c>
      <c r="K2693" s="23"/>
    </row>
    <row r="2694" spans="1:27" x14ac:dyDescent="0.2">
      <c r="D2694" s="24" t="s">
        <v>1075</v>
      </c>
      <c r="E2694" s="23"/>
      <c r="H2694" s="23"/>
      <c r="K2694" s="21">
        <f>SUM(J2692:J2693)</f>
        <v>44.879999999999995</v>
      </c>
    </row>
    <row r="2695" spans="1:27" x14ac:dyDescent="0.2">
      <c r="B2695" s="14" t="s">
        <v>1080</v>
      </c>
      <c r="E2695" s="23"/>
      <c r="H2695" s="23"/>
      <c r="K2695" s="23"/>
    </row>
    <row r="2696" spans="1:27" x14ac:dyDescent="0.2">
      <c r="B2696" t="s">
        <v>2036</v>
      </c>
      <c r="C2696" t="s">
        <v>23</v>
      </c>
      <c r="D2696" t="s">
        <v>517</v>
      </c>
      <c r="E2696" s="20">
        <v>1</v>
      </c>
      <c r="G2696" t="s">
        <v>1073</v>
      </c>
      <c r="H2696" s="21">
        <v>145</v>
      </c>
      <c r="I2696" t="s">
        <v>1074</v>
      </c>
      <c r="J2696" s="22">
        <f>ROUND(E2696* H2696,5)</f>
        <v>145</v>
      </c>
      <c r="K2696" s="23"/>
    </row>
    <row r="2697" spans="1:27" x14ac:dyDescent="0.2">
      <c r="D2697" s="24" t="s">
        <v>1090</v>
      </c>
      <c r="E2697" s="23"/>
      <c r="H2697" s="23"/>
      <c r="K2697" s="21">
        <f>SUM(J2696:J2696)</f>
        <v>145</v>
      </c>
    </row>
    <row r="2698" spans="1:27" x14ac:dyDescent="0.2">
      <c r="E2698" s="23"/>
      <c r="H2698" s="23"/>
      <c r="K2698" s="23"/>
    </row>
    <row r="2699" spans="1:27" x14ac:dyDescent="0.2">
      <c r="D2699" s="24" t="s">
        <v>1092</v>
      </c>
      <c r="E2699" s="23"/>
      <c r="H2699" s="23">
        <v>2.5</v>
      </c>
      <c r="I2699" t="s">
        <v>1093</v>
      </c>
      <c r="J2699">
        <f>ROUND(H2699/100*K2694,5)</f>
        <v>1.1220000000000001</v>
      </c>
      <c r="K2699" s="23"/>
    </row>
    <row r="2700" spans="1:27" x14ac:dyDescent="0.2">
      <c r="D2700" s="24" t="s">
        <v>1091</v>
      </c>
      <c r="E2700" s="23"/>
      <c r="H2700" s="23"/>
      <c r="K2700" s="25">
        <f>SUM(J2691:J2699)</f>
        <v>191.00200000000001</v>
      </c>
    </row>
    <row r="2701" spans="1:27" x14ac:dyDescent="0.2">
      <c r="D2701" s="24" t="s">
        <v>1142</v>
      </c>
      <c r="E2701" s="23"/>
      <c r="H2701" s="23">
        <v>8</v>
      </c>
      <c r="I2701" t="s">
        <v>1093</v>
      </c>
      <c r="K2701" s="21">
        <f>ROUND(H2701/100*K2700,5)</f>
        <v>15.28016</v>
      </c>
    </row>
    <row r="2702" spans="1:27" x14ac:dyDescent="0.2">
      <c r="D2702" s="24" t="s">
        <v>1094</v>
      </c>
      <c r="E2702" s="23"/>
      <c r="H2702" s="23"/>
      <c r="K2702" s="25">
        <f>SUM(K2700:K2701)</f>
        <v>206.28216</v>
      </c>
    </row>
    <row r="2704" spans="1:27" ht="45" customHeight="1" x14ac:dyDescent="0.2">
      <c r="A2704" s="17" t="s">
        <v>2087</v>
      </c>
      <c r="B2704" s="17" t="s">
        <v>518</v>
      </c>
      <c r="C2704" s="1" t="s">
        <v>23</v>
      </c>
      <c r="D2704" s="96" t="s">
        <v>519</v>
      </c>
      <c r="E2704" s="97"/>
      <c r="F2704" s="97"/>
      <c r="G2704" s="1"/>
      <c r="H2704" s="18" t="s">
        <v>1066</v>
      </c>
      <c r="I2704" s="98">
        <v>1</v>
      </c>
      <c r="J2704" s="99"/>
      <c r="K2704" s="19">
        <f>ROUND(K2716,2)</f>
        <v>212.76</v>
      </c>
      <c r="L2704" s="2" t="s">
        <v>2038</v>
      </c>
      <c r="M2704" s="1"/>
      <c r="N2704" s="1"/>
      <c r="O2704" s="1"/>
      <c r="P2704" s="1"/>
      <c r="Q2704" s="1"/>
      <c r="R2704" s="1"/>
      <c r="S2704" s="1"/>
      <c r="T2704" s="1"/>
      <c r="U2704" s="1"/>
      <c r="V2704" s="1"/>
      <c r="W2704" s="1"/>
      <c r="X2704" s="1"/>
      <c r="Y2704" s="1"/>
      <c r="Z2704" s="1"/>
      <c r="AA2704" s="1"/>
    </row>
    <row r="2705" spans="1:27" x14ac:dyDescent="0.2">
      <c r="B2705" s="14" t="s">
        <v>1068</v>
      </c>
    </row>
    <row r="2706" spans="1:27" x14ac:dyDescent="0.2">
      <c r="B2706" t="s">
        <v>1912</v>
      </c>
      <c r="C2706" t="s">
        <v>1070</v>
      </c>
      <c r="D2706" t="s">
        <v>1913</v>
      </c>
      <c r="E2706" s="20">
        <v>0.8</v>
      </c>
      <c r="F2706" t="s">
        <v>1072</v>
      </c>
      <c r="G2706" t="s">
        <v>1073</v>
      </c>
      <c r="H2706" s="21">
        <v>29.88</v>
      </c>
      <c r="I2706" t="s">
        <v>1074</v>
      </c>
      <c r="J2706" s="22">
        <f>ROUND(E2706/I2704* H2706,5)</f>
        <v>23.904</v>
      </c>
      <c r="K2706" s="23"/>
    </row>
    <row r="2707" spans="1:27" x14ac:dyDescent="0.2">
      <c r="B2707" t="s">
        <v>1914</v>
      </c>
      <c r="C2707" t="s">
        <v>1070</v>
      </c>
      <c r="D2707" t="s">
        <v>1915</v>
      </c>
      <c r="E2707" s="20">
        <v>0.8</v>
      </c>
      <c r="F2707" t="s">
        <v>1072</v>
      </c>
      <c r="G2707" t="s">
        <v>1073</v>
      </c>
      <c r="H2707" s="21">
        <v>26.22</v>
      </c>
      <c r="I2707" t="s">
        <v>1074</v>
      </c>
      <c r="J2707" s="22">
        <f>ROUND(E2707/I2704* H2707,5)</f>
        <v>20.975999999999999</v>
      </c>
      <c r="K2707" s="23"/>
    </row>
    <row r="2708" spans="1:27" x14ac:dyDescent="0.2">
      <c r="D2708" s="24" t="s">
        <v>1075</v>
      </c>
      <c r="E2708" s="23"/>
      <c r="H2708" s="23"/>
      <c r="K2708" s="21">
        <f>SUM(J2706:J2707)</f>
        <v>44.879999999999995</v>
      </c>
    </row>
    <row r="2709" spans="1:27" x14ac:dyDescent="0.2">
      <c r="B2709" s="14" t="s">
        <v>1080</v>
      </c>
      <c r="E2709" s="23"/>
      <c r="H2709" s="23"/>
      <c r="K2709" s="23"/>
    </row>
    <row r="2710" spans="1:27" x14ac:dyDescent="0.2">
      <c r="B2710" t="s">
        <v>2039</v>
      </c>
      <c r="C2710" t="s">
        <v>23</v>
      </c>
      <c r="D2710" t="s">
        <v>519</v>
      </c>
      <c r="E2710" s="20">
        <v>1</v>
      </c>
      <c r="G2710" t="s">
        <v>1073</v>
      </c>
      <c r="H2710" s="21">
        <v>151</v>
      </c>
      <c r="I2710" t="s">
        <v>1074</v>
      </c>
      <c r="J2710" s="22">
        <f>ROUND(E2710* H2710,5)</f>
        <v>151</v>
      </c>
      <c r="K2710" s="23"/>
    </row>
    <row r="2711" spans="1:27" x14ac:dyDescent="0.2">
      <c r="D2711" s="24" t="s">
        <v>1090</v>
      </c>
      <c r="E2711" s="23"/>
      <c r="H2711" s="23"/>
      <c r="K2711" s="21">
        <f>SUM(J2710:J2710)</f>
        <v>151</v>
      </c>
    </row>
    <row r="2712" spans="1:27" x14ac:dyDescent="0.2">
      <c r="E2712" s="23"/>
      <c r="H2712" s="23"/>
      <c r="K2712" s="23"/>
    </row>
    <row r="2713" spans="1:27" x14ac:dyDescent="0.2">
      <c r="D2713" s="24" t="s">
        <v>1092</v>
      </c>
      <c r="E2713" s="23"/>
      <c r="H2713" s="23">
        <v>2.5</v>
      </c>
      <c r="I2713" t="s">
        <v>1093</v>
      </c>
      <c r="J2713">
        <f>ROUND(H2713/100*K2708,5)</f>
        <v>1.1220000000000001</v>
      </c>
      <c r="K2713" s="23"/>
    </row>
    <row r="2714" spans="1:27" x14ac:dyDescent="0.2">
      <c r="D2714" s="24" t="s">
        <v>1091</v>
      </c>
      <c r="E2714" s="23"/>
      <c r="H2714" s="23"/>
      <c r="K2714" s="25">
        <f>SUM(J2705:J2713)</f>
        <v>197.00200000000001</v>
      </c>
    </row>
    <row r="2715" spans="1:27" x14ac:dyDescent="0.2">
      <c r="D2715" s="24" t="s">
        <v>1142</v>
      </c>
      <c r="E2715" s="23"/>
      <c r="H2715" s="23">
        <v>8</v>
      </c>
      <c r="I2715" t="s">
        <v>1093</v>
      </c>
      <c r="K2715" s="21">
        <f>ROUND(H2715/100*K2714,5)</f>
        <v>15.760160000000001</v>
      </c>
    </row>
    <row r="2716" spans="1:27" x14ac:dyDescent="0.2">
      <c r="D2716" s="24" t="s">
        <v>1094</v>
      </c>
      <c r="E2716" s="23"/>
      <c r="H2716" s="23"/>
      <c r="K2716" s="25">
        <f>SUM(K2714:K2715)</f>
        <v>212.76216000000002</v>
      </c>
    </row>
    <row r="2718" spans="1:27" ht="45" customHeight="1" x14ac:dyDescent="0.2">
      <c r="A2718" s="17" t="s">
        <v>2097</v>
      </c>
      <c r="B2718" s="17" t="s">
        <v>520</v>
      </c>
      <c r="C2718" s="1" t="s">
        <v>23</v>
      </c>
      <c r="D2718" s="96" t="s">
        <v>521</v>
      </c>
      <c r="E2718" s="97"/>
      <c r="F2718" s="97"/>
      <c r="G2718" s="1"/>
      <c r="H2718" s="18" t="s">
        <v>1066</v>
      </c>
      <c r="I2718" s="98">
        <v>1</v>
      </c>
      <c r="J2718" s="99"/>
      <c r="K2718" s="19">
        <f>ROUND(K2730,2)</f>
        <v>6262</v>
      </c>
      <c r="L2718" s="2" t="s">
        <v>2041</v>
      </c>
      <c r="M2718" s="1"/>
      <c r="N2718" s="1"/>
      <c r="O2718" s="1"/>
      <c r="P2718" s="1"/>
      <c r="Q2718" s="1"/>
      <c r="R2718" s="1"/>
      <c r="S2718" s="1"/>
      <c r="T2718" s="1"/>
      <c r="U2718" s="1"/>
      <c r="V2718" s="1"/>
      <c r="W2718" s="1"/>
      <c r="X2718" s="1"/>
      <c r="Y2718" s="1"/>
      <c r="Z2718" s="1"/>
      <c r="AA2718" s="1"/>
    </row>
    <row r="2719" spans="1:27" x14ac:dyDescent="0.2">
      <c r="B2719" s="14" t="s">
        <v>1068</v>
      </c>
    </row>
    <row r="2720" spans="1:27" x14ac:dyDescent="0.2">
      <c r="B2720" t="s">
        <v>1914</v>
      </c>
      <c r="C2720" t="s">
        <v>1070</v>
      </c>
      <c r="D2720" t="s">
        <v>1915</v>
      </c>
      <c r="E2720" s="20">
        <v>6</v>
      </c>
      <c r="F2720" t="s">
        <v>1072</v>
      </c>
      <c r="G2720" t="s">
        <v>1073</v>
      </c>
      <c r="H2720" s="21">
        <v>26.22</v>
      </c>
      <c r="I2720" t="s">
        <v>1074</v>
      </c>
      <c r="J2720" s="22">
        <f>ROUND(E2720/I2718* H2720,5)</f>
        <v>157.32</v>
      </c>
      <c r="K2720" s="23"/>
    </row>
    <row r="2721" spans="1:27" x14ac:dyDescent="0.2">
      <c r="B2721" t="s">
        <v>1912</v>
      </c>
      <c r="C2721" t="s">
        <v>1070</v>
      </c>
      <c r="D2721" t="s">
        <v>1913</v>
      </c>
      <c r="E2721" s="20">
        <v>6</v>
      </c>
      <c r="F2721" t="s">
        <v>1072</v>
      </c>
      <c r="G2721" t="s">
        <v>1073</v>
      </c>
      <c r="H2721" s="21">
        <v>29.88</v>
      </c>
      <c r="I2721" t="s">
        <v>1074</v>
      </c>
      <c r="J2721" s="22">
        <f>ROUND(E2721/I2718* H2721,5)</f>
        <v>179.28</v>
      </c>
      <c r="K2721" s="23"/>
    </row>
    <row r="2722" spans="1:27" x14ac:dyDescent="0.2">
      <c r="D2722" s="24" t="s">
        <v>1075</v>
      </c>
      <c r="E2722" s="23"/>
      <c r="H2722" s="23"/>
      <c r="K2722" s="21">
        <f>SUM(J2720:J2721)</f>
        <v>336.6</v>
      </c>
    </row>
    <row r="2723" spans="1:27" x14ac:dyDescent="0.2">
      <c r="B2723" s="14" t="s">
        <v>1080</v>
      </c>
      <c r="E2723" s="23"/>
      <c r="H2723" s="23"/>
      <c r="K2723" s="23"/>
    </row>
    <row r="2724" spans="1:27" x14ac:dyDescent="0.2">
      <c r="B2724" t="s">
        <v>2042</v>
      </c>
      <c r="C2724" t="s">
        <v>23</v>
      </c>
      <c r="D2724" t="s">
        <v>521</v>
      </c>
      <c r="E2724" s="20">
        <v>1</v>
      </c>
      <c r="G2724" t="s">
        <v>1073</v>
      </c>
      <c r="H2724" s="21">
        <v>5456.5</v>
      </c>
      <c r="I2724" t="s">
        <v>1074</v>
      </c>
      <c r="J2724" s="22">
        <f>ROUND(E2724* H2724,5)</f>
        <v>5456.5</v>
      </c>
      <c r="K2724" s="23"/>
    </row>
    <row r="2725" spans="1:27" x14ac:dyDescent="0.2">
      <c r="D2725" s="24" t="s">
        <v>1090</v>
      </c>
      <c r="E2725" s="23"/>
      <c r="H2725" s="23"/>
      <c r="K2725" s="21">
        <f>SUM(J2724:J2724)</f>
        <v>5456.5</v>
      </c>
    </row>
    <row r="2726" spans="1:27" x14ac:dyDescent="0.2">
      <c r="E2726" s="23"/>
      <c r="H2726" s="23"/>
      <c r="K2726" s="23"/>
    </row>
    <row r="2727" spans="1:27" x14ac:dyDescent="0.2">
      <c r="D2727" s="24" t="s">
        <v>1092</v>
      </c>
      <c r="E2727" s="23"/>
      <c r="H2727" s="23">
        <v>1.5</v>
      </c>
      <c r="I2727" t="s">
        <v>1093</v>
      </c>
      <c r="J2727">
        <f>ROUND(H2727/100*K2722,5)</f>
        <v>5.0490000000000004</v>
      </c>
      <c r="K2727" s="23"/>
    </row>
    <row r="2728" spans="1:27" x14ac:dyDescent="0.2">
      <c r="D2728" s="24" t="s">
        <v>1091</v>
      </c>
      <c r="E2728" s="23"/>
      <c r="H2728" s="23"/>
      <c r="K2728" s="25">
        <f>SUM(J2719:J2727)</f>
        <v>5798.1490000000003</v>
      </c>
    </row>
    <row r="2729" spans="1:27" x14ac:dyDescent="0.2">
      <c r="D2729" s="24" t="s">
        <v>1142</v>
      </c>
      <c r="E2729" s="23"/>
      <c r="H2729" s="23">
        <v>8</v>
      </c>
      <c r="I2729" t="s">
        <v>1093</v>
      </c>
      <c r="K2729" s="21">
        <f>ROUND(H2729/100*K2728,5)</f>
        <v>463.85192000000001</v>
      </c>
    </row>
    <row r="2730" spans="1:27" x14ac:dyDescent="0.2">
      <c r="D2730" s="24" t="s">
        <v>1094</v>
      </c>
      <c r="E2730" s="23"/>
      <c r="H2730" s="23"/>
      <c r="K2730" s="25">
        <f>SUM(K2728:K2729)</f>
        <v>6262.0009200000004</v>
      </c>
    </row>
    <row r="2732" spans="1:27" ht="45" customHeight="1" x14ac:dyDescent="0.2">
      <c r="A2732" s="17" t="s">
        <v>2105</v>
      </c>
      <c r="B2732" s="17" t="s">
        <v>3980</v>
      </c>
      <c r="C2732" s="1" t="s">
        <v>18</v>
      </c>
      <c r="D2732" s="96" t="s">
        <v>3981</v>
      </c>
      <c r="E2732" s="97"/>
      <c r="F2732" s="97"/>
      <c r="G2732" s="1"/>
      <c r="H2732" s="18" t="s">
        <v>1066</v>
      </c>
      <c r="I2732" s="98">
        <v>1</v>
      </c>
      <c r="J2732" s="99"/>
      <c r="K2732" s="19">
        <f>ROUND(K2745,2)</f>
        <v>98.68</v>
      </c>
      <c r="L2732" s="2" t="s">
        <v>4097</v>
      </c>
      <c r="M2732" s="1"/>
      <c r="N2732" s="1"/>
      <c r="O2732" s="1"/>
      <c r="P2732" s="1"/>
      <c r="Q2732" s="1"/>
      <c r="R2732" s="1"/>
      <c r="S2732" s="1"/>
      <c r="T2732" s="1"/>
      <c r="U2732" s="1"/>
      <c r="V2732" s="1"/>
      <c r="W2732" s="1"/>
      <c r="X2732" s="1"/>
      <c r="Y2732" s="1"/>
      <c r="Z2732" s="1"/>
      <c r="AA2732" s="1"/>
    </row>
    <row r="2733" spans="1:27" x14ac:dyDescent="0.2">
      <c r="B2733" s="14" t="s">
        <v>1068</v>
      </c>
    </row>
    <row r="2734" spans="1:27" x14ac:dyDescent="0.2">
      <c r="B2734" t="s">
        <v>2045</v>
      </c>
      <c r="C2734" t="s">
        <v>1070</v>
      </c>
      <c r="D2734" t="s">
        <v>2046</v>
      </c>
      <c r="E2734" s="20">
        <v>1</v>
      </c>
      <c r="F2734" t="s">
        <v>1072</v>
      </c>
      <c r="G2734" t="s">
        <v>1073</v>
      </c>
      <c r="H2734" s="21">
        <v>28.58</v>
      </c>
      <c r="I2734" t="s">
        <v>1074</v>
      </c>
      <c r="J2734" s="22">
        <f>ROUND(E2734/I2732* H2734,5)</f>
        <v>28.58</v>
      </c>
      <c r="K2734" s="23"/>
    </row>
    <row r="2735" spans="1:27" x14ac:dyDescent="0.2">
      <c r="D2735" s="24" t="s">
        <v>1075</v>
      </c>
      <c r="E2735" s="23"/>
      <c r="H2735" s="23"/>
      <c r="K2735" s="21">
        <f>SUM(J2734:J2734)</f>
        <v>28.58</v>
      </c>
    </row>
    <row r="2736" spans="1:27" x14ac:dyDescent="0.2">
      <c r="B2736" s="14" t="s">
        <v>1080</v>
      </c>
      <c r="E2736" s="23"/>
      <c r="H2736" s="23"/>
      <c r="K2736" s="23"/>
    </row>
    <row r="2737" spans="1:27" x14ac:dyDescent="0.2">
      <c r="B2737" t="s">
        <v>4098</v>
      </c>
      <c r="C2737" t="s">
        <v>18</v>
      </c>
      <c r="D2737" t="s">
        <v>4099</v>
      </c>
      <c r="E2737" s="20">
        <v>1</v>
      </c>
      <c r="G2737" t="s">
        <v>1073</v>
      </c>
      <c r="H2737" s="21">
        <v>52.94</v>
      </c>
      <c r="I2737" t="s">
        <v>1074</v>
      </c>
      <c r="J2737" s="22">
        <f>ROUND(E2737* H2737,5)</f>
        <v>52.94</v>
      </c>
      <c r="K2737" s="23"/>
    </row>
    <row r="2738" spans="1:27" x14ac:dyDescent="0.2">
      <c r="B2738" t="s">
        <v>4100</v>
      </c>
      <c r="C2738" t="s">
        <v>1393</v>
      </c>
      <c r="D2738" t="s">
        <v>4101</v>
      </c>
      <c r="E2738" s="20">
        <v>0.04</v>
      </c>
      <c r="G2738" t="s">
        <v>1073</v>
      </c>
      <c r="H2738" s="21">
        <v>209.77</v>
      </c>
      <c r="I2738" t="s">
        <v>1074</v>
      </c>
      <c r="J2738" s="22">
        <f>ROUND(E2738* H2738,5)</f>
        <v>8.3908000000000005</v>
      </c>
      <c r="K2738" s="23"/>
    </row>
    <row r="2739" spans="1:27" x14ac:dyDescent="0.2">
      <c r="B2739" t="s">
        <v>1611</v>
      </c>
      <c r="C2739" t="s">
        <v>23</v>
      </c>
      <c r="D2739" t="s">
        <v>1612</v>
      </c>
      <c r="E2739" s="20">
        <v>4.4000000000000004</v>
      </c>
      <c r="G2739" t="s">
        <v>1073</v>
      </c>
      <c r="H2739" s="21">
        <v>0.17</v>
      </c>
      <c r="I2739" t="s">
        <v>1074</v>
      </c>
      <c r="J2739" s="22">
        <f>ROUND(E2739* H2739,5)</f>
        <v>0.748</v>
      </c>
      <c r="K2739" s="23"/>
    </row>
    <row r="2740" spans="1:27" x14ac:dyDescent="0.2">
      <c r="D2740" s="24" t="s">
        <v>1090</v>
      </c>
      <c r="E2740" s="23"/>
      <c r="H2740" s="23"/>
      <c r="K2740" s="21">
        <f>SUM(J2737:J2739)</f>
        <v>62.078799999999994</v>
      </c>
    </row>
    <row r="2741" spans="1:27" x14ac:dyDescent="0.2">
      <c r="E2741" s="23"/>
      <c r="H2741" s="23"/>
      <c r="K2741" s="23"/>
    </row>
    <row r="2742" spans="1:27" x14ac:dyDescent="0.2">
      <c r="D2742" s="24" t="s">
        <v>1092</v>
      </c>
      <c r="E2742" s="23"/>
      <c r="H2742" s="23">
        <v>2.5</v>
      </c>
      <c r="I2742" t="s">
        <v>1093</v>
      </c>
      <c r="J2742">
        <f>ROUND(H2742/100*K2735,5)</f>
        <v>0.71450000000000002</v>
      </c>
      <c r="K2742" s="23"/>
    </row>
    <row r="2743" spans="1:27" x14ac:dyDescent="0.2">
      <c r="D2743" s="24" t="s">
        <v>1091</v>
      </c>
      <c r="E2743" s="23"/>
      <c r="H2743" s="23"/>
      <c r="K2743" s="25">
        <f>SUM(J2733:J2742)</f>
        <v>91.3733</v>
      </c>
    </row>
    <row r="2744" spans="1:27" x14ac:dyDescent="0.2">
      <c r="D2744" s="24" t="s">
        <v>1142</v>
      </c>
      <c r="E2744" s="23"/>
      <c r="H2744" s="23">
        <v>8</v>
      </c>
      <c r="I2744" t="s">
        <v>1093</v>
      </c>
      <c r="K2744" s="21">
        <f>ROUND(H2744/100*K2743,5)</f>
        <v>7.3098599999999996</v>
      </c>
    </row>
    <row r="2745" spans="1:27" x14ac:dyDescent="0.2">
      <c r="D2745" s="24" t="s">
        <v>1094</v>
      </c>
      <c r="E2745" s="23"/>
      <c r="H2745" s="23"/>
      <c r="K2745" s="25">
        <f>SUM(K2743:K2744)</f>
        <v>98.683160000000001</v>
      </c>
    </row>
    <row r="2747" spans="1:27" ht="45" customHeight="1" x14ac:dyDescent="0.2">
      <c r="A2747" s="17" t="s">
        <v>2113</v>
      </c>
      <c r="B2747" s="17" t="s">
        <v>474</v>
      </c>
      <c r="C2747" s="1" t="s">
        <v>18</v>
      </c>
      <c r="D2747" s="96" t="s">
        <v>475</v>
      </c>
      <c r="E2747" s="97"/>
      <c r="F2747" s="97"/>
      <c r="G2747" s="1"/>
      <c r="H2747" s="18" t="s">
        <v>1066</v>
      </c>
      <c r="I2747" s="98">
        <v>1</v>
      </c>
      <c r="J2747" s="99"/>
      <c r="K2747" s="19">
        <f>ROUND(K2758,2)</f>
        <v>147.51</v>
      </c>
      <c r="L2747" s="2" t="s">
        <v>2044</v>
      </c>
      <c r="M2747" s="1"/>
      <c r="N2747" s="1"/>
      <c r="O2747" s="1"/>
      <c r="P2747" s="1"/>
      <c r="Q2747" s="1"/>
      <c r="R2747" s="1"/>
      <c r="S2747" s="1"/>
      <c r="T2747" s="1"/>
      <c r="U2747" s="1"/>
      <c r="V2747" s="1"/>
      <c r="W2747" s="1"/>
      <c r="X2747" s="1"/>
      <c r="Y2747" s="1"/>
      <c r="Z2747" s="1"/>
      <c r="AA2747" s="1"/>
    </row>
    <row r="2748" spans="1:27" x14ac:dyDescent="0.2">
      <c r="B2748" s="14" t="s">
        <v>1068</v>
      </c>
    </row>
    <row r="2749" spans="1:27" x14ac:dyDescent="0.2">
      <c r="B2749" t="s">
        <v>2045</v>
      </c>
      <c r="C2749" t="s">
        <v>1070</v>
      </c>
      <c r="D2749" t="s">
        <v>2046</v>
      </c>
      <c r="E2749" s="20">
        <v>0.6</v>
      </c>
      <c r="F2749" t="s">
        <v>1072</v>
      </c>
      <c r="G2749" t="s">
        <v>1073</v>
      </c>
      <c r="H2749" s="21">
        <v>28.58</v>
      </c>
      <c r="I2749" t="s">
        <v>1074</v>
      </c>
      <c r="J2749" s="22">
        <f>ROUND(E2749/I2747* H2749,5)</f>
        <v>17.148</v>
      </c>
      <c r="K2749" s="23"/>
    </row>
    <row r="2750" spans="1:27" x14ac:dyDescent="0.2">
      <c r="D2750" s="24" t="s">
        <v>1075</v>
      </c>
      <c r="E2750" s="23"/>
      <c r="H2750" s="23"/>
      <c r="K2750" s="21">
        <f>SUM(J2749:J2749)</f>
        <v>17.148</v>
      </c>
    </row>
    <row r="2751" spans="1:27" x14ac:dyDescent="0.2">
      <c r="B2751" s="14" t="s">
        <v>1080</v>
      </c>
      <c r="E2751" s="23"/>
      <c r="H2751" s="23"/>
      <c r="K2751" s="23"/>
    </row>
    <row r="2752" spans="1:27" ht="192" x14ac:dyDescent="0.2">
      <c r="B2752" t="s">
        <v>2047</v>
      </c>
      <c r="C2752" t="s">
        <v>18</v>
      </c>
      <c r="D2752" s="26" t="s">
        <v>475</v>
      </c>
      <c r="E2752" s="20">
        <v>1</v>
      </c>
      <c r="G2752" t="s">
        <v>1073</v>
      </c>
      <c r="H2752" s="21">
        <v>119.18</v>
      </c>
      <c r="I2752" t="s">
        <v>1074</v>
      </c>
      <c r="J2752" s="22">
        <f>ROUND(E2752* H2752,5)</f>
        <v>119.18</v>
      </c>
      <c r="K2752" s="23"/>
    </row>
    <row r="2753" spans="1:27" x14ac:dyDescent="0.2">
      <c r="D2753" s="24" t="s">
        <v>1090</v>
      </c>
      <c r="E2753" s="23"/>
      <c r="H2753" s="23"/>
      <c r="K2753" s="21">
        <f>SUM(J2752:J2752)</f>
        <v>119.18</v>
      </c>
    </row>
    <row r="2754" spans="1:27" x14ac:dyDescent="0.2">
      <c r="E2754" s="23"/>
      <c r="H2754" s="23"/>
      <c r="K2754" s="23"/>
    </row>
    <row r="2755" spans="1:27" x14ac:dyDescent="0.2">
      <c r="D2755" s="24" t="s">
        <v>1092</v>
      </c>
      <c r="E2755" s="23"/>
      <c r="H2755" s="23">
        <v>1.5</v>
      </c>
      <c r="I2755" t="s">
        <v>1093</v>
      </c>
      <c r="J2755">
        <f>ROUND(H2755/100*K2750,5)</f>
        <v>0.25722</v>
      </c>
      <c r="K2755" s="23"/>
    </row>
    <row r="2756" spans="1:27" x14ac:dyDescent="0.2">
      <c r="D2756" s="24" t="s">
        <v>1091</v>
      </c>
      <c r="E2756" s="23"/>
      <c r="H2756" s="23"/>
      <c r="K2756" s="25">
        <f>SUM(J2748:J2755)</f>
        <v>136.58521999999999</v>
      </c>
    </row>
    <row r="2757" spans="1:27" x14ac:dyDescent="0.2">
      <c r="D2757" s="24" t="s">
        <v>1142</v>
      </c>
      <c r="E2757" s="23"/>
      <c r="H2757" s="23">
        <v>8</v>
      </c>
      <c r="I2757" t="s">
        <v>1093</v>
      </c>
      <c r="K2757" s="21">
        <f>ROUND(H2757/100*K2756,5)</f>
        <v>10.926819999999999</v>
      </c>
    </row>
    <row r="2758" spans="1:27" x14ac:dyDescent="0.2">
      <c r="D2758" s="24" t="s">
        <v>1094</v>
      </c>
      <c r="E2758" s="23"/>
      <c r="H2758" s="23"/>
      <c r="K2758" s="25">
        <f>SUM(K2756:K2757)</f>
        <v>147.51203999999998</v>
      </c>
    </row>
    <row r="2760" spans="1:27" ht="45" customHeight="1" x14ac:dyDescent="0.2">
      <c r="A2760" s="17" t="s">
        <v>2117</v>
      </c>
      <c r="B2760" s="17" t="s">
        <v>415</v>
      </c>
      <c r="C2760" s="1" t="s">
        <v>18</v>
      </c>
      <c r="D2760" s="96" t="s">
        <v>416</v>
      </c>
      <c r="E2760" s="97"/>
      <c r="F2760" s="97"/>
      <c r="G2760" s="1"/>
      <c r="H2760" s="18" t="s">
        <v>1066</v>
      </c>
      <c r="I2760" s="98">
        <v>1</v>
      </c>
      <c r="J2760" s="99"/>
      <c r="K2760" s="19">
        <f>ROUND(K2773,2)</f>
        <v>270.08999999999997</v>
      </c>
      <c r="L2760" s="2" t="s">
        <v>2049</v>
      </c>
      <c r="M2760" s="1"/>
      <c r="N2760" s="1"/>
      <c r="O2760" s="1"/>
      <c r="P2760" s="1"/>
      <c r="Q2760" s="1"/>
      <c r="R2760" s="1"/>
      <c r="S2760" s="1"/>
      <c r="T2760" s="1"/>
      <c r="U2760" s="1"/>
      <c r="V2760" s="1"/>
      <c r="W2760" s="1"/>
      <c r="X2760" s="1"/>
      <c r="Y2760" s="1"/>
      <c r="Z2760" s="1"/>
      <c r="AA2760" s="1"/>
    </row>
    <row r="2761" spans="1:27" x14ac:dyDescent="0.2">
      <c r="B2761" s="14" t="s">
        <v>1068</v>
      </c>
    </row>
    <row r="2762" spans="1:27" x14ac:dyDescent="0.2">
      <c r="B2762" t="s">
        <v>1184</v>
      </c>
      <c r="C2762" t="s">
        <v>1070</v>
      </c>
      <c r="D2762" t="s">
        <v>1185</v>
      </c>
      <c r="E2762" s="20">
        <v>0.9</v>
      </c>
      <c r="F2762" t="s">
        <v>1072</v>
      </c>
      <c r="G2762" t="s">
        <v>1073</v>
      </c>
      <c r="H2762" s="21">
        <v>30.41</v>
      </c>
      <c r="I2762" t="s">
        <v>1074</v>
      </c>
      <c r="J2762" s="22">
        <f>ROUND(E2762/I2760* H2762,5)</f>
        <v>27.369</v>
      </c>
      <c r="K2762" s="23"/>
    </row>
    <row r="2763" spans="1:27" x14ac:dyDescent="0.2">
      <c r="B2763" t="s">
        <v>2050</v>
      </c>
      <c r="C2763" t="s">
        <v>1070</v>
      </c>
      <c r="D2763" t="s">
        <v>2051</v>
      </c>
      <c r="E2763" s="20">
        <v>0.9</v>
      </c>
      <c r="F2763" t="s">
        <v>1072</v>
      </c>
      <c r="G2763" t="s">
        <v>1073</v>
      </c>
      <c r="H2763" s="21">
        <v>26.08</v>
      </c>
      <c r="I2763" t="s">
        <v>1074</v>
      </c>
      <c r="J2763" s="22">
        <f>ROUND(E2763/I2760* H2763,5)</f>
        <v>23.472000000000001</v>
      </c>
      <c r="K2763" s="23"/>
    </row>
    <row r="2764" spans="1:27" x14ac:dyDescent="0.2">
      <c r="B2764" t="s">
        <v>2045</v>
      </c>
      <c r="C2764" t="s">
        <v>1070</v>
      </c>
      <c r="D2764" t="s">
        <v>2046</v>
      </c>
      <c r="E2764" s="20">
        <v>0.35</v>
      </c>
      <c r="F2764" t="s">
        <v>1072</v>
      </c>
      <c r="G2764" t="s">
        <v>1073</v>
      </c>
      <c r="H2764" s="21">
        <v>28.58</v>
      </c>
      <c r="I2764" t="s">
        <v>1074</v>
      </c>
      <c r="J2764" s="22">
        <f>ROUND(E2764/I2760* H2764,5)</f>
        <v>10.003</v>
      </c>
      <c r="K2764" s="23"/>
    </row>
    <row r="2765" spans="1:27" x14ac:dyDescent="0.2">
      <c r="D2765" s="24" t="s">
        <v>1075</v>
      </c>
      <c r="E2765" s="23"/>
      <c r="H2765" s="23"/>
      <c r="K2765" s="21">
        <f>SUM(J2762:J2764)</f>
        <v>60.844000000000001</v>
      </c>
    </row>
    <row r="2766" spans="1:27" x14ac:dyDescent="0.2">
      <c r="B2766" s="14" t="s">
        <v>1080</v>
      </c>
      <c r="E2766" s="23"/>
      <c r="H2766" s="23"/>
      <c r="K2766" s="23"/>
    </row>
    <row r="2767" spans="1:27" x14ac:dyDescent="0.2">
      <c r="B2767" t="s">
        <v>2052</v>
      </c>
      <c r="C2767" t="s">
        <v>18</v>
      </c>
      <c r="D2767" t="s">
        <v>416</v>
      </c>
      <c r="E2767" s="20">
        <v>1</v>
      </c>
      <c r="G2767" t="s">
        <v>1073</v>
      </c>
      <c r="H2767" s="21">
        <v>188.33</v>
      </c>
      <c r="I2767" t="s">
        <v>1074</v>
      </c>
      <c r="J2767" s="22">
        <f>ROUND(E2767* H2767,5)</f>
        <v>188.33</v>
      </c>
      <c r="K2767" s="23"/>
    </row>
    <row r="2768" spans="1:27" x14ac:dyDescent="0.2">
      <c r="D2768" s="24" t="s">
        <v>1090</v>
      </c>
      <c r="E2768" s="23"/>
      <c r="H2768" s="23"/>
      <c r="K2768" s="21">
        <f>SUM(J2767:J2767)</f>
        <v>188.33</v>
      </c>
    </row>
    <row r="2769" spans="1:27" x14ac:dyDescent="0.2">
      <c r="E2769" s="23"/>
      <c r="H2769" s="23"/>
      <c r="K2769" s="23"/>
    </row>
    <row r="2770" spans="1:27" x14ac:dyDescent="0.2">
      <c r="D2770" s="24" t="s">
        <v>1092</v>
      </c>
      <c r="E2770" s="23"/>
      <c r="H2770" s="23">
        <v>1.5</v>
      </c>
      <c r="I2770" t="s">
        <v>1093</v>
      </c>
      <c r="J2770">
        <f>ROUND(H2770/100*K2765,5)</f>
        <v>0.91266000000000003</v>
      </c>
      <c r="K2770" s="23"/>
    </row>
    <row r="2771" spans="1:27" x14ac:dyDescent="0.2">
      <c r="D2771" s="24" t="s">
        <v>1091</v>
      </c>
      <c r="E2771" s="23"/>
      <c r="H2771" s="23"/>
      <c r="K2771" s="25">
        <f>SUM(J2761:J2770)</f>
        <v>250.08665999999999</v>
      </c>
    </row>
    <row r="2772" spans="1:27" x14ac:dyDescent="0.2">
      <c r="D2772" s="24" t="s">
        <v>1142</v>
      </c>
      <c r="E2772" s="23"/>
      <c r="H2772" s="23">
        <v>8</v>
      </c>
      <c r="I2772" t="s">
        <v>1093</v>
      </c>
      <c r="K2772" s="21">
        <f>ROUND(H2772/100*K2771,5)</f>
        <v>20.006930000000001</v>
      </c>
    </row>
    <row r="2773" spans="1:27" x14ac:dyDescent="0.2">
      <c r="D2773" s="24" t="s">
        <v>1094</v>
      </c>
      <c r="E2773" s="23"/>
      <c r="H2773" s="23"/>
      <c r="K2773" s="25">
        <f>SUM(K2771:K2772)</f>
        <v>270.09359000000001</v>
      </c>
    </row>
    <row r="2775" spans="1:27" ht="45" customHeight="1" x14ac:dyDescent="0.2">
      <c r="A2775" s="17" t="s">
        <v>2824</v>
      </c>
      <c r="B2775" s="17" t="s">
        <v>508</v>
      </c>
      <c r="C2775" s="1" t="s">
        <v>18</v>
      </c>
      <c r="D2775" s="96" t="s">
        <v>509</v>
      </c>
      <c r="E2775" s="97"/>
      <c r="F2775" s="97"/>
      <c r="G2775" s="1"/>
      <c r="H2775" s="18" t="s">
        <v>1066</v>
      </c>
      <c r="I2775" s="98">
        <v>1</v>
      </c>
      <c r="J2775" s="99"/>
      <c r="K2775" s="19">
        <f>ROUND(K2786,2)</f>
        <v>91.61</v>
      </c>
      <c r="L2775" s="2" t="s">
        <v>2054</v>
      </c>
      <c r="M2775" s="1"/>
      <c r="N2775" s="1"/>
      <c r="O2775" s="1"/>
      <c r="P2775" s="1"/>
      <c r="Q2775" s="1"/>
      <c r="R2775" s="1"/>
      <c r="S2775" s="1"/>
      <c r="T2775" s="1"/>
      <c r="U2775" s="1"/>
      <c r="V2775" s="1"/>
      <c r="W2775" s="1"/>
      <c r="X2775" s="1"/>
      <c r="Y2775" s="1"/>
      <c r="Z2775" s="1"/>
      <c r="AA2775" s="1"/>
    </row>
    <row r="2776" spans="1:27" x14ac:dyDescent="0.2">
      <c r="B2776" s="14" t="s">
        <v>1068</v>
      </c>
    </row>
    <row r="2777" spans="1:27" x14ac:dyDescent="0.2">
      <c r="B2777" t="s">
        <v>2045</v>
      </c>
      <c r="C2777" t="s">
        <v>1070</v>
      </c>
      <c r="D2777" t="s">
        <v>2046</v>
      </c>
      <c r="E2777" s="20">
        <v>0.6</v>
      </c>
      <c r="F2777" t="s">
        <v>1072</v>
      </c>
      <c r="G2777" t="s">
        <v>1073</v>
      </c>
      <c r="H2777" s="21">
        <v>28.58</v>
      </c>
      <c r="I2777" t="s">
        <v>1074</v>
      </c>
      <c r="J2777" s="22">
        <f>ROUND(E2777/I2775* H2777,5)</f>
        <v>17.148</v>
      </c>
      <c r="K2777" s="23"/>
    </row>
    <row r="2778" spans="1:27" x14ac:dyDescent="0.2">
      <c r="D2778" s="24" t="s">
        <v>1075</v>
      </c>
      <c r="E2778" s="23"/>
      <c r="H2778" s="23"/>
      <c r="K2778" s="21">
        <f>SUM(J2777:J2777)</f>
        <v>17.148</v>
      </c>
    </row>
    <row r="2779" spans="1:27" x14ac:dyDescent="0.2">
      <c r="B2779" s="14" t="s">
        <v>1080</v>
      </c>
      <c r="E2779" s="23"/>
      <c r="H2779" s="23"/>
      <c r="K2779" s="23"/>
    </row>
    <row r="2780" spans="1:27" x14ac:dyDescent="0.2">
      <c r="B2780" t="s">
        <v>2055</v>
      </c>
      <c r="C2780" t="s">
        <v>18</v>
      </c>
      <c r="D2780" t="s">
        <v>2056</v>
      </c>
      <c r="E2780" s="20">
        <v>1</v>
      </c>
      <c r="G2780" t="s">
        <v>1073</v>
      </c>
      <c r="H2780" s="21">
        <v>67.42</v>
      </c>
      <c r="I2780" t="s">
        <v>1074</v>
      </c>
      <c r="J2780" s="22">
        <f>ROUND(E2780* H2780,5)</f>
        <v>67.42</v>
      </c>
      <c r="K2780" s="23"/>
    </row>
    <row r="2781" spans="1:27" x14ac:dyDescent="0.2">
      <c r="D2781" s="24" t="s">
        <v>1090</v>
      </c>
      <c r="E2781" s="23"/>
      <c r="H2781" s="23"/>
      <c r="K2781" s="21">
        <f>SUM(J2780:J2780)</f>
        <v>67.42</v>
      </c>
    </row>
    <row r="2782" spans="1:27" x14ac:dyDescent="0.2">
      <c r="E2782" s="23"/>
      <c r="H2782" s="23"/>
      <c r="K2782" s="23"/>
    </row>
    <row r="2783" spans="1:27" x14ac:dyDescent="0.2">
      <c r="D2783" s="24" t="s">
        <v>1092</v>
      </c>
      <c r="E2783" s="23"/>
      <c r="H2783" s="23">
        <v>1.5</v>
      </c>
      <c r="I2783" t="s">
        <v>1093</v>
      </c>
      <c r="J2783">
        <f>ROUND(H2783/100*K2778,5)</f>
        <v>0.25722</v>
      </c>
      <c r="K2783" s="23"/>
    </row>
    <row r="2784" spans="1:27" x14ac:dyDescent="0.2">
      <c r="D2784" s="24" t="s">
        <v>1091</v>
      </c>
      <c r="E2784" s="23"/>
      <c r="H2784" s="23"/>
      <c r="K2784" s="25">
        <f>SUM(J2776:J2783)</f>
        <v>84.825220000000002</v>
      </c>
    </row>
    <row r="2785" spans="1:27" x14ac:dyDescent="0.2">
      <c r="D2785" s="24" t="s">
        <v>1142</v>
      </c>
      <c r="E2785" s="23"/>
      <c r="H2785" s="23">
        <v>8</v>
      </c>
      <c r="I2785" t="s">
        <v>1093</v>
      </c>
      <c r="K2785" s="21">
        <f>ROUND(H2785/100*K2784,5)</f>
        <v>6.7860199999999997</v>
      </c>
    </row>
    <row r="2786" spans="1:27" x14ac:dyDescent="0.2">
      <c r="D2786" s="24" t="s">
        <v>1094</v>
      </c>
      <c r="E2786" s="23"/>
      <c r="H2786" s="23"/>
      <c r="K2786" s="25">
        <f>SUM(K2784:K2785)</f>
        <v>91.611239999999995</v>
      </c>
    </row>
    <row r="2788" spans="1:27" ht="45" customHeight="1" x14ac:dyDescent="0.2">
      <c r="A2788" s="17" t="s">
        <v>2133</v>
      </c>
      <c r="B2788" s="17" t="s">
        <v>3898</v>
      </c>
      <c r="C2788" s="1" t="s">
        <v>18</v>
      </c>
      <c r="D2788" s="96" t="s">
        <v>3899</v>
      </c>
      <c r="E2788" s="97"/>
      <c r="F2788" s="97"/>
      <c r="G2788" s="1"/>
      <c r="H2788" s="18" t="s">
        <v>1066</v>
      </c>
      <c r="I2788" s="98">
        <v>1</v>
      </c>
      <c r="J2788" s="99"/>
      <c r="K2788" s="19">
        <f>ROUND(K2799,2)</f>
        <v>96.45</v>
      </c>
      <c r="L2788" s="2" t="s">
        <v>4102</v>
      </c>
      <c r="M2788" s="1"/>
      <c r="N2788" s="1"/>
      <c r="O2788" s="1"/>
      <c r="P2788" s="1"/>
      <c r="Q2788" s="1"/>
      <c r="R2788" s="1"/>
      <c r="S2788" s="1"/>
      <c r="T2788" s="1"/>
      <c r="U2788" s="1"/>
      <c r="V2788" s="1"/>
      <c r="W2788" s="1"/>
      <c r="X2788" s="1"/>
      <c r="Y2788" s="1"/>
      <c r="Z2788" s="1"/>
      <c r="AA2788" s="1"/>
    </row>
    <row r="2789" spans="1:27" x14ac:dyDescent="0.2">
      <c r="B2789" s="14" t="s">
        <v>1068</v>
      </c>
    </row>
    <row r="2790" spans="1:27" x14ac:dyDescent="0.2">
      <c r="B2790" t="s">
        <v>2045</v>
      </c>
      <c r="C2790" t="s">
        <v>1070</v>
      </c>
      <c r="D2790" t="s">
        <v>2046</v>
      </c>
      <c r="E2790" s="20">
        <v>0.6</v>
      </c>
      <c r="F2790" t="s">
        <v>1072</v>
      </c>
      <c r="G2790" t="s">
        <v>1073</v>
      </c>
      <c r="H2790" s="21">
        <v>28.58</v>
      </c>
      <c r="I2790" t="s">
        <v>1074</v>
      </c>
      <c r="J2790" s="22">
        <f>ROUND(E2790/I2788* H2790,5)</f>
        <v>17.148</v>
      </c>
      <c r="K2790" s="23"/>
    </row>
    <row r="2791" spans="1:27" x14ac:dyDescent="0.2">
      <c r="D2791" s="24" t="s">
        <v>1075</v>
      </c>
      <c r="E2791" s="23"/>
      <c r="H2791" s="23"/>
      <c r="K2791" s="21">
        <f>SUM(J2790:J2790)</f>
        <v>17.148</v>
      </c>
    </row>
    <row r="2792" spans="1:27" x14ac:dyDescent="0.2">
      <c r="B2792" s="14" t="s">
        <v>1080</v>
      </c>
      <c r="E2792" s="23"/>
      <c r="H2792" s="23"/>
      <c r="K2792" s="23"/>
    </row>
    <row r="2793" spans="1:27" x14ac:dyDescent="0.2">
      <c r="B2793" t="s">
        <v>4103</v>
      </c>
      <c r="C2793" t="s">
        <v>18</v>
      </c>
      <c r="D2793" t="s">
        <v>4104</v>
      </c>
      <c r="E2793" s="20">
        <v>1</v>
      </c>
      <c r="G2793" t="s">
        <v>1073</v>
      </c>
      <c r="H2793" s="21">
        <v>71.900000000000006</v>
      </c>
      <c r="I2793" t="s">
        <v>1074</v>
      </c>
      <c r="J2793" s="22">
        <f>ROUND(E2793* H2793,5)</f>
        <v>71.900000000000006</v>
      </c>
      <c r="K2793" s="23"/>
    </row>
    <row r="2794" spans="1:27" x14ac:dyDescent="0.2">
      <c r="D2794" s="24" t="s">
        <v>1090</v>
      </c>
      <c r="E2794" s="23"/>
      <c r="H2794" s="23"/>
      <c r="K2794" s="21">
        <f>SUM(J2793:J2793)</f>
        <v>71.900000000000006</v>
      </c>
    </row>
    <row r="2795" spans="1:27" x14ac:dyDescent="0.2">
      <c r="E2795" s="23"/>
      <c r="H2795" s="23"/>
      <c r="K2795" s="23"/>
    </row>
    <row r="2796" spans="1:27" x14ac:dyDescent="0.2">
      <c r="D2796" s="24" t="s">
        <v>1092</v>
      </c>
      <c r="E2796" s="23"/>
      <c r="H2796" s="23">
        <v>1.5</v>
      </c>
      <c r="I2796" t="s">
        <v>1093</v>
      </c>
      <c r="J2796">
        <f>ROUND(H2796/100*K2791,5)</f>
        <v>0.25722</v>
      </c>
      <c r="K2796" s="23"/>
    </row>
    <row r="2797" spans="1:27" x14ac:dyDescent="0.2">
      <c r="D2797" s="24" t="s">
        <v>1091</v>
      </c>
      <c r="E2797" s="23"/>
      <c r="H2797" s="23"/>
      <c r="K2797" s="25">
        <f>SUM(J2789:J2796)</f>
        <v>89.305220000000006</v>
      </c>
    </row>
    <row r="2798" spans="1:27" x14ac:dyDescent="0.2">
      <c r="D2798" s="24" t="s">
        <v>1142</v>
      </c>
      <c r="E2798" s="23"/>
      <c r="H2798" s="23">
        <v>8</v>
      </c>
      <c r="I2798" t="s">
        <v>1093</v>
      </c>
      <c r="K2798" s="21">
        <f>ROUND(H2798/100*K2797,5)</f>
        <v>7.1444200000000002</v>
      </c>
    </row>
    <row r="2799" spans="1:27" x14ac:dyDescent="0.2">
      <c r="D2799" s="24" t="s">
        <v>1094</v>
      </c>
      <c r="E2799" s="23"/>
      <c r="H2799" s="23"/>
      <c r="K2799" s="25">
        <f>SUM(K2797:K2798)</f>
        <v>96.449640000000002</v>
      </c>
    </row>
    <row r="2801" spans="1:27" ht="45" customHeight="1" x14ac:dyDescent="0.2">
      <c r="A2801" s="17" t="s">
        <v>2139</v>
      </c>
      <c r="B2801" s="17" t="s">
        <v>439</v>
      </c>
      <c r="C2801" s="1" t="s">
        <v>36</v>
      </c>
      <c r="D2801" s="96" t="s">
        <v>440</v>
      </c>
      <c r="E2801" s="97"/>
      <c r="F2801" s="97"/>
      <c r="G2801" s="1"/>
      <c r="H2801" s="18" t="s">
        <v>1066</v>
      </c>
      <c r="I2801" s="98">
        <v>1</v>
      </c>
      <c r="J2801" s="99"/>
      <c r="K2801" s="19">
        <f>ROUND(K2816,2)</f>
        <v>103.3</v>
      </c>
      <c r="L2801" s="2" t="s">
        <v>2058</v>
      </c>
      <c r="M2801" s="1"/>
      <c r="N2801" s="1"/>
      <c r="O2801" s="1"/>
      <c r="P2801" s="1"/>
      <c r="Q2801" s="1"/>
      <c r="R2801" s="1"/>
      <c r="S2801" s="1"/>
      <c r="T2801" s="1"/>
      <c r="U2801" s="1"/>
      <c r="V2801" s="1"/>
      <c r="W2801" s="1"/>
      <c r="X2801" s="1"/>
      <c r="Y2801" s="1"/>
      <c r="Z2801" s="1"/>
      <c r="AA2801" s="1"/>
    </row>
    <row r="2802" spans="1:27" x14ac:dyDescent="0.2">
      <c r="B2802" s="14" t="s">
        <v>1068</v>
      </c>
    </row>
    <row r="2803" spans="1:27" x14ac:dyDescent="0.2">
      <c r="B2803" t="s">
        <v>1527</v>
      </c>
      <c r="C2803" t="s">
        <v>1070</v>
      </c>
      <c r="D2803" t="s">
        <v>1528</v>
      </c>
      <c r="E2803" s="20">
        <v>0.28000000000000003</v>
      </c>
      <c r="F2803" t="s">
        <v>1072</v>
      </c>
      <c r="G2803" t="s">
        <v>1073</v>
      </c>
      <c r="H2803" s="21">
        <v>26.12</v>
      </c>
      <c r="I2803" t="s">
        <v>1074</v>
      </c>
      <c r="J2803" s="22">
        <f>ROUND(E2803/I2801* H2803,5)</f>
        <v>7.3136000000000001</v>
      </c>
      <c r="K2803" s="23"/>
    </row>
    <row r="2804" spans="1:27" x14ac:dyDescent="0.2">
      <c r="B2804" t="s">
        <v>1512</v>
      </c>
      <c r="C2804" t="s">
        <v>1070</v>
      </c>
      <c r="D2804" t="s">
        <v>1513</v>
      </c>
      <c r="E2804" s="20">
        <v>0.56000000000000005</v>
      </c>
      <c r="F2804" t="s">
        <v>1072</v>
      </c>
      <c r="G2804" t="s">
        <v>1073</v>
      </c>
      <c r="H2804" s="21">
        <v>29.42</v>
      </c>
      <c r="I2804" t="s">
        <v>1074</v>
      </c>
      <c r="J2804" s="22">
        <f>ROUND(E2804/I2801* H2804,5)</f>
        <v>16.475200000000001</v>
      </c>
      <c r="K2804" s="23"/>
    </row>
    <row r="2805" spans="1:27" x14ac:dyDescent="0.2">
      <c r="D2805" s="24" t="s">
        <v>1075</v>
      </c>
      <c r="E2805" s="23"/>
      <c r="H2805" s="23"/>
      <c r="K2805" s="21">
        <f>SUM(J2803:J2804)</f>
        <v>23.788800000000002</v>
      </c>
    </row>
    <row r="2806" spans="1:27" x14ac:dyDescent="0.2">
      <c r="B2806" s="14" t="s">
        <v>1080</v>
      </c>
      <c r="E2806" s="23"/>
      <c r="H2806" s="23"/>
      <c r="K2806" s="23"/>
    </row>
    <row r="2807" spans="1:27" x14ac:dyDescent="0.2">
      <c r="B2807" t="s">
        <v>2061</v>
      </c>
      <c r="C2807" t="s">
        <v>23</v>
      </c>
      <c r="D2807" t="s">
        <v>2062</v>
      </c>
      <c r="E2807" s="20">
        <v>0.33</v>
      </c>
      <c r="G2807" t="s">
        <v>1073</v>
      </c>
      <c r="H2807" s="21">
        <v>2.31</v>
      </c>
      <c r="I2807" t="s">
        <v>1074</v>
      </c>
      <c r="J2807" s="22">
        <f>ROUND(E2807* H2807,5)</f>
        <v>0.76229999999999998</v>
      </c>
      <c r="K2807" s="23"/>
    </row>
    <row r="2808" spans="1:27" x14ac:dyDescent="0.2">
      <c r="B2808" t="s">
        <v>2065</v>
      </c>
      <c r="C2808" t="s">
        <v>36</v>
      </c>
      <c r="D2808" t="s">
        <v>2066</v>
      </c>
      <c r="E2808" s="20">
        <v>1.4</v>
      </c>
      <c r="G2808" t="s">
        <v>1073</v>
      </c>
      <c r="H2808" s="21">
        <v>46.34</v>
      </c>
      <c r="I2808" t="s">
        <v>1074</v>
      </c>
      <c r="J2808" s="22">
        <f>ROUND(E2808* H2808,5)</f>
        <v>64.876000000000005</v>
      </c>
      <c r="K2808" s="23"/>
    </row>
    <row r="2809" spans="1:27" x14ac:dyDescent="0.2">
      <c r="B2809" t="s">
        <v>2059</v>
      </c>
      <c r="C2809" t="s">
        <v>23</v>
      </c>
      <c r="D2809" t="s">
        <v>2060</v>
      </c>
      <c r="E2809" s="20">
        <v>1</v>
      </c>
      <c r="G2809" t="s">
        <v>1073</v>
      </c>
      <c r="H2809" s="21">
        <v>1.83</v>
      </c>
      <c r="I2809" t="s">
        <v>1074</v>
      </c>
      <c r="J2809" s="22">
        <f>ROUND(E2809* H2809,5)</f>
        <v>1.83</v>
      </c>
      <c r="K2809" s="23"/>
    </row>
    <row r="2810" spans="1:27" x14ac:dyDescent="0.2">
      <c r="B2810" t="s">
        <v>2063</v>
      </c>
      <c r="C2810" t="s">
        <v>23</v>
      </c>
      <c r="D2810" t="s">
        <v>2064</v>
      </c>
      <c r="E2810" s="20">
        <v>0.5</v>
      </c>
      <c r="G2810" t="s">
        <v>1073</v>
      </c>
      <c r="H2810" s="21">
        <v>8.07</v>
      </c>
      <c r="I2810" t="s">
        <v>1074</v>
      </c>
      <c r="J2810" s="22">
        <f>ROUND(E2810* H2810,5)</f>
        <v>4.0350000000000001</v>
      </c>
      <c r="K2810" s="23"/>
    </row>
    <row r="2811" spans="1:27" x14ac:dyDescent="0.2">
      <c r="D2811" s="24" t="s">
        <v>1090</v>
      </c>
      <c r="E2811" s="23"/>
      <c r="H2811" s="23"/>
      <c r="K2811" s="21">
        <f>SUM(J2807:J2810)</f>
        <v>71.503299999999996</v>
      </c>
    </row>
    <row r="2812" spans="1:27" x14ac:dyDescent="0.2">
      <c r="E2812" s="23"/>
      <c r="H2812" s="23"/>
      <c r="K2812" s="23"/>
    </row>
    <row r="2813" spans="1:27" x14ac:dyDescent="0.2">
      <c r="D2813" s="24" t="s">
        <v>1092</v>
      </c>
      <c r="E2813" s="23"/>
      <c r="H2813" s="23">
        <v>1.5</v>
      </c>
      <c r="I2813" t="s">
        <v>1093</v>
      </c>
      <c r="J2813">
        <f>ROUND(H2813/100*K2805,5)</f>
        <v>0.35682999999999998</v>
      </c>
      <c r="K2813" s="23"/>
    </row>
    <row r="2814" spans="1:27" x14ac:dyDescent="0.2">
      <c r="D2814" s="24" t="s">
        <v>1091</v>
      </c>
      <c r="E2814" s="23"/>
      <c r="H2814" s="23"/>
      <c r="K2814" s="25">
        <f>SUM(J2802:J2813)</f>
        <v>95.648930000000007</v>
      </c>
    </row>
    <row r="2815" spans="1:27" x14ac:dyDescent="0.2">
      <c r="D2815" s="24" t="s">
        <v>1142</v>
      </c>
      <c r="E2815" s="23"/>
      <c r="H2815" s="23">
        <v>8</v>
      </c>
      <c r="I2815" t="s">
        <v>1093</v>
      </c>
      <c r="K2815" s="21">
        <f>ROUND(H2815/100*K2814,5)</f>
        <v>7.65191</v>
      </c>
    </row>
    <row r="2816" spans="1:27" x14ac:dyDescent="0.2">
      <c r="D2816" s="24" t="s">
        <v>1094</v>
      </c>
      <c r="E2816" s="23"/>
      <c r="H2816" s="23"/>
      <c r="K2816" s="25">
        <f>SUM(K2814:K2815)</f>
        <v>103.30084000000001</v>
      </c>
    </row>
    <row r="2818" spans="1:27" ht="45" customHeight="1" x14ac:dyDescent="0.2">
      <c r="A2818" s="17" t="s">
        <v>2147</v>
      </c>
      <c r="B2818" s="17" t="s">
        <v>659</v>
      </c>
      <c r="C2818" s="1" t="s">
        <v>36</v>
      </c>
      <c r="D2818" s="96" t="s">
        <v>660</v>
      </c>
      <c r="E2818" s="97"/>
      <c r="F2818" s="97"/>
      <c r="G2818" s="1"/>
      <c r="H2818" s="18" t="s">
        <v>1066</v>
      </c>
      <c r="I2818" s="98">
        <v>1</v>
      </c>
      <c r="J2818" s="99"/>
      <c r="K2818" s="19">
        <f>ROUND(K2833,2)</f>
        <v>41.94</v>
      </c>
      <c r="L2818" s="2" t="s">
        <v>2068</v>
      </c>
      <c r="M2818" s="1"/>
      <c r="N2818" s="1"/>
      <c r="O2818" s="1"/>
      <c r="P2818" s="1"/>
      <c r="Q2818" s="1"/>
      <c r="R2818" s="1"/>
      <c r="S2818" s="1"/>
      <c r="T2818" s="1"/>
      <c r="U2818" s="1"/>
      <c r="V2818" s="1"/>
      <c r="W2818" s="1"/>
      <c r="X2818" s="1"/>
      <c r="Y2818" s="1"/>
      <c r="Z2818" s="1"/>
      <c r="AA2818" s="1"/>
    </row>
    <row r="2819" spans="1:27" x14ac:dyDescent="0.2">
      <c r="B2819" s="14" t="s">
        <v>1068</v>
      </c>
    </row>
    <row r="2820" spans="1:27" x14ac:dyDescent="0.2">
      <c r="B2820" t="s">
        <v>1527</v>
      </c>
      <c r="C2820" t="s">
        <v>1070</v>
      </c>
      <c r="D2820" t="s">
        <v>1528</v>
      </c>
      <c r="E2820" s="20">
        <v>0.25</v>
      </c>
      <c r="F2820" t="s">
        <v>1072</v>
      </c>
      <c r="G2820" t="s">
        <v>1073</v>
      </c>
      <c r="H2820" s="21">
        <v>26.12</v>
      </c>
      <c r="I2820" t="s">
        <v>1074</v>
      </c>
      <c r="J2820" s="22">
        <f>ROUND(E2820/I2818* H2820,5)</f>
        <v>6.53</v>
      </c>
      <c r="K2820" s="23"/>
    </row>
    <row r="2821" spans="1:27" x14ac:dyDescent="0.2">
      <c r="B2821" t="s">
        <v>1512</v>
      </c>
      <c r="C2821" t="s">
        <v>1070</v>
      </c>
      <c r="D2821" t="s">
        <v>1513</v>
      </c>
      <c r="E2821" s="20">
        <v>0.5</v>
      </c>
      <c r="F2821" t="s">
        <v>1072</v>
      </c>
      <c r="G2821" t="s">
        <v>1073</v>
      </c>
      <c r="H2821" s="21">
        <v>29.42</v>
      </c>
      <c r="I2821" t="s">
        <v>1074</v>
      </c>
      <c r="J2821" s="22">
        <f>ROUND(E2821/I2818* H2821,5)</f>
        <v>14.71</v>
      </c>
      <c r="K2821" s="23"/>
    </row>
    <row r="2822" spans="1:27" x14ac:dyDescent="0.2">
      <c r="D2822" s="24" t="s">
        <v>1075</v>
      </c>
      <c r="E2822" s="23"/>
      <c r="H2822" s="23"/>
      <c r="K2822" s="21">
        <f>SUM(J2820:J2821)</f>
        <v>21.240000000000002</v>
      </c>
    </row>
    <row r="2823" spans="1:27" x14ac:dyDescent="0.2">
      <c r="B2823" s="14" t="s">
        <v>1080</v>
      </c>
      <c r="E2823" s="23"/>
      <c r="H2823" s="23"/>
      <c r="K2823" s="23"/>
    </row>
    <row r="2824" spans="1:27" x14ac:dyDescent="0.2">
      <c r="B2824" t="s">
        <v>2075</v>
      </c>
      <c r="C2824" t="s">
        <v>23</v>
      </c>
      <c r="D2824" t="s">
        <v>2076</v>
      </c>
      <c r="E2824" s="20">
        <v>0.33</v>
      </c>
      <c r="G2824" t="s">
        <v>1073</v>
      </c>
      <c r="H2824" s="21">
        <v>12.11</v>
      </c>
      <c r="I2824" t="s">
        <v>1074</v>
      </c>
      <c r="J2824" s="22">
        <f>ROUND(E2824* H2824,5)</f>
        <v>3.9963000000000002</v>
      </c>
      <c r="K2824" s="23"/>
    </row>
    <row r="2825" spans="1:27" x14ac:dyDescent="0.2">
      <c r="B2825" t="s">
        <v>2073</v>
      </c>
      <c r="C2825" t="s">
        <v>36</v>
      </c>
      <c r="D2825" t="s">
        <v>2074</v>
      </c>
      <c r="E2825" s="20">
        <v>1.4</v>
      </c>
      <c r="G2825" t="s">
        <v>1073</v>
      </c>
      <c r="H2825" s="21">
        <v>8.07</v>
      </c>
      <c r="I2825" t="s">
        <v>1074</v>
      </c>
      <c r="J2825" s="22">
        <f>ROUND(E2825* H2825,5)</f>
        <v>11.298</v>
      </c>
      <c r="K2825" s="23"/>
    </row>
    <row r="2826" spans="1:27" x14ac:dyDescent="0.2">
      <c r="B2826" t="s">
        <v>2071</v>
      </c>
      <c r="C2826" t="s">
        <v>23</v>
      </c>
      <c r="D2826" t="s">
        <v>2072</v>
      </c>
      <c r="E2826" s="20">
        <v>0.5</v>
      </c>
      <c r="G2826" t="s">
        <v>1073</v>
      </c>
      <c r="H2826" s="21">
        <v>1.9</v>
      </c>
      <c r="I2826" t="s">
        <v>1074</v>
      </c>
      <c r="J2826" s="22">
        <f>ROUND(E2826* H2826,5)</f>
        <v>0.95</v>
      </c>
      <c r="K2826" s="23"/>
    </row>
    <row r="2827" spans="1:27" x14ac:dyDescent="0.2">
      <c r="B2827" t="s">
        <v>2069</v>
      </c>
      <c r="C2827" t="s">
        <v>23</v>
      </c>
      <c r="D2827" t="s">
        <v>2070</v>
      </c>
      <c r="E2827" s="20">
        <v>1</v>
      </c>
      <c r="G2827" t="s">
        <v>1073</v>
      </c>
      <c r="H2827" s="21">
        <v>1.03</v>
      </c>
      <c r="I2827" t="s">
        <v>1074</v>
      </c>
      <c r="J2827" s="22">
        <f>ROUND(E2827* H2827,5)</f>
        <v>1.03</v>
      </c>
      <c r="K2827" s="23"/>
    </row>
    <row r="2828" spans="1:27" x14ac:dyDescent="0.2">
      <c r="D2828" s="24" t="s">
        <v>1090</v>
      </c>
      <c r="E2828" s="23"/>
      <c r="H2828" s="23"/>
      <c r="K2828" s="21">
        <f>SUM(J2824:J2827)</f>
        <v>17.2743</v>
      </c>
    </row>
    <row r="2829" spans="1:27" x14ac:dyDescent="0.2">
      <c r="E2829" s="23"/>
      <c r="H2829" s="23"/>
      <c r="K2829" s="23"/>
    </row>
    <row r="2830" spans="1:27" x14ac:dyDescent="0.2">
      <c r="D2830" s="24" t="s">
        <v>1092</v>
      </c>
      <c r="E2830" s="23"/>
      <c r="H2830" s="23">
        <v>1.5</v>
      </c>
      <c r="I2830" t="s">
        <v>1093</v>
      </c>
      <c r="J2830">
        <f>ROUND(H2830/100*K2822,5)</f>
        <v>0.31859999999999999</v>
      </c>
      <c r="K2830" s="23"/>
    </row>
    <row r="2831" spans="1:27" x14ac:dyDescent="0.2">
      <c r="D2831" s="24" t="s">
        <v>1091</v>
      </c>
      <c r="E2831" s="23"/>
      <c r="H2831" s="23"/>
      <c r="K2831" s="25">
        <f>SUM(J2819:J2830)</f>
        <v>38.832900000000009</v>
      </c>
    </row>
    <row r="2832" spans="1:27" x14ac:dyDescent="0.2">
      <c r="D2832" s="24" t="s">
        <v>1142</v>
      </c>
      <c r="E2832" s="23"/>
      <c r="H2832" s="23">
        <v>8</v>
      </c>
      <c r="I2832" t="s">
        <v>1093</v>
      </c>
      <c r="K2832" s="21">
        <f>ROUND(H2832/100*K2831,5)</f>
        <v>3.10663</v>
      </c>
    </row>
    <row r="2833" spans="1:27" x14ac:dyDescent="0.2">
      <c r="D2833" s="24" t="s">
        <v>1094</v>
      </c>
      <c r="E2833" s="23"/>
      <c r="H2833" s="23"/>
      <c r="K2833" s="25">
        <f>SUM(K2831:K2832)</f>
        <v>41.939530000000012</v>
      </c>
    </row>
    <row r="2835" spans="1:27" ht="45" customHeight="1" x14ac:dyDescent="0.2">
      <c r="A2835" s="17" t="s">
        <v>2155</v>
      </c>
      <c r="B2835" s="17" t="s">
        <v>661</v>
      </c>
      <c r="C2835" s="1" t="s">
        <v>36</v>
      </c>
      <c r="D2835" s="96" t="s">
        <v>662</v>
      </c>
      <c r="E2835" s="97"/>
      <c r="F2835" s="97"/>
      <c r="G2835" s="1"/>
      <c r="H2835" s="18" t="s">
        <v>1066</v>
      </c>
      <c r="I2835" s="98">
        <v>1</v>
      </c>
      <c r="J2835" s="99"/>
      <c r="K2835" s="19">
        <f>ROUND(K2850,2)</f>
        <v>28.75</v>
      </c>
      <c r="L2835" s="2" t="s">
        <v>2078</v>
      </c>
      <c r="M2835" s="1"/>
      <c r="N2835" s="1"/>
      <c r="O2835" s="1"/>
      <c r="P2835" s="1"/>
      <c r="Q2835" s="1"/>
      <c r="R2835" s="1"/>
      <c r="S2835" s="1"/>
      <c r="T2835" s="1"/>
      <c r="U2835" s="1"/>
      <c r="V2835" s="1"/>
      <c r="W2835" s="1"/>
      <c r="X2835" s="1"/>
      <c r="Y2835" s="1"/>
      <c r="Z2835" s="1"/>
      <c r="AA2835" s="1"/>
    </row>
    <row r="2836" spans="1:27" x14ac:dyDescent="0.2">
      <c r="B2836" s="14" t="s">
        <v>1068</v>
      </c>
    </row>
    <row r="2837" spans="1:27" x14ac:dyDescent="0.2">
      <c r="B2837" t="s">
        <v>1527</v>
      </c>
      <c r="C2837" t="s">
        <v>1070</v>
      </c>
      <c r="D2837" t="s">
        <v>1528</v>
      </c>
      <c r="E2837" s="20">
        <v>0.18</v>
      </c>
      <c r="F2837" t="s">
        <v>1072</v>
      </c>
      <c r="G2837" t="s">
        <v>1073</v>
      </c>
      <c r="H2837" s="21">
        <v>26.12</v>
      </c>
      <c r="I2837" t="s">
        <v>1074</v>
      </c>
      <c r="J2837" s="22">
        <f>ROUND(E2837/I2835* H2837,5)</f>
        <v>4.7016</v>
      </c>
      <c r="K2837" s="23"/>
    </row>
    <row r="2838" spans="1:27" x14ac:dyDescent="0.2">
      <c r="B2838" t="s">
        <v>1512</v>
      </c>
      <c r="C2838" t="s">
        <v>1070</v>
      </c>
      <c r="D2838" t="s">
        <v>1513</v>
      </c>
      <c r="E2838" s="20">
        <v>0.36</v>
      </c>
      <c r="F2838" t="s">
        <v>1072</v>
      </c>
      <c r="G2838" t="s">
        <v>1073</v>
      </c>
      <c r="H2838" s="21">
        <v>29.42</v>
      </c>
      <c r="I2838" t="s">
        <v>1074</v>
      </c>
      <c r="J2838" s="22">
        <f>ROUND(E2838/I2835* H2838,5)</f>
        <v>10.591200000000001</v>
      </c>
      <c r="K2838" s="23"/>
    </row>
    <row r="2839" spans="1:27" x14ac:dyDescent="0.2">
      <c r="D2839" s="24" t="s">
        <v>1075</v>
      </c>
      <c r="E2839" s="23"/>
      <c r="H2839" s="23"/>
      <c r="K2839" s="21">
        <f>SUM(J2837:J2838)</f>
        <v>15.2928</v>
      </c>
    </row>
    <row r="2840" spans="1:27" x14ac:dyDescent="0.2">
      <c r="B2840" s="14" t="s">
        <v>1080</v>
      </c>
      <c r="E2840" s="23"/>
      <c r="H2840" s="23"/>
      <c r="K2840" s="23"/>
    </row>
    <row r="2841" spans="1:27" x14ac:dyDescent="0.2">
      <c r="B2841" t="s">
        <v>2079</v>
      </c>
      <c r="C2841" t="s">
        <v>23</v>
      </c>
      <c r="D2841" t="s">
        <v>2080</v>
      </c>
      <c r="E2841" s="20">
        <v>0.67</v>
      </c>
      <c r="G2841" t="s">
        <v>1073</v>
      </c>
      <c r="H2841" s="21">
        <v>1.05</v>
      </c>
      <c r="I2841" t="s">
        <v>1074</v>
      </c>
      <c r="J2841" s="22">
        <f>ROUND(E2841* H2841,5)</f>
        <v>0.70350000000000001</v>
      </c>
      <c r="K2841" s="23"/>
    </row>
    <row r="2842" spans="1:27" x14ac:dyDescent="0.2">
      <c r="B2842" t="s">
        <v>2081</v>
      </c>
      <c r="C2842" t="s">
        <v>36</v>
      </c>
      <c r="D2842" t="s">
        <v>2082</v>
      </c>
      <c r="E2842" s="20">
        <v>1.4</v>
      </c>
      <c r="G2842" t="s">
        <v>1073</v>
      </c>
      <c r="H2842" s="21">
        <v>6.02</v>
      </c>
      <c r="I2842" t="s">
        <v>1074</v>
      </c>
      <c r="J2842" s="22">
        <f>ROUND(E2842* H2842,5)</f>
        <v>8.4280000000000008</v>
      </c>
      <c r="K2842" s="23"/>
    </row>
    <row r="2843" spans="1:27" x14ac:dyDescent="0.2">
      <c r="B2843" t="s">
        <v>2085</v>
      </c>
      <c r="C2843" t="s">
        <v>23</v>
      </c>
      <c r="D2843" t="s">
        <v>2086</v>
      </c>
      <c r="E2843" s="20">
        <v>0.33</v>
      </c>
      <c r="G2843" t="s">
        <v>1073</v>
      </c>
      <c r="H2843" s="21">
        <v>5.68</v>
      </c>
      <c r="I2843" t="s">
        <v>1074</v>
      </c>
      <c r="J2843" s="22">
        <f>ROUND(E2843* H2843,5)</f>
        <v>1.8744000000000001</v>
      </c>
      <c r="K2843" s="23"/>
    </row>
    <row r="2844" spans="1:27" x14ac:dyDescent="0.2">
      <c r="B2844" t="s">
        <v>2083</v>
      </c>
      <c r="C2844" t="s">
        <v>23</v>
      </c>
      <c r="D2844" t="s">
        <v>2084</v>
      </c>
      <c r="E2844" s="20">
        <v>1</v>
      </c>
      <c r="G2844" t="s">
        <v>1073</v>
      </c>
      <c r="H2844" s="21">
        <v>0.09</v>
      </c>
      <c r="I2844" t="s">
        <v>1074</v>
      </c>
      <c r="J2844" s="22">
        <f>ROUND(E2844* H2844,5)</f>
        <v>0.09</v>
      </c>
      <c r="K2844" s="23"/>
    </row>
    <row r="2845" spans="1:27" x14ac:dyDescent="0.2">
      <c r="D2845" s="24" t="s">
        <v>1090</v>
      </c>
      <c r="E2845" s="23"/>
      <c r="H2845" s="23"/>
      <c r="K2845" s="21">
        <f>SUM(J2841:J2844)</f>
        <v>11.0959</v>
      </c>
    </row>
    <row r="2846" spans="1:27" x14ac:dyDescent="0.2">
      <c r="E2846" s="23"/>
      <c r="H2846" s="23"/>
      <c r="K2846" s="23"/>
    </row>
    <row r="2847" spans="1:27" x14ac:dyDescent="0.2">
      <c r="D2847" s="24" t="s">
        <v>1092</v>
      </c>
      <c r="E2847" s="23"/>
      <c r="H2847" s="23">
        <v>1.5</v>
      </c>
      <c r="I2847" t="s">
        <v>1093</v>
      </c>
      <c r="J2847">
        <f>ROUND(H2847/100*K2839,5)</f>
        <v>0.22939000000000001</v>
      </c>
      <c r="K2847" s="23"/>
    </row>
    <row r="2848" spans="1:27" x14ac:dyDescent="0.2">
      <c r="D2848" s="24" t="s">
        <v>1091</v>
      </c>
      <c r="E2848" s="23"/>
      <c r="H2848" s="23"/>
      <c r="K2848" s="25">
        <f>SUM(J2836:J2847)</f>
        <v>26.618090000000002</v>
      </c>
    </row>
    <row r="2849" spans="1:27" x14ac:dyDescent="0.2">
      <c r="D2849" s="24" t="s">
        <v>1142</v>
      </c>
      <c r="E2849" s="23"/>
      <c r="H2849" s="23">
        <v>8</v>
      </c>
      <c r="I2849" t="s">
        <v>1093</v>
      </c>
      <c r="K2849" s="21">
        <f>ROUND(H2849/100*K2848,5)</f>
        <v>2.1294499999999998</v>
      </c>
    </row>
    <row r="2850" spans="1:27" x14ac:dyDescent="0.2">
      <c r="D2850" s="24" t="s">
        <v>1094</v>
      </c>
      <c r="E2850" s="23"/>
      <c r="H2850" s="23"/>
      <c r="K2850" s="25">
        <f>SUM(K2848:K2849)</f>
        <v>28.747540000000001</v>
      </c>
    </row>
    <row r="2852" spans="1:27" ht="45" customHeight="1" x14ac:dyDescent="0.2">
      <c r="A2852" s="17" t="s">
        <v>2157</v>
      </c>
      <c r="B2852" s="17" t="s">
        <v>656</v>
      </c>
      <c r="C2852" s="1" t="s">
        <v>36</v>
      </c>
      <c r="D2852" s="96" t="s">
        <v>657</v>
      </c>
      <c r="E2852" s="97"/>
      <c r="F2852" s="97"/>
      <c r="G2852" s="1"/>
      <c r="H2852" s="18" t="s">
        <v>1066</v>
      </c>
      <c r="I2852" s="98">
        <v>1</v>
      </c>
      <c r="J2852" s="99"/>
      <c r="K2852" s="19">
        <f>ROUND(K2866,2)</f>
        <v>20.73</v>
      </c>
      <c r="L2852" s="2" t="s">
        <v>2088</v>
      </c>
      <c r="M2852" s="1"/>
      <c r="N2852" s="1"/>
      <c r="O2852" s="1"/>
      <c r="P2852" s="1"/>
      <c r="Q2852" s="1"/>
      <c r="R2852" s="1"/>
      <c r="S2852" s="1"/>
      <c r="T2852" s="1"/>
      <c r="U2852" s="1"/>
      <c r="V2852" s="1"/>
      <c r="W2852" s="1"/>
      <c r="X2852" s="1"/>
      <c r="Y2852" s="1"/>
      <c r="Z2852" s="1"/>
      <c r="AA2852" s="1"/>
    </row>
    <row r="2853" spans="1:27" x14ac:dyDescent="0.2">
      <c r="B2853" s="14" t="s">
        <v>1068</v>
      </c>
    </row>
    <row r="2854" spans="1:27" x14ac:dyDescent="0.2">
      <c r="B2854" t="s">
        <v>1283</v>
      </c>
      <c r="C2854" t="s">
        <v>1070</v>
      </c>
      <c r="D2854" t="s">
        <v>1284</v>
      </c>
      <c r="E2854" s="20">
        <v>0.36</v>
      </c>
      <c r="F2854" t="s">
        <v>1072</v>
      </c>
      <c r="G2854" t="s">
        <v>1073</v>
      </c>
      <c r="H2854" s="21">
        <v>30.41</v>
      </c>
      <c r="I2854" t="s">
        <v>1074</v>
      </c>
      <c r="J2854" s="22">
        <f>ROUND(E2854/I2852* H2854,5)</f>
        <v>10.9476</v>
      </c>
      <c r="K2854" s="23"/>
    </row>
    <row r="2855" spans="1:27" x14ac:dyDescent="0.2">
      <c r="B2855" t="s">
        <v>2089</v>
      </c>
      <c r="C2855" t="s">
        <v>1070</v>
      </c>
      <c r="D2855" t="s">
        <v>2090</v>
      </c>
      <c r="E2855" s="20">
        <v>0.18</v>
      </c>
      <c r="F2855" t="s">
        <v>1072</v>
      </c>
      <c r="G2855" t="s">
        <v>1073</v>
      </c>
      <c r="H2855" s="21">
        <v>26.08</v>
      </c>
      <c r="I2855" t="s">
        <v>1074</v>
      </c>
      <c r="J2855" s="22">
        <f>ROUND(E2855/I2852* H2855,5)</f>
        <v>4.6943999999999999</v>
      </c>
      <c r="K2855" s="23"/>
    </row>
    <row r="2856" spans="1:27" x14ac:dyDescent="0.2">
      <c r="D2856" s="24" t="s">
        <v>1075</v>
      </c>
      <c r="E2856" s="23"/>
      <c r="H2856" s="23"/>
      <c r="K2856" s="21">
        <f>SUM(J2854:J2855)</f>
        <v>15.641999999999999</v>
      </c>
    </row>
    <row r="2857" spans="1:27" x14ac:dyDescent="0.2">
      <c r="B2857" s="14" t="s">
        <v>1080</v>
      </c>
      <c r="E2857" s="23"/>
      <c r="H2857" s="23"/>
      <c r="K2857" s="23"/>
    </row>
    <row r="2858" spans="1:27" x14ac:dyDescent="0.2">
      <c r="B2858" t="s">
        <v>2091</v>
      </c>
      <c r="C2858" t="s">
        <v>23</v>
      </c>
      <c r="D2858" t="s">
        <v>2092</v>
      </c>
      <c r="E2858" s="20">
        <v>1</v>
      </c>
      <c r="G2858" t="s">
        <v>1073</v>
      </c>
      <c r="H2858" s="21">
        <v>0.01</v>
      </c>
      <c r="I2858" t="s">
        <v>1074</v>
      </c>
      <c r="J2858" s="22">
        <f>ROUND(E2858* H2858,5)</f>
        <v>0.01</v>
      </c>
      <c r="K2858" s="23"/>
    </row>
    <row r="2859" spans="1:27" x14ac:dyDescent="0.2">
      <c r="B2859" t="s">
        <v>2093</v>
      </c>
      <c r="C2859" t="s">
        <v>23</v>
      </c>
      <c r="D2859" t="s">
        <v>2094</v>
      </c>
      <c r="E2859" s="20">
        <v>1</v>
      </c>
      <c r="G2859" t="s">
        <v>1073</v>
      </c>
      <c r="H2859" s="21">
        <v>0.77</v>
      </c>
      <c r="I2859" t="s">
        <v>1074</v>
      </c>
      <c r="J2859" s="22">
        <f>ROUND(E2859* H2859,5)</f>
        <v>0.77</v>
      </c>
      <c r="K2859" s="23"/>
    </row>
    <row r="2860" spans="1:27" x14ac:dyDescent="0.2">
      <c r="B2860" t="s">
        <v>2095</v>
      </c>
      <c r="C2860" t="s">
        <v>36</v>
      </c>
      <c r="D2860" t="s">
        <v>2096</v>
      </c>
      <c r="E2860" s="20">
        <v>1.25</v>
      </c>
      <c r="G2860" t="s">
        <v>1073</v>
      </c>
      <c r="H2860" s="21">
        <v>2.0299999999999998</v>
      </c>
      <c r="I2860" t="s">
        <v>1074</v>
      </c>
      <c r="J2860" s="22">
        <f>ROUND(E2860* H2860,5)</f>
        <v>2.5375000000000001</v>
      </c>
      <c r="K2860" s="23"/>
    </row>
    <row r="2861" spans="1:27" x14ac:dyDescent="0.2">
      <c r="D2861" s="24" t="s">
        <v>1090</v>
      </c>
      <c r="E2861" s="23"/>
      <c r="H2861" s="23"/>
      <c r="K2861" s="21">
        <f>SUM(J2858:J2860)</f>
        <v>3.3174999999999999</v>
      </c>
    </row>
    <row r="2862" spans="1:27" x14ac:dyDescent="0.2">
      <c r="E2862" s="23"/>
      <c r="H2862" s="23"/>
      <c r="K2862" s="23"/>
    </row>
    <row r="2863" spans="1:27" x14ac:dyDescent="0.2">
      <c r="D2863" s="24" t="s">
        <v>1092</v>
      </c>
      <c r="E2863" s="23"/>
      <c r="H2863" s="23">
        <v>1.5</v>
      </c>
      <c r="I2863" t="s">
        <v>1093</v>
      </c>
      <c r="J2863">
        <f>ROUND(H2863/100*K2856,5)</f>
        <v>0.23463000000000001</v>
      </c>
      <c r="K2863" s="23"/>
    </row>
    <row r="2864" spans="1:27" x14ac:dyDescent="0.2">
      <c r="D2864" s="24" t="s">
        <v>1091</v>
      </c>
      <c r="E2864" s="23"/>
      <c r="H2864" s="23"/>
      <c r="K2864" s="25">
        <f>SUM(J2853:J2863)</f>
        <v>19.194130000000001</v>
      </c>
    </row>
    <row r="2865" spans="1:27" x14ac:dyDescent="0.2">
      <c r="D2865" s="24" t="s">
        <v>1142</v>
      </c>
      <c r="E2865" s="23"/>
      <c r="H2865" s="23">
        <v>8</v>
      </c>
      <c r="I2865" t="s">
        <v>1093</v>
      </c>
      <c r="K2865" s="21">
        <f>ROUND(H2865/100*K2864,5)</f>
        <v>1.5355300000000001</v>
      </c>
    </row>
    <row r="2866" spans="1:27" x14ac:dyDescent="0.2">
      <c r="D2866" s="24" t="s">
        <v>1094</v>
      </c>
      <c r="E2866" s="23"/>
      <c r="H2866" s="23"/>
      <c r="K2866" s="25">
        <f>SUM(K2864:K2865)</f>
        <v>20.729660000000003</v>
      </c>
    </row>
    <row r="2868" spans="1:27" ht="45" customHeight="1" x14ac:dyDescent="0.2">
      <c r="A2868" s="17" t="s">
        <v>2159</v>
      </c>
      <c r="B2868" s="17" t="s">
        <v>654</v>
      </c>
      <c r="C2868" s="1" t="s">
        <v>36</v>
      </c>
      <c r="D2868" s="96" t="s">
        <v>655</v>
      </c>
      <c r="E2868" s="97"/>
      <c r="F2868" s="97"/>
      <c r="G2868" s="1"/>
      <c r="H2868" s="18" t="s">
        <v>1066</v>
      </c>
      <c r="I2868" s="98">
        <v>1</v>
      </c>
      <c r="J2868" s="99"/>
      <c r="K2868" s="19">
        <f>ROUND(K2882,2)</f>
        <v>21.97</v>
      </c>
      <c r="L2868" s="2" t="s">
        <v>2098</v>
      </c>
      <c r="M2868" s="1"/>
      <c r="N2868" s="1"/>
      <c r="O2868" s="1"/>
      <c r="P2868" s="1"/>
      <c r="Q2868" s="1"/>
      <c r="R2868" s="1"/>
      <c r="S2868" s="1"/>
      <c r="T2868" s="1"/>
      <c r="U2868" s="1"/>
      <c r="V2868" s="1"/>
      <c r="W2868" s="1"/>
      <c r="X2868" s="1"/>
      <c r="Y2868" s="1"/>
      <c r="Z2868" s="1"/>
      <c r="AA2868" s="1"/>
    </row>
    <row r="2869" spans="1:27" x14ac:dyDescent="0.2">
      <c r="B2869" s="14" t="s">
        <v>1068</v>
      </c>
    </row>
    <row r="2870" spans="1:27" x14ac:dyDescent="0.2">
      <c r="B2870" t="s">
        <v>1283</v>
      </c>
      <c r="C2870" t="s">
        <v>1070</v>
      </c>
      <c r="D2870" t="s">
        <v>1284</v>
      </c>
      <c r="E2870" s="20">
        <v>0.36</v>
      </c>
      <c r="F2870" t="s">
        <v>1072</v>
      </c>
      <c r="G2870" t="s">
        <v>1073</v>
      </c>
      <c r="H2870" s="21">
        <v>30.41</v>
      </c>
      <c r="I2870" t="s">
        <v>1074</v>
      </c>
      <c r="J2870" s="22">
        <f>ROUND(E2870/I2868* H2870,5)</f>
        <v>10.9476</v>
      </c>
      <c r="K2870" s="23"/>
    </row>
    <row r="2871" spans="1:27" x14ac:dyDescent="0.2">
      <c r="B2871" t="s">
        <v>2089</v>
      </c>
      <c r="C2871" t="s">
        <v>1070</v>
      </c>
      <c r="D2871" t="s">
        <v>2090</v>
      </c>
      <c r="E2871" s="20">
        <v>0.18</v>
      </c>
      <c r="F2871" t="s">
        <v>1072</v>
      </c>
      <c r="G2871" t="s">
        <v>1073</v>
      </c>
      <c r="H2871" s="21">
        <v>26.08</v>
      </c>
      <c r="I2871" t="s">
        <v>1074</v>
      </c>
      <c r="J2871" s="22">
        <f>ROUND(E2871/I2868* H2871,5)</f>
        <v>4.6943999999999999</v>
      </c>
      <c r="K2871" s="23"/>
    </row>
    <row r="2872" spans="1:27" x14ac:dyDescent="0.2">
      <c r="D2872" s="24" t="s">
        <v>1075</v>
      </c>
      <c r="E2872" s="23"/>
      <c r="H2872" s="23"/>
      <c r="K2872" s="21">
        <f>SUM(J2870:J2871)</f>
        <v>15.641999999999999</v>
      </c>
    </row>
    <row r="2873" spans="1:27" x14ac:dyDescent="0.2">
      <c r="B2873" s="14" t="s">
        <v>1080</v>
      </c>
      <c r="E2873" s="23"/>
      <c r="H2873" s="23"/>
      <c r="K2873" s="23"/>
    </row>
    <row r="2874" spans="1:27" x14ac:dyDescent="0.2">
      <c r="B2874" t="s">
        <v>2101</v>
      </c>
      <c r="C2874" t="s">
        <v>23</v>
      </c>
      <c r="D2874" t="s">
        <v>2102</v>
      </c>
      <c r="E2874" s="20">
        <v>1</v>
      </c>
      <c r="G2874" t="s">
        <v>1073</v>
      </c>
      <c r="H2874" s="21">
        <v>0.02</v>
      </c>
      <c r="I2874" t="s">
        <v>1074</v>
      </c>
      <c r="J2874" s="22">
        <f>ROUND(E2874* H2874,5)</f>
        <v>0.02</v>
      </c>
      <c r="K2874" s="23"/>
    </row>
    <row r="2875" spans="1:27" x14ac:dyDescent="0.2">
      <c r="B2875" t="s">
        <v>2103</v>
      </c>
      <c r="C2875" t="s">
        <v>23</v>
      </c>
      <c r="D2875" t="s">
        <v>2104</v>
      </c>
      <c r="E2875" s="20">
        <v>1</v>
      </c>
      <c r="G2875" t="s">
        <v>1073</v>
      </c>
      <c r="H2875" s="21">
        <v>1.22</v>
      </c>
      <c r="I2875" t="s">
        <v>1074</v>
      </c>
      <c r="J2875" s="22">
        <f>ROUND(E2875* H2875,5)</f>
        <v>1.22</v>
      </c>
      <c r="K2875" s="23"/>
    </row>
    <row r="2876" spans="1:27" x14ac:dyDescent="0.2">
      <c r="B2876" t="s">
        <v>2099</v>
      </c>
      <c r="C2876" t="s">
        <v>36</v>
      </c>
      <c r="D2876" t="s">
        <v>2100</v>
      </c>
      <c r="E2876" s="20">
        <v>1.25</v>
      </c>
      <c r="G2876" t="s">
        <v>1073</v>
      </c>
      <c r="H2876" s="21">
        <v>2.58</v>
      </c>
      <c r="I2876" t="s">
        <v>1074</v>
      </c>
      <c r="J2876" s="22">
        <f>ROUND(E2876* H2876,5)</f>
        <v>3.2250000000000001</v>
      </c>
      <c r="K2876" s="23"/>
    </row>
    <row r="2877" spans="1:27" x14ac:dyDescent="0.2">
      <c r="D2877" s="24" t="s">
        <v>1090</v>
      </c>
      <c r="E2877" s="23"/>
      <c r="H2877" s="23"/>
      <c r="K2877" s="21">
        <f>SUM(J2874:J2876)</f>
        <v>4.4649999999999999</v>
      </c>
    </row>
    <row r="2878" spans="1:27" x14ac:dyDescent="0.2">
      <c r="E2878" s="23"/>
      <c r="H2878" s="23"/>
      <c r="K2878" s="23"/>
    </row>
    <row r="2879" spans="1:27" x14ac:dyDescent="0.2">
      <c r="D2879" s="24" t="s">
        <v>1092</v>
      </c>
      <c r="E2879" s="23"/>
      <c r="H2879" s="23">
        <v>1.5</v>
      </c>
      <c r="I2879" t="s">
        <v>1093</v>
      </c>
      <c r="J2879">
        <f>ROUND(H2879/100*K2872,5)</f>
        <v>0.23463000000000001</v>
      </c>
      <c r="K2879" s="23"/>
    </row>
    <row r="2880" spans="1:27" x14ac:dyDescent="0.2">
      <c r="D2880" s="24" t="s">
        <v>1091</v>
      </c>
      <c r="E2880" s="23"/>
      <c r="H2880" s="23"/>
      <c r="K2880" s="25">
        <f>SUM(J2869:J2879)</f>
        <v>20.341629999999999</v>
      </c>
    </row>
    <row r="2881" spans="1:27" x14ac:dyDescent="0.2">
      <c r="D2881" s="24" t="s">
        <v>1142</v>
      </c>
      <c r="E2881" s="23"/>
      <c r="H2881" s="23">
        <v>8</v>
      </c>
      <c r="I2881" t="s">
        <v>1093</v>
      </c>
      <c r="K2881" s="21">
        <f>ROUND(H2881/100*K2880,5)</f>
        <v>1.6273299999999999</v>
      </c>
    </row>
    <row r="2882" spans="1:27" x14ac:dyDescent="0.2">
      <c r="D2882" s="24" t="s">
        <v>1094</v>
      </c>
      <c r="E2882" s="23"/>
      <c r="H2882" s="23"/>
      <c r="K2882" s="25">
        <f>SUM(K2880:K2881)</f>
        <v>21.968959999999999</v>
      </c>
    </row>
    <row r="2884" spans="1:27" ht="45" customHeight="1" x14ac:dyDescent="0.2">
      <c r="A2884" s="17" t="s">
        <v>2167</v>
      </c>
      <c r="B2884" s="17" t="s">
        <v>652</v>
      </c>
      <c r="C2884" s="1" t="s">
        <v>36</v>
      </c>
      <c r="D2884" s="96" t="s">
        <v>653</v>
      </c>
      <c r="E2884" s="97"/>
      <c r="F2884" s="97"/>
      <c r="G2884" s="1"/>
      <c r="H2884" s="18" t="s">
        <v>1066</v>
      </c>
      <c r="I2884" s="98">
        <v>1</v>
      </c>
      <c r="J2884" s="99"/>
      <c r="K2884" s="19">
        <f>ROUND(K2898,2)</f>
        <v>24.73</v>
      </c>
      <c r="L2884" s="2" t="s">
        <v>2106</v>
      </c>
      <c r="M2884" s="1"/>
      <c r="N2884" s="1"/>
      <c r="O2884" s="1"/>
      <c r="P2884" s="1"/>
      <c r="Q2884" s="1"/>
      <c r="R2884" s="1"/>
      <c r="S2884" s="1"/>
      <c r="T2884" s="1"/>
      <c r="U2884" s="1"/>
      <c r="V2884" s="1"/>
      <c r="W2884" s="1"/>
      <c r="X2884" s="1"/>
      <c r="Y2884" s="1"/>
      <c r="Z2884" s="1"/>
      <c r="AA2884" s="1"/>
    </row>
    <row r="2885" spans="1:27" x14ac:dyDescent="0.2">
      <c r="B2885" s="14" t="s">
        <v>1068</v>
      </c>
    </row>
    <row r="2886" spans="1:27" x14ac:dyDescent="0.2">
      <c r="B2886" t="s">
        <v>1283</v>
      </c>
      <c r="C2886" t="s">
        <v>1070</v>
      </c>
      <c r="D2886" t="s">
        <v>1284</v>
      </c>
      <c r="E2886" s="20">
        <v>0.36</v>
      </c>
      <c r="F2886" t="s">
        <v>1072</v>
      </c>
      <c r="G2886" t="s">
        <v>1073</v>
      </c>
      <c r="H2886" s="21">
        <v>30.41</v>
      </c>
      <c r="I2886" t="s">
        <v>1074</v>
      </c>
      <c r="J2886" s="22">
        <f>ROUND(E2886/I2884* H2886,5)</f>
        <v>10.9476</v>
      </c>
      <c r="K2886" s="23"/>
    </row>
    <row r="2887" spans="1:27" x14ac:dyDescent="0.2">
      <c r="B2887" t="s">
        <v>2089</v>
      </c>
      <c r="C2887" t="s">
        <v>1070</v>
      </c>
      <c r="D2887" t="s">
        <v>2090</v>
      </c>
      <c r="E2887" s="20">
        <v>0.18</v>
      </c>
      <c r="F2887" t="s">
        <v>1072</v>
      </c>
      <c r="G2887" t="s">
        <v>1073</v>
      </c>
      <c r="H2887" s="21">
        <v>26.08</v>
      </c>
      <c r="I2887" t="s">
        <v>1074</v>
      </c>
      <c r="J2887" s="22">
        <f>ROUND(E2887/I2884* H2887,5)</f>
        <v>4.6943999999999999</v>
      </c>
      <c r="K2887" s="23"/>
    </row>
    <row r="2888" spans="1:27" x14ac:dyDescent="0.2">
      <c r="D2888" s="24" t="s">
        <v>1075</v>
      </c>
      <c r="E2888" s="23"/>
      <c r="H2888" s="23"/>
      <c r="K2888" s="21">
        <f>SUM(J2886:J2887)</f>
        <v>15.641999999999999</v>
      </c>
    </row>
    <row r="2889" spans="1:27" x14ac:dyDescent="0.2">
      <c r="B2889" s="14" t="s">
        <v>1080</v>
      </c>
      <c r="E2889" s="23"/>
      <c r="H2889" s="23"/>
      <c r="K2889" s="23"/>
    </row>
    <row r="2890" spans="1:27" x14ac:dyDescent="0.2">
      <c r="B2890" t="s">
        <v>2111</v>
      </c>
      <c r="C2890" t="s">
        <v>23</v>
      </c>
      <c r="D2890" t="s">
        <v>2112</v>
      </c>
      <c r="E2890" s="20">
        <v>1</v>
      </c>
      <c r="G2890" t="s">
        <v>1073</v>
      </c>
      <c r="H2890" s="21">
        <v>2.04</v>
      </c>
      <c r="I2890" t="s">
        <v>1074</v>
      </c>
      <c r="J2890" s="22">
        <f>ROUND(E2890* H2890,5)</f>
        <v>2.04</v>
      </c>
      <c r="K2890" s="23"/>
    </row>
    <row r="2891" spans="1:27" x14ac:dyDescent="0.2">
      <c r="B2891" t="s">
        <v>2109</v>
      </c>
      <c r="C2891" t="s">
        <v>23</v>
      </c>
      <c r="D2891" t="s">
        <v>2110</v>
      </c>
      <c r="E2891" s="20">
        <v>1</v>
      </c>
      <c r="G2891" t="s">
        <v>1073</v>
      </c>
      <c r="H2891" s="21">
        <v>0.03</v>
      </c>
      <c r="I2891" t="s">
        <v>1074</v>
      </c>
      <c r="J2891" s="22">
        <f>ROUND(E2891* H2891,5)</f>
        <v>0.03</v>
      </c>
      <c r="K2891" s="23"/>
    </row>
    <row r="2892" spans="1:27" x14ac:dyDescent="0.2">
      <c r="B2892" t="s">
        <v>2107</v>
      </c>
      <c r="C2892" t="s">
        <v>36</v>
      </c>
      <c r="D2892" t="s">
        <v>2108</v>
      </c>
      <c r="E2892" s="20">
        <v>1.25</v>
      </c>
      <c r="G2892" t="s">
        <v>1073</v>
      </c>
      <c r="H2892" s="21">
        <v>3.96</v>
      </c>
      <c r="I2892" t="s">
        <v>1074</v>
      </c>
      <c r="J2892" s="22">
        <f>ROUND(E2892* H2892,5)</f>
        <v>4.95</v>
      </c>
      <c r="K2892" s="23"/>
    </row>
    <row r="2893" spans="1:27" x14ac:dyDescent="0.2">
      <c r="D2893" s="24" t="s">
        <v>1090</v>
      </c>
      <c r="E2893" s="23"/>
      <c r="H2893" s="23"/>
      <c r="K2893" s="21">
        <f>SUM(J2890:J2892)</f>
        <v>7.02</v>
      </c>
    </row>
    <row r="2894" spans="1:27" x14ac:dyDescent="0.2">
      <c r="E2894" s="23"/>
      <c r="H2894" s="23"/>
      <c r="K2894" s="23"/>
    </row>
    <row r="2895" spans="1:27" x14ac:dyDescent="0.2">
      <c r="D2895" s="24" t="s">
        <v>1092</v>
      </c>
      <c r="E2895" s="23"/>
      <c r="H2895" s="23">
        <v>1.5</v>
      </c>
      <c r="I2895" t="s">
        <v>1093</v>
      </c>
      <c r="J2895">
        <f>ROUND(H2895/100*K2888,5)</f>
        <v>0.23463000000000001</v>
      </c>
      <c r="K2895" s="23"/>
    </row>
    <row r="2896" spans="1:27" x14ac:dyDescent="0.2">
      <c r="D2896" s="24" t="s">
        <v>1091</v>
      </c>
      <c r="E2896" s="23"/>
      <c r="H2896" s="23"/>
      <c r="K2896" s="25">
        <f>SUM(J2885:J2895)</f>
        <v>22.896629999999998</v>
      </c>
    </row>
    <row r="2897" spans="1:27" x14ac:dyDescent="0.2">
      <c r="D2897" s="24" t="s">
        <v>1142</v>
      </c>
      <c r="E2897" s="23"/>
      <c r="H2897" s="23">
        <v>8</v>
      </c>
      <c r="I2897" t="s">
        <v>1093</v>
      </c>
      <c r="K2897" s="21">
        <f>ROUND(H2897/100*K2896,5)</f>
        <v>1.8317300000000001</v>
      </c>
    </row>
    <row r="2898" spans="1:27" x14ac:dyDescent="0.2">
      <c r="D2898" s="24" t="s">
        <v>1094</v>
      </c>
      <c r="E2898" s="23"/>
      <c r="H2898" s="23"/>
      <c r="K2898" s="25">
        <f>SUM(K2896:K2897)</f>
        <v>24.728359999999999</v>
      </c>
    </row>
    <row r="2900" spans="1:27" ht="45" customHeight="1" x14ac:dyDescent="0.2">
      <c r="A2900" s="17" t="s">
        <v>2171</v>
      </c>
      <c r="B2900" s="17" t="s">
        <v>650</v>
      </c>
      <c r="C2900" s="1" t="s">
        <v>36</v>
      </c>
      <c r="D2900" s="96" t="s">
        <v>651</v>
      </c>
      <c r="E2900" s="97"/>
      <c r="F2900" s="97"/>
      <c r="G2900" s="1"/>
      <c r="H2900" s="18" t="s">
        <v>1066</v>
      </c>
      <c r="I2900" s="98">
        <v>1</v>
      </c>
      <c r="J2900" s="99"/>
      <c r="K2900" s="19">
        <f>ROUND(K2914,2)</f>
        <v>31.91</v>
      </c>
      <c r="L2900" s="2" t="s">
        <v>2114</v>
      </c>
      <c r="M2900" s="1"/>
      <c r="N2900" s="1"/>
      <c r="O2900" s="1"/>
      <c r="P2900" s="1"/>
      <c r="Q2900" s="1"/>
      <c r="R2900" s="1"/>
      <c r="S2900" s="1"/>
      <c r="T2900" s="1"/>
      <c r="U2900" s="1"/>
      <c r="V2900" s="1"/>
      <c r="W2900" s="1"/>
      <c r="X2900" s="1"/>
      <c r="Y2900" s="1"/>
      <c r="Z2900" s="1"/>
      <c r="AA2900" s="1"/>
    </row>
    <row r="2901" spans="1:27" x14ac:dyDescent="0.2">
      <c r="B2901" s="14" t="s">
        <v>1068</v>
      </c>
    </row>
    <row r="2902" spans="1:27" x14ac:dyDescent="0.2">
      <c r="B2902" t="s">
        <v>1283</v>
      </c>
      <c r="C2902" t="s">
        <v>1070</v>
      </c>
      <c r="D2902" t="s">
        <v>1284</v>
      </c>
      <c r="E2902" s="20">
        <v>0.36</v>
      </c>
      <c r="F2902" t="s">
        <v>1072</v>
      </c>
      <c r="G2902" t="s">
        <v>1073</v>
      </c>
      <c r="H2902" s="21">
        <v>30.41</v>
      </c>
      <c r="I2902" t="s">
        <v>1074</v>
      </c>
      <c r="J2902" s="22">
        <f>ROUND(E2902/I2900* H2902,5)</f>
        <v>10.9476</v>
      </c>
      <c r="K2902" s="23"/>
    </row>
    <row r="2903" spans="1:27" x14ac:dyDescent="0.2">
      <c r="B2903" t="s">
        <v>2089</v>
      </c>
      <c r="C2903" t="s">
        <v>1070</v>
      </c>
      <c r="D2903" t="s">
        <v>2090</v>
      </c>
      <c r="E2903" s="20">
        <v>0.18</v>
      </c>
      <c r="F2903" t="s">
        <v>1072</v>
      </c>
      <c r="G2903" t="s">
        <v>1073</v>
      </c>
      <c r="H2903" s="21">
        <v>26.08</v>
      </c>
      <c r="I2903" t="s">
        <v>1074</v>
      </c>
      <c r="J2903" s="22">
        <f>ROUND(E2903/I2900* H2903,5)</f>
        <v>4.6943999999999999</v>
      </c>
      <c r="K2903" s="23"/>
    </row>
    <row r="2904" spans="1:27" x14ac:dyDescent="0.2">
      <c r="D2904" s="24" t="s">
        <v>1075</v>
      </c>
      <c r="E2904" s="23"/>
      <c r="H2904" s="23"/>
      <c r="K2904" s="21">
        <f>SUM(J2902:J2903)</f>
        <v>15.641999999999999</v>
      </c>
    </row>
    <row r="2905" spans="1:27" x14ac:dyDescent="0.2">
      <c r="B2905" s="14" t="s">
        <v>1080</v>
      </c>
      <c r="E2905" s="23"/>
      <c r="H2905" s="23"/>
      <c r="K2905" s="23"/>
    </row>
    <row r="2906" spans="1:27" x14ac:dyDescent="0.2">
      <c r="B2906" t="s">
        <v>2085</v>
      </c>
      <c r="C2906" t="s">
        <v>23</v>
      </c>
      <c r="D2906" t="s">
        <v>2086</v>
      </c>
      <c r="E2906" s="20">
        <v>1</v>
      </c>
      <c r="G2906" t="s">
        <v>1073</v>
      </c>
      <c r="H2906" s="21">
        <v>5.68</v>
      </c>
      <c r="I2906" t="s">
        <v>1074</v>
      </c>
      <c r="J2906" s="22">
        <f>ROUND(E2906* H2906,5)</f>
        <v>5.68</v>
      </c>
      <c r="K2906" s="23"/>
    </row>
    <row r="2907" spans="1:27" x14ac:dyDescent="0.2">
      <c r="B2907" t="s">
        <v>2083</v>
      </c>
      <c r="C2907" t="s">
        <v>23</v>
      </c>
      <c r="D2907" t="s">
        <v>2084</v>
      </c>
      <c r="E2907" s="20">
        <v>1</v>
      </c>
      <c r="G2907" t="s">
        <v>1073</v>
      </c>
      <c r="H2907" s="21">
        <v>0.09</v>
      </c>
      <c r="I2907" t="s">
        <v>1074</v>
      </c>
      <c r="J2907" s="22">
        <f>ROUND(E2907* H2907,5)</f>
        <v>0.09</v>
      </c>
      <c r="K2907" s="23"/>
    </row>
    <row r="2908" spans="1:27" x14ac:dyDescent="0.2">
      <c r="B2908" t="s">
        <v>2115</v>
      </c>
      <c r="C2908" t="s">
        <v>36</v>
      </c>
      <c r="D2908" t="s">
        <v>2116</v>
      </c>
      <c r="E2908" s="20">
        <v>1.25</v>
      </c>
      <c r="G2908" t="s">
        <v>1073</v>
      </c>
      <c r="H2908" s="21">
        <v>6.32</v>
      </c>
      <c r="I2908" t="s">
        <v>1074</v>
      </c>
      <c r="J2908" s="22">
        <f>ROUND(E2908* H2908,5)</f>
        <v>7.9</v>
      </c>
      <c r="K2908" s="23"/>
    </row>
    <row r="2909" spans="1:27" x14ac:dyDescent="0.2">
      <c r="D2909" s="24" t="s">
        <v>1090</v>
      </c>
      <c r="E2909" s="23"/>
      <c r="H2909" s="23"/>
      <c r="K2909" s="21">
        <f>SUM(J2906:J2908)</f>
        <v>13.67</v>
      </c>
    </row>
    <row r="2910" spans="1:27" x14ac:dyDescent="0.2">
      <c r="E2910" s="23"/>
      <c r="H2910" s="23"/>
      <c r="K2910" s="23"/>
    </row>
    <row r="2911" spans="1:27" x14ac:dyDescent="0.2">
      <c r="D2911" s="24" t="s">
        <v>1092</v>
      </c>
      <c r="E2911" s="23"/>
      <c r="H2911" s="23">
        <v>1.5</v>
      </c>
      <c r="I2911" t="s">
        <v>1093</v>
      </c>
      <c r="J2911">
        <f>ROUND(H2911/100*K2904,5)</f>
        <v>0.23463000000000001</v>
      </c>
      <c r="K2911" s="23"/>
    </row>
    <row r="2912" spans="1:27" x14ac:dyDescent="0.2">
      <c r="D2912" s="24" t="s">
        <v>1091</v>
      </c>
      <c r="E2912" s="23"/>
      <c r="H2912" s="23"/>
      <c r="K2912" s="25">
        <f>SUM(J2901:J2911)</f>
        <v>29.546629999999997</v>
      </c>
    </row>
    <row r="2913" spans="1:27" x14ac:dyDescent="0.2">
      <c r="D2913" s="24" t="s">
        <v>1142</v>
      </c>
      <c r="E2913" s="23"/>
      <c r="H2913" s="23">
        <v>8</v>
      </c>
      <c r="I2913" t="s">
        <v>1093</v>
      </c>
      <c r="K2913" s="21">
        <f>ROUND(H2913/100*K2912,5)</f>
        <v>2.3637299999999999</v>
      </c>
    </row>
    <row r="2914" spans="1:27" x14ac:dyDescent="0.2">
      <c r="D2914" s="24" t="s">
        <v>1094</v>
      </c>
      <c r="E2914" s="23"/>
      <c r="H2914" s="23"/>
      <c r="K2914" s="25">
        <f>SUM(K2912:K2913)</f>
        <v>31.910359999999997</v>
      </c>
    </row>
    <row r="2916" spans="1:27" ht="45" customHeight="1" x14ac:dyDescent="0.2">
      <c r="A2916" s="17" t="s">
        <v>2177</v>
      </c>
      <c r="B2916" s="17" t="s">
        <v>671</v>
      </c>
      <c r="C2916" s="1" t="s">
        <v>36</v>
      </c>
      <c r="D2916" s="96" t="s">
        <v>672</v>
      </c>
      <c r="E2916" s="97"/>
      <c r="F2916" s="97"/>
      <c r="G2916" s="1"/>
      <c r="H2916" s="18" t="s">
        <v>1066</v>
      </c>
      <c r="I2916" s="98">
        <v>1</v>
      </c>
      <c r="J2916" s="99"/>
      <c r="K2916" s="19">
        <f>ROUND(K2929,2)</f>
        <v>198.52</v>
      </c>
      <c r="L2916" s="2" t="s">
        <v>2118</v>
      </c>
      <c r="M2916" s="1"/>
      <c r="N2916" s="1"/>
      <c r="O2916" s="1"/>
      <c r="P2916" s="1"/>
      <c r="Q2916" s="1"/>
      <c r="R2916" s="1"/>
      <c r="S2916" s="1"/>
      <c r="T2916" s="1"/>
      <c r="U2916" s="1"/>
      <c r="V2916" s="1"/>
      <c r="W2916" s="1"/>
      <c r="X2916" s="1"/>
      <c r="Y2916" s="1"/>
      <c r="Z2916" s="1"/>
      <c r="AA2916" s="1"/>
    </row>
    <row r="2917" spans="1:27" x14ac:dyDescent="0.2">
      <c r="B2917" s="14" t="s">
        <v>1068</v>
      </c>
    </row>
    <row r="2918" spans="1:27" x14ac:dyDescent="0.2">
      <c r="B2918" t="s">
        <v>1900</v>
      </c>
      <c r="C2918" t="s">
        <v>1070</v>
      </c>
      <c r="D2918" t="s">
        <v>1901</v>
      </c>
      <c r="E2918" s="20">
        <v>0.15</v>
      </c>
      <c r="F2918" t="s">
        <v>1072</v>
      </c>
      <c r="G2918" t="s">
        <v>1073</v>
      </c>
      <c r="H2918" s="21">
        <v>29.42</v>
      </c>
      <c r="I2918" t="s">
        <v>1074</v>
      </c>
      <c r="J2918" s="22">
        <f>ROUND(E2918/I2916* H2918,5)</f>
        <v>4.4130000000000003</v>
      </c>
      <c r="K2918" s="23"/>
    </row>
    <row r="2919" spans="1:27" x14ac:dyDescent="0.2">
      <c r="B2919" t="s">
        <v>1205</v>
      </c>
      <c r="C2919" t="s">
        <v>1070</v>
      </c>
      <c r="D2919" t="s">
        <v>1206</v>
      </c>
      <c r="E2919" s="20">
        <v>0.1</v>
      </c>
      <c r="F2919" t="s">
        <v>1072</v>
      </c>
      <c r="G2919" t="s">
        <v>1073</v>
      </c>
      <c r="H2919" s="21">
        <v>24.55</v>
      </c>
      <c r="I2919" t="s">
        <v>1074</v>
      </c>
      <c r="J2919" s="22">
        <f>ROUND(E2919/I2916* H2919,5)</f>
        <v>2.4550000000000001</v>
      </c>
      <c r="K2919" s="23"/>
    </row>
    <row r="2920" spans="1:27" x14ac:dyDescent="0.2">
      <c r="D2920" s="24" t="s">
        <v>1075</v>
      </c>
      <c r="E2920" s="23"/>
      <c r="H2920" s="23"/>
      <c r="K2920" s="21">
        <f>SUM(J2918:J2919)</f>
        <v>6.8680000000000003</v>
      </c>
    </row>
    <row r="2921" spans="1:27" x14ac:dyDescent="0.2">
      <c r="B2921" s="14" t="s">
        <v>1080</v>
      </c>
      <c r="E2921" s="23"/>
      <c r="H2921" s="23"/>
      <c r="K2921" s="23"/>
    </row>
    <row r="2922" spans="1:27" x14ac:dyDescent="0.2">
      <c r="B2922" t="s">
        <v>2121</v>
      </c>
      <c r="C2922" t="s">
        <v>36</v>
      </c>
      <c r="D2922" t="s">
        <v>2122</v>
      </c>
      <c r="E2922" s="20">
        <v>1.05</v>
      </c>
      <c r="G2922" t="s">
        <v>1073</v>
      </c>
      <c r="H2922" s="21">
        <v>165.26</v>
      </c>
      <c r="I2922" t="s">
        <v>1074</v>
      </c>
      <c r="J2922" s="22">
        <f>ROUND(E2922* H2922,5)</f>
        <v>173.523</v>
      </c>
      <c r="K2922" s="23"/>
    </row>
    <row r="2923" spans="1:27" x14ac:dyDescent="0.2">
      <c r="B2923" t="s">
        <v>2119</v>
      </c>
      <c r="C2923" t="s">
        <v>15</v>
      </c>
      <c r="D2923" t="s">
        <v>2120</v>
      </c>
      <c r="E2923" s="20">
        <v>3.3000000000000002E-2</v>
      </c>
      <c r="G2923" t="s">
        <v>1073</v>
      </c>
      <c r="H2923" s="21">
        <v>100.77</v>
      </c>
      <c r="I2923" t="s">
        <v>1074</v>
      </c>
      <c r="J2923" s="22">
        <f>ROUND(E2923* H2923,5)</f>
        <v>3.3254100000000002</v>
      </c>
      <c r="K2923" s="23"/>
    </row>
    <row r="2924" spans="1:27" x14ac:dyDescent="0.2">
      <c r="D2924" s="24" t="s">
        <v>1090</v>
      </c>
      <c r="E2924" s="23"/>
      <c r="H2924" s="23"/>
      <c r="K2924" s="21">
        <f>SUM(J2922:J2923)</f>
        <v>176.84841</v>
      </c>
    </row>
    <row r="2925" spans="1:27" x14ac:dyDescent="0.2">
      <c r="E2925" s="23"/>
      <c r="H2925" s="23"/>
      <c r="K2925" s="23"/>
    </row>
    <row r="2926" spans="1:27" x14ac:dyDescent="0.2">
      <c r="D2926" s="24" t="s">
        <v>1092</v>
      </c>
      <c r="E2926" s="23"/>
      <c r="H2926" s="23">
        <v>1.5</v>
      </c>
      <c r="I2926" t="s">
        <v>1093</v>
      </c>
      <c r="J2926">
        <f>ROUND(H2926/100*K2920,5)</f>
        <v>0.10302</v>
      </c>
      <c r="K2926" s="23"/>
    </row>
    <row r="2927" spans="1:27" x14ac:dyDescent="0.2">
      <c r="D2927" s="24" t="s">
        <v>1091</v>
      </c>
      <c r="E2927" s="23"/>
      <c r="H2927" s="23"/>
      <c r="K2927" s="25">
        <f>SUM(J2917:J2926)</f>
        <v>183.81942999999998</v>
      </c>
    </row>
    <row r="2928" spans="1:27" x14ac:dyDescent="0.2">
      <c r="D2928" s="24" t="s">
        <v>1142</v>
      </c>
      <c r="E2928" s="23"/>
      <c r="H2928" s="23">
        <v>8</v>
      </c>
      <c r="I2928" t="s">
        <v>1093</v>
      </c>
      <c r="K2928" s="21">
        <f>ROUND(H2928/100*K2927,5)</f>
        <v>14.705550000000001</v>
      </c>
    </row>
    <row r="2929" spans="1:27" x14ac:dyDescent="0.2">
      <c r="D2929" s="24" t="s">
        <v>1094</v>
      </c>
      <c r="E2929" s="23"/>
      <c r="H2929" s="23"/>
      <c r="K2929" s="25">
        <f>SUM(K2927:K2928)</f>
        <v>198.52497999999997</v>
      </c>
    </row>
    <row r="2931" spans="1:27" ht="45" customHeight="1" x14ac:dyDescent="0.2">
      <c r="A2931" s="17"/>
      <c r="B2931" s="17" t="s">
        <v>2123</v>
      </c>
      <c r="C2931" s="1" t="s">
        <v>18</v>
      </c>
      <c r="D2931" s="96" t="s">
        <v>2124</v>
      </c>
      <c r="E2931" s="97"/>
      <c r="F2931" s="97"/>
      <c r="G2931" s="1"/>
      <c r="H2931" s="18" t="s">
        <v>1066</v>
      </c>
      <c r="I2931" s="98">
        <v>1</v>
      </c>
      <c r="J2931" s="99"/>
      <c r="K2931" s="19">
        <f>ROUND(K2944,2)</f>
        <v>9.99</v>
      </c>
      <c r="L2931" s="2" t="s">
        <v>2125</v>
      </c>
      <c r="M2931" s="1"/>
      <c r="N2931" s="1"/>
      <c r="O2931" s="1"/>
      <c r="P2931" s="1"/>
      <c r="Q2931" s="1"/>
      <c r="R2931" s="1"/>
      <c r="S2931" s="1"/>
      <c r="T2931" s="1"/>
      <c r="U2931" s="1"/>
      <c r="V2931" s="1"/>
      <c r="W2931" s="1"/>
      <c r="X2931" s="1"/>
      <c r="Y2931" s="1"/>
      <c r="Z2931" s="1"/>
      <c r="AA2931" s="1"/>
    </row>
    <row r="2932" spans="1:27" x14ac:dyDescent="0.2">
      <c r="B2932" s="14" t="s">
        <v>1068</v>
      </c>
    </row>
    <row r="2933" spans="1:27" x14ac:dyDescent="0.2">
      <c r="B2933" t="s">
        <v>1512</v>
      </c>
      <c r="C2933" t="s">
        <v>1070</v>
      </c>
      <c r="D2933" t="s">
        <v>1513</v>
      </c>
      <c r="E2933" s="20">
        <v>0.06</v>
      </c>
      <c r="F2933" t="s">
        <v>1072</v>
      </c>
      <c r="G2933" t="s">
        <v>1073</v>
      </c>
      <c r="H2933" s="21">
        <v>29.42</v>
      </c>
      <c r="I2933" t="s">
        <v>1074</v>
      </c>
      <c r="J2933" s="22">
        <f>ROUND(E2933/I2931* H2933,5)</f>
        <v>1.7652000000000001</v>
      </c>
      <c r="K2933" s="23"/>
    </row>
    <row r="2934" spans="1:27" x14ac:dyDescent="0.2">
      <c r="B2934" t="s">
        <v>1527</v>
      </c>
      <c r="C2934" t="s">
        <v>1070</v>
      </c>
      <c r="D2934" t="s">
        <v>1528</v>
      </c>
      <c r="E2934" s="20">
        <v>0.03</v>
      </c>
      <c r="F2934" t="s">
        <v>1072</v>
      </c>
      <c r="G2934" t="s">
        <v>1073</v>
      </c>
      <c r="H2934" s="21">
        <v>26.12</v>
      </c>
      <c r="I2934" t="s">
        <v>1074</v>
      </c>
      <c r="J2934" s="22">
        <f>ROUND(E2934/I2931* H2934,5)</f>
        <v>0.78359999999999996</v>
      </c>
      <c r="K2934" s="23"/>
    </row>
    <row r="2935" spans="1:27" x14ac:dyDescent="0.2">
      <c r="D2935" s="24" t="s">
        <v>1075</v>
      </c>
      <c r="E2935" s="23"/>
      <c r="H2935" s="23"/>
      <c r="K2935" s="21">
        <f>SUM(J2933:J2934)</f>
        <v>2.5488</v>
      </c>
    </row>
    <row r="2936" spans="1:27" x14ac:dyDescent="0.2">
      <c r="B2936" s="14" t="s">
        <v>1080</v>
      </c>
      <c r="E2936" s="23"/>
      <c r="H2936" s="23"/>
      <c r="K2936" s="23"/>
    </row>
    <row r="2937" spans="1:27" x14ac:dyDescent="0.2">
      <c r="B2937" t="s">
        <v>2126</v>
      </c>
      <c r="C2937" t="s">
        <v>18</v>
      </c>
      <c r="D2937" t="s">
        <v>2127</v>
      </c>
      <c r="E2937" s="20">
        <v>1.1000000000000001</v>
      </c>
      <c r="G2937" t="s">
        <v>1073</v>
      </c>
      <c r="H2937" s="21">
        <v>5.55</v>
      </c>
      <c r="I2937" t="s">
        <v>1074</v>
      </c>
      <c r="J2937" s="22">
        <f>ROUND(E2937* H2937,5)</f>
        <v>6.1050000000000004</v>
      </c>
      <c r="K2937" s="23"/>
    </row>
    <row r="2938" spans="1:27" x14ac:dyDescent="0.2">
      <c r="B2938" t="s">
        <v>1605</v>
      </c>
      <c r="C2938" t="s">
        <v>23</v>
      </c>
      <c r="D2938" t="s">
        <v>1606</v>
      </c>
      <c r="E2938" s="20">
        <v>2</v>
      </c>
      <c r="G2938" t="s">
        <v>1073</v>
      </c>
      <c r="H2938" s="21">
        <v>0.28000000000000003</v>
      </c>
      <c r="I2938" t="s">
        <v>1074</v>
      </c>
      <c r="J2938" s="22">
        <f>ROUND(E2938* H2938,5)</f>
        <v>0.56000000000000005</v>
      </c>
      <c r="K2938" s="23"/>
    </row>
    <row r="2939" spans="1:27" x14ac:dyDescent="0.2">
      <c r="D2939" s="24" t="s">
        <v>1090</v>
      </c>
      <c r="E2939" s="23"/>
      <c r="H2939" s="23"/>
      <c r="K2939" s="21">
        <f>SUM(J2937:J2938)</f>
        <v>6.6650000000000009</v>
      </c>
    </row>
    <row r="2940" spans="1:27" x14ac:dyDescent="0.2">
      <c r="E2940" s="23"/>
      <c r="H2940" s="23"/>
      <c r="K2940" s="23"/>
    </row>
    <row r="2941" spans="1:27" x14ac:dyDescent="0.2">
      <c r="D2941" s="24" t="s">
        <v>1092</v>
      </c>
      <c r="E2941" s="23"/>
      <c r="H2941" s="23">
        <v>1.5</v>
      </c>
      <c r="I2941" t="s">
        <v>1093</v>
      </c>
      <c r="J2941">
        <f>ROUND(H2941/100*K2935,5)</f>
        <v>3.823E-2</v>
      </c>
      <c r="K2941" s="23"/>
    </row>
    <row r="2942" spans="1:27" x14ac:dyDescent="0.2">
      <c r="D2942" s="24" t="s">
        <v>1091</v>
      </c>
      <c r="E2942" s="23"/>
      <c r="H2942" s="23"/>
      <c r="K2942" s="25">
        <f>SUM(J2932:J2941)</f>
        <v>9.2520300000000013</v>
      </c>
    </row>
    <row r="2943" spans="1:27" x14ac:dyDescent="0.2">
      <c r="D2943" s="24" t="s">
        <v>1142</v>
      </c>
      <c r="E2943" s="23"/>
      <c r="H2943" s="23">
        <v>8</v>
      </c>
      <c r="I2943" t="s">
        <v>1093</v>
      </c>
      <c r="K2943" s="21">
        <f>ROUND(H2943/100*K2942,5)</f>
        <v>0.74016000000000004</v>
      </c>
    </row>
    <row r="2944" spans="1:27" x14ac:dyDescent="0.2">
      <c r="D2944" s="24" t="s">
        <v>1094</v>
      </c>
      <c r="E2944" s="23"/>
      <c r="H2944" s="23"/>
      <c r="K2944" s="25">
        <f>SUM(K2942:K2943)</f>
        <v>9.9921900000000008</v>
      </c>
    </row>
    <row r="2946" spans="1:27" ht="45" customHeight="1" x14ac:dyDescent="0.2">
      <c r="A2946" s="17"/>
      <c r="B2946" s="17" t="s">
        <v>2128</v>
      </c>
      <c r="C2946" s="1" t="s">
        <v>36</v>
      </c>
      <c r="D2946" s="96" t="s">
        <v>2129</v>
      </c>
      <c r="E2946" s="97"/>
      <c r="F2946" s="97"/>
      <c r="G2946" s="1"/>
      <c r="H2946" s="18" t="s">
        <v>1066</v>
      </c>
      <c r="I2946" s="98">
        <v>1</v>
      </c>
      <c r="J2946" s="99"/>
      <c r="K2946" s="19">
        <f>ROUND(K2958,2)</f>
        <v>12.55</v>
      </c>
      <c r="L2946" s="2" t="s">
        <v>2130</v>
      </c>
      <c r="M2946" s="1"/>
      <c r="N2946" s="1"/>
      <c r="O2946" s="1"/>
      <c r="P2946" s="1"/>
      <c r="Q2946" s="1"/>
      <c r="R2946" s="1"/>
      <c r="S2946" s="1"/>
      <c r="T2946" s="1"/>
      <c r="U2946" s="1"/>
      <c r="V2946" s="1"/>
      <c r="W2946" s="1"/>
      <c r="X2946" s="1"/>
      <c r="Y2946" s="1"/>
      <c r="Z2946" s="1"/>
      <c r="AA2946" s="1"/>
    </row>
    <row r="2947" spans="1:27" x14ac:dyDescent="0.2">
      <c r="B2947" s="14" t="s">
        <v>1068</v>
      </c>
    </row>
    <row r="2948" spans="1:27" x14ac:dyDescent="0.2">
      <c r="B2948" t="s">
        <v>1205</v>
      </c>
      <c r="C2948" t="s">
        <v>1070</v>
      </c>
      <c r="D2948" t="s">
        <v>1206</v>
      </c>
      <c r="E2948" s="20">
        <v>7.0000000000000007E-2</v>
      </c>
      <c r="F2948" t="s">
        <v>1072</v>
      </c>
      <c r="G2948" t="s">
        <v>1073</v>
      </c>
      <c r="H2948" s="21">
        <v>24.55</v>
      </c>
      <c r="I2948" t="s">
        <v>1074</v>
      </c>
      <c r="J2948" s="22">
        <f>ROUND(E2948/I2946* H2948,5)</f>
        <v>1.7184999999999999</v>
      </c>
      <c r="K2948" s="23"/>
    </row>
    <row r="2949" spans="1:27" x14ac:dyDescent="0.2">
      <c r="B2949" t="s">
        <v>1364</v>
      </c>
      <c r="C2949" t="s">
        <v>1070</v>
      </c>
      <c r="D2949" t="s">
        <v>1365</v>
      </c>
      <c r="E2949" s="20">
        <v>0.14000000000000001</v>
      </c>
      <c r="F2949" t="s">
        <v>1072</v>
      </c>
      <c r="G2949" t="s">
        <v>1073</v>
      </c>
      <c r="H2949" s="21">
        <v>29.42</v>
      </c>
      <c r="I2949" t="s">
        <v>1074</v>
      </c>
      <c r="J2949" s="22">
        <f>ROUND(E2949/I2946* H2949,5)</f>
        <v>4.1188000000000002</v>
      </c>
      <c r="K2949" s="23"/>
    </row>
    <row r="2950" spans="1:27" x14ac:dyDescent="0.2">
      <c r="D2950" s="24" t="s">
        <v>1075</v>
      </c>
      <c r="E2950" s="23"/>
      <c r="H2950" s="23"/>
      <c r="K2950" s="21">
        <f>SUM(J2948:J2949)</f>
        <v>5.8372999999999999</v>
      </c>
    </row>
    <row r="2951" spans="1:27" x14ac:dyDescent="0.2">
      <c r="B2951" s="14" t="s">
        <v>1080</v>
      </c>
      <c r="E2951" s="23"/>
      <c r="H2951" s="23"/>
      <c r="K2951" s="23"/>
    </row>
    <row r="2952" spans="1:27" x14ac:dyDescent="0.2">
      <c r="B2952" t="s">
        <v>2131</v>
      </c>
      <c r="C2952" t="s">
        <v>36</v>
      </c>
      <c r="D2952" t="s">
        <v>2132</v>
      </c>
      <c r="E2952" s="20">
        <v>1.05</v>
      </c>
      <c r="G2952" t="s">
        <v>1073</v>
      </c>
      <c r="H2952" s="21">
        <v>5.42</v>
      </c>
      <c r="I2952" t="s">
        <v>1074</v>
      </c>
      <c r="J2952" s="22">
        <f>ROUND(E2952* H2952,5)</f>
        <v>5.6909999999999998</v>
      </c>
      <c r="K2952" s="23"/>
    </row>
    <row r="2953" spans="1:27" x14ac:dyDescent="0.2">
      <c r="D2953" s="24" t="s">
        <v>1090</v>
      </c>
      <c r="E2953" s="23"/>
      <c r="H2953" s="23"/>
      <c r="K2953" s="21">
        <f>SUM(J2952:J2952)</f>
        <v>5.6909999999999998</v>
      </c>
    </row>
    <row r="2954" spans="1:27" x14ac:dyDescent="0.2">
      <c r="E2954" s="23"/>
      <c r="H2954" s="23"/>
      <c r="K2954" s="23"/>
    </row>
    <row r="2955" spans="1:27" x14ac:dyDescent="0.2">
      <c r="D2955" s="24" t="s">
        <v>1092</v>
      </c>
      <c r="E2955" s="23"/>
      <c r="H2955" s="23">
        <v>1.5</v>
      </c>
      <c r="I2955" t="s">
        <v>1093</v>
      </c>
      <c r="J2955">
        <f>ROUND(H2955/100*K2950,5)</f>
        <v>8.7559999999999999E-2</v>
      </c>
      <c r="K2955" s="23"/>
    </row>
    <row r="2956" spans="1:27" x14ac:dyDescent="0.2">
      <c r="D2956" s="24" t="s">
        <v>1091</v>
      </c>
      <c r="E2956" s="23"/>
      <c r="H2956" s="23"/>
      <c r="K2956" s="25">
        <f>SUM(J2947:J2955)</f>
        <v>11.61586</v>
      </c>
    </row>
    <row r="2957" spans="1:27" x14ac:dyDescent="0.2">
      <c r="D2957" s="24" t="s">
        <v>1142</v>
      </c>
      <c r="E2957" s="23"/>
      <c r="H2957" s="23">
        <v>8</v>
      </c>
      <c r="I2957" t="s">
        <v>1093</v>
      </c>
      <c r="K2957" s="21">
        <f>ROUND(H2957/100*K2956,5)</f>
        <v>0.92927000000000004</v>
      </c>
    </row>
    <row r="2958" spans="1:27" x14ac:dyDescent="0.2">
      <c r="D2958" s="24" t="s">
        <v>1094</v>
      </c>
      <c r="E2958" s="23"/>
      <c r="H2958" s="23"/>
      <c r="K2958" s="25">
        <f>SUM(K2956:K2957)</f>
        <v>12.54513</v>
      </c>
    </row>
    <row r="2960" spans="1:27" ht="45" customHeight="1" x14ac:dyDescent="0.2">
      <c r="A2960" s="17" t="s">
        <v>2189</v>
      </c>
      <c r="B2960" s="17" t="s">
        <v>663</v>
      </c>
      <c r="C2960" s="1" t="s">
        <v>36</v>
      </c>
      <c r="D2960" s="96" t="s">
        <v>664</v>
      </c>
      <c r="E2960" s="97"/>
      <c r="F2960" s="97"/>
      <c r="G2960" s="1"/>
      <c r="H2960" s="18" t="s">
        <v>1066</v>
      </c>
      <c r="I2960" s="98">
        <v>1</v>
      </c>
      <c r="J2960" s="99"/>
      <c r="K2960" s="19">
        <f>ROUND(K2982,2)</f>
        <v>29.58</v>
      </c>
      <c r="L2960" s="2" t="s">
        <v>2134</v>
      </c>
      <c r="M2960" s="1"/>
      <c r="N2960" s="1"/>
      <c r="O2960" s="1"/>
      <c r="P2960" s="1"/>
      <c r="Q2960" s="1"/>
      <c r="R2960" s="1"/>
      <c r="S2960" s="1"/>
      <c r="T2960" s="1"/>
      <c r="U2960" s="1"/>
      <c r="V2960" s="1"/>
      <c r="W2960" s="1"/>
      <c r="X2960" s="1"/>
      <c r="Y2960" s="1"/>
      <c r="Z2960" s="1"/>
      <c r="AA2960" s="1"/>
    </row>
    <row r="2961" spans="2:11" x14ac:dyDescent="0.2">
      <c r="B2961" s="14" t="s">
        <v>1068</v>
      </c>
    </row>
    <row r="2962" spans="2:11" x14ac:dyDescent="0.2">
      <c r="B2962" t="s">
        <v>1205</v>
      </c>
      <c r="C2962" t="s">
        <v>1070</v>
      </c>
      <c r="D2962" t="s">
        <v>1206</v>
      </c>
      <c r="E2962" s="20">
        <v>0.1</v>
      </c>
      <c r="F2962" t="s">
        <v>1072</v>
      </c>
      <c r="G2962" t="s">
        <v>1073</v>
      </c>
      <c r="H2962" s="21">
        <v>24.55</v>
      </c>
      <c r="I2962" t="s">
        <v>1074</v>
      </c>
      <c r="J2962" s="22">
        <f>ROUND(E2962/I2960* H2962,5)</f>
        <v>2.4550000000000001</v>
      </c>
      <c r="K2962" s="23"/>
    </row>
    <row r="2963" spans="2:11" x14ac:dyDescent="0.2">
      <c r="B2963" t="s">
        <v>1364</v>
      </c>
      <c r="C2963" t="s">
        <v>1070</v>
      </c>
      <c r="D2963" t="s">
        <v>1365</v>
      </c>
      <c r="E2963" s="20">
        <v>0.1</v>
      </c>
      <c r="F2963" t="s">
        <v>1072</v>
      </c>
      <c r="G2963" t="s">
        <v>1073</v>
      </c>
      <c r="H2963" s="21">
        <v>29.42</v>
      </c>
      <c r="I2963" t="s">
        <v>1074</v>
      </c>
      <c r="J2963" s="22">
        <f>ROUND(E2963/I2960* H2963,5)</f>
        <v>2.9420000000000002</v>
      </c>
      <c r="K2963" s="23"/>
    </row>
    <row r="2964" spans="2:11" x14ac:dyDescent="0.2">
      <c r="B2964" t="s">
        <v>1069</v>
      </c>
      <c r="C2964" t="s">
        <v>1070</v>
      </c>
      <c r="D2964" t="s">
        <v>1071</v>
      </c>
      <c r="E2964" s="20">
        <v>0.05</v>
      </c>
      <c r="F2964" t="s">
        <v>1072</v>
      </c>
      <c r="G2964" t="s">
        <v>1073</v>
      </c>
      <c r="H2964" s="21">
        <v>25.38</v>
      </c>
      <c r="I2964" t="s">
        <v>1074</v>
      </c>
      <c r="J2964" s="22">
        <f>ROUND(E2964/I2960* H2964,5)</f>
        <v>1.2689999999999999</v>
      </c>
      <c r="K2964" s="23"/>
    </row>
    <row r="2965" spans="2:11" x14ac:dyDescent="0.2">
      <c r="B2965" t="s">
        <v>1512</v>
      </c>
      <c r="C2965" t="s">
        <v>1070</v>
      </c>
      <c r="D2965" t="s">
        <v>1513</v>
      </c>
      <c r="E2965" s="20">
        <v>0.15</v>
      </c>
      <c r="F2965" t="s">
        <v>1072</v>
      </c>
      <c r="G2965" t="s">
        <v>1073</v>
      </c>
      <c r="H2965" s="21">
        <v>29.42</v>
      </c>
      <c r="I2965" t="s">
        <v>1074</v>
      </c>
      <c r="J2965" s="22">
        <f>ROUND(E2965/I2960* H2965,5)</f>
        <v>4.4130000000000003</v>
      </c>
      <c r="K2965" s="23"/>
    </row>
    <row r="2966" spans="2:11" x14ac:dyDescent="0.2">
      <c r="B2966" t="s">
        <v>1527</v>
      </c>
      <c r="C2966" t="s">
        <v>1070</v>
      </c>
      <c r="D2966" t="s">
        <v>1528</v>
      </c>
      <c r="E2966" s="20">
        <v>0.15</v>
      </c>
      <c r="F2966" t="s">
        <v>1072</v>
      </c>
      <c r="G2966" t="s">
        <v>1073</v>
      </c>
      <c r="H2966" s="21">
        <v>26.12</v>
      </c>
      <c r="I2966" t="s">
        <v>1074</v>
      </c>
      <c r="J2966" s="22">
        <f>ROUND(E2966/I2960* H2966,5)</f>
        <v>3.9180000000000001</v>
      </c>
      <c r="K2966" s="23"/>
    </row>
    <row r="2967" spans="2:11" x14ac:dyDescent="0.2">
      <c r="D2967" s="24" t="s">
        <v>1075</v>
      </c>
      <c r="E2967" s="23"/>
      <c r="H2967" s="23"/>
      <c r="K2967" s="21">
        <f>SUM(J2962:J2966)</f>
        <v>14.997</v>
      </c>
    </row>
    <row r="2968" spans="2:11" x14ac:dyDescent="0.2">
      <c r="B2968" s="14" t="s">
        <v>1076</v>
      </c>
      <c r="E2968" s="23"/>
      <c r="H2968" s="23"/>
      <c r="K2968" s="23"/>
    </row>
    <row r="2969" spans="2:11" x14ac:dyDescent="0.2">
      <c r="B2969" t="s">
        <v>1292</v>
      </c>
      <c r="C2969" t="s">
        <v>1070</v>
      </c>
      <c r="D2969" t="s">
        <v>1293</v>
      </c>
      <c r="E2969" s="20">
        <v>4.2200000000000001E-2</v>
      </c>
      <c r="F2969" t="s">
        <v>1072</v>
      </c>
      <c r="G2969" t="s">
        <v>1073</v>
      </c>
      <c r="H2969" s="21">
        <v>56.51</v>
      </c>
      <c r="I2969" t="s">
        <v>1074</v>
      </c>
      <c r="J2969" s="22">
        <f>ROUND(E2969/I2960* H2969,5)</f>
        <v>2.3847200000000002</v>
      </c>
      <c r="K2969" s="23"/>
    </row>
    <row r="2970" spans="2:11" x14ac:dyDescent="0.2">
      <c r="B2970" t="s">
        <v>1314</v>
      </c>
      <c r="C2970" t="s">
        <v>1070</v>
      </c>
      <c r="D2970" t="s">
        <v>1315</v>
      </c>
      <c r="E2970" s="20">
        <v>0.05</v>
      </c>
      <c r="F2970" t="s">
        <v>1072</v>
      </c>
      <c r="G2970" t="s">
        <v>1073</v>
      </c>
      <c r="H2970" s="21">
        <v>5.57</v>
      </c>
      <c r="I2970" t="s">
        <v>1074</v>
      </c>
      <c r="J2970" s="22">
        <f>ROUND(E2970/I2960* H2970,5)</f>
        <v>0.27850000000000003</v>
      </c>
      <c r="K2970" s="23"/>
    </row>
    <row r="2971" spans="2:11" x14ac:dyDescent="0.2">
      <c r="D2971" s="24" t="s">
        <v>1079</v>
      </c>
      <c r="E2971" s="23"/>
      <c r="H2971" s="23"/>
      <c r="K2971" s="21">
        <f>SUM(J2969:J2970)</f>
        <v>2.6632200000000004</v>
      </c>
    </row>
    <row r="2972" spans="2:11" x14ac:dyDescent="0.2">
      <c r="B2972" s="14" t="s">
        <v>1080</v>
      </c>
      <c r="E2972" s="23"/>
      <c r="H2972" s="23"/>
      <c r="K2972" s="23"/>
    </row>
    <row r="2973" spans="2:11" x14ac:dyDescent="0.2">
      <c r="B2973" t="s">
        <v>2085</v>
      </c>
      <c r="C2973" t="s">
        <v>23</v>
      </c>
      <c r="D2973" t="s">
        <v>2086</v>
      </c>
      <c r="E2973" s="20">
        <v>0.33</v>
      </c>
      <c r="G2973" t="s">
        <v>1073</v>
      </c>
      <c r="H2973" s="21">
        <v>5.68</v>
      </c>
      <c r="I2973" t="s">
        <v>1074</v>
      </c>
      <c r="J2973" s="22">
        <f>ROUND(E2973* H2973,5)</f>
        <v>1.8744000000000001</v>
      </c>
      <c r="K2973" s="23"/>
    </row>
    <row r="2974" spans="2:11" x14ac:dyDescent="0.2">
      <c r="B2974" t="s">
        <v>2083</v>
      </c>
      <c r="C2974" t="s">
        <v>23</v>
      </c>
      <c r="D2974" t="s">
        <v>2084</v>
      </c>
      <c r="E2974" s="20">
        <v>1</v>
      </c>
      <c r="G2974" t="s">
        <v>1073</v>
      </c>
      <c r="H2974" s="21">
        <v>0.09</v>
      </c>
      <c r="I2974" t="s">
        <v>1074</v>
      </c>
      <c r="J2974" s="22">
        <f>ROUND(E2974* H2974,5)</f>
        <v>0.09</v>
      </c>
      <c r="K2974" s="23"/>
    </row>
    <row r="2975" spans="2:11" x14ac:dyDescent="0.2">
      <c r="B2975" t="s">
        <v>2135</v>
      </c>
      <c r="C2975" t="s">
        <v>36</v>
      </c>
      <c r="D2975" t="s">
        <v>2136</v>
      </c>
      <c r="E2975" s="20">
        <v>1.2</v>
      </c>
      <c r="G2975" t="s">
        <v>1073</v>
      </c>
      <c r="H2975" s="21">
        <v>4.4800000000000004</v>
      </c>
      <c r="I2975" t="s">
        <v>1074</v>
      </c>
      <c r="J2975" s="22">
        <f>ROUND(E2975* H2975,5)</f>
        <v>5.3760000000000003</v>
      </c>
      <c r="K2975" s="23"/>
    </row>
    <row r="2976" spans="2:11" x14ac:dyDescent="0.2">
      <c r="B2976" t="s">
        <v>2137</v>
      </c>
      <c r="C2976" t="s">
        <v>1084</v>
      </c>
      <c r="D2976" t="s">
        <v>2138</v>
      </c>
      <c r="E2976" s="20">
        <v>0.10108</v>
      </c>
      <c r="G2976" t="s">
        <v>1073</v>
      </c>
      <c r="H2976" s="21">
        <v>21.37</v>
      </c>
      <c r="I2976" t="s">
        <v>1074</v>
      </c>
      <c r="J2976" s="22">
        <f>ROUND(E2976* H2976,5)</f>
        <v>2.1600799999999998</v>
      </c>
      <c r="K2976" s="23"/>
    </row>
    <row r="2977" spans="1:27" x14ac:dyDescent="0.2">
      <c r="D2977" s="24" t="s">
        <v>1090</v>
      </c>
      <c r="E2977" s="23"/>
      <c r="H2977" s="23"/>
      <c r="K2977" s="21">
        <f>SUM(J2973:J2976)</f>
        <v>9.5004799999999996</v>
      </c>
    </row>
    <row r="2978" spans="1:27" x14ac:dyDescent="0.2">
      <c r="E2978" s="23"/>
      <c r="H2978" s="23"/>
      <c r="K2978" s="23"/>
    </row>
    <row r="2979" spans="1:27" x14ac:dyDescent="0.2">
      <c r="D2979" s="24" t="s">
        <v>1092</v>
      </c>
      <c r="E2979" s="23"/>
      <c r="H2979" s="23">
        <v>1.5</v>
      </c>
      <c r="I2979" t="s">
        <v>1093</v>
      </c>
      <c r="J2979">
        <f>ROUND(H2979/100*K2967,5)</f>
        <v>0.22495999999999999</v>
      </c>
      <c r="K2979" s="23"/>
    </row>
    <row r="2980" spans="1:27" x14ac:dyDescent="0.2">
      <c r="D2980" s="24" t="s">
        <v>1091</v>
      </c>
      <c r="E2980" s="23"/>
      <c r="H2980" s="23"/>
      <c r="K2980" s="25">
        <f>SUM(J2961:J2979)</f>
        <v>27.385660000000005</v>
      </c>
    </row>
    <row r="2981" spans="1:27" x14ac:dyDescent="0.2">
      <c r="D2981" s="24" t="s">
        <v>1142</v>
      </c>
      <c r="E2981" s="23"/>
      <c r="H2981" s="23">
        <v>8</v>
      </c>
      <c r="I2981" t="s">
        <v>1093</v>
      </c>
      <c r="K2981" s="21">
        <f>ROUND(H2981/100*K2980,5)</f>
        <v>2.1908500000000002</v>
      </c>
    </row>
    <row r="2982" spans="1:27" x14ac:dyDescent="0.2">
      <c r="D2982" s="24" t="s">
        <v>1094</v>
      </c>
      <c r="E2982" s="23"/>
      <c r="H2982" s="23"/>
      <c r="K2982" s="25">
        <f>SUM(K2980:K2981)</f>
        <v>29.576510000000006</v>
      </c>
    </row>
    <row r="2984" spans="1:27" ht="45" customHeight="1" x14ac:dyDescent="0.2">
      <c r="A2984" s="17" t="s">
        <v>2195</v>
      </c>
      <c r="B2984" s="17" t="s">
        <v>665</v>
      </c>
      <c r="C2984" s="1" t="s">
        <v>36</v>
      </c>
      <c r="D2984" s="96" t="s">
        <v>666</v>
      </c>
      <c r="E2984" s="97"/>
      <c r="F2984" s="97"/>
      <c r="G2984" s="1"/>
      <c r="H2984" s="18" t="s">
        <v>1066</v>
      </c>
      <c r="I2984" s="98">
        <v>1</v>
      </c>
      <c r="J2984" s="99"/>
      <c r="K2984" s="19">
        <f>ROUND(K3006,2)</f>
        <v>48.74</v>
      </c>
      <c r="L2984" s="2" t="s">
        <v>2140</v>
      </c>
      <c r="M2984" s="1"/>
      <c r="N2984" s="1"/>
      <c r="O2984" s="1"/>
      <c r="P2984" s="1"/>
      <c r="Q2984" s="1"/>
      <c r="R2984" s="1"/>
      <c r="S2984" s="1"/>
      <c r="T2984" s="1"/>
      <c r="U2984" s="1"/>
      <c r="V2984" s="1"/>
      <c r="W2984" s="1"/>
      <c r="X2984" s="1"/>
      <c r="Y2984" s="1"/>
      <c r="Z2984" s="1"/>
      <c r="AA2984" s="1"/>
    </row>
    <row r="2985" spans="1:27" x14ac:dyDescent="0.2">
      <c r="B2985" s="14" t="s">
        <v>1068</v>
      </c>
    </row>
    <row r="2986" spans="1:27" x14ac:dyDescent="0.2">
      <c r="B2986" t="s">
        <v>1205</v>
      </c>
      <c r="C2986" t="s">
        <v>1070</v>
      </c>
      <c r="D2986" t="s">
        <v>1206</v>
      </c>
      <c r="E2986" s="20">
        <v>0.1</v>
      </c>
      <c r="F2986" t="s">
        <v>1072</v>
      </c>
      <c r="G2986" t="s">
        <v>1073</v>
      </c>
      <c r="H2986" s="21">
        <v>24.55</v>
      </c>
      <c r="I2986" t="s">
        <v>1074</v>
      </c>
      <c r="J2986" s="22">
        <f>ROUND(E2986/I2984* H2986,5)</f>
        <v>2.4550000000000001</v>
      </c>
      <c r="K2986" s="23"/>
    </row>
    <row r="2987" spans="1:27" x14ac:dyDescent="0.2">
      <c r="B2987" t="s">
        <v>1364</v>
      </c>
      <c r="C2987" t="s">
        <v>1070</v>
      </c>
      <c r="D2987" t="s">
        <v>1365</v>
      </c>
      <c r="E2987" s="20">
        <v>0.15</v>
      </c>
      <c r="F2987" t="s">
        <v>1072</v>
      </c>
      <c r="G2987" t="s">
        <v>1073</v>
      </c>
      <c r="H2987" s="21">
        <v>29.42</v>
      </c>
      <c r="I2987" t="s">
        <v>1074</v>
      </c>
      <c r="J2987" s="22">
        <f>ROUND(E2987/I2984* H2987,5)</f>
        <v>4.4130000000000003</v>
      </c>
      <c r="K2987" s="23"/>
    </row>
    <row r="2988" spans="1:27" x14ac:dyDescent="0.2">
      <c r="B2988" t="s">
        <v>1069</v>
      </c>
      <c r="C2988" t="s">
        <v>1070</v>
      </c>
      <c r="D2988" t="s">
        <v>1071</v>
      </c>
      <c r="E2988" s="20">
        <v>8.2500000000000004E-2</v>
      </c>
      <c r="F2988" t="s">
        <v>1072</v>
      </c>
      <c r="G2988" t="s">
        <v>1073</v>
      </c>
      <c r="H2988" s="21">
        <v>25.38</v>
      </c>
      <c r="I2988" t="s">
        <v>1074</v>
      </c>
      <c r="J2988" s="22">
        <f>ROUND(E2988/I2984* H2988,5)</f>
        <v>2.0938500000000002</v>
      </c>
      <c r="K2988" s="23"/>
    </row>
    <row r="2989" spans="1:27" x14ac:dyDescent="0.2">
      <c r="B2989" t="s">
        <v>1527</v>
      </c>
      <c r="C2989" t="s">
        <v>1070</v>
      </c>
      <c r="D2989" t="s">
        <v>1528</v>
      </c>
      <c r="E2989" s="20">
        <v>0.3</v>
      </c>
      <c r="F2989" t="s">
        <v>1072</v>
      </c>
      <c r="G2989" t="s">
        <v>1073</v>
      </c>
      <c r="H2989" s="21">
        <v>26.12</v>
      </c>
      <c r="I2989" t="s">
        <v>1074</v>
      </c>
      <c r="J2989" s="22">
        <f>ROUND(E2989/I2984* H2989,5)</f>
        <v>7.8360000000000003</v>
      </c>
      <c r="K2989" s="23"/>
    </row>
    <row r="2990" spans="1:27" x14ac:dyDescent="0.2">
      <c r="B2990" t="s">
        <v>1512</v>
      </c>
      <c r="C2990" t="s">
        <v>1070</v>
      </c>
      <c r="D2990" t="s">
        <v>1513</v>
      </c>
      <c r="E2990" s="20">
        <v>0.3</v>
      </c>
      <c r="F2990" t="s">
        <v>1072</v>
      </c>
      <c r="G2990" t="s">
        <v>1073</v>
      </c>
      <c r="H2990" s="21">
        <v>29.42</v>
      </c>
      <c r="I2990" t="s">
        <v>1074</v>
      </c>
      <c r="J2990" s="22">
        <f>ROUND(E2990/I2984* H2990,5)</f>
        <v>8.8260000000000005</v>
      </c>
      <c r="K2990" s="23"/>
    </row>
    <row r="2991" spans="1:27" x14ac:dyDescent="0.2">
      <c r="D2991" s="24" t="s">
        <v>1075</v>
      </c>
      <c r="E2991" s="23"/>
      <c r="H2991" s="23"/>
      <c r="K2991" s="21">
        <f>SUM(J2986:J2990)</f>
        <v>25.623850000000001</v>
      </c>
    </row>
    <row r="2992" spans="1:27" x14ac:dyDescent="0.2">
      <c r="B2992" s="14" t="s">
        <v>1076</v>
      </c>
      <c r="E2992" s="23"/>
      <c r="H2992" s="23"/>
      <c r="K2992" s="23"/>
    </row>
    <row r="2993" spans="1:27" x14ac:dyDescent="0.2">
      <c r="B2993" t="s">
        <v>1292</v>
      </c>
      <c r="C2993" t="s">
        <v>1070</v>
      </c>
      <c r="D2993" t="s">
        <v>1293</v>
      </c>
      <c r="E2993" s="20">
        <v>6.3299999999999995E-2</v>
      </c>
      <c r="F2993" t="s">
        <v>1072</v>
      </c>
      <c r="G2993" t="s">
        <v>1073</v>
      </c>
      <c r="H2993" s="21">
        <v>56.51</v>
      </c>
      <c r="I2993" t="s">
        <v>1074</v>
      </c>
      <c r="J2993" s="22">
        <f>ROUND(E2993/I2984* H2993,5)</f>
        <v>3.57708</v>
      </c>
      <c r="K2993" s="23"/>
    </row>
    <row r="2994" spans="1:27" x14ac:dyDescent="0.2">
      <c r="B2994" t="s">
        <v>1314</v>
      </c>
      <c r="C2994" t="s">
        <v>1070</v>
      </c>
      <c r="D2994" t="s">
        <v>1315</v>
      </c>
      <c r="E2994" s="20">
        <v>8.2500000000000004E-2</v>
      </c>
      <c r="F2994" t="s">
        <v>1072</v>
      </c>
      <c r="G2994" t="s">
        <v>1073</v>
      </c>
      <c r="H2994" s="21">
        <v>5.57</v>
      </c>
      <c r="I2994" t="s">
        <v>1074</v>
      </c>
      <c r="J2994" s="22">
        <f>ROUND(E2994/I2984* H2994,5)</f>
        <v>0.45952999999999999</v>
      </c>
      <c r="K2994" s="23"/>
    </row>
    <row r="2995" spans="1:27" x14ac:dyDescent="0.2">
      <c r="D2995" s="24" t="s">
        <v>1079</v>
      </c>
      <c r="E2995" s="23"/>
      <c r="H2995" s="23"/>
      <c r="K2995" s="21">
        <f>SUM(J2993:J2994)</f>
        <v>4.0366099999999996</v>
      </c>
    </row>
    <row r="2996" spans="1:27" x14ac:dyDescent="0.2">
      <c r="B2996" s="14" t="s">
        <v>1080</v>
      </c>
      <c r="E2996" s="23"/>
      <c r="H2996" s="23"/>
      <c r="K2996" s="23"/>
    </row>
    <row r="2997" spans="1:27" x14ac:dyDescent="0.2">
      <c r="B2997" t="s">
        <v>2141</v>
      </c>
      <c r="C2997" t="s">
        <v>36</v>
      </c>
      <c r="D2997" t="s">
        <v>2142</v>
      </c>
      <c r="E2997" s="20">
        <v>1.2</v>
      </c>
      <c r="G2997" t="s">
        <v>1073</v>
      </c>
      <c r="H2997" s="21">
        <v>5.45</v>
      </c>
      <c r="I2997" t="s">
        <v>1074</v>
      </c>
      <c r="J2997" s="22">
        <f>ROUND(E2997* H2997,5)</f>
        <v>6.54</v>
      </c>
      <c r="K2997" s="23"/>
    </row>
    <row r="2998" spans="1:27" x14ac:dyDescent="0.2">
      <c r="B2998" t="s">
        <v>2143</v>
      </c>
      <c r="C2998" t="s">
        <v>23</v>
      </c>
      <c r="D2998" t="s">
        <v>2144</v>
      </c>
      <c r="E2998" s="20">
        <v>0.33</v>
      </c>
      <c r="G2998" t="s">
        <v>1073</v>
      </c>
      <c r="H2998" s="21">
        <v>17.47</v>
      </c>
      <c r="I2998" t="s">
        <v>1074</v>
      </c>
      <c r="J2998" s="22">
        <f>ROUND(E2998* H2998,5)</f>
        <v>5.7651000000000003</v>
      </c>
      <c r="K2998" s="23"/>
    </row>
    <row r="2999" spans="1:27" x14ac:dyDescent="0.2">
      <c r="B2999" t="s">
        <v>2137</v>
      </c>
      <c r="C2999" t="s">
        <v>1084</v>
      </c>
      <c r="D2999" t="s">
        <v>2138</v>
      </c>
      <c r="E2999" s="20">
        <v>0.11806999999999999</v>
      </c>
      <c r="G2999" t="s">
        <v>1073</v>
      </c>
      <c r="H2999" s="21">
        <v>21.37</v>
      </c>
      <c r="I2999" t="s">
        <v>1074</v>
      </c>
      <c r="J2999" s="22">
        <f>ROUND(E2999* H2999,5)</f>
        <v>2.5231599999999998</v>
      </c>
      <c r="K2999" s="23"/>
    </row>
    <row r="3000" spans="1:27" x14ac:dyDescent="0.2">
      <c r="B3000" t="s">
        <v>2145</v>
      </c>
      <c r="C3000" t="s">
        <v>23</v>
      </c>
      <c r="D3000" t="s">
        <v>2146</v>
      </c>
      <c r="E3000" s="20">
        <v>1</v>
      </c>
      <c r="G3000" t="s">
        <v>1073</v>
      </c>
      <c r="H3000" s="21">
        <v>0.26</v>
      </c>
      <c r="I3000" t="s">
        <v>1074</v>
      </c>
      <c r="J3000" s="22">
        <f>ROUND(E3000* H3000,5)</f>
        <v>0.26</v>
      </c>
      <c r="K3000" s="23"/>
    </row>
    <row r="3001" spans="1:27" x14ac:dyDescent="0.2">
      <c r="D3001" s="24" t="s">
        <v>1090</v>
      </c>
      <c r="E3001" s="23"/>
      <c r="H3001" s="23"/>
      <c r="K3001" s="21">
        <f>SUM(J2997:J3000)</f>
        <v>15.08826</v>
      </c>
    </row>
    <row r="3002" spans="1:27" x14ac:dyDescent="0.2">
      <c r="E3002" s="23"/>
      <c r="H3002" s="23"/>
      <c r="K3002" s="23"/>
    </row>
    <row r="3003" spans="1:27" x14ac:dyDescent="0.2">
      <c r="D3003" s="24" t="s">
        <v>1092</v>
      </c>
      <c r="E3003" s="23"/>
      <c r="H3003" s="23">
        <v>1.5</v>
      </c>
      <c r="I3003" t="s">
        <v>1093</v>
      </c>
      <c r="J3003">
        <f>ROUND(H3003/100*K2991,5)</f>
        <v>0.38435999999999998</v>
      </c>
      <c r="K3003" s="23"/>
    </row>
    <row r="3004" spans="1:27" x14ac:dyDescent="0.2">
      <c r="D3004" s="24" t="s">
        <v>1091</v>
      </c>
      <c r="E3004" s="23"/>
      <c r="H3004" s="23"/>
      <c r="K3004" s="25">
        <f>SUM(J2985:J3003)</f>
        <v>45.133079999999993</v>
      </c>
    </row>
    <row r="3005" spans="1:27" x14ac:dyDescent="0.2">
      <c r="D3005" s="24" t="s">
        <v>1142</v>
      </c>
      <c r="E3005" s="23"/>
      <c r="H3005" s="23">
        <v>8</v>
      </c>
      <c r="I3005" t="s">
        <v>1093</v>
      </c>
      <c r="K3005" s="21">
        <f>ROUND(H3005/100*K3004,5)</f>
        <v>3.6106500000000001</v>
      </c>
    </row>
    <row r="3006" spans="1:27" x14ac:dyDescent="0.2">
      <c r="D3006" s="24" t="s">
        <v>1094</v>
      </c>
      <c r="E3006" s="23"/>
      <c r="H3006" s="23"/>
      <c r="K3006" s="25">
        <f>SUM(K3004:K3005)</f>
        <v>48.743729999999992</v>
      </c>
    </row>
    <row r="3008" spans="1:27" ht="45" customHeight="1" x14ac:dyDescent="0.2">
      <c r="A3008" s="17" t="s">
        <v>2203</v>
      </c>
      <c r="B3008" s="17" t="s">
        <v>667</v>
      </c>
      <c r="C3008" s="1" t="s">
        <v>36</v>
      </c>
      <c r="D3008" s="96" t="s">
        <v>668</v>
      </c>
      <c r="E3008" s="97"/>
      <c r="F3008" s="97"/>
      <c r="G3008" s="1"/>
      <c r="H3008" s="18" t="s">
        <v>1066</v>
      </c>
      <c r="I3008" s="98">
        <v>1</v>
      </c>
      <c r="J3008" s="99"/>
      <c r="K3008" s="19">
        <f>ROUND(K3030,2)</f>
        <v>58.53</v>
      </c>
      <c r="L3008" s="2" t="s">
        <v>2148</v>
      </c>
      <c r="M3008" s="1"/>
      <c r="N3008" s="1"/>
      <c r="O3008" s="1"/>
      <c r="P3008" s="1"/>
      <c r="Q3008" s="1"/>
      <c r="R3008" s="1"/>
      <c r="S3008" s="1"/>
      <c r="T3008" s="1"/>
      <c r="U3008" s="1"/>
      <c r="V3008" s="1"/>
      <c r="W3008" s="1"/>
      <c r="X3008" s="1"/>
      <c r="Y3008" s="1"/>
      <c r="Z3008" s="1"/>
      <c r="AA3008" s="1"/>
    </row>
    <row r="3009" spans="2:11" x14ac:dyDescent="0.2">
      <c r="B3009" s="14" t="s">
        <v>1068</v>
      </c>
    </row>
    <row r="3010" spans="2:11" x14ac:dyDescent="0.2">
      <c r="B3010" t="s">
        <v>1364</v>
      </c>
      <c r="C3010" t="s">
        <v>1070</v>
      </c>
      <c r="D3010" t="s">
        <v>1365</v>
      </c>
      <c r="E3010" s="20">
        <v>0.15</v>
      </c>
      <c r="F3010" t="s">
        <v>1072</v>
      </c>
      <c r="G3010" t="s">
        <v>1073</v>
      </c>
      <c r="H3010" s="21">
        <v>29.42</v>
      </c>
      <c r="I3010" t="s">
        <v>1074</v>
      </c>
      <c r="J3010" s="22">
        <f>ROUND(E3010/I3008* H3010,5)</f>
        <v>4.4130000000000003</v>
      </c>
      <c r="K3010" s="23"/>
    </row>
    <row r="3011" spans="2:11" x14ac:dyDescent="0.2">
      <c r="B3011" t="s">
        <v>1512</v>
      </c>
      <c r="C3011" t="s">
        <v>1070</v>
      </c>
      <c r="D3011" t="s">
        <v>1513</v>
      </c>
      <c r="E3011" s="20">
        <v>0.3</v>
      </c>
      <c r="F3011" t="s">
        <v>1072</v>
      </c>
      <c r="G3011" t="s">
        <v>1073</v>
      </c>
      <c r="H3011" s="21">
        <v>29.42</v>
      </c>
      <c r="I3011" t="s">
        <v>1074</v>
      </c>
      <c r="J3011" s="22">
        <f>ROUND(E3011/I3008* H3011,5)</f>
        <v>8.8260000000000005</v>
      </c>
      <c r="K3011" s="23"/>
    </row>
    <row r="3012" spans="2:11" x14ac:dyDescent="0.2">
      <c r="B3012" t="s">
        <v>1069</v>
      </c>
      <c r="C3012" t="s">
        <v>1070</v>
      </c>
      <c r="D3012" t="s">
        <v>1071</v>
      </c>
      <c r="E3012" s="20">
        <v>9.7500000000000003E-2</v>
      </c>
      <c r="F3012" t="s">
        <v>1072</v>
      </c>
      <c r="G3012" t="s">
        <v>1073</v>
      </c>
      <c r="H3012" s="21">
        <v>25.38</v>
      </c>
      <c r="I3012" t="s">
        <v>1074</v>
      </c>
      <c r="J3012" s="22">
        <f>ROUND(E3012/I3008* H3012,5)</f>
        <v>2.4745499999999998</v>
      </c>
      <c r="K3012" s="23"/>
    </row>
    <row r="3013" spans="2:11" x14ac:dyDescent="0.2">
      <c r="B3013" t="s">
        <v>1205</v>
      </c>
      <c r="C3013" t="s">
        <v>1070</v>
      </c>
      <c r="D3013" t="s">
        <v>1206</v>
      </c>
      <c r="E3013" s="20">
        <v>0.1</v>
      </c>
      <c r="F3013" t="s">
        <v>1072</v>
      </c>
      <c r="G3013" t="s">
        <v>1073</v>
      </c>
      <c r="H3013" s="21">
        <v>24.55</v>
      </c>
      <c r="I3013" t="s">
        <v>1074</v>
      </c>
      <c r="J3013" s="22">
        <f>ROUND(E3013/I3008* H3013,5)</f>
        <v>2.4550000000000001</v>
      </c>
      <c r="K3013" s="23"/>
    </row>
    <row r="3014" spans="2:11" x14ac:dyDescent="0.2">
      <c r="B3014" t="s">
        <v>1527</v>
      </c>
      <c r="C3014" t="s">
        <v>1070</v>
      </c>
      <c r="D3014" t="s">
        <v>1528</v>
      </c>
      <c r="E3014" s="20">
        <v>0.3</v>
      </c>
      <c r="F3014" t="s">
        <v>1072</v>
      </c>
      <c r="G3014" t="s">
        <v>1073</v>
      </c>
      <c r="H3014" s="21">
        <v>26.12</v>
      </c>
      <c r="I3014" t="s">
        <v>1074</v>
      </c>
      <c r="J3014" s="22">
        <f>ROUND(E3014/I3008* H3014,5)</f>
        <v>7.8360000000000003</v>
      </c>
      <c r="K3014" s="23"/>
    </row>
    <row r="3015" spans="2:11" x14ac:dyDescent="0.2">
      <c r="D3015" s="24" t="s">
        <v>1075</v>
      </c>
      <c r="E3015" s="23"/>
      <c r="H3015" s="23"/>
      <c r="K3015" s="21">
        <f>SUM(J3010:J3014)</f>
        <v>26.004550000000002</v>
      </c>
    </row>
    <row r="3016" spans="2:11" x14ac:dyDescent="0.2">
      <c r="B3016" s="14" t="s">
        <v>1076</v>
      </c>
      <c r="E3016" s="23"/>
      <c r="H3016" s="23"/>
      <c r="K3016" s="23"/>
    </row>
    <row r="3017" spans="2:11" x14ac:dyDescent="0.2">
      <c r="B3017" t="s">
        <v>1292</v>
      </c>
      <c r="C3017" t="s">
        <v>1070</v>
      </c>
      <c r="D3017" t="s">
        <v>1293</v>
      </c>
      <c r="E3017" s="20">
        <v>7.6050000000000006E-2</v>
      </c>
      <c r="F3017" t="s">
        <v>1072</v>
      </c>
      <c r="G3017" t="s">
        <v>1073</v>
      </c>
      <c r="H3017" s="21">
        <v>56.51</v>
      </c>
      <c r="I3017" t="s">
        <v>1074</v>
      </c>
      <c r="J3017" s="22">
        <f>ROUND(E3017/I3008* H3017,5)</f>
        <v>4.2975899999999996</v>
      </c>
      <c r="K3017" s="23"/>
    </row>
    <row r="3018" spans="2:11" x14ac:dyDescent="0.2">
      <c r="B3018" t="s">
        <v>1314</v>
      </c>
      <c r="C3018" t="s">
        <v>1070</v>
      </c>
      <c r="D3018" t="s">
        <v>1315</v>
      </c>
      <c r="E3018" s="20">
        <v>9.7500000000000003E-2</v>
      </c>
      <c r="F3018" t="s">
        <v>1072</v>
      </c>
      <c r="G3018" t="s">
        <v>1073</v>
      </c>
      <c r="H3018" s="21">
        <v>5.57</v>
      </c>
      <c r="I3018" t="s">
        <v>1074</v>
      </c>
      <c r="J3018" s="22">
        <f>ROUND(E3018/I3008* H3018,5)</f>
        <v>0.54308000000000001</v>
      </c>
      <c r="K3018" s="23"/>
    </row>
    <row r="3019" spans="2:11" x14ac:dyDescent="0.2">
      <c r="D3019" s="24" t="s">
        <v>1079</v>
      </c>
      <c r="E3019" s="23"/>
      <c r="H3019" s="23"/>
      <c r="K3019" s="21">
        <f>SUM(J3017:J3018)</f>
        <v>4.8406699999999994</v>
      </c>
    </row>
    <row r="3020" spans="2:11" x14ac:dyDescent="0.2">
      <c r="B3020" s="14" t="s">
        <v>1080</v>
      </c>
      <c r="E3020" s="23"/>
      <c r="H3020" s="23"/>
      <c r="K3020" s="23"/>
    </row>
    <row r="3021" spans="2:11" x14ac:dyDescent="0.2">
      <c r="B3021" t="s">
        <v>2153</v>
      </c>
      <c r="C3021" t="s">
        <v>36</v>
      </c>
      <c r="D3021" t="s">
        <v>2154</v>
      </c>
      <c r="E3021" s="20">
        <v>1.2</v>
      </c>
      <c r="G3021" t="s">
        <v>1073</v>
      </c>
      <c r="H3021" s="21">
        <v>8.24</v>
      </c>
      <c r="I3021" t="s">
        <v>1074</v>
      </c>
      <c r="J3021" s="22">
        <f>ROUND(E3021* H3021,5)</f>
        <v>9.8879999999999999</v>
      </c>
      <c r="K3021" s="23"/>
    </row>
    <row r="3022" spans="2:11" x14ac:dyDescent="0.2">
      <c r="B3022" t="s">
        <v>2137</v>
      </c>
      <c r="C3022" t="s">
        <v>1084</v>
      </c>
      <c r="D3022" t="s">
        <v>2138</v>
      </c>
      <c r="E3022" s="20">
        <v>0.11819</v>
      </c>
      <c r="G3022" t="s">
        <v>1073</v>
      </c>
      <c r="H3022" s="21">
        <v>21.37</v>
      </c>
      <c r="I3022" t="s">
        <v>1074</v>
      </c>
      <c r="J3022" s="22">
        <f>ROUND(E3022* H3022,5)</f>
        <v>2.5257200000000002</v>
      </c>
      <c r="K3022" s="23"/>
    </row>
    <row r="3023" spans="2:11" x14ac:dyDescent="0.2">
      <c r="B3023" t="s">
        <v>2149</v>
      </c>
      <c r="C3023" t="s">
        <v>23</v>
      </c>
      <c r="D3023" t="s">
        <v>2150</v>
      </c>
      <c r="E3023" s="20">
        <v>1</v>
      </c>
      <c r="G3023" t="s">
        <v>1073</v>
      </c>
      <c r="H3023" s="21">
        <v>0.46</v>
      </c>
      <c r="I3023" t="s">
        <v>1074</v>
      </c>
      <c r="J3023" s="22">
        <f>ROUND(E3023* H3023,5)</f>
        <v>0.46</v>
      </c>
      <c r="K3023" s="23"/>
    </row>
    <row r="3024" spans="2:11" x14ac:dyDescent="0.2">
      <c r="B3024" t="s">
        <v>2151</v>
      </c>
      <c r="C3024" t="s">
        <v>23</v>
      </c>
      <c r="D3024" t="s">
        <v>2152</v>
      </c>
      <c r="E3024" s="20">
        <v>0.33</v>
      </c>
      <c r="G3024" t="s">
        <v>1073</v>
      </c>
      <c r="H3024" s="21">
        <v>30.55</v>
      </c>
      <c r="I3024" t="s">
        <v>1074</v>
      </c>
      <c r="J3024" s="22">
        <f>ROUND(E3024* H3024,5)</f>
        <v>10.0815</v>
      </c>
      <c r="K3024" s="23"/>
    </row>
    <row r="3025" spans="1:27" x14ac:dyDescent="0.2">
      <c r="D3025" s="24" t="s">
        <v>1090</v>
      </c>
      <c r="E3025" s="23"/>
      <c r="H3025" s="23"/>
      <c r="K3025" s="21">
        <f>SUM(J3021:J3024)</f>
        <v>22.955220000000001</v>
      </c>
    </row>
    <row r="3026" spans="1:27" x14ac:dyDescent="0.2">
      <c r="E3026" s="23"/>
      <c r="H3026" s="23"/>
      <c r="K3026" s="23"/>
    </row>
    <row r="3027" spans="1:27" x14ac:dyDescent="0.2">
      <c r="D3027" s="24" t="s">
        <v>1092</v>
      </c>
      <c r="E3027" s="23"/>
      <c r="H3027" s="23">
        <v>1.5</v>
      </c>
      <c r="I3027" t="s">
        <v>1093</v>
      </c>
      <c r="J3027">
        <f>ROUND(H3027/100*K3015,5)</f>
        <v>0.39006999999999997</v>
      </c>
      <c r="K3027" s="23"/>
    </row>
    <row r="3028" spans="1:27" x14ac:dyDescent="0.2">
      <c r="D3028" s="24" t="s">
        <v>1091</v>
      </c>
      <c r="E3028" s="23"/>
      <c r="H3028" s="23"/>
      <c r="K3028" s="25">
        <f>SUM(J3009:J3027)</f>
        <v>54.190510000000003</v>
      </c>
    </row>
    <row r="3029" spans="1:27" x14ac:dyDescent="0.2">
      <c r="D3029" s="24" t="s">
        <v>1142</v>
      </c>
      <c r="E3029" s="23"/>
      <c r="H3029" s="23">
        <v>8</v>
      </c>
      <c r="I3029" t="s">
        <v>1093</v>
      </c>
      <c r="K3029" s="21">
        <f>ROUND(H3029/100*K3028,5)</f>
        <v>4.3352399999999998</v>
      </c>
    </row>
    <row r="3030" spans="1:27" x14ac:dyDescent="0.2">
      <c r="D3030" s="24" t="s">
        <v>1094</v>
      </c>
      <c r="E3030" s="23"/>
      <c r="H3030" s="23"/>
      <c r="K3030" s="25">
        <f>SUM(K3028:K3029)</f>
        <v>58.525750000000002</v>
      </c>
    </row>
    <row r="3032" spans="1:27" ht="45" customHeight="1" x14ac:dyDescent="0.2">
      <c r="A3032" s="17" t="s">
        <v>2206</v>
      </c>
      <c r="B3032" s="17" t="s">
        <v>675</v>
      </c>
      <c r="C3032" s="1" t="s">
        <v>625</v>
      </c>
      <c r="D3032" s="96" t="s">
        <v>676</v>
      </c>
      <c r="E3032" s="97"/>
      <c r="F3032" s="97"/>
      <c r="G3032" s="1"/>
      <c r="H3032" s="18" t="s">
        <v>1066</v>
      </c>
      <c r="I3032" s="98">
        <v>1</v>
      </c>
      <c r="J3032" s="99"/>
      <c r="K3032" s="19">
        <v>41.84</v>
      </c>
      <c r="L3032" s="2" t="s">
        <v>2156</v>
      </c>
      <c r="M3032" s="1"/>
      <c r="N3032" s="1"/>
      <c r="O3032" s="1"/>
      <c r="P3032" s="1"/>
      <c r="Q3032" s="1"/>
      <c r="R3032" s="1"/>
      <c r="S3032" s="1"/>
      <c r="T3032" s="1"/>
      <c r="U3032" s="1"/>
      <c r="V3032" s="1"/>
      <c r="W3032" s="1"/>
      <c r="X3032" s="1"/>
      <c r="Y3032" s="1"/>
      <c r="Z3032" s="1"/>
      <c r="AA3032" s="1"/>
    </row>
    <row r="3033" spans="1:27" ht="45" customHeight="1" x14ac:dyDescent="0.2">
      <c r="A3033" s="17" t="s">
        <v>2210</v>
      </c>
      <c r="B3033" s="17" t="s">
        <v>677</v>
      </c>
      <c r="C3033" s="1" t="s">
        <v>625</v>
      </c>
      <c r="D3033" s="96" t="s">
        <v>678</v>
      </c>
      <c r="E3033" s="97"/>
      <c r="F3033" s="97"/>
      <c r="G3033" s="1"/>
      <c r="H3033" s="18" t="s">
        <v>1066</v>
      </c>
      <c r="I3033" s="98">
        <v>1</v>
      </c>
      <c r="J3033" s="99"/>
      <c r="K3033" s="19">
        <v>453.71</v>
      </c>
      <c r="L3033" s="2" t="s">
        <v>2158</v>
      </c>
      <c r="M3033" s="1"/>
      <c r="N3033" s="1"/>
      <c r="O3033" s="1"/>
      <c r="P3033" s="1"/>
      <c r="Q3033" s="1"/>
      <c r="R3033" s="1"/>
      <c r="S3033" s="1"/>
      <c r="T3033" s="1"/>
      <c r="U3033" s="1"/>
      <c r="V3033" s="1"/>
      <c r="W3033" s="1"/>
      <c r="X3033" s="1"/>
      <c r="Y3033" s="1"/>
      <c r="Z3033" s="1"/>
      <c r="AA3033" s="1"/>
    </row>
    <row r="3034" spans="1:27" ht="45" customHeight="1" x14ac:dyDescent="0.2">
      <c r="A3034" s="17" t="s">
        <v>2214</v>
      </c>
      <c r="B3034" s="17" t="s">
        <v>735</v>
      </c>
      <c r="C3034" s="1" t="s">
        <v>36</v>
      </c>
      <c r="D3034" s="96" t="s">
        <v>736</v>
      </c>
      <c r="E3034" s="97"/>
      <c r="F3034" s="97"/>
      <c r="G3034" s="1"/>
      <c r="H3034" s="18" t="s">
        <v>1066</v>
      </c>
      <c r="I3034" s="98">
        <v>1</v>
      </c>
      <c r="J3034" s="99"/>
      <c r="K3034" s="19">
        <f>ROUND(K3046,2)</f>
        <v>9.3800000000000008</v>
      </c>
      <c r="L3034" s="2" t="s">
        <v>2160</v>
      </c>
      <c r="M3034" s="1"/>
      <c r="N3034" s="1"/>
      <c r="O3034" s="1"/>
      <c r="P3034" s="1"/>
      <c r="Q3034" s="1"/>
      <c r="R3034" s="1"/>
      <c r="S3034" s="1"/>
      <c r="T3034" s="1"/>
      <c r="U3034" s="1"/>
      <c r="V3034" s="1"/>
      <c r="W3034" s="1"/>
      <c r="X3034" s="1"/>
      <c r="Y3034" s="1"/>
      <c r="Z3034" s="1"/>
      <c r="AA3034" s="1"/>
    </row>
    <row r="3035" spans="1:27" x14ac:dyDescent="0.2">
      <c r="B3035" s="14" t="s">
        <v>1068</v>
      </c>
    </row>
    <row r="3036" spans="1:27" x14ac:dyDescent="0.2">
      <c r="B3036" t="s">
        <v>2163</v>
      </c>
      <c r="C3036" t="s">
        <v>1070</v>
      </c>
      <c r="D3036" t="s">
        <v>2164</v>
      </c>
      <c r="E3036" s="20">
        <v>0.1</v>
      </c>
      <c r="F3036" t="s">
        <v>1072</v>
      </c>
      <c r="G3036" t="s">
        <v>1073</v>
      </c>
      <c r="H3036" s="21">
        <v>26.08</v>
      </c>
      <c r="I3036" t="s">
        <v>1074</v>
      </c>
      <c r="J3036" s="22">
        <f>ROUND(E3036/I3034* H3036,5)</f>
        <v>2.6080000000000001</v>
      </c>
      <c r="K3036" s="23"/>
    </row>
    <row r="3037" spans="1:27" x14ac:dyDescent="0.2">
      <c r="B3037" t="s">
        <v>2161</v>
      </c>
      <c r="C3037" t="s">
        <v>1070</v>
      </c>
      <c r="D3037" t="s">
        <v>2162</v>
      </c>
      <c r="E3037" s="20">
        <v>0.1</v>
      </c>
      <c r="F3037" t="s">
        <v>1072</v>
      </c>
      <c r="G3037" t="s">
        <v>1073</v>
      </c>
      <c r="H3037" s="21">
        <v>30.41</v>
      </c>
      <c r="I3037" t="s">
        <v>1074</v>
      </c>
      <c r="J3037" s="22">
        <f>ROUND(E3037/I3034* H3037,5)</f>
        <v>3.0409999999999999</v>
      </c>
      <c r="K3037" s="23"/>
    </row>
    <row r="3038" spans="1:27" x14ac:dyDescent="0.2">
      <c r="D3038" s="24" t="s">
        <v>1075</v>
      </c>
      <c r="E3038" s="23"/>
      <c r="H3038" s="23"/>
      <c r="K3038" s="21">
        <f>SUM(J3036:J3037)</f>
        <v>5.649</v>
      </c>
    </row>
    <row r="3039" spans="1:27" x14ac:dyDescent="0.2">
      <c r="B3039" s="14" t="s">
        <v>1080</v>
      </c>
      <c r="E3039" s="23"/>
      <c r="H3039" s="23"/>
      <c r="K3039" s="23"/>
    </row>
    <row r="3040" spans="1:27" x14ac:dyDescent="0.2">
      <c r="B3040" t="s">
        <v>2165</v>
      </c>
      <c r="C3040" t="s">
        <v>36</v>
      </c>
      <c r="D3040" t="s">
        <v>2166</v>
      </c>
      <c r="E3040" s="20">
        <v>1</v>
      </c>
      <c r="G3040" t="s">
        <v>1073</v>
      </c>
      <c r="H3040" s="21">
        <v>2.95</v>
      </c>
      <c r="I3040" t="s">
        <v>1074</v>
      </c>
      <c r="J3040" s="22">
        <f>ROUND(E3040* H3040,5)</f>
        <v>2.95</v>
      </c>
      <c r="K3040" s="23"/>
    </row>
    <row r="3041" spans="1:27" x14ac:dyDescent="0.2">
      <c r="D3041" s="24" t="s">
        <v>1090</v>
      </c>
      <c r="E3041" s="23"/>
      <c r="H3041" s="23"/>
      <c r="K3041" s="21">
        <f>SUM(J3040:J3040)</f>
        <v>2.95</v>
      </c>
    </row>
    <row r="3042" spans="1:27" x14ac:dyDescent="0.2">
      <c r="E3042" s="23"/>
      <c r="H3042" s="23"/>
      <c r="K3042" s="23"/>
    </row>
    <row r="3043" spans="1:27" x14ac:dyDescent="0.2">
      <c r="D3043" s="24" t="s">
        <v>1092</v>
      </c>
      <c r="E3043" s="23"/>
      <c r="H3043" s="23">
        <v>1.5</v>
      </c>
      <c r="I3043" t="s">
        <v>1093</v>
      </c>
      <c r="J3043">
        <f>ROUND(H3043/100*K3038,5)</f>
        <v>8.4739999999999996E-2</v>
      </c>
      <c r="K3043" s="23"/>
    </row>
    <row r="3044" spans="1:27" x14ac:dyDescent="0.2">
      <c r="D3044" s="24" t="s">
        <v>1091</v>
      </c>
      <c r="E3044" s="23"/>
      <c r="H3044" s="23"/>
      <c r="K3044" s="25">
        <f>SUM(J3035:J3043)</f>
        <v>8.6837400000000002</v>
      </c>
    </row>
    <row r="3045" spans="1:27" x14ac:dyDescent="0.2">
      <c r="D3045" s="24" t="s">
        <v>1142</v>
      </c>
      <c r="E3045" s="23"/>
      <c r="H3045" s="23">
        <v>8</v>
      </c>
      <c r="I3045" t="s">
        <v>1093</v>
      </c>
      <c r="K3045" s="21">
        <f>ROUND(H3045/100*K3044,5)</f>
        <v>0.69469999999999998</v>
      </c>
    </row>
    <row r="3046" spans="1:27" x14ac:dyDescent="0.2">
      <c r="D3046" s="24" t="s">
        <v>1094</v>
      </c>
      <c r="E3046" s="23"/>
      <c r="H3046" s="23"/>
      <c r="K3046" s="25">
        <f>SUM(K3044:K3045)</f>
        <v>9.3784399999999994</v>
      </c>
    </row>
    <row r="3048" spans="1:27" ht="45" customHeight="1" x14ac:dyDescent="0.2">
      <c r="A3048" s="17" t="s">
        <v>2218</v>
      </c>
      <c r="B3048" s="17" t="s">
        <v>737</v>
      </c>
      <c r="C3048" s="1" t="s">
        <v>36</v>
      </c>
      <c r="D3048" s="96" t="s">
        <v>738</v>
      </c>
      <c r="E3048" s="97"/>
      <c r="F3048" s="97"/>
      <c r="G3048" s="1"/>
      <c r="H3048" s="18" t="s">
        <v>1066</v>
      </c>
      <c r="I3048" s="98">
        <v>1</v>
      </c>
      <c r="J3048" s="99"/>
      <c r="K3048" s="19">
        <f>ROUND(K3060,2)</f>
        <v>12.72</v>
      </c>
      <c r="L3048" s="2" t="s">
        <v>2168</v>
      </c>
      <c r="M3048" s="1"/>
      <c r="N3048" s="1"/>
      <c r="O3048" s="1"/>
      <c r="P3048" s="1"/>
      <c r="Q3048" s="1"/>
      <c r="R3048" s="1"/>
      <c r="S3048" s="1"/>
      <c r="T3048" s="1"/>
      <c r="U3048" s="1"/>
      <c r="V3048" s="1"/>
      <c r="W3048" s="1"/>
      <c r="X3048" s="1"/>
      <c r="Y3048" s="1"/>
      <c r="Z3048" s="1"/>
      <c r="AA3048" s="1"/>
    </row>
    <row r="3049" spans="1:27" x14ac:dyDescent="0.2">
      <c r="B3049" s="14" t="s">
        <v>1068</v>
      </c>
    </row>
    <row r="3050" spans="1:27" x14ac:dyDescent="0.2">
      <c r="B3050" t="s">
        <v>2161</v>
      </c>
      <c r="C3050" t="s">
        <v>1070</v>
      </c>
      <c r="D3050" t="s">
        <v>2162</v>
      </c>
      <c r="E3050" s="20">
        <v>0.1</v>
      </c>
      <c r="F3050" t="s">
        <v>1072</v>
      </c>
      <c r="G3050" t="s">
        <v>1073</v>
      </c>
      <c r="H3050" s="21">
        <v>30.41</v>
      </c>
      <c r="I3050" t="s">
        <v>1074</v>
      </c>
      <c r="J3050" s="22">
        <f>ROUND(E3050/I3048* H3050,5)</f>
        <v>3.0409999999999999</v>
      </c>
      <c r="K3050" s="23"/>
    </row>
    <row r="3051" spans="1:27" x14ac:dyDescent="0.2">
      <c r="B3051" t="s">
        <v>2163</v>
      </c>
      <c r="C3051" t="s">
        <v>1070</v>
      </c>
      <c r="D3051" t="s">
        <v>2164</v>
      </c>
      <c r="E3051" s="20">
        <v>0.1</v>
      </c>
      <c r="F3051" t="s">
        <v>1072</v>
      </c>
      <c r="G3051" t="s">
        <v>1073</v>
      </c>
      <c r="H3051" s="21">
        <v>26.08</v>
      </c>
      <c r="I3051" t="s">
        <v>1074</v>
      </c>
      <c r="J3051" s="22">
        <f>ROUND(E3051/I3048* H3051,5)</f>
        <v>2.6080000000000001</v>
      </c>
      <c r="K3051" s="23"/>
    </row>
    <row r="3052" spans="1:27" x14ac:dyDescent="0.2">
      <c r="D3052" s="24" t="s">
        <v>1075</v>
      </c>
      <c r="E3052" s="23"/>
      <c r="H3052" s="23"/>
      <c r="K3052" s="21">
        <f>SUM(J3050:J3051)</f>
        <v>5.649</v>
      </c>
    </row>
    <row r="3053" spans="1:27" x14ac:dyDescent="0.2">
      <c r="B3053" s="14" t="s">
        <v>1080</v>
      </c>
      <c r="E3053" s="23"/>
      <c r="H3053" s="23"/>
      <c r="K3053" s="23"/>
    </row>
    <row r="3054" spans="1:27" x14ac:dyDescent="0.2">
      <c r="B3054" t="s">
        <v>2169</v>
      </c>
      <c r="C3054" t="s">
        <v>36</v>
      </c>
      <c r="D3054" t="s">
        <v>2170</v>
      </c>
      <c r="E3054" s="20">
        <v>1</v>
      </c>
      <c r="G3054" t="s">
        <v>1073</v>
      </c>
      <c r="H3054" s="21">
        <v>6.04</v>
      </c>
      <c r="I3054" t="s">
        <v>1074</v>
      </c>
      <c r="J3054" s="22">
        <f>ROUND(E3054* H3054,5)</f>
        <v>6.04</v>
      </c>
      <c r="K3054" s="23"/>
    </row>
    <row r="3055" spans="1:27" x14ac:dyDescent="0.2">
      <c r="D3055" s="24" t="s">
        <v>1090</v>
      </c>
      <c r="E3055" s="23"/>
      <c r="H3055" s="23"/>
      <c r="K3055" s="21">
        <f>SUM(J3054:J3054)</f>
        <v>6.04</v>
      </c>
    </row>
    <row r="3056" spans="1:27" x14ac:dyDescent="0.2">
      <c r="E3056" s="23"/>
      <c r="H3056" s="23"/>
      <c r="K3056" s="23"/>
    </row>
    <row r="3057" spans="1:27" x14ac:dyDescent="0.2">
      <c r="D3057" s="24" t="s">
        <v>1092</v>
      </c>
      <c r="E3057" s="23"/>
      <c r="H3057" s="23">
        <v>1.5</v>
      </c>
      <c r="I3057" t="s">
        <v>1093</v>
      </c>
      <c r="J3057">
        <f>ROUND(H3057/100*K3052,5)</f>
        <v>8.4739999999999996E-2</v>
      </c>
      <c r="K3057" s="23"/>
    </row>
    <row r="3058" spans="1:27" x14ac:dyDescent="0.2">
      <c r="D3058" s="24" t="s">
        <v>1091</v>
      </c>
      <c r="E3058" s="23"/>
      <c r="H3058" s="23"/>
      <c r="K3058" s="25">
        <f>SUM(J3049:J3057)</f>
        <v>11.77374</v>
      </c>
    </row>
    <row r="3059" spans="1:27" x14ac:dyDescent="0.2">
      <c r="D3059" s="24" t="s">
        <v>1142</v>
      </c>
      <c r="E3059" s="23"/>
      <c r="H3059" s="23">
        <v>8</v>
      </c>
      <c r="I3059" t="s">
        <v>1093</v>
      </c>
      <c r="K3059" s="21">
        <f>ROUND(H3059/100*K3058,5)</f>
        <v>0.94189999999999996</v>
      </c>
    </row>
    <row r="3060" spans="1:27" x14ac:dyDescent="0.2">
      <c r="D3060" s="24" t="s">
        <v>1094</v>
      </c>
      <c r="E3060" s="23"/>
      <c r="H3060" s="23"/>
      <c r="K3060" s="25">
        <f>SUM(K3058:K3059)</f>
        <v>12.71564</v>
      </c>
    </row>
    <row r="3062" spans="1:27" ht="45" customHeight="1" x14ac:dyDescent="0.2">
      <c r="A3062" s="17" t="s">
        <v>2221</v>
      </c>
      <c r="B3062" s="17" t="s">
        <v>727</v>
      </c>
      <c r="C3062" s="1" t="s">
        <v>36</v>
      </c>
      <c r="D3062" s="96" t="s">
        <v>728</v>
      </c>
      <c r="E3062" s="97"/>
      <c r="F3062" s="97"/>
      <c r="G3062" s="1"/>
      <c r="H3062" s="18" t="s">
        <v>1066</v>
      </c>
      <c r="I3062" s="98">
        <v>1</v>
      </c>
      <c r="J3062" s="99"/>
      <c r="K3062" s="19">
        <f>ROUND(K3075,2)</f>
        <v>18.46</v>
      </c>
      <c r="L3062" s="2" t="s">
        <v>2172</v>
      </c>
      <c r="M3062" s="1"/>
      <c r="N3062" s="1"/>
      <c r="O3062" s="1"/>
      <c r="P3062" s="1"/>
      <c r="Q3062" s="1"/>
      <c r="R3062" s="1"/>
      <c r="S3062" s="1"/>
      <c r="T3062" s="1"/>
      <c r="U3062" s="1"/>
      <c r="V3062" s="1"/>
      <c r="W3062" s="1"/>
      <c r="X3062" s="1"/>
      <c r="Y3062" s="1"/>
      <c r="Z3062" s="1"/>
      <c r="AA3062" s="1"/>
    </row>
    <row r="3063" spans="1:27" x14ac:dyDescent="0.2">
      <c r="B3063" s="14" t="s">
        <v>1068</v>
      </c>
    </row>
    <row r="3064" spans="1:27" x14ac:dyDescent="0.2">
      <c r="B3064" t="s">
        <v>2163</v>
      </c>
      <c r="C3064" t="s">
        <v>1070</v>
      </c>
      <c r="D3064" t="s">
        <v>2164</v>
      </c>
      <c r="E3064" s="20">
        <v>0.2</v>
      </c>
      <c r="F3064" t="s">
        <v>1072</v>
      </c>
      <c r="G3064" t="s">
        <v>1073</v>
      </c>
      <c r="H3064" s="21">
        <v>26.08</v>
      </c>
      <c r="I3064" t="s">
        <v>1074</v>
      </c>
      <c r="J3064" s="22">
        <f>ROUND(E3064/I3062* H3064,5)</f>
        <v>5.2160000000000002</v>
      </c>
      <c r="K3064" s="23"/>
    </row>
    <row r="3065" spans="1:27" x14ac:dyDescent="0.2">
      <c r="B3065" t="s">
        <v>2161</v>
      </c>
      <c r="C3065" t="s">
        <v>1070</v>
      </c>
      <c r="D3065" t="s">
        <v>2162</v>
      </c>
      <c r="E3065" s="20">
        <v>0.2</v>
      </c>
      <c r="F3065" t="s">
        <v>1072</v>
      </c>
      <c r="G3065" t="s">
        <v>1073</v>
      </c>
      <c r="H3065" s="21">
        <v>30.41</v>
      </c>
      <c r="I3065" t="s">
        <v>1074</v>
      </c>
      <c r="J3065" s="22">
        <f>ROUND(E3065/I3062* H3065,5)</f>
        <v>6.0819999999999999</v>
      </c>
      <c r="K3065" s="23"/>
    </row>
    <row r="3066" spans="1:27" x14ac:dyDescent="0.2">
      <c r="D3066" s="24" t="s">
        <v>1075</v>
      </c>
      <c r="E3066" s="23"/>
      <c r="H3066" s="23"/>
      <c r="K3066" s="21">
        <f>SUM(J3064:J3065)</f>
        <v>11.298</v>
      </c>
    </row>
    <row r="3067" spans="1:27" x14ac:dyDescent="0.2">
      <c r="B3067" s="14" t="s">
        <v>1080</v>
      </c>
      <c r="E3067" s="23"/>
      <c r="H3067" s="23"/>
      <c r="K3067" s="23"/>
    </row>
    <row r="3068" spans="1:27" x14ac:dyDescent="0.2">
      <c r="B3068" t="s">
        <v>2173</v>
      </c>
      <c r="C3068" t="s">
        <v>36</v>
      </c>
      <c r="D3068" t="s">
        <v>2174</v>
      </c>
      <c r="E3068" s="20">
        <v>1.02</v>
      </c>
      <c r="G3068" t="s">
        <v>1073</v>
      </c>
      <c r="H3068" s="21">
        <v>3.84</v>
      </c>
      <c r="I3068" t="s">
        <v>1074</v>
      </c>
      <c r="J3068" s="22">
        <f>ROUND(E3068* H3068,5)</f>
        <v>3.9167999999999998</v>
      </c>
      <c r="K3068" s="23"/>
    </row>
    <row r="3069" spans="1:27" x14ac:dyDescent="0.2">
      <c r="B3069" t="s">
        <v>2175</v>
      </c>
      <c r="C3069" t="s">
        <v>23</v>
      </c>
      <c r="D3069" t="s">
        <v>2176</v>
      </c>
      <c r="E3069" s="20">
        <v>0.33</v>
      </c>
      <c r="G3069" t="s">
        <v>1073</v>
      </c>
      <c r="H3069" s="21">
        <v>5.19</v>
      </c>
      <c r="I3069" t="s">
        <v>1074</v>
      </c>
      <c r="J3069" s="22">
        <f>ROUND(E3069* H3069,5)</f>
        <v>1.7126999999999999</v>
      </c>
      <c r="K3069" s="23"/>
    </row>
    <row r="3070" spans="1:27" x14ac:dyDescent="0.2">
      <c r="D3070" s="24" t="s">
        <v>1090</v>
      </c>
      <c r="E3070" s="23"/>
      <c r="H3070" s="23"/>
      <c r="K3070" s="21">
        <f>SUM(J3068:J3069)</f>
        <v>5.6295000000000002</v>
      </c>
    </row>
    <row r="3071" spans="1:27" x14ac:dyDescent="0.2">
      <c r="E3071" s="23"/>
      <c r="H3071" s="23"/>
      <c r="K3071" s="23"/>
    </row>
    <row r="3072" spans="1:27" x14ac:dyDescent="0.2">
      <c r="D3072" s="24" t="s">
        <v>1092</v>
      </c>
      <c r="E3072" s="23"/>
      <c r="H3072" s="23">
        <v>1.5</v>
      </c>
      <c r="I3072" t="s">
        <v>1093</v>
      </c>
      <c r="J3072">
        <f>ROUND(H3072/100*K3066,5)</f>
        <v>0.16947000000000001</v>
      </c>
      <c r="K3072" s="23"/>
    </row>
    <row r="3073" spans="1:27" x14ac:dyDescent="0.2">
      <c r="D3073" s="24" t="s">
        <v>1091</v>
      </c>
      <c r="E3073" s="23"/>
      <c r="H3073" s="23"/>
      <c r="K3073" s="25">
        <f>SUM(J3063:J3072)</f>
        <v>17.096970000000002</v>
      </c>
    </row>
    <row r="3074" spans="1:27" x14ac:dyDescent="0.2">
      <c r="D3074" s="24" t="s">
        <v>1142</v>
      </c>
      <c r="E3074" s="23"/>
      <c r="H3074" s="23">
        <v>8</v>
      </c>
      <c r="I3074" t="s">
        <v>1093</v>
      </c>
      <c r="K3074" s="21">
        <f>ROUND(H3074/100*K3073,5)</f>
        <v>1.3677600000000001</v>
      </c>
    </row>
    <row r="3075" spans="1:27" x14ac:dyDescent="0.2">
      <c r="D3075" s="24" t="s">
        <v>1094</v>
      </c>
      <c r="E3075" s="23"/>
      <c r="H3075" s="23"/>
      <c r="K3075" s="25">
        <f>SUM(K3073:K3074)</f>
        <v>18.464730000000003</v>
      </c>
    </row>
    <row r="3077" spans="1:27" ht="45" customHeight="1" x14ac:dyDescent="0.2">
      <c r="A3077" s="17" t="s">
        <v>2225</v>
      </c>
      <c r="B3077" s="17" t="s">
        <v>729</v>
      </c>
      <c r="C3077" s="1" t="s">
        <v>36</v>
      </c>
      <c r="D3077" s="96" t="s">
        <v>730</v>
      </c>
      <c r="E3077" s="97"/>
      <c r="F3077" s="97"/>
      <c r="G3077" s="1"/>
      <c r="H3077" s="18" t="s">
        <v>1066</v>
      </c>
      <c r="I3077" s="98">
        <v>1</v>
      </c>
      <c r="J3077" s="99"/>
      <c r="K3077" s="19">
        <f>ROUND(K3090,2)</f>
        <v>19.190000000000001</v>
      </c>
      <c r="L3077" s="2" t="s">
        <v>2178</v>
      </c>
      <c r="M3077" s="1"/>
      <c r="N3077" s="1"/>
      <c r="O3077" s="1"/>
      <c r="P3077" s="1"/>
      <c r="Q3077" s="1"/>
      <c r="R3077" s="1"/>
      <c r="S3077" s="1"/>
      <c r="T3077" s="1"/>
      <c r="U3077" s="1"/>
      <c r="V3077" s="1"/>
      <c r="W3077" s="1"/>
      <c r="X3077" s="1"/>
      <c r="Y3077" s="1"/>
      <c r="Z3077" s="1"/>
      <c r="AA3077" s="1"/>
    </row>
    <row r="3078" spans="1:27" x14ac:dyDescent="0.2">
      <c r="B3078" s="14" t="s">
        <v>1068</v>
      </c>
    </row>
    <row r="3079" spans="1:27" x14ac:dyDescent="0.2">
      <c r="B3079" t="s">
        <v>2163</v>
      </c>
      <c r="C3079" t="s">
        <v>1070</v>
      </c>
      <c r="D3079" t="s">
        <v>2164</v>
      </c>
      <c r="E3079" s="20">
        <v>0.2</v>
      </c>
      <c r="F3079" t="s">
        <v>1072</v>
      </c>
      <c r="G3079" t="s">
        <v>1073</v>
      </c>
      <c r="H3079" s="21">
        <v>26.08</v>
      </c>
      <c r="I3079" t="s">
        <v>1074</v>
      </c>
      <c r="J3079" s="22">
        <f>ROUND(E3079/I3077* H3079,5)</f>
        <v>5.2160000000000002</v>
      </c>
      <c r="K3079" s="23"/>
    </row>
    <row r="3080" spans="1:27" x14ac:dyDescent="0.2">
      <c r="B3080" t="s">
        <v>2161</v>
      </c>
      <c r="C3080" t="s">
        <v>1070</v>
      </c>
      <c r="D3080" t="s">
        <v>2162</v>
      </c>
      <c r="E3080" s="20">
        <v>0.2</v>
      </c>
      <c r="F3080" t="s">
        <v>1072</v>
      </c>
      <c r="G3080" t="s">
        <v>1073</v>
      </c>
      <c r="H3080" s="21">
        <v>30.41</v>
      </c>
      <c r="I3080" t="s">
        <v>1074</v>
      </c>
      <c r="J3080" s="22">
        <f>ROUND(E3080/I3077* H3080,5)</f>
        <v>6.0819999999999999</v>
      </c>
      <c r="K3080" s="23"/>
    </row>
    <row r="3081" spans="1:27" x14ac:dyDescent="0.2">
      <c r="D3081" s="24" t="s">
        <v>1075</v>
      </c>
      <c r="E3081" s="23"/>
      <c r="H3081" s="23"/>
      <c r="K3081" s="21">
        <f>SUM(J3079:J3080)</f>
        <v>11.298</v>
      </c>
    </row>
    <row r="3082" spans="1:27" x14ac:dyDescent="0.2">
      <c r="B3082" s="14" t="s">
        <v>1080</v>
      </c>
      <c r="E3082" s="23"/>
      <c r="H3082" s="23"/>
      <c r="K3082" s="23"/>
    </row>
    <row r="3083" spans="1:27" x14ac:dyDescent="0.2">
      <c r="B3083" t="s">
        <v>2179</v>
      </c>
      <c r="C3083" t="s">
        <v>36</v>
      </c>
      <c r="D3083" t="s">
        <v>2180</v>
      </c>
      <c r="E3083" s="20">
        <v>1.02</v>
      </c>
      <c r="G3083" t="s">
        <v>1073</v>
      </c>
      <c r="H3083" s="21">
        <v>4.4800000000000004</v>
      </c>
      <c r="I3083" t="s">
        <v>1074</v>
      </c>
      <c r="J3083" s="22">
        <f>ROUND(E3083* H3083,5)</f>
        <v>4.5696000000000003</v>
      </c>
      <c r="K3083" s="23"/>
    </row>
    <row r="3084" spans="1:27" x14ac:dyDescent="0.2">
      <c r="B3084" t="s">
        <v>2181</v>
      </c>
      <c r="C3084" t="s">
        <v>23</v>
      </c>
      <c r="D3084" t="s">
        <v>2182</v>
      </c>
      <c r="E3084" s="20">
        <v>0.33</v>
      </c>
      <c r="G3084" t="s">
        <v>1073</v>
      </c>
      <c r="H3084" s="21">
        <v>5.25</v>
      </c>
      <c r="I3084" t="s">
        <v>1074</v>
      </c>
      <c r="J3084" s="22">
        <f>ROUND(E3084* H3084,5)</f>
        <v>1.7324999999999999</v>
      </c>
      <c r="K3084" s="23"/>
    </row>
    <row r="3085" spans="1:27" x14ac:dyDescent="0.2">
      <c r="D3085" s="24" t="s">
        <v>1090</v>
      </c>
      <c r="E3085" s="23"/>
      <c r="H3085" s="23"/>
      <c r="K3085" s="21">
        <f>SUM(J3083:J3084)</f>
        <v>6.3021000000000003</v>
      </c>
    </row>
    <row r="3086" spans="1:27" x14ac:dyDescent="0.2">
      <c r="E3086" s="23"/>
      <c r="H3086" s="23"/>
      <c r="K3086" s="23"/>
    </row>
    <row r="3087" spans="1:27" x14ac:dyDescent="0.2">
      <c r="D3087" s="24" t="s">
        <v>1092</v>
      </c>
      <c r="E3087" s="23"/>
      <c r="H3087" s="23">
        <v>1.5</v>
      </c>
      <c r="I3087" t="s">
        <v>1093</v>
      </c>
      <c r="J3087">
        <f>ROUND(H3087/100*K3081,5)</f>
        <v>0.16947000000000001</v>
      </c>
      <c r="K3087" s="23"/>
    </row>
    <row r="3088" spans="1:27" x14ac:dyDescent="0.2">
      <c r="D3088" s="24" t="s">
        <v>1091</v>
      </c>
      <c r="E3088" s="23"/>
      <c r="H3088" s="23"/>
      <c r="K3088" s="25">
        <f>SUM(J3078:J3087)</f>
        <v>17.769569999999998</v>
      </c>
    </row>
    <row r="3089" spans="1:27" x14ac:dyDescent="0.2">
      <c r="D3089" s="24" t="s">
        <v>1142</v>
      </c>
      <c r="E3089" s="23"/>
      <c r="H3089" s="23">
        <v>8</v>
      </c>
      <c r="I3089" t="s">
        <v>1093</v>
      </c>
      <c r="K3089" s="21">
        <f>ROUND(H3089/100*K3088,5)</f>
        <v>1.42157</v>
      </c>
    </row>
    <row r="3090" spans="1:27" x14ac:dyDescent="0.2">
      <c r="D3090" s="24" t="s">
        <v>1094</v>
      </c>
      <c r="E3090" s="23"/>
      <c r="H3090" s="23"/>
      <c r="K3090" s="25">
        <f>SUM(K3088:K3089)</f>
        <v>19.191139999999997</v>
      </c>
    </row>
    <row r="3092" spans="1:27" ht="45" customHeight="1" x14ac:dyDescent="0.2">
      <c r="A3092" s="17" t="s">
        <v>2228</v>
      </c>
      <c r="B3092" s="17" t="s">
        <v>731</v>
      </c>
      <c r="C3092" s="1" t="s">
        <v>36</v>
      </c>
      <c r="D3092" s="96" t="s">
        <v>732</v>
      </c>
      <c r="E3092" s="97"/>
      <c r="F3092" s="97"/>
      <c r="G3092" s="1"/>
      <c r="H3092" s="18" t="s">
        <v>1066</v>
      </c>
      <c r="I3092" s="98">
        <v>1</v>
      </c>
      <c r="J3092" s="99"/>
      <c r="K3092" s="19">
        <f>ROUND(K3105,2)</f>
        <v>19.690000000000001</v>
      </c>
      <c r="L3092" s="2" t="s">
        <v>2184</v>
      </c>
      <c r="M3092" s="1"/>
      <c r="N3092" s="1"/>
      <c r="O3092" s="1"/>
      <c r="P3092" s="1"/>
      <c r="Q3092" s="1"/>
      <c r="R3092" s="1"/>
      <c r="S3092" s="1"/>
      <c r="T3092" s="1"/>
      <c r="U3092" s="1"/>
      <c r="V3092" s="1"/>
      <c r="W3092" s="1"/>
      <c r="X3092" s="1"/>
      <c r="Y3092" s="1"/>
      <c r="Z3092" s="1"/>
      <c r="AA3092" s="1"/>
    </row>
    <row r="3093" spans="1:27" x14ac:dyDescent="0.2">
      <c r="B3093" s="14" t="s">
        <v>1068</v>
      </c>
    </row>
    <row r="3094" spans="1:27" x14ac:dyDescent="0.2">
      <c r="B3094" t="s">
        <v>2161</v>
      </c>
      <c r="C3094" t="s">
        <v>1070</v>
      </c>
      <c r="D3094" t="s">
        <v>2162</v>
      </c>
      <c r="E3094" s="20">
        <v>0.2</v>
      </c>
      <c r="F3094" t="s">
        <v>1072</v>
      </c>
      <c r="G3094" t="s">
        <v>1073</v>
      </c>
      <c r="H3094" s="21">
        <v>30.41</v>
      </c>
      <c r="I3094" t="s">
        <v>1074</v>
      </c>
      <c r="J3094" s="22">
        <f>ROUND(E3094/I3092* H3094,5)</f>
        <v>6.0819999999999999</v>
      </c>
      <c r="K3094" s="23"/>
    </row>
    <row r="3095" spans="1:27" x14ac:dyDescent="0.2">
      <c r="B3095" t="s">
        <v>2163</v>
      </c>
      <c r="C3095" t="s">
        <v>1070</v>
      </c>
      <c r="D3095" t="s">
        <v>2164</v>
      </c>
      <c r="E3095" s="20">
        <v>0.2</v>
      </c>
      <c r="F3095" t="s">
        <v>1072</v>
      </c>
      <c r="G3095" t="s">
        <v>1073</v>
      </c>
      <c r="H3095" s="21">
        <v>26.08</v>
      </c>
      <c r="I3095" t="s">
        <v>1074</v>
      </c>
      <c r="J3095" s="22">
        <f>ROUND(E3095/I3092* H3095,5)</f>
        <v>5.2160000000000002</v>
      </c>
      <c r="K3095" s="23"/>
    </row>
    <row r="3096" spans="1:27" x14ac:dyDescent="0.2">
      <c r="D3096" s="24" t="s">
        <v>1075</v>
      </c>
      <c r="E3096" s="23"/>
      <c r="H3096" s="23"/>
      <c r="K3096" s="21">
        <f>SUM(J3094:J3095)</f>
        <v>11.298</v>
      </c>
    </row>
    <row r="3097" spans="1:27" x14ac:dyDescent="0.2">
      <c r="B3097" s="14" t="s">
        <v>1080</v>
      </c>
      <c r="E3097" s="23"/>
      <c r="H3097" s="23"/>
      <c r="K3097" s="23"/>
    </row>
    <row r="3098" spans="1:27" x14ac:dyDescent="0.2">
      <c r="B3098" t="s">
        <v>2187</v>
      </c>
      <c r="C3098" t="s">
        <v>23</v>
      </c>
      <c r="D3098" t="s">
        <v>2188</v>
      </c>
      <c r="E3098" s="20">
        <v>0.33</v>
      </c>
      <c r="G3098" t="s">
        <v>1073</v>
      </c>
      <c r="H3098" s="21">
        <v>5.73</v>
      </c>
      <c r="I3098" t="s">
        <v>1074</v>
      </c>
      <c r="J3098" s="22">
        <f>ROUND(E3098* H3098,5)</f>
        <v>1.8909</v>
      </c>
      <c r="K3098" s="23"/>
    </row>
    <row r="3099" spans="1:27" x14ac:dyDescent="0.2">
      <c r="B3099" t="s">
        <v>2185</v>
      </c>
      <c r="C3099" t="s">
        <v>36</v>
      </c>
      <c r="D3099" t="s">
        <v>2186</v>
      </c>
      <c r="E3099" s="20">
        <v>1.02</v>
      </c>
      <c r="G3099" t="s">
        <v>1073</v>
      </c>
      <c r="H3099" s="21">
        <v>4.78</v>
      </c>
      <c r="I3099" t="s">
        <v>1074</v>
      </c>
      <c r="J3099" s="22">
        <f>ROUND(E3099* H3099,5)</f>
        <v>4.8756000000000004</v>
      </c>
      <c r="K3099" s="23"/>
    </row>
    <row r="3100" spans="1:27" x14ac:dyDescent="0.2">
      <c r="D3100" s="24" t="s">
        <v>1090</v>
      </c>
      <c r="E3100" s="23"/>
      <c r="H3100" s="23"/>
      <c r="K3100" s="21">
        <f>SUM(J3098:J3099)</f>
        <v>6.7665000000000006</v>
      </c>
    </row>
    <row r="3101" spans="1:27" x14ac:dyDescent="0.2">
      <c r="E3101" s="23"/>
      <c r="H3101" s="23"/>
      <c r="K3101" s="23"/>
    </row>
    <row r="3102" spans="1:27" x14ac:dyDescent="0.2">
      <c r="D3102" s="24" t="s">
        <v>1092</v>
      </c>
      <c r="E3102" s="23"/>
      <c r="H3102" s="23">
        <v>1.5</v>
      </c>
      <c r="I3102" t="s">
        <v>1093</v>
      </c>
      <c r="J3102">
        <f>ROUND(H3102/100*K3096,5)</f>
        <v>0.16947000000000001</v>
      </c>
      <c r="K3102" s="23"/>
    </row>
    <row r="3103" spans="1:27" x14ac:dyDescent="0.2">
      <c r="D3103" s="24" t="s">
        <v>1091</v>
      </c>
      <c r="E3103" s="23"/>
      <c r="H3103" s="23"/>
      <c r="K3103" s="25">
        <f>SUM(J3093:J3102)</f>
        <v>18.233970000000003</v>
      </c>
    </row>
    <row r="3104" spans="1:27" x14ac:dyDescent="0.2">
      <c r="D3104" s="24" t="s">
        <v>1142</v>
      </c>
      <c r="E3104" s="23"/>
      <c r="H3104" s="23">
        <v>8</v>
      </c>
      <c r="I3104" t="s">
        <v>1093</v>
      </c>
      <c r="K3104" s="21">
        <f>ROUND(H3104/100*K3103,5)</f>
        <v>1.45872</v>
      </c>
    </row>
    <row r="3105" spans="1:27" x14ac:dyDescent="0.2">
      <c r="D3105" s="24" t="s">
        <v>1094</v>
      </c>
      <c r="E3105" s="23"/>
      <c r="H3105" s="23"/>
      <c r="K3105" s="25">
        <f>SUM(K3103:K3104)</f>
        <v>19.692690000000002</v>
      </c>
    </row>
    <row r="3107" spans="1:27" ht="45" customHeight="1" x14ac:dyDescent="0.2">
      <c r="A3107" s="17" t="s">
        <v>2232</v>
      </c>
      <c r="B3107" s="17" t="s">
        <v>733</v>
      </c>
      <c r="C3107" s="1" t="s">
        <v>36</v>
      </c>
      <c r="D3107" s="96" t="s">
        <v>734</v>
      </c>
      <c r="E3107" s="97"/>
      <c r="F3107" s="97"/>
      <c r="G3107" s="1"/>
      <c r="H3107" s="18" t="s">
        <v>1066</v>
      </c>
      <c r="I3107" s="98">
        <v>1</v>
      </c>
      <c r="J3107" s="99"/>
      <c r="K3107" s="19">
        <f>ROUND(K3120,2)</f>
        <v>22.98</v>
      </c>
      <c r="L3107" s="2" t="s">
        <v>2190</v>
      </c>
      <c r="M3107" s="1"/>
      <c r="N3107" s="1"/>
      <c r="O3107" s="1"/>
      <c r="P3107" s="1"/>
      <c r="Q3107" s="1"/>
      <c r="R3107" s="1"/>
      <c r="S3107" s="1"/>
      <c r="T3107" s="1"/>
      <c r="U3107" s="1"/>
      <c r="V3107" s="1"/>
      <c r="W3107" s="1"/>
      <c r="X3107" s="1"/>
      <c r="Y3107" s="1"/>
      <c r="Z3107" s="1"/>
      <c r="AA3107" s="1"/>
    </row>
    <row r="3108" spans="1:27" x14ac:dyDescent="0.2">
      <c r="B3108" s="14" t="s">
        <v>1068</v>
      </c>
    </row>
    <row r="3109" spans="1:27" x14ac:dyDescent="0.2">
      <c r="B3109" t="s">
        <v>2163</v>
      </c>
      <c r="C3109" t="s">
        <v>1070</v>
      </c>
      <c r="D3109" t="s">
        <v>2164</v>
      </c>
      <c r="E3109" s="20">
        <v>0.2</v>
      </c>
      <c r="F3109" t="s">
        <v>1072</v>
      </c>
      <c r="G3109" t="s">
        <v>1073</v>
      </c>
      <c r="H3109" s="21">
        <v>26.08</v>
      </c>
      <c r="I3109" t="s">
        <v>1074</v>
      </c>
      <c r="J3109" s="22">
        <f>ROUND(E3109/I3107* H3109,5)</f>
        <v>5.2160000000000002</v>
      </c>
      <c r="K3109" s="23"/>
    </row>
    <row r="3110" spans="1:27" x14ac:dyDescent="0.2">
      <c r="B3110" t="s">
        <v>2161</v>
      </c>
      <c r="C3110" t="s">
        <v>1070</v>
      </c>
      <c r="D3110" t="s">
        <v>2162</v>
      </c>
      <c r="E3110" s="20">
        <v>0.2</v>
      </c>
      <c r="F3110" t="s">
        <v>1072</v>
      </c>
      <c r="G3110" t="s">
        <v>1073</v>
      </c>
      <c r="H3110" s="21">
        <v>30.41</v>
      </c>
      <c r="I3110" t="s">
        <v>1074</v>
      </c>
      <c r="J3110" s="22">
        <f>ROUND(E3110/I3107* H3110,5)</f>
        <v>6.0819999999999999</v>
      </c>
      <c r="K3110" s="23"/>
    </row>
    <row r="3111" spans="1:27" x14ac:dyDescent="0.2">
      <c r="D3111" s="24" t="s">
        <v>1075</v>
      </c>
      <c r="E3111" s="23"/>
      <c r="H3111" s="23"/>
      <c r="K3111" s="21">
        <f>SUM(J3109:J3110)</f>
        <v>11.298</v>
      </c>
    </row>
    <row r="3112" spans="1:27" x14ac:dyDescent="0.2">
      <c r="B3112" s="14" t="s">
        <v>1080</v>
      </c>
      <c r="E3112" s="23"/>
      <c r="H3112" s="23"/>
      <c r="K3112" s="23"/>
    </row>
    <row r="3113" spans="1:27" x14ac:dyDescent="0.2">
      <c r="B3113" t="s">
        <v>2191</v>
      </c>
      <c r="C3113" t="s">
        <v>36</v>
      </c>
      <c r="D3113" t="s">
        <v>2192</v>
      </c>
      <c r="E3113" s="20">
        <v>1.02</v>
      </c>
      <c r="G3113" t="s">
        <v>1073</v>
      </c>
      <c r="H3113" s="21">
        <v>7.35</v>
      </c>
      <c r="I3113" t="s">
        <v>1074</v>
      </c>
      <c r="J3113" s="22">
        <f>ROUND(E3113* H3113,5)</f>
        <v>7.4969999999999999</v>
      </c>
      <c r="K3113" s="23"/>
    </row>
    <row r="3114" spans="1:27" x14ac:dyDescent="0.2">
      <c r="B3114" t="s">
        <v>2193</v>
      </c>
      <c r="C3114" t="s">
        <v>23</v>
      </c>
      <c r="D3114" t="s">
        <v>2194</v>
      </c>
      <c r="E3114" s="20">
        <v>0.33</v>
      </c>
      <c r="G3114" t="s">
        <v>1073</v>
      </c>
      <c r="H3114" s="21">
        <v>7</v>
      </c>
      <c r="I3114" t="s">
        <v>1074</v>
      </c>
      <c r="J3114" s="22">
        <f>ROUND(E3114* H3114,5)</f>
        <v>2.31</v>
      </c>
      <c r="K3114" s="23"/>
    </row>
    <row r="3115" spans="1:27" x14ac:dyDescent="0.2">
      <c r="D3115" s="24" t="s">
        <v>1090</v>
      </c>
      <c r="E3115" s="23"/>
      <c r="H3115" s="23"/>
      <c r="K3115" s="21">
        <f>SUM(J3113:J3114)</f>
        <v>9.8070000000000004</v>
      </c>
    </row>
    <row r="3116" spans="1:27" x14ac:dyDescent="0.2">
      <c r="E3116" s="23"/>
      <c r="H3116" s="23"/>
      <c r="K3116" s="23"/>
    </row>
    <row r="3117" spans="1:27" x14ac:dyDescent="0.2">
      <c r="D3117" s="24" t="s">
        <v>1092</v>
      </c>
      <c r="E3117" s="23"/>
      <c r="H3117" s="23">
        <v>1.5</v>
      </c>
      <c r="I3117" t="s">
        <v>1093</v>
      </c>
      <c r="J3117">
        <f>ROUND(H3117/100*K3111,5)</f>
        <v>0.16947000000000001</v>
      </c>
      <c r="K3117" s="23"/>
    </row>
    <row r="3118" spans="1:27" x14ac:dyDescent="0.2">
      <c r="D3118" s="24" t="s">
        <v>1091</v>
      </c>
      <c r="E3118" s="23"/>
      <c r="H3118" s="23"/>
      <c r="K3118" s="25">
        <f>SUM(J3108:J3117)</f>
        <v>21.274470000000001</v>
      </c>
    </row>
    <row r="3119" spans="1:27" x14ac:dyDescent="0.2">
      <c r="D3119" s="24" t="s">
        <v>1142</v>
      </c>
      <c r="E3119" s="23"/>
      <c r="H3119" s="23">
        <v>8</v>
      </c>
      <c r="I3119" t="s">
        <v>1093</v>
      </c>
      <c r="K3119" s="21">
        <f>ROUND(H3119/100*K3118,5)</f>
        <v>1.7019599999999999</v>
      </c>
    </row>
    <row r="3120" spans="1:27" x14ac:dyDescent="0.2">
      <c r="D3120" s="24" t="s">
        <v>1094</v>
      </c>
      <c r="E3120" s="23"/>
      <c r="H3120" s="23"/>
      <c r="K3120" s="25">
        <f>SUM(K3118:K3119)</f>
        <v>22.976430000000001</v>
      </c>
    </row>
    <row r="3122" spans="1:27" ht="45" customHeight="1" x14ac:dyDescent="0.2">
      <c r="A3122" s="17" t="s">
        <v>2235</v>
      </c>
      <c r="B3122" s="17" t="s">
        <v>725</v>
      </c>
      <c r="C3122" s="1" t="s">
        <v>18</v>
      </c>
      <c r="D3122" s="96" t="s">
        <v>726</v>
      </c>
      <c r="E3122" s="97"/>
      <c r="F3122" s="97"/>
      <c r="G3122" s="1"/>
      <c r="H3122" s="18" t="s">
        <v>1066</v>
      </c>
      <c r="I3122" s="98">
        <v>1</v>
      </c>
      <c r="J3122" s="99"/>
      <c r="K3122" s="19">
        <f>ROUND(K3136,2)</f>
        <v>34.06</v>
      </c>
      <c r="L3122" s="2" t="s">
        <v>2196</v>
      </c>
      <c r="M3122" s="1"/>
      <c r="N3122" s="1"/>
      <c r="O3122" s="1"/>
      <c r="P3122" s="1"/>
      <c r="Q3122" s="1"/>
      <c r="R3122" s="1"/>
      <c r="S3122" s="1"/>
      <c r="T3122" s="1"/>
      <c r="U3122" s="1"/>
      <c r="V3122" s="1"/>
      <c r="W3122" s="1"/>
      <c r="X3122" s="1"/>
      <c r="Y3122" s="1"/>
      <c r="Z3122" s="1"/>
      <c r="AA3122" s="1"/>
    </row>
    <row r="3123" spans="1:27" x14ac:dyDescent="0.2">
      <c r="B3123" s="14" t="s">
        <v>1068</v>
      </c>
    </row>
    <row r="3124" spans="1:27" x14ac:dyDescent="0.2">
      <c r="B3124" t="s">
        <v>2161</v>
      </c>
      <c r="C3124" t="s">
        <v>1070</v>
      </c>
      <c r="D3124" t="s">
        <v>2162</v>
      </c>
      <c r="E3124" s="20">
        <v>0.32</v>
      </c>
      <c r="F3124" t="s">
        <v>1072</v>
      </c>
      <c r="G3124" t="s">
        <v>1073</v>
      </c>
      <c r="H3124" s="21">
        <v>30.41</v>
      </c>
      <c r="I3124" t="s">
        <v>1074</v>
      </c>
      <c r="J3124" s="22">
        <f>ROUND(E3124/I3122* H3124,5)</f>
        <v>9.7311999999999994</v>
      </c>
      <c r="K3124" s="23"/>
    </row>
    <row r="3125" spans="1:27" x14ac:dyDescent="0.2">
      <c r="B3125" t="s">
        <v>2163</v>
      </c>
      <c r="C3125" t="s">
        <v>1070</v>
      </c>
      <c r="D3125" t="s">
        <v>2164</v>
      </c>
      <c r="E3125" s="20">
        <v>0.32</v>
      </c>
      <c r="F3125" t="s">
        <v>1072</v>
      </c>
      <c r="G3125" t="s">
        <v>1073</v>
      </c>
      <c r="H3125" s="21">
        <v>26.08</v>
      </c>
      <c r="I3125" t="s">
        <v>1074</v>
      </c>
      <c r="J3125" s="22">
        <f>ROUND(E3125/I3122* H3125,5)</f>
        <v>8.3455999999999992</v>
      </c>
      <c r="K3125" s="23"/>
    </row>
    <row r="3126" spans="1:27" x14ac:dyDescent="0.2">
      <c r="D3126" s="24" t="s">
        <v>1075</v>
      </c>
      <c r="E3126" s="23"/>
      <c r="H3126" s="23"/>
      <c r="K3126" s="21">
        <f>SUM(J3124:J3125)</f>
        <v>18.076799999999999</v>
      </c>
    </row>
    <row r="3127" spans="1:27" x14ac:dyDescent="0.2">
      <c r="B3127" s="14" t="s">
        <v>1080</v>
      </c>
      <c r="E3127" s="23"/>
      <c r="H3127" s="23"/>
      <c r="K3127" s="23"/>
    </row>
    <row r="3128" spans="1:27" x14ac:dyDescent="0.2">
      <c r="B3128" t="s">
        <v>2197</v>
      </c>
      <c r="C3128" t="s">
        <v>23</v>
      </c>
      <c r="D3128" t="s">
        <v>2198</v>
      </c>
      <c r="E3128" s="20">
        <v>1</v>
      </c>
      <c r="G3128" t="s">
        <v>1073</v>
      </c>
      <c r="H3128" s="21">
        <v>0.26</v>
      </c>
      <c r="I3128" t="s">
        <v>1074</v>
      </c>
      <c r="J3128" s="22">
        <f>ROUND(E3128* H3128,5)</f>
        <v>0.26</v>
      </c>
      <c r="K3128" s="23"/>
    </row>
    <row r="3129" spans="1:27" x14ac:dyDescent="0.2">
      <c r="B3129" t="s">
        <v>2201</v>
      </c>
      <c r="C3129" t="s">
        <v>23</v>
      </c>
      <c r="D3129" t="s">
        <v>2202</v>
      </c>
      <c r="E3129" s="20">
        <v>0.5</v>
      </c>
      <c r="G3129" t="s">
        <v>1073</v>
      </c>
      <c r="H3129" s="21">
        <v>5.39</v>
      </c>
      <c r="I3129" t="s">
        <v>1074</v>
      </c>
      <c r="J3129" s="22">
        <f>ROUND(E3129* H3129,5)</f>
        <v>2.6949999999999998</v>
      </c>
      <c r="K3129" s="23"/>
    </row>
    <row r="3130" spans="1:27" x14ac:dyDescent="0.2">
      <c r="B3130" t="s">
        <v>2199</v>
      </c>
      <c r="C3130" t="s">
        <v>18</v>
      </c>
      <c r="D3130" t="s">
        <v>2200</v>
      </c>
      <c r="E3130" s="20">
        <v>1.1499999999999999</v>
      </c>
      <c r="G3130" t="s">
        <v>1073</v>
      </c>
      <c r="H3130" s="21">
        <v>8.9</v>
      </c>
      <c r="I3130" t="s">
        <v>1074</v>
      </c>
      <c r="J3130" s="22">
        <f>ROUND(E3130* H3130,5)</f>
        <v>10.234999999999999</v>
      </c>
      <c r="K3130" s="23"/>
    </row>
    <row r="3131" spans="1:27" x14ac:dyDescent="0.2">
      <c r="D3131" s="24" t="s">
        <v>1090</v>
      </c>
      <c r="E3131" s="23"/>
      <c r="H3131" s="23"/>
      <c r="K3131" s="21">
        <f>SUM(J3128:J3130)</f>
        <v>13.19</v>
      </c>
    </row>
    <row r="3132" spans="1:27" x14ac:dyDescent="0.2">
      <c r="E3132" s="23"/>
      <c r="H3132" s="23"/>
      <c r="K3132" s="23"/>
    </row>
    <row r="3133" spans="1:27" x14ac:dyDescent="0.2">
      <c r="D3133" s="24" t="s">
        <v>1092</v>
      </c>
      <c r="E3133" s="23"/>
      <c r="H3133" s="23">
        <v>1.5</v>
      </c>
      <c r="I3133" t="s">
        <v>1093</v>
      </c>
      <c r="J3133">
        <f>ROUND(H3133/100*K3126,5)</f>
        <v>0.27115</v>
      </c>
      <c r="K3133" s="23"/>
    </row>
    <row r="3134" spans="1:27" x14ac:dyDescent="0.2">
      <c r="D3134" s="24" t="s">
        <v>1091</v>
      </c>
      <c r="E3134" s="23"/>
      <c r="H3134" s="23"/>
      <c r="K3134" s="25">
        <f>SUM(J3123:J3133)</f>
        <v>31.537949999999999</v>
      </c>
    </row>
    <row r="3135" spans="1:27" x14ac:dyDescent="0.2">
      <c r="D3135" s="24" t="s">
        <v>1142</v>
      </c>
      <c r="E3135" s="23"/>
      <c r="H3135" s="23">
        <v>8</v>
      </c>
      <c r="I3135" t="s">
        <v>1093</v>
      </c>
      <c r="K3135" s="21">
        <f>ROUND(H3135/100*K3134,5)</f>
        <v>2.5230399999999999</v>
      </c>
    </row>
    <row r="3136" spans="1:27" x14ac:dyDescent="0.2">
      <c r="D3136" s="24" t="s">
        <v>1094</v>
      </c>
      <c r="E3136" s="23"/>
      <c r="H3136" s="23"/>
      <c r="K3136" s="25">
        <f>SUM(K3134:K3135)</f>
        <v>34.060989999999997</v>
      </c>
    </row>
    <row r="3138" spans="1:27" ht="45" customHeight="1" x14ac:dyDescent="0.2">
      <c r="A3138" s="17" t="s">
        <v>2238</v>
      </c>
      <c r="B3138" s="17" t="s">
        <v>692</v>
      </c>
      <c r="C3138" s="1" t="s">
        <v>23</v>
      </c>
      <c r="D3138" s="96" t="s">
        <v>693</v>
      </c>
      <c r="E3138" s="97"/>
      <c r="F3138" s="97"/>
      <c r="G3138" s="1"/>
      <c r="H3138" s="18" t="s">
        <v>1066</v>
      </c>
      <c r="I3138" s="98">
        <v>1</v>
      </c>
      <c r="J3138" s="99"/>
      <c r="K3138" s="19">
        <f>ROUND(K3150,2)</f>
        <v>333.69</v>
      </c>
      <c r="L3138" s="2" t="s">
        <v>2204</v>
      </c>
      <c r="M3138" s="1"/>
      <c r="N3138" s="1"/>
      <c r="O3138" s="1"/>
      <c r="P3138" s="1"/>
      <c r="Q3138" s="1"/>
      <c r="R3138" s="1"/>
      <c r="S3138" s="1"/>
      <c r="T3138" s="1"/>
      <c r="U3138" s="1"/>
      <c r="V3138" s="1"/>
      <c r="W3138" s="1"/>
      <c r="X3138" s="1"/>
      <c r="Y3138" s="1"/>
      <c r="Z3138" s="1"/>
      <c r="AA3138" s="1"/>
    </row>
    <row r="3139" spans="1:27" x14ac:dyDescent="0.2">
      <c r="B3139" s="14" t="s">
        <v>1068</v>
      </c>
    </row>
    <row r="3140" spans="1:27" x14ac:dyDescent="0.2">
      <c r="B3140" t="s">
        <v>2161</v>
      </c>
      <c r="C3140" t="s">
        <v>1070</v>
      </c>
      <c r="D3140" t="s">
        <v>2162</v>
      </c>
      <c r="E3140" s="20">
        <v>1.5</v>
      </c>
      <c r="F3140" t="s">
        <v>1072</v>
      </c>
      <c r="G3140" t="s">
        <v>1073</v>
      </c>
      <c r="H3140" s="21">
        <v>30.41</v>
      </c>
      <c r="I3140" t="s">
        <v>1074</v>
      </c>
      <c r="J3140" s="22">
        <f>ROUND(E3140/I3138* H3140,5)</f>
        <v>45.615000000000002</v>
      </c>
      <c r="K3140" s="23"/>
    </row>
    <row r="3141" spans="1:27" x14ac:dyDescent="0.2">
      <c r="B3141" t="s">
        <v>2163</v>
      </c>
      <c r="C3141" t="s">
        <v>1070</v>
      </c>
      <c r="D3141" t="s">
        <v>2164</v>
      </c>
      <c r="E3141" s="20">
        <v>1.5</v>
      </c>
      <c r="F3141" t="s">
        <v>1072</v>
      </c>
      <c r="G3141" t="s">
        <v>1073</v>
      </c>
      <c r="H3141" s="21">
        <v>26.08</v>
      </c>
      <c r="I3141" t="s">
        <v>1074</v>
      </c>
      <c r="J3141" s="22">
        <f>ROUND(E3141/I3138* H3141,5)</f>
        <v>39.119999999999997</v>
      </c>
      <c r="K3141" s="23"/>
    </row>
    <row r="3142" spans="1:27" x14ac:dyDescent="0.2">
      <c r="D3142" s="24" t="s">
        <v>1075</v>
      </c>
      <c r="E3142" s="23"/>
      <c r="H3142" s="23"/>
      <c r="K3142" s="21">
        <f>SUM(J3140:J3141)</f>
        <v>84.734999999999999</v>
      </c>
    </row>
    <row r="3143" spans="1:27" x14ac:dyDescent="0.2">
      <c r="B3143" s="14" t="s">
        <v>1080</v>
      </c>
      <c r="E3143" s="23"/>
      <c r="H3143" s="23"/>
      <c r="K3143" s="23"/>
    </row>
    <row r="3144" spans="1:27" x14ac:dyDescent="0.2">
      <c r="B3144" t="s">
        <v>2205</v>
      </c>
      <c r="C3144" t="s">
        <v>23</v>
      </c>
      <c r="D3144" t="s">
        <v>2204</v>
      </c>
      <c r="E3144" s="20">
        <v>0.65</v>
      </c>
      <c r="G3144" t="s">
        <v>1073</v>
      </c>
      <c r="H3144" s="21">
        <v>343.02</v>
      </c>
      <c r="I3144" t="s">
        <v>1074</v>
      </c>
      <c r="J3144" s="22">
        <f>ROUND(E3144* H3144,5)</f>
        <v>222.96299999999999</v>
      </c>
      <c r="K3144" s="23"/>
    </row>
    <row r="3145" spans="1:27" x14ac:dyDescent="0.2">
      <c r="D3145" s="24" t="s">
        <v>1090</v>
      </c>
      <c r="E3145" s="23"/>
      <c r="H3145" s="23"/>
      <c r="K3145" s="21">
        <f>SUM(J3144:J3144)</f>
        <v>222.96299999999999</v>
      </c>
    </row>
    <row r="3146" spans="1:27" x14ac:dyDescent="0.2">
      <c r="E3146" s="23"/>
      <c r="H3146" s="23"/>
      <c r="K3146" s="23"/>
    </row>
    <row r="3147" spans="1:27" x14ac:dyDescent="0.2">
      <c r="D3147" s="24" t="s">
        <v>1092</v>
      </c>
      <c r="E3147" s="23"/>
      <c r="H3147" s="23">
        <v>1.5</v>
      </c>
      <c r="I3147" t="s">
        <v>1093</v>
      </c>
      <c r="J3147">
        <f>ROUND(H3147/100*K3142,5)</f>
        <v>1.2710300000000001</v>
      </c>
      <c r="K3147" s="23"/>
    </row>
    <row r="3148" spans="1:27" x14ac:dyDescent="0.2">
      <c r="D3148" s="24" t="s">
        <v>1091</v>
      </c>
      <c r="E3148" s="23"/>
      <c r="H3148" s="23"/>
      <c r="K3148" s="25">
        <f>SUM(J3139:J3147)</f>
        <v>308.96902999999998</v>
      </c>
    </row>
    <row r="3149" spans="1:27" x14ac:dyDescent="0.2">
      <c r="D3149" s="24" t="s">
        <v>1142</v>
      </c>
      <c r="E3149" s="23"/>
      <c r="H3149" s="23">
        <v>8</v>
      </c>
      <c r="I3149" t="s">
        <v>1093</v>
      </c>
      <c r="K3149" s="21">
        <f>ROUND(H3149/100*K3148,5)</f>
        <v>24.71752</v>
      </c>
    </row>
    <row r="3150" spans="1:27" x14ac:dyDescent="0.2">
      <c r="D3150" s="24" t="s">
        <v>1094</v>
      </c>
      <c r="E3150" s="23"/>
      <c r="H3150" s="23"/>
      <c r="K3150" s="25">
        <f>SUM(K3148:K3149)</f>
        <v>333.68654999999995</v>
      </c>
    </row>
    <row r="3152" spans="1:27" ht="45" customHeight="1" x14ac:dyDescent="0.2">
      <c r="A3152" s="17" t="s">
        <v>2241</v>
      </c>
      <c r="B3152" s="17" t="s">
        <v>694</v>
      </c>
      <c r="C3152" s="1" t="s">
        <v>23</v>
      </c>
      <c r="D3152" s="96" t="s">
        <v>695</v>
      </c>
      <c r="E3152" s="97"/>
      <c r="F3152" s="97"/>
      <c r="G3152" s="1"/>
      <c r="H3152" s="18" t="s">
        <v>1066</v>
      </c>
      <c r="I3152" s="98">
        <v>1</v>
      </c>
      <c r="J3152" s="99"/>
      <c r="K3152" s="19">
        <f>ROUND(K3164,2)</f>
        <v>510.26</v>
      </c>
      <c r="L3152" s="2" t="s">
        <v>2207</v>
      </c>
      <c r="M3152" s="1"/>
      <c r="N3152" s="1"/>
      <c r="O3152" s="1"/>
      <c r="P3152" s="1"/>
      <c r="Q3152" s="1"/>
      <c r="R3152" s="1"/>
      <c r="S3152" s="1"/>
      <c r="T3152" s="1"/>
      <c r="U3152" s="1"/>
      <c r="V3152" s="1"/>
      <c r="W3152" s="1"/>
      <c r="X3152" s="1"/>
      <c r="Y3152" s="1"/>
      <c r="Z3152" s="1"/>
      <c r="AA3152" s="1"/>
    </row>
    <row r="3153" spans="1:27" x14ac:dyDescent="0.2">
      <c r="B3153" s="14" t="s">
        <v>1068</v>
      </c>
    </row>
    <row r="3154" spans="1:27" x14ac:dyDescent="0.2">
      <c r="B3154" t="s">
        <v>2163</v>
      </c>
      <c r="C3154" t="s">
        <v>1070</v>
      </c>
      <c r="D3154" t="s">
        <v>2164</v>
      </c>
      <c r="E3154" s="20">
        <v>2</v>
      </c>
      <c r="F3154" t="s">
        <v>1072</v>
      </c>
      <c r="G3154" t="s">
        <v>1073</v>
      </c>
      <c r="H3154" s="21">
        <v>26.08</v>
      </c>
      <c r="I3154" t="s">
        <v>1074</v>
      </c>
      <c r="J3154" s="22">
        <f>ROUND(E3154/I3152* H3154,5)</f>
        <v>52.16</v>
      </c>
      <c r="K3154" s="23"/>
    </row>
    <row r="3155" spans="1:27" x14ac:dyDescent="0.2">
      <c r="B3155" t="s">
        <v>2161</v>
      </c>
      <c r="C3155" t="s">
        <v>1070</v>
      </c>
      <c r="D3155" t="s">
        <v>2162</v>
      </c>
      <c r="E3155" s="20">
        <v>2</v>
      </c>
      <c r="F3155" t="s">
        <v>1072</v>
      </c>
      <c r="G3155" t="s">
        <v>1073</v>
      </c>
      <c r="H3155" s="21">
        <v>30.41</v>
      </c>
      <c r="I3155" t="s">
        <v>1074</v>
      </c>
      <c r="J3155" s="22">
        <f>ROUND(E3155/I3152* H3155,5)</f>
        <v>60.82</v>
      </c>
      <c r="K3155" s="23"/>
    </row>
    <row r="3156" spans="1:27" x14ac:dyDescent="0.2">
      <c r="D3156" s="24" t="s">
        <v>1075</v>
      </c>
      <c r="E3156" s="23"/>
      <c r="H3156" s="23"/>
      <c r="K3156" s="21">
        <f>SUM(J3154:J3155)</f>
        <v>112.97999999999999</v>
      </c>
    </row>
    <row r="3157" spans="1:27" x14ac:dyDescent="0.2">
      <c r="B3157" s="14" t="s">
        <v>1080</v>
      </c>
      <c r="E3157" s="23"/>
      <c r="H3157" s="23"/>
      <c r="K3157" s="23"/>
    </row>
    <row r="3158" spans="1:27" x14ac:dyDescent="0.2">
      <c r="B3158" t="s">
        <v>2208</v>
      </c>
      <c r="C3158" t="s">
        <v>23</v>
      </c>
      <c r="D3158" t="s">
        <v>2209</v>
      </c>
      <c r="E3158" s="20">
        <v>0.65</v>
      </c>
      <c r="G3158" t="s">
        <v>1073</v>
      </c>
      <c r="H3158" s="21">
        <v>550.44000000000005</v>
      </c>
      <c r="I3158" t="s">
        <v>1074</v>
      </c>
      <c r="J3158" s="22">
        <f>ROUND(E3158* H3158,5)</f>
        <v>357.786</v>
      </c>
      <c r="K3158" s="23"/>
    </row>
    <row r="3159" spans="1:27" x14ac:dyDescent="0.2">
      <c r="D3159" s="24" t="s">
        <v>1090</v>
      </c>
      <c r="E3159" s="23"/>
      <c r="H3159" s="23"/>
      <c r="K3159" s="21">
        <f>SUM(J3158:J3158)</f>
        <v>357.786</v>
      </c>
    </row>
    <row r="3160" spans="1:27" x14ac:dyDescent="0.2">
      <c r="E3160" s="23"/>
      <c r="H3160" s="23"/>
      <c r="K3160" s="23"/>
    </row>
    <row r="3161" spans="1:27" x14ac:dyDescent="0.2">
      <c r="D3161" s="24" t="s">
        <v>1092</v>
      </c>
      <c r="E3161" s="23"/>
      <c r="H3161" s="23">
        <v>1.5</v>
      </c>
      <c r="I3161" t="s">
        <v>1093</v>
      </c>
      <c r="J3161">
        <f>ROUND(H3161/100*K3156,5)</f>
        <v>1.6947000000000001</v>
      </c>
      <c r="K3161" s="23"/>
    </row>
    <row r="3162" spans="1:27" x14ac:dyDescent="0.2">
      <c r="D3162" s="24" t="s">
        <v>1091</v>
      </c>
      <c r="E3162" s="23"/>
      <c r="H3162" s="23"/>
      <c r="K3162" s="25">
        <f>SUM(J3153:J3161)</f>
        <v>472.46069999999997</v>
      </c>
    </row>
    <row r="3163" spans="1:27" x14ac:dyDescent="0.2">
      <c r="D3163" s="24" t="s">
        <v>1142</v>
      </c>
      <c r="E3163" s="23"/>
      <c r="H3163" s="23">
        <v>8</v>
      </c>
      <c r="I3163" t="s">
        <v>1093</v>
      </c>
      <c r="K3163" s="21">
        <f>ROUND(H3163/100*K3162,5)</f>
        <v>37.796860000000002</v>
      </c>
    </row>
    <row r="3164" spans="1:27" x14ac:dyDescent="0.2">
      <c r="D3164" s="24" t="s">
        <v>1094</v>
      </c>
      <c r="E3164" s="23"/>
      <c r="H3164" s="23"/>
      <c r="K3164" s="25">
        <f>SUM(K3162:K3163)</f>
        <v>510.25755999999996</v>
      </c>
    </row>
    <row r="3166" spans="1:27" ht="45" customHeight="1" x14ac:dyDescent="0.2">
      <c r="A3166" s="17" t="s">
        <v>2245</v>
      </c>
      <c r="B3166" s="17" t="s">
        <v>696</v>
      </c>
      <c r="C3166" s="1" t="s">
        <v>23</v>
      </c>
      <c r="D3166" s="96" t="s">
        <v>697</v>
      </c>
      <c r="E3166" s="97"/>
      <c r="F3166" s="97"/>
      <c r="G3166" s="1"/>
      <c r="H3166" s="18" t="s">
        <v>1066</v>
      </c>
      <c r="I3166" s="98">
        <v>1</v>
      </c>
      <c r="J3166" s="99"/>
      <c r="K3166" s="19">
        <f>ROUND(K3178,2)</f>
        <v>18.399999999999999</v>
      </c>
      <c r="L3166" s="2" t="s">
        <v>2211</v>
      </c>
      <c r="M3166" s="1"/>
      <c r="N3166" s="1"/>
      <c r="O3166" s="1"/>
      <c r="P3166" s="1"/>
      <c r="Q3166" s="1"/>
      <c r="R3166" s="1"/>
      <c r="S3166" s="1"/>
      <c r="T3166" s="1"/>
      <c r="U3166" s="1"/>
      <c r="V3166" s="1"/>
      <c r="W3166" s="1"/>
      <c r="X3166" s="1"/>
      <c r="Y3166" s="1"/>
      <c r="Z3166" s="1"/>
      <c r="AA3166" s="1"/>
    </row>
    <row r="3167" spans="1:27" x14ac:dyDescent="0.2">
      <c r="B3167" s="14" t="s">
        <v>1068</v>
      </c>
    </row>
    <row r="3168" spans="1:27" x14ac:dyDescent="0.2">
      <c r="B3168" t="s">
        <v>2163</v>
      </c>
      <c r="C3168" t="s">
        <v>1070</v>
      </c>
      <c r="D3168" t="s">
        <v>2164</v>
      </c>
      <c r="E3168" s="20">
        <v>2.5000000000000001E-2</v>
      </c>
      <c r="F3168" t="s">
        <v>1072</v>
      </c>
      <c r="G3168" t="s">
        <v>1073</v>
      </c>
      <c r="H3168" s="21">
        <v>26.08</v>
      </c>
      <c r="I3168" t="s">
        <v>1074</v>
      </c>
      <c r="J3168" s="22">
        <f>ROUND(E3168/I3166* H3168,5)</f>
        <v>0.65200000000000002</v>
      </c>
      <c r="K3168" s="23"/>
    </row>
    <row r="3169" spans="1:27" x14ac:dyDescent="0.2">
      <c r="B3169" t="s">
        <v>2161</v>
      </c>
      <c r="C3169" t="s">
        <v>1070</v>
      </c>
      <c r="D3169" t="s">
        <v>2162</v>
      </c>
      <c r="E3169" s="20">
        <v>2.5000000000000001E-2</v>
      </c>
      <c r="F3169" t="s">
        <v>1072</v>
      </c>
      <c r="G3169" t="s">
        <v>1073</v>
      </c>
      <c r="H3169" s="21">
        <v>30.41</v>
      </c>
      <c r="I3169" t="s">
        <v>1074</v>
      </c>
      <c r="J3169" s="22">
        <f>ROUND(E3169/I3166* H3169,5)</f>
        <v>0.76024999999999998</v>
      </c>
      <c r="K3169" s="23"/>
    </row>
    <row r="3170" spans="1:27" x14ac:dyDescent="0.2">
      <c r="D3170" s="24" t="s">
        <v>1075</v>
      </c>
      <c r="E3170" s="23"/>
      <c r="H3170" s="23"/>
      <c r="K3170" s="21">
        <f>SUM(J3168:J3169)</f>
        <v>1.41225</v>
      </c>
    </row>
    <row r="3171" spans="1:27" x14ac:dyDescent="0.2">
      <c r="B3171" s="14" t="s">
        <v>1080</v>
      </c>
      <c r="E3171" s="23"/>
      <c r="H3171" s="23"/>
      <c r="K3171" s="23"/>
    </row>
    <row r="3172" spans="1:27" x14ac:dyDescent="0.2">
      <c r="B3172" t="s">
        <v>2212</v>
      </c>
      <c r="C3172" t="s">
        <v>23</v>
      </c>
      <c r="D3172" t="s">
        <v>2213</v>
      </c>
      <c r="E3172" s="20">
        <v>0.65</v>
      </c>
      <c r="G3172" t="s">
        <v>1073</v>
      </c>
      <c r="H3172" s="21">
        <v>24</v>
      </c>
      <c r="I3172" t="s">
        <v>1074</v>
      </c>
      <c r="J3172" s="22">
        <f>ROUND(E3172* H3172,5)</f>
        <v>15.6</v>
      </c>
      <c r="K3172" s="23"/>
    </row>
    <row r="3173" spans="1:27" x14ac:dyDescent="0.2">
      <c r="D3173" s="24" t="s">
        <v>1090</v>
      </c>
      <c r="E3173" s="23"/>
      <c r="H3173" s="23"/>
      <c r="K3173" s="21">
        <f>SUM(J3172:J3172)</f>
        <v>15.6</v>
      </c>
    </row>
    <row r="3174" spans="1:27" x14ac:dyDescent="0.2">
      <c r="E3174" s="23"/>
      <c r="H3174" s="23"/>
      <c r="K3174" s="23"/>
    </row>
    <row r="3175" spans="1:27" x14ac:dyDescent="0.2">
      <c r="D3175" s="24" t="s">
        <v>1092</v>
      </c>
      <c r="E3175" s="23"/>
      <c r="H3175" s="23">
        <v>1.5</v>
      </c>
      <c r="I3175" t="s">
        <v>1093</v>
      </c>
      <c r="J3175">
        <f>ROUND(H3175/100*K3170,5)</f>
        <v>2.1180000000000001E-2</v>
      </c>
      <c r="K3175" s="23"/>
    </row>
    <row r="3176" spans="1:27" x14ac:dyDescent="0.2">
      <c r="D3176" s="24" t="s">
        <v>1091</v>
      </c>
      <c r="E3176" s="23"/>
      <c r="H3176" s="23"/>
      <c r="K3176" s="25">
        <f>SUM(J3167:J3175)</f>
        <v>17.033429999999999</v>
      </c>
    </row>
    <row r="3177" spans="1:27" x14ac:dyDescent="0.2">
      <c r="D3177" s="24" t="s">
        <v>1142</v>
      </c>
      <c r="E3177" s="23"/>
      <c r="H3177" s="23">
        <v>8</v>
      </c>
      <c r="I3177" t="s">
        <v>1093</v>
      </c>
      <c r="K3177" s="21">
        <f>ROUND(H3177/100*K3176,5)</f>
        <v>1.36267</v>
      </c>
    </row>
    <row r="3178" spans="1:27" x14ac:dyDescent="0.2">
      <c r="D3178" s="24" t="s">
        <v>1094</v>
      </c>
      <c r="E3178" s="23"/>
      <c r="H3178" s="23"/>
      <c r="K3178" s="25">
        <f>SUM(K3176:K3177)</f>
        <v>18.396100000000001</v>
      </c>
    </row>
    <row r="3180" spans="1:27" ht="45" customHeight="1" x14ac:dyDescent="0.2">
      <c r="A3180" s="17" t="s">
        <v>2249</v>
      </c>
      <c r="B3180" s="17" t="s">
        <v>704</v>
      </c>
      <c r="C3180" s="1" t="s">
        <v>103</v>
      </c>
      <c r="D3180" s="96" t="s">
        <v>705</v>
      </c>
      <c r="E3180" s="97"/>
      <c r="F3180" s="97"/>
      <c r="G3180" s="1"/>
      <c r="H3180" s="18" t="s">
        <v>1066</v>
      </c>
      <c r="I3180" s="98">
        <v>1</v>
      </c>
      <c r="J3180" s="99"/>
      <c r="K3180" s="19">
        <f>ROUND(K3186,2)</f>
        <v>5.08</v>
      </c>
      <c r="L3180" s="2" t="s">
        <v>2215</v>
      </c>
      <c r="M3180" s="1"/>
      <c r="N3180" s="1"/>
      <c r="O3180" s="1"/>
      <c r="P3180" s="1"/>
      <c r="Q3180" s="1"/>
      <c r="R3180" s="1"/>
      <c r="S3180" s="1"/>
      <c r="T3180" s="1"/>
      <c r="U3180" s="1"/>
      <c r="V3180" s="1"/>
      <c r="W3180" s="1"/>
      <c r="X3180" s="1"/>
      <c r="Y3180" s="1"/>
      <c r="Z3180" s="1"/>
      <c r="AA3180" s="1"/>
    </row>
    <row r="3181" spans="1:27" x14ac:dyDescent="0.2">
      <c r="B3181" s="14" t="s">
        <v>1080</v>
      </c>
    </row>
    <row r="3182" spans="1:27" ht="144" x14ac:dyDescent="0.2">
      <c r="B3182" t="s">
        <v>2216</v>
      </c>
      <c r="C3182" t="s">
        <v>103</v>
      </c>
      <c r="D3182" s="26" t="s">
        <v>2217</v>
      </c>
      <c r="E3182" s="20">
        <v>0.65</v>
      </c>
      <c r="G3182" t="s">
        <v>1073</v>
      </c>
      <c r="H3182" s="21">
        <v>7.23</v>
      </c>
      <c r="I3182" t="s">
        <v>1074</v>
      </c>
      <c r="J3182" s="22">
        <f>ROUND(E3182* H3182,5)</f>
        <v>4.6994999999999996</v>
      </c>
      <c r="K3182" s="23"/>
    </row>
    <row r="3183" spans="1:27" x14ac:dyDescent="0.2">
      <c r="D3183" s="24" t="s">
        <v>1090</v>
      </c>
      <c r="E3183" s="23"/>
      <c r="H3183" s="23"/>
      <c r="K3183" s="21">
        <f>SUM(J3182:J3182)</f>
        <v>4.6994999999999996</v>
      </c>
    </row>
    <row r="3184" spans="1:27" x14ac:dyDescent="0.2">
      <c r="D3184" s="24" t="s">
        <v>1091</v>
      </c>
      <c r="E3184" s="23"/>
      <c r="H3184" s="23"/>
      <c r="K3184" s="25">
        <f>SUM(J3181:J3183)</f>
        <v>4.6994999999999996</v>
      </c>
    </row>
    <row r="3185" spans="1:27" x14ac:dyDescent="0.2">
      <c r="D3185" s="24" t="s">
        <v>1142</v>
      </c>
      <c r="E3185" s="23"/>
      <c r="H3185" s="23">
        <v>8</v>
      </c>
      <c r="I3185" t="s">
        <v>1093</v>
      </c>
      <c r="K3185" s="21">
        <f>ROUND(H3185/100*K3184,5)</f>
        <v>0.37596000000000002</v>
      </c>
    </row>
    <row r="3186" spans="1:27" x14ac:dyDescent="0.2">
      <c r="D3186" s="24" t="s">
        <v>1094</v>
      </c>
      <c r="E3186" s="23"/>
      <c r="H3186" s="23"/>
      <c r="K3186" s="25">
        <f>SUM(K3184:K3185)</f>
        <v>5.0754599999999996</v>
      </c>
    </row>
    <row r="3188" spans="1:27" ht="45" customHeight="1" x14ac:dyDescent="0.2">
      <c r="A3188" s="17" t="s">
        <v>2253</v>
      </c>
      <c r="B3188" s="17" t="s">
        <v>688</v>
      </c>
      <c r="C3188" s="1" t="s">
        <v>23</v>
      </c>
      <c r="D3188" s="96" t="s">
        <v>689</v>
      </c>
      <c r="E3188" s="97"/>
      <c r="F3188" s="97"/>
      <c r="G3188" s="1"/>
      <c r="H3188" s="18" t="s">
        <v>1066</v>
      </c>
      <c r="I3188" s="98">
        <v>1</v>
      </c>
      <c r="J3188" s="99"/>
      <c r="K3188" s="19">
        <f>ROUND(K3200,2)</f>
        <v>134.44</v>
      </c>
      <c r="L3188" s="2" t="s">
        <v>2219</v>
      </c>
      <c r="M3188" s="1"/>
      <c r="N3188" s="1"/>
      <c r="O3188" s="1"/>
      <c r="P3188" s="1"/>
      <c r="Q3188" s="1"/>
      <c r="R3188" s="1"/>
      <c r="S3188" s="1"/>
      <c r="T3188" s="1"/>
      <c r="U3188" s="1"/>
      <c r="V3188" s="1"/>
      <c r="W3188" s="1"/>
      <c r="X3188" s="1"/>
      <c r="Y3188" s="1"/>
      <c r="Z3188" s="1"/>
      <c r="AA3188" s="1"/>
    </row>
    <row r="3189" spans="1:27" x14ac:dyDescent="0.2">
      <c r="B3189" s="14" t="s">
        <v>1068</v>
      </c>
    </row>
    <row r="3190" spans="1:27" x14ac:dyDescent="0.2">
      <c r="B3190" t="s">
        <v>2161</v>
      </c>
      <c r="C3190" t="s">
        <v>1070</v>
      </c>
      <c r="D3190" t="s">
        <v>2162</v>
      </c>
      <c r="E3190" s="20">
        <v>0.25</v>
      </c>
      <c r="F3190" t="s">
        <v>1072</v>
      </c>
      <c r="G3190" t="s">
        <v>1073</v>
      </c>
      <c r="H3190" s="21">
        <v>30.41</v>
      </c>
      <c r="I3190" t="s">
        <v>1074</v>
      </c>
      <c r="J3190" s="22">
        <f>ROUND(E3190/I3188* H3190,5)</f>
        <v>7.6025</v>
      </c>
      <c r="K3190" s="23"/>
    </row>
    <row r="3191" spans="1:27" x14ac:dyDescent="0.2">
      <c r="B3191" t="s">
        <v>2163</v>
      </c>
      <c r="C3191" t="s">
        <v>1070</v>
      </c>
      <c r="D3191" t="s">
        <v>2164</v>
      </c>
      <c r="E3191" s="20">
        <v>0.25</v>
      </c>
      <c r="F3191" t="s">
        <v>1072</v>
      </c>
      <c r="G3191" t="s">
        <v>1073</v>
      </c>
      <c r="H3191" s="21">
        <v>26.08</v>
      </c>
      <c r="I3191" t="s">
        <v>1074</v>
      </c>
      <c r="J3191" s="22">
        <f>ROUND(E3191/I3188* H3191,5)</f>
        <v>6.52</v>
      </c>
      <c r="K3191" s="23"/>
    </row>
    <row r="3192" spans="1:27" x14ac:dyDescent="0.2">
      <c r="D3192" s="24" t="s">
        <v>1075</v>
      </c>
      <c r="E3192" s="23"/>
      <c r="H3192" s="23"/>
      <c r="K3192" s="21">
        <f>SUM(J3190:J3191)</f>
        <v>14.122499999999999</v>
      </c>
    </row>
    <row r="3193" spans="1:27" x14ac:dyDescent="0.2">
      <c r="B3193" s="14" t="s">
        <v>1080</v>
      </c>
      <c r="E3193" s="23"/>
      <c r="H3193" s="23"/>
      <c r="K3193" s="23"/>
    </row>
    <row r="3194" spans="1:27" x14ac:dyDescent="0.2">
      <c r="B3194" t="s">
        <v>2220</v>
      </c>
      <c r="C3194" t="s">
        <v>23</v>
      </c>
      <c r="D3194" t="s">
        <v>2219</v>
      </c>
      <c r="E3194" s="20">
        <v>0.65</v>
      </c>
      <c r="G3194" t="s">
        <v>1073</v>
      </c>
      <c r="H3194" s="21">
        <v>169.46</v>
      </c>
      <c r="I3194" t="s">
        <v>1074</v>
      </c>
      <c r="J3194" s="22">
        <f>ROUND(E3194* H3194,5)</f>
        <v>110.149</v>
      </c>
      <c r="K3194" s="23"/>
    </row>
    <row r="3195" spans="1:27" x14ac:dyDescent="0.2">
      <c r="D3195" s="24" t="s">
        <v>1090</v>
      </c>
      <c r="E3195" s="23"/>
      <c r="H3195" s="23"/>
      <c r="K3195" s="21">
        <f>SUM(J3194:J3194)</f>
        <v>110.149</v>
      </c>
    </row>
    <row r="3196" spans="1:27" x14ac:dyDescent="0.2">
      <c r="E3196" s="23"/>
      <c r="H3196" s="23"/>
      <c r="K3196" s="23"/>
    </row>
    <row r="3197" spans="1:27" x14ac:dyDescent="0.2">
      <c r="D3197" s="24" t="s">
        <v>1092</v>
      </c>
      <c r="E3197" s="23"/>
      <c r="H3197" s="23">
        <v>1.5</v>
      </c>
      <c r="I3197" t="s">
        <v>1093</v>
      </c>
      <c r="J3197">
        <f>ROUND(H3197/100*K3192,5)</f>
        <v>0.21184</v>
      </c>
      <c r="K3197" s="23"/>
    </row>
    <row r="3198" spans="1:27" x14ac:dyDescent="0.2">
      <c r="D3198" s="24" t="s">
        <v>1091</v>
      </c>
      <c r="E3198" s="23"/>
      <c r="H3198" s="23"/>
      <c r="K3198" s="25">
        <f>SUM(J3189:J3197)</f>
        <v>124.48334</v>
      </c>
    </row>
    <row r="3199" spans="1:27" x14ac:dyDescent="0.2">
      <c r="D3199" s="24" t="s">
        <v>1142</v>
      </c>
      <c r="E3199" s="23"/>
      <c r="H3199" s="23">
        <v>8</v>
      </c>
      <c r="I3199" t="s">
        <v>1093</v>
      </c>
      <c r="K3199" s="21">
        <f>ROUND(H3199/100*K3198,5)</f>
        <v>9.9586699999999997</v>
      </c>
    </row>
    <row r="3200" spans="1:27" x14ac:dyDescent="0.2">
      <c r="D3200" s="24" t="s">
        <v>1094</v>
      </c>
      <c r="E3200" s="23"/>
      <c r="H3200" s="23"/>
      <c r="K3200" s="25">
        <f>SUM(K3198:K3199)</f>
        <v>134.44201000000001</v>
      </c>
    </row>
    <row r="3202" spans="1:27" ht="45" customHeight="1" x14ac:dyDescent="0.2">
      <c r="A3202" s="17" t="s">
        <v>2257</v>
      </c>
      <c r="B3202" s="17" t="s">
        <v>690</v>
      </c>
      <c r="C3202" s="1" t="s">
        <v>23</v>
      </c>
      <c r="D3202" s="96" t="s">
        <v>691</v>
      </c>
      <c r="E3202" s="97"/>
      <c r="F3202" s="97"/>
      <c r="G3202" s="1"/>
      <c r="H3202" s="18" t="s">
        <v>1066</v>
      </c>
      <c r="I3202" s="98">
        <v>1</v>
      </c>
      <c r="J3202" s="99"/>
      <c r="K3202" s="19">
        <f>ROUND(K3214,2)</f>
        <v>169.78</v>
      </c>
      <c r="L3202" s="2" t="s">
        <v>2222</v>
      </c>
      <c r="M3202" s="1"/>
      <c r="N3202" s="1"/>
      <c r="O3202" s="1"/>
      <c r="P3202" s="1"/>
      <c r="Q3202" s="1"/>
      <c r="R3202" s="1"/>
      <c r="S3202" s="1"/>
      <c r="T3202" s="1"/>
      <c r="U3202" s="1"/>
      <c r="V3202" s="1"/>
      <c r="W3202" s="1"/>
      <c r="X3202" s="1"/>
      <c r="Y3202" s="1"/>
      <c r="Z3202" s="1"/>
      <c r="AA3202" s="1"/>
    </row>
    <row r="3203" spans="1:27" x14ac:dyDescent="0.2">
      <c r="B3203" s="14" t="s">
        <v>1068</v>
      </c>
    </row>
    <row r="3204" spans="1:27" x14ac:dyDescent="0.2">
      <c r="B3204" t="s">
        <v>2161</v>
      </c>
      <c r="C3204" t="s">
        <v>1070</v>
      </c>
      <c r="D3204" t="s">
        <v>2162</v>
      </c>
      <c r="E3204" s="20">
        <v>0.25</v>
      </c>
      <c r="F3204" t="s">
        <v>1072</v>
      </c>
      <c r="G3204" t="s">
        <v>1073</v>
      </c>
      <c r="H3204" s="21">
        <v>30.41</v>
      </c>
      <c r="I3204" t="s">
        <v>1074</v>
      </c>
      <c r="J3204" s="22">
        <f>ROUND(E3204/I3202* H3204,5)</f>
        <v>7.6025</v>
      </c>
      <c r="K3204" s="23"/>
    </row>
    <row r="3205" spans="1:27" x14ac:dyDescent="0.2">
      <c r="B3205" t="s">
        <v>2163</v>
      </c>
      <c r="C3205" t="s">
        <v>1070</v>
      </c>
      <c r="D3205" t="s">
        <v>2164</v>
      </c>
      <c r="E3205" s="20">
        <v>0.25</v>
      </c>
      <c r="F3205" t="s">
        <v>1072</v>
      </c>
      <c r="G3205" t="s">
        <v>1073</v>
      </c>
      <c r="H3205" s="21">
        <v>26.08</v>
      </c>
      <c r="I3205" t="s">
        <v>1074</v>
      </c>
      <c r="J3205" s="22">
        <f>ROUND(E3205/I3202* H3205,5)</f>
        <v>6.52</v>
      </c>
      <c r="K3205" s="23"/>
    </row>
    <row r="3206" spans="1:27" x14ac:dyDescent="0.2">
      <c r="D3206" s="24" t="s">
        <v>1075</v>
      </c>
      <c r="E3206" s="23"/>
      <c r="H3206" s="23"/>
      <c r="K3206" s="21">
        <f>SUM(J3204:J3205)</f>
        <v>14.122499999999999</v>
      </c>
    </row>
    <row r="3207" spans="1:27" x14ac:dyDescent="0.2">
      <c r="B3207" s="14" t="s">
        <v>1080</v>
      </c>
      <c r="E3207" s="23"/>
      <c r="H3207" s="23"/>
      <c r="K3207" s="23"/>
    </row>
    <row r="3208" spans="1:27" x14ac:dyDescent="0.2">
      <c r="B3208" t="s">
        <v>2223</v>
      </c>
      <c r="C3208" t="s">
        <v>23</v>
      </c>
      <c r="D3208" t="s">
        <v>2224</v>
      </c>
      <c r="E3208" s="20">
        <v>0.65</v>
      </c>
      <c r="G3208" t="s">
        <v>1073</v>
      </c>
      <c r="H3208" s="21">
        <v>219.8</v>
      </c>
      <c r="I3208" t="s">
        <v>1074</v>
      </c>
      <c r="J3208" s="22">
        <f>ROUND(E3208* H3208,5)</f>
        <v>142.87</v>
      </c>
      <c r="K3208" s="23"/>
    </row>
    <row r="3209" spans="1:27" x14ac:dyDescent="0.2">
      <c r="D3209" s="24" t="s">
        <v>1090</v>
      </c>
      <c r="E3209" s="23"/>
      <c r="H3209" s="23"/>
      <c r="K3209" s="21">
        <f>SUM(J3208:J3208)</f>
        <v>142.87</v>
      </c>
    </row>
    <row r="3210" spans="1:27" x14ac:dyDescent="0.2">
      <c r="E3210" s="23"/>
      <c r="H3210" s="23"/>
      <c r="K3210" s="23"/>
    </row>
    <row r="3211" spans="1:27" x14ac:dyDescent="0.2">
      <c r="D3211" s="24" t="s">
        <v>1092</v>
      </c>
      <c r="E3211" s="23"/>
      <c r="H3211" s="23">
        <v>1.5</v>
      </c>
      <c r="I3211" t="s">
        <v>1093</v>
      </c>
      <c r="J3211">
        <f>ROUND(H3211/100*K3206,5)</f>
        <v>0.21184</v>
      </c>
      <c r="K3211" s="23"/>
    </row>
    <row r="3212" spans="1:27" x14ac:dyDescent="0.2">
      <c r="D3212" s="24" t="s">
        <v>1091</v>
      </c>
      <c r="E3212" s="23"/>
      <c r="H3212" s="23"/>
      <c r="K3212" s="25">
        <f>SUM(J3203:J3211)</f>
        <v>157.20434</v>
      </c>
    </row>
    <row r="3213" spans="1:27" x14ac:dyDescent="0.2">
      <c r="D3213" s="24" t="s">
        <v>1142</v>
      </c>
      <c r="E3213" s="23"/>
      <c r="H3213" s="23">
        <v>8</v>
      </c>
      <c r="I3213" t="s">
        <v>1093</v>
      </c>
      <c r="K3213" s="21">
        <f>ROUND(H3213/100*K3212,5)</f>
        <v>12.57635</v>
      </c>
    </row>
    <row r="3214" spans="1:27" x14ac:dyDescent="0.2">
      <c r="D3214" s="24" t="s">
        <v>1094</v>
      </c>
      <c r="E3214" s="23"/>
      <c r="H3214" s="23"/>
      <c r="K3214" s="25">
        <f>SUM(K3212:K3213)</f>
        <v>169.78068999999999</v>
      </c>
    </row>
    <row r="3216" spans="1:27" ht="45" customHeight="1" x14ac:dyDescent="0.2">
      <c r="A3216" s="17" t="s">
        <v>2260</v>
      </c>
      <c r="B3216" s="17" t="s">
        <v>702</v>
      </c>
      <c r="C3216" s="1" t="s">
        <v>36</v>
      </c>
      <c r="D3216" s="96" t="s">
        <v>703</v>
      </c>
      <c r="E3216" s="97"/>
      <c r="F3216" s="97"/>
      <c r="G3216" s="1"/>
      <c r="H3216" s="18" t="s">
        <v>1066</v>
      </c>
      <c r="I3216" s="98">
        <v>1</v>
      </c>
      <c r="J3216" s="99"/>
      <c r="K3216" s="19">
        <f>ROUND(K3228,2)</f>
        <v>1.72</v>
      </c>
      <c r="L3216" s="2" t="s">
        <v>2226</v>
      </c>
      <c r="M3216" s="1"/>
      <c r="N3216" s="1"/>
      <c r="O3216" s="1"/>
      <c r="P3216" s="1"/>
      <c r="Q3216" s="1"/>
      <c r="R3216" s="1"/>
      <c r="S3216" s="1"/>
      <c r="T3216" s="1"/>
      <c r="U3216" s="1"/>
      <c r="V3216" s="1"/>
      <c r="W3216" s="1"/>
      <c r="X3216" s="1"/>
      <c r="Y3216" s="1"/>
      <c r="Z3216" s="1"/>
      <c r="AA3216" s="1"/>
    </row>
    <row r="3217" spans="1:27" x14ac:dyDescent="0.2">
      <c r="B3217" s="14" t="s">
        <v>1068</v>
      </c>
    </row>
    <row r="3218" spans="1:27" x14ac:dyDescent="0.2">
      <c r="B3218" t="s">
        <v>2161</v>
      </c>
      <c r="C3218" t="s">
        <v>1070</v>
      </c>
      <c r="D3218" t="s">
        <v>2162</v>
      </c>
      <c r="E3218" s="20">
        <v>5.0000000000000001E-3</v>
      </c>
      <c r="F3218" t="s">
        <v>1072</v>
      </c>
      <c r="G3218" t="s">
        <v>1073</v>
      </c>
      <c r="H3218" s="21">
        <v>30.41</v>
      </c>
      <c r="I3218" t="s">
        <v>1074</v>
      </c>
      <c r="J3218" s="22">
        <f>ROUND(E3218/I3216* H3218,5)</f>
        <v>0.15204999999999999</v>
      </c>
      <c r="K3218" s="23"/>
    </row>
    <row r="3219" spans="1:27" x14ac:dyDescent="0.2">
      <c r="B3219" t="s">
        <v>2163</v>
      </c>
      <c r="C3219" t="s">
        <v>1070</v>
      </c>
      <c r="D3219" t="s">
        <v>2164</v>
      </c>
      <c r="E3219" s="20">
        <v>5.0000000000000001E-3</v>
      </c>
      <c r="F3219" t="s">
        <v>1072</v>
      </c>
      <c r="G3219" t="s">
        <v>1073</v>
      </c>
      <c r="H3219" s="21">
        <v>26.08</v>
      </c>
      <c r="I3219" t="s">
        <v>1074</v>
      </c>
      <c r="J3219" s="22">
        <f>ROUND(E3219/I3216* H3219,5)</f>
        <v>0.13039999999999999</v>
      </c>
      <c r="K3219" s="23"/>
    </row>
    <row r="3220" spans="1:27" x14ac:dyDescent="0.2">
      <c r="D3220" s="24" t="s">
        <v>1075</v>
      </c>
      <c r="E3220" s="23"/>
      <c r="H3220" s="23"/>
      <c r="K3220" s="21">
        <f>SUM(J3218:J3219)</f>
        <v>0.28244999999999998</v>
      </c>
    </row>
    <row r="3221" spans="1:27" x14ac:dyDescent="0.2">
      <c r="B3221" s="14" t="s">
        <v>1080</v>
      </c>
      <c r="E3221" s="23"/>
      <c r="H3221" s="23"/>
      <c r="K3221" s="23"/>
    </row>
    <row r="3222" spans="1:27" x14ac:dyDescent="0.2">
      <c r="B3222" t="s">
        <v>2227</v>
      </c>
      <c r="C3222" t="s">
        <v>23</v>
      </c>
      <c r="D3222" t="s">
        <v>2226</v>
      </c>
      <c r="E3222" s="20">
        <v>0.65</v>
      </c>
      <c r="G3222" t="s">
        <v>1073</v>
      </c>
      <c r="H3222" s="21">
        <v>2.0099999999999998</v>
      </c>
      <c r="I3222" t="s">
        <v>1074</v>
      </c>
      <c r="J3222" s="22">
        <f>ROUND(E3222* H3222,5)</f>
        <v>1.3065</v>
      </c>
      <c r="K3222" s="23"/>
    </row>
    <row r="3223" spans="1:27" x14ac:dyDescent="0.2">
      <c r="D3223" s="24" t="s">
        <v>1090</v>
      </c>
      <c r="E3223" s="23"/>
      <c r="H3223" s="23"/>
      <c r="K3223" s="21">
        <f>SUM(J3222:J3222)</f>
        <v>1.3065</v>
      </c>
    </row>
    <row r="3224" spans="1:27" x14ac:dyDescent="0.2">
      <c r="E3224" s="23"/>
      <c r="H3224" s="23"/>
      <c r="K3224" s="23"/>
    </row>
    <row r="3225" spans="1:27" x14ac:dyDescent="0.2">
      <c r="D3225" s="24" t="s">
        <v>1092</v>
      </c>
      <c r="E3225" s="23"/>
      <c r="H3225" s="23">
        <v>1.5</v>
      </c>
      <c r="I3225" t="s">
        <v>1093</v>
      </c>
      <c r="J3225">
        <f>ROUND(H3225/100*K3220,5)</f>
        <v>4.2399999999999998E-3</v>
      </c>
      <c r="K3225" s="23"/>
    </row>
    <row r="3226" spans="1:27" x14ac:dyDescent="0.2">
      <c r="D3226" s="24" t="s">
        <v>1091</v>
      </c>
      <c r="E3226" s="23"/>
      <c r="H3226" s="23"/>
      <c r="K3226" s="25">
        <f>SUM(J3217:J3225)</f>
        <v>1.5931900000000001</v>
      </c>
    </row>
    <row r="3227" spans="1:27" x14ac:dyDescent="0.2">
      <c r="D3227" s="24" t="s">
        <v>1142</v>
      </c>
      <c r="E3227" s="23"/>
      <c r="H3227" s="23">
        <v>8</v>
      </c>
      <c r="I3227" t="s">
        <v>1093</v>
      </c>
      <c r="K3227" s="21">
        <f>ROUND(H3227/100*K3226,5)</f>
        <v>0.12745999999999999</v>
      </c>
    </row>
    <row r="3228" spans="1:27" x14ac:dyDescent="0.2">
      <c r="D3228" s="24" t="s">
        <v>1094</v>
      </c>
      <c r="E3228" s="23"/>
      <c r="H3228" s="23"/>
      <c r="K3228" s="25">
        <f>SUM(K3226:K3227)</f>
        <v>1.72065</v>
      </c>
    </row>
    <row r="3230" spans="1:27" ht="45" customHeight="1" x14ac:dyDescent="0.2">
      <c r="A3230" s="17" t="s">
        <v>2266</v>
      </c>
      <c r="B3230" s="17" t="s">
        <v>698</v>
      </c>
      <c r="C3230" s="1" t="s">
        <v>36</v>
      </c>
      <c r="D3230" s="96" t="s">
        <v>699</v>
      </c>
      <c r="E3230" s="97"/>
      <c r="F3230" s="97"/>
      <c r="G3230" s="1"/>
      <c r="H3230" s="18" t="s">
        <v>1066</v>
      </c>
      <c r="I3230" s="98">
        <v>1</v>
      </c>
      <c r="J3230" s="99"/>
      <c r="K3230" s="19">
        <f>ROUND(K3242,2)</f>
        <v>2.93</v>
      </c>
      <c r="L3230" s="2" t="s">
        <v>2229</v>
      </c>
      <c r="M3230" s="1"/>
      <c r="N3230" s="1"/>
      <c r="O3230" s="1"/>
      <c r="P3230" s="1"/>
      <c r="Q3230" s="1"/>
      <c r="R3230" s="1"/>
      <c r="S3230" s="1"/>
      <c r="T3230" s="1"/>
      <c r="U3230" s="1"/>
      <c r="V3230" s="1"/>
      <c r="W3230" s="1"/>
      <c r="X3230" s="1"/>
      <c r="Y3230" s="1"/>
      <c r="Z3230" s="1"/>
      <c r="AA3230" s="1"/>
    </row>
    <row r="3231" spans="1:27" x14ac:dyDescent="0.2">
      <c r="B3231" s="14" t="s">
        <v>1068</v>
      </c>
    </row>
    <row r="3232" spans="1:27" x14ac:dyDescent="0.2">
      <c r="B3232" t="s">
        <v>2163</v>
      </c>
      <c r="C3232" t="s">
        <v>1070</v>
      </c>
      <c r="D3232" t="s">
        <v>2164</v>
      </c>
      <c r="E3232" s="20">
        <v>2.5000000000000001E-2</v>
      </c>
      <c r="F3232" t="s">
        <v>1072</v>
      </c>
      <c r="G3232" t="s">
        <v>1073</v>
      </c>
      <c r="H3232" s="21">
        <v>26.08</v>
      </c>
      <c r="I3232" t="s">
        <v>1074</v>
      </c>
      <c r="J3232" s="22">
        <f>ROUND(E3232/I3230* H3232,5)</f>
        <v>0.65200000000000002</v>
      </c>
      <c r="K3232" s="23"/>
    </row>
    <row r="3233" spans="1:27" x14ac:dyDescent="0.2">
      <c r="B3233" t="s">
        <v>2161</v>
      </c>
      <c r="C3233" t="s">
        <v>1070</v>
      </c>
      <c r="D3233" t="s">
        <v>2162</v>
      </c>
      <c r="E3233" s="20">
        <v>2.5000000000000001E-2</v>
      </c>
      <c r="F3233" t="s">
        <v>1072</v>
      </c>
      <c r="G3233" t="s">
        <v>1073</v>
      </c>
      <c r="H3233" s="21">
        <v>30.41</v>
      </c>
      <c r="I3233" t="s">
        <v>1074</v>
      </c>
      <c r="J3233" s="22">
        <f>ROUND(E3233/I3230* H3233,5)</f>
        <v>0.76024999999999998</v>
      </c>
      <c r="K3233" s="23"/>
    </row>
    <row r="3234" spans="1:27" x14ac:dyDescent="0.2">
      <c r="D3234" s="24" t="s">
        <v>1075</v>
      </c>
      <c r="E3234" s="23"/>
      <c r="H3234" s="23"/>
      <c r="K3234" s="21">
        <f>SUM(J3232:J3233)</f>
        <v>1.41225</v>
      </c>
    </row>
    <row r="3235" spans="1:27" x14ac:dyDescent="0.2">
      <c r="B3235" s="14" t="s">
        <v>1080</v>
      </c>
      <c r="E3235" s="23"/>
      <c r="H3235" s="23"/>
      <c r="K3235" s="23"/>
    </row>
    <row r="3236" spans="1:27" x14ac:dyDescent="0.2">
      <c r="B3236" t="s">
        <v>2230</v>
      </c>
      <c r="C3236" t="s">
        <v>23</v>
      </c>
      <c r="D3236" t="s">
        <v>2231</v>
      </c>
      <c r="E3236" s="20">
        <v>0.65</v>
      </c>
      <c r="G3236" t="s">
        <v>1073</v>
      </c>
      <c r="H3236" s="21">
        <v>1.97</v>
      </c>
      <c r="I3236" t="s">
        <v>1074</v>
      </c>
      <c r="J3236" s="22">
        <f>ROUND(E3236* H3236,5)</f>
        <v>1.2805</v>
      </c>
      <c r="K3236" s="23"/>
    </row>
    <row r="3237" spans="1:27" x14ac:dyDescent="0.2">
      <c r="D3237" s="24" t="s">
        <v>1090</v>
      </c>
      <c r="E3237" s="23"/>
      <c r="H3237" s="23"/>
      <c r="K3237" s="21">
        <f>SUM(J3236:J3236)</f>
        <v>1.2805</v>
      </c>
    </row>
    <row r="3238" spans="1:27" x14ac:dyDescent="0.2">
      <c r="E3238" s="23"/>
      <c r="H3238" s="23"/>
      <c r="K3238" s="23"/>
    </row>
    <row r="3239" spans="1:27" x14ac:dyDescent="0.2">
      <c r="D3239" s="24" t="s">
        <v>1092</v>
      </c>
      <c r="E3239" s="23"/>
      <c r="H3239" s="23">
        <v>1.5</v>
      </c>
      <c r="I3239" t="s">
        <v>1093</v>
      </c>
      <c r="J3239">
        <f>ROUND(H3239/100*K3234,5)</f>
        <v>2.1180000000000001E-2</v>
      </c>
      <c r="K3239" s="23"/>
    </row>
    <row r="3240" spans="1:27" x14ac:dyDescent="0.2">
      <c r="D3240" s="24" t="s">
        <v>1091</v>
      </c>
      <c r="E3240" s="23"/>
      <c r="H3240" s="23"/>
      <c r="K3240" s="25">
        <f>SUM(J3231:J3239)</f>
        <v>2.7139300000000004</v>
      </c>
    </row>
    <row r="3241" spans="1:27" x14ac:dyDescent="0.2">
      <c r="D3241" s="24" t="s">
        <v>1142</v>
      </c>
      <c r="E3241" s="23"/>
      <c r="H3241" s="23">
        <v>8</v>
      </c>
      <c r="I3241" t="s">
        <v>1093</v>
      </c>
      <c r="K3241" s="21">
        <f>ROUND(H3241/100*K3240,5)</f>
        <v>0.21711</v>
      </c>
    </row>
    <row r="3242" spans="1:27" x14ac:dyDescent="0.2">
      <c r="D3242" s="24" t="s">
        <v>1094</v>
      </c>
      <c r="E3242" s="23"/>
      <c r="H3242" s="23"/>
      <c r="K3242" s="25">
        <f>SUM(K3240:K3241)</f>
        <v>2.9310400000000003</v>
      </c>
    </row>
    <row r="3244" spans="1:27" ht="45" customHeight="1" x14ac:dyDescent="0.2">
      <c r="A3244" s="17" t="s">
        <v>2270</v>
      </c>
      <c r="B3244" s="17" t="s">
        <v>706</v>
      </c>
      <c r="C3244" s="1" t="s">
        <v>23</v>
      </c>
      <c r="D3244" s="96" t="s">
        <v>707</v>
      </c>
      <c r="E3244" s="97"/>
      <c r="F3244" s="97"/>
      <c r="G3244" s="1"/>
      <c r="H3244" s="18" t="s">
        <v>1066</v>
      </c>
      <c r="I3244" s="98">
        <v>1</v>
      </c>
      <c r="J3244" s="99"/>
      <c r="K3244" s="19">
        <f>ROUND(K3250,2)</f>
        <v>0.22</v>
      </c>
      <c r="L3244" s="2" t="s">
        <v>2233</v>
      </c>
      <c r="M3244" s="1"/>
      <c r="N3244" s="1"/>
      <c r="O3244" s="1"/>
      <c r="P3244" s="1"/>
      <c r="Q3244" s="1"/>
      <c r="R3244" s="1"/>
      <c r="S3244" s="1"/>
      <c r="T3244" s="1"/>
      <c r="U3244" s="1"/>
      <c r="V3244" s="1"/>
      <c r="W3244" s="1"/>
      <c r="X3244" s="1"/>
      <c r="Y3244" s="1"/>
      <c r="Z3244" s="1"/>
      <c r="AA3244" s="1"/>
    </row>
    <row r="3245" spans="1:27" x14ac:dyDescent="0.2">
      <c r="B3245" s="14" t="s">
        <v>1080</v>
      </c>
    </row>
    <row r="3246" spans="1:27" x14ac:dyDescent="0.2">
      <c r="B3246" t="s">
        <v>2234</v>
      </c>
      <c r="C3246" t="s">
        <v>23</v>
      </c>
      <c r="D3246" t="s">
        <v>2233</v>
      </c>
      <c r="E3246" s="20">
        <v>0.65</v>
      </c>
      <c r="G3246" t="s">
        <v>1073</v>
      </c>
      <c r="H3246" s="21">
        <v>0.31</v>
      </c>
      <c r="I3246" t="s">
        <v>1074</v>
      </c>
      <c r="J3246" s="22">
        <f>ROUND(E3246* H3246,5)</f>
        <v>0.20150000000000001</v>
      </c>
      <c r="K3246" s="23"/>
    </row>
    <row r="3247" spans="1:27" x14ac:dyDescent="0.2">
      <c r="D3247" s="24" t="s">
        <v>1090</v>
      </c>
      <c r="E3247" s="23"/>
      <c r="H3247" s="23"/>
      <c r="K3247" s="21">
        <f>SUM(J3246:J3246)</f>
        <v>0.20150000000000001</v>
      </c>
    </row>
    <row r="3248" spans="1:27" x14ac:dyDescent="0.2">
      <c r="D3248" s="24" t="s">
        <v>1091</v>
      </c>
      <c r="E3248" s="23"/>
      <c r="H3248" s="23"/>
      <c r="K3248" s="25">
        <f>SUM(J3245:J3247)</f>
        <v>0.20150000000000001</v>
      </c>
    </row>
    <row r="3249" spans="1:27" x14ac:dyDescent="0.2">
      <c r="D3249" s="24" t="s">
        <v>1142</v>
      </c>
      <c r="E3249" s="23"/>
      <c r="H3249" s="23">
        <v>8</v>
      </c>
      <c r="I3249" t="s">
        <v>1093</v>
      </c>
      <c r="K3249" s="21">
        <f>ROUND(H3249/100*K3248,5)</f>
        <v>1.6119999999999999E-2</v>
      </c>
    </row>
    <row r="3250" spans="1:27" x14ac:dyDescent="0.2">
      <c r="D3250" s="24" t="s">
        <v>1094</v>
      </c>
      <c r="E3250" s="23"/>
      <c r="H3250" s="23"/>
      <c r="K3250" s="25">
        <f>SUM(K3248:K3249)</f>
        <v>0.21762000000000001</v>
      </c>
    </row>
    <row r="3252" spans="1:27" ht="45" customHeight="1" x14ac:dyDescent="0.2">
      <c r="A3252" s="17" t="s">
        <v>2275</v>
      </c>
      <c r="B3252" s="17" t="s">
        <v>710</v>
      </c>
      <c r="C3252" s="1" t="s">
        <v>23</v>
      </c>
      <c r="D3252" s="96" t="s">
        <v>711</v>
      </c>
      <c r="E3252" s="97"/>
      <c r="F3252" s="97"/>
      <c r="G3252" s="1"/>
      <c r="H3252" s="18" t="s">
        <v>1066</v>
      </c>
      <c r="I3252" s="98">
        <v>1</v>
      </c>
      <c r="J3252" s="99"/>
      <c r="K3252" s="19">
        <f>ROUND(K3258,2)</f>
        <v>1.35</v>
      </c>
      <c r="L3252" s="2" t="s">
        <v>2236</v>
      </c>
      <c r="M3252" s="1"/>
      <c r="N3252" s="1"/>
      <c r="O3252" s="1"/>
      <c r="P3252" s="1"/>
      <c r="Q3252" s="1"/>
      <c r="R3252" s="1"/>
      <c r="S3252" s="1"/>
      <c r="T3252" s="1"/>
      <c r="U3252" s="1"/>
      <c r="V3252" s="1"/>
      <c r="W3252" s="1"/>
      <c r="X3252" s="1"/>
      <c r="Y3252" s="1"/>
      <c r="Z3252" s="1"/>
      <c r="AA3252" s="1"/>
    </row>
    <row r="3253" spans="1:27" x14ac:dyDescent="0.2">
      <c r="B3253" s="14" t="s">
        <v>1080</v>
      </c>
    </row>
    <row r="3254" spans="1:27" x14ac:dyDescent="0.2">
      <c r="B3254" t="s">
        <v>2237</v>
      </c>
      <c r="C3254" t="s">
        <v>23</v>
      </c>
      <c r="D3254" t="s">
        <v>2236</v>
      </c>
      <c r="E3254" s="20">
        <v>0.65</v>
      </c>
      <c r="G3254" t="s">
        <v>1073</v>
      </c>
      <c r="H3254" s="21">
        <v>1.93</v>
      </c>
      <c r="I3254" t="s">
        <v>1074</v>
      </c>
      <c r="J3254" s="22">
        <f>ROUND(E3254* H3254,5)</f>
        <v>1.2544999999999999</v>
      </c>
      <c r="K3254" s="23"/>
    </row>
    <row r="3255" spans="1:27" x14ac:dyDescent="0.2">
      <c r="D3255" s="24" t="s">
        <v>1090</v>
      </c>
      <c r="E3255" s="23"/>
      <c r="H3255" s="23"/>
      <c r="K3255" s="21">
        <f>SUM(J3254:J3254)</f>
        <v>1.2544999999999999</v>
      </c>
    </row>
    <row r="3256" spans="1:27" x14ac:dyDescent="0.2">
      <c r="D3256" s="24" t="s">
        <v>1091</v>
      </c>
      <c r="E3256" s="23"/>
      <c r="H3256" s="23"/>
      <c r="K3256" s="25">
        <f>SUM(J3253:J3255)</f>
        <v>1.2544999999999999</v>
      </c>
    </row>
    <row r="3257" spans="1:27" x14ac:dyDescent="0.2">
      <c r="D3257" s="24" t="s">
        <v>1142</v>
      </c>
      <c r="E3257" s="23"/>
      <c r="H3257" s="23">
        <v>8</v>
      </c>
      <c r="I3257" t="s">
        <v>1093</v>
      </c>
      <c r="K3257" s="21">
        <f>ROUND(H3257/100*K3256,5)</f>
        <v>0.10036</v>
      </c>
    </row>
    <row r="3258" spans="1:27" x14ac:dyDescent="0.2">
      <c r="D3258" s="24" t="s">
        <v>1094</v>
      </c>
      <c r="E3258" s="23"/>
      <c r="H3258" s="23"/>
      <c r="K3258" s="25">
        <f>SUM(K3256:K3257)</f>
        <v>1.35486</v>
      </c>
    </row>
    <row r="3260" spans="1:27" ht="45" customHeight="1" x14ac:dyDescent="0.2">
      <c r="A3260" s="17" t="s">
        <v>2280</v>
      </c>
      <c r="B3260" s="17" t="s">
        <v>708</v>
      </c>
      <c r="C3260" s="1" t="s">
        <v>36</v>
      </c>
      <c r="D3260" s="96" t="s">
        <v>709</v>
      </c>
      <c r="E3260" s="97"/>
      <c r="F3260" s="97"/>
      <c r="G3260" s="1"/>
      <c r="H3260" s="18" t="s">
        <v>1066</v>
      </c>
      <c r="I3260" s="98">
        <v>1</v>
      </c>
      <c r="J3260" s="99"/>
      <c r="K3260" s="19">
        <f>ROUND(K3272,2)</f>
        <v>8.4700000000000006</v>
      </c>
      <c r="L3260" s="2" t="s">
        <v>2239</v>
      </c>
      <c r="M3260" s="1"/>
      <c r="N3260" s="1"/>
      <c r="O3260" s="1"/>
      <c r="P3260" s="1"/>
      <c r="Q3260" s="1"/>
      <c r="R3260" s="1"/>
      <c r="S3260" s="1"/>
      <c r="T3260" s="1"/>
      <c r="U3260" s="1"/>
      <c r="V3260" s="1"/>
      <c r="W3260" s="1"/>
      <c r="X3260" s="1"/>
      <c r="Y3260" s="1"/>
      <c r="Z3260" s="1"/>
      <c r="AA3260" s="1"/>
    </row>
    <row r="3261" spans="1:27" x14ac:dyDescent="0.2">
      <c r="B3261" s="14" t="s">
        <v>1068</v>
      </c>
    </row>
    <row r="3262" spans="1:27" x14ac:dyDescent="0.2">
      <c r="B3262" t="s">
        <v>2161</v>
      </c>
      <c r="C3262" t="s">
        <v>1070</v>
      </c>
      <c r="D3262" t="s">
        <v>2162</v>
      </c>
      <c r="E3262" s="20">
        <v>5.0000000000000001E-3</v>
      </c>
      <c r="F3262" t="s">
        <v>1072</v>
      </c>
      <c r="G3262" t="s">
        <v>1073</v>
      </c>
      <c r="H3262" s="21">
        <v>30.41</v>
      </c>
      <c r="I3262" t="s">
        <v>1074</v>
      </c>
      <c r="J3262" s="22">
        <f>ROUND(E3262/I3260* H3262,5)</f>
        <v>0.15204999999999999</v>
      </c>
      <c r="K3262" s="23"/>
    </row>
    <row r="3263" spans="1:27" x14ac:dyDescent="0.2">
      <c r="B3263" t="s">
        <v>2163</v>
      </c>
      <c r="C3263" t="s">
        <v>1070</v>
      </c>
      <c r="D3263" t="s">
        <v>2164</v>
      </c>
      <c r="E3263" s="20">
        <v>5.0000000000000001E-3</v>
      </c>
      <c r="F3263" t="s">
        <v>1072</v>
      </c>
      <c r="G3263" t="s">
        <v>1073</v>
      </c>
      <c r="H3263" s="21">
        <v>26.08</v>
      </c>
      <c r="I3263" t="s">
        <v>1074</v>
      </c>
      <c r="J3263" s="22">
        <f>ROUND(E3263/I3260* H3263,5)</f>
        <v>0.13039999999999999</v>
      </c>
      <c r="K3263" s="23"/>
    </row>
    <row r="3264" spans="1:27" x14ac:dyDescent="0.2">
      <c r="D3264" s="24" t="s">
        <v>1075</v>
      </c>
      <c r="E3264" s="23"/>
      <c r="H3264" s="23"/>
      <c r="K3264" s="21">
        <f>SUM(J3262:J3263)</f>
        <v>0.28244999999999998</v>
      </c>
    </row>
    <row r="3265" spans="1:27" x14ac:dyDescent="0.2">
      <c r="B3265" s="14" t="s">
        <v>1080</v>
      </c>
      <c r="E3265" s="23"/>
      <c r="H3265" s="23"/>
      <c r="K3265" s="23"/>
    </row>
    <row r="3266" spans="1:27" x14ac:dyDescent="0.2">
      <c r="B3266" t="s">
        <v>2240</v>
      </c>
      <c r="C3266" t="s">
        <v>36</v>
      </c>
      <c r="D3266" t="s">
        <v>2239</v>
      </c>
      <c r="E3266" s="20">
        <v>0.65</v>
      </c>
      <c r="G3266" t="s">
        <v>1073</v>
      </c>
      <c r="H3266" s="21">
        <v>11.62</v>
      </c>
      <c r="I3266" t="s">
        <v>1074</v>
      </c>
      <c r="J3266" s="22">
        <f>ROUND(E3266* H3266,5)</f>
        <v>7.5529999999999999</v>
      </c>
      <c r="K3266" s="23"/>
    </row>
    <row r="3267" spans="1:27" x14ac:dyDescent="0.2">
      <c r="D3267" s="24" t="s">
        <v>1090</v>
      </c>
      <c r="E3267" s="23"/>
      <c r="H3267" s="23"/>
      <c r="K3267" s="21">
        <f>SUM(J3266:J3266)</f>
        <v>7.5529999999999999</v>
      </c>
    </row>
    <row r="3268" spans="1:27" x14ac:dyDescent="0.2">
      <c r="E3268" s="23"/>
      <c r="H3268" s="23"/>
      <c r="K3268" s="23"/>
    </row>
    <row r="3269" spans="1:27" x14ac:dyDescent="0.2">
      <c r="D3269" s="24" t="s">
        <v>1092</v>
      </c>
      <c r="E3269" s="23"/>
      <c r="H3269" s="23">
        <v>1.5</v>
      </c>
      <c r="I3269" t="s">
        <v>1093</v>
      </c>
      <c r="J3269">
        <f>ROUND(H3269/100*K3264,5)</f>
        <v>4.2399999999999998E-3</v>
      </c>
      <c r="K3269" s="23"/>
    </row>
    <row r="3270" spans="1:27" x14ac:dyDescent="0.2">
      <c r="D3270" s="24" t="s">
        <v>1091</v>
      </c>
      <c r="E3270" s="23"/>
      <c r="H3270" s="23"/>
      <c r="K3270" s="25">
        <f>SUM(J3261:J3269)</f>
        <v>7.83969</v>
      </c>
    </row>
    <row r="3271" spans="1:27" x14ac:dyDescent="0.2">
      <c r="D3271" s="24" t="s">
        <v>1142</v>
      </c>
      <c r="E3271" s="23"/>
      <c r="H3271" s="23">
        <v>8</v>
      </c>
      <c r="I3271" t="s">
        <v>1093</v>
      </c>
      <c r="K3271" s="21">
        <f>ROUND(H3271/100*K3270,5)</f>
        <v>0.62717999999999996</v>
      </c>
    </row>
    <row r="3272" spans="1:27" x14ac:dyDescent="0.2">
      <c r="D3272" s="24" t="s">
        <v>1094</v>
      </c>
      <c r="E3272" s="23"/>
      <c r="H3272" s="23"/>
      <c r="K3272" s="25">
        <f>SUM(K3270:K3271)</f>
        <v>8.4668700000000001</v>
      </c>
    </row>
    <row r="3274" spans="1:27" ht="45" customHeight="1" x14ac:dyDescent="0.2">
      <c r="A3274" s="17" t="s">
        <v>2283</v>
      </c>
      <c r="B3274" s="17" t="s">
        <v>700</v>
      </c>
      <c r="C3274" s="1" t="s">
        <v>36</v>
      </c>
      <c r="D3274" s="96" t="s">
        <v>701</v>
      </c>
      <c r="E3274" s="97"/>
      <c r="F3274" s="97"/>
      <c r="G3274" s="1"/>
      <c r="H3274" s="18" t="s">
        <v>1066</v>
      </c>
      <c r="I3274" s="98">
        <v>1</v>
      </c>
      <c r="J3274" s="99"/>
      <c r="K3274" s="19">
        <f>ROUND(K3286,2)</f>
        <v>7.51</v>
      </c>
      <c r="L3274" s="2" t="s">
        <v>2242</v>
      </c>
      <c r="M3274" s="1"/>
      <c r="N3274" s="1"/>
      <c r="O3274" s="1"/>
      <c r="P3274" s="1"/>
      <c r="Q3274" s="1"/>
      <c r="R3274" s="1"/>
      <c r="S3274" s="1"/>
      <c r="T3274" s="1"/>
      <c r="U3274" s="1"/>
      <c r="V3274" s="1"/>
      <c r="W3274" s="1"/>
      <c r="X3274" s="1"/>
      <c r="Y3274" s="1"/>
      <c r="Z3274" s="1"/>
      <c r="AA3274" s="1"/>
    </row>
    <row r="3275" spans="1:27" x14ac:dyDescent="0.2">
      <c r="B3275" s="14" t="s">
        <v>1068</v>
      </c>
    </row>
    <row r="3276" spans="1:27" x14ac:dyDescent="0.2">
      <c r="B3276" t="s">
        <v>2163</v>
      </c>
      <c r="C3276" t="s">
        <v>1070</v>
      </c>
      <c r="D3276" t="s">
        <v>2164</v>
      </c>
      <c r="E3276" s="20">
        <v>0.1</v>
      </c>
      <c r="F3276" t="s">
        <v>1072</v>
      </c>
      <c r="G3276" t="s">
        <v>1073</v>
      </c>
      <c r="H3276" s="21">
        <v>26.08</v>
      </c>
      <c r="I3276" t="s">
        <v>1074</v>
      </c>
      <c r="J3276" s="22">
        <f>ROUND(E3276/I3274* H3276,5)</f>
        <v>2.6080000000000001</v>
      </c>
      <c r="K3276" s="23"/>
    </row>
    <row r="3277" spans="1:27" x14ac:dyDescent="0.2">
      <c r="B3277" t="s">
        <v>2161</v>
      </c>
      <c r="C3277" t="s">
        <v>1070</v>
      </c>
      <c r="D3277" t="s">
        <v>2162</v>
      </c>
      <c r="E3277" s="20">
        <v>0.1</v>
      </c>
      <c r="F3277" t="s">
        <v>1072</v>
      </c>
      <c r="G3277" t="s">
        <v>1073</v>
      </c>
      <c r="H3277" s="21">
        <v>30.41</v>
      </c>
      <c r="I3277" t="s">
        <v>1074</v>
      </c>
      <c r="J3277" s="22">
        <f>ROUND(E3277/I3274* H3277,5)</f>
        <v>3.0409999999999999</v>
      </c>
      <c r="K3277" s="23"/>
    </row>
    <row r="3278" spans="1:27" x14ac:dyDescent="0.2">
      <c r="D3278" s="24" t="s">
        <v>1075</v>
      </c>
      <c r="E3278" s="23"/>
      <c r="H3278" s="23"/>
      <c r="K3278" s="21">
        <f>SUM(J3276:J3277)</f>
        <v>5.649</v>
      </c>
    </row>
    <row r="3279" spans="1:27" x14ac:dyDescent="0.2">
      <c r="B3279" s="14" t="s">
        <v>1080</v>
      </c>
      <c r="E3279" s="23"/>
      <c r="H3279" s="23"/>
      <c r="K3279" s="23"/>
    </row>
    <row r="3280" spans="1:27" x14ac:dyDescent="0.2">
      <c r="B3280" t="s">
        <v>2243</v>
      </c>
      <c r="C3280" t="s">
        <v>23</v>
      </c>
      <c r="D3280" t="s">
        <v>2244</v>
      </c>
      <c r="E3280" s="20">
        <v>0.65</v>
      </c>
      <c r="G3280" t="s">
        <v>1073</v>
      </c>
      <c r="H3280" s="21">
        <v>1.88</v>
      </c>
      <c r="I3280" t="s">
        <v>1074</v>
      </c>
      <c r="J3280" s="22">
        <f>ROUND(E3280* H3280,5)</f>
        <v>1.222</v>
      </c>
      <c r="K3280" s="23"/>
    </row>
    <row r="3281" spans="1:27" x14ac:dyDescent="0.2">
      <c r="D3281" s="24" t="s">
        <v>1090</v>
      </c>
      <c r="E3281" s="23"/>
      <c r="H3281" s="23"/>
      <c r="K3281" s="21">
        <f>SUM(J3280:J3280)</f>
        <v>1.222</v>
      </c>
    </row>
    <row r="3282" spans="1:27" x14ac:dyDescent="0.2">
      <c r="E3282" s="23"/>
      <c r="H3282" s="23"/>
      <c r="K3282" s="23"/>
    </row>
    <row r="3283" spans="1:27" x14ac:dyDescent="0.2">
      <c r="D3283" s="24" t="s">
        <v>1092</v>
      </c>
      <c r="E3283" s="23"/>
      <c r="H3283" s="23">
        <v>1.5</v>
      </c>
      <c r="I3283" t="s">
        <v>1093</v>
      </c>
      <c r="J3283">
        <f>ROUND(H3283/100*K3278,5)</f>
        <v>8.4739999999999996E-2</v>
      </c>
      <c r="K3283" s="23"/>
    </row>
    <row r="3284" spans="1:27" x14ac:dyDescent="0.2">
      <c r="D3284" s="24" t="s">
        <v>1091</v>
      </c>
      <c r="E3284" s="23"/>
      <c r="H3284" s="23"/>
      <c r="K3284" s="25">
        <f>SUM(J3275:J3283)</f>
        <v>6.9557400000000005</v>
      </c>
    </row>
    <row r="3285" spans="1:27" x14ac:dyDescent="0.2">
      <c r="D3285" s="24" t="s">
        <v>1142</v>
      </c>
      <c r="E3285" s="23"/>
      <c r="H3285" s="23">
        <v>8</v>
      </c>
      <c r="I3285" t="s">
        <v>1093</v>
      </c>
      <c r="K3285" s="21">
        <f>ROUND(H3285/100*K3284,5)</f>
        <v>0.55645999999999995</v>
      </c>
    </row>
    <row r="3286" spans="1:27" x14ac:dyDescent="0.2">
      <c r="D3286" s="24" t="s">
        <v>1094</v>
      </c>
      <c r="E3286" s="23"/>
      <c r="H3286" s="23"/>
      <c r="K3286" s="25">
        <f>SUM(K3284:K3285)</f>
        <v>7.5122</v>
      </c>
    </row>
    <row r="3288" spans="1:27" ht="45" customHeight="1" x14ac:dyDescent="0.2">
      <c r="A3288" s="17" t="s">
        <v>2287</v>
      </c>
      <c r="B3288" s="17" t="s">
        <v>947</v>
      </c>
      <c r="C3288" s="1" t="s">
        <v>23</v>
      </c>
      <c r="D3288" s="96" t="s">
        <v>948</v>
      </c>
      <c r="E3288" s="97"/>
      <c r="F3288" s="97"/>
      <c r="G3288" s="1"/>
      <c r="H3288" s="18" t="s">
        <v>1066</v>
      </c>
      <c r="I3288" s="98">
        <v>1</v>
      </c>
      <c r="J3288" s="99"/>
      <c r="K3288" s="19">
        <f>ROUND(K3300,2)</f>
        <v>30.77</v>
      </c>
      <c r="L3288" s="2" t="s">
        <v>2246</v>
      </c>
      <c r="M3288" s="1"/>
      <c r="N3288" s="1"/>
      <c r="O3288" s="1"/>
      <c r="P3288" s="1"/>
      <c r="Q3288" s="1"/>
      <c r="R3288" s="1"/>
      <c r="S3288" s="1"/>
      <c r="T3288" s="1"/>
      <c r="U3288" s="1"/>
      <c r="V3288" s="1"/>
      <c r="W3288" s="1"/>
      <c r="X3288" s="1"/>
      <c r="Y3288" s="1"/>
      <c r="Z3288" s="1"/>
      <c r="AA3288" s="1"/>
    </row>
    <row r="3289" spans="1:27" x14ac:dyDescent="0.2">
      <c r="B3289" s="14" t="s">
        <v>1068</v>
      </c>
    </row>
    <row r="3290" spans="1:27" x14ac:dyDescent="0.2">
      <c r="B3290" t="s">
        <v>1138</v>
      </c>
      <c r="C3290" t="s">
        <v>1070</v>
      </c>
      <c r="D3290" t="s">
        <v>1139</v>
      </c>
      <c r="E3290" s="20">
        <v>0.1</v>
      </c>
      <c r="F3290" t="s">
        <v>1072</v>
      </c>
      <c r="G3290" t="s">
        <v>1073</v>
      </c>
      <c r="H3290" s="21">
        <v>26.12</v>
      </c>
      <c r="I3290" t="s">
        <v>1074</v>
      </c>
      <c r="J3290" s="22">
        <f>ROUND(E3290/I3288* H3290,5)</f>
        <v>2.6120000000000001</v>
      </c>
      <c r="K3290" s="23"/>
    </row>
    <row r="3291" spans="1:27" x14ac:dyDescent="0.2">
      <c r="B3291" t="s">
        <v>1136</v>
      </c>
      <c r="C3291" t="s">
        <v>1070</v>
      </c>
      <c r="D3291" t="s">
        <v>1137</v>
      </c>
      <c r="E3291" s="20">
        <v>0.1</v>
      </c>
      <c r="F3291" t="s">
        <v>1072</v>
      </c>
      <c r="G3291" t="s">
        <v>1073</v>
      </c>
      <c r="H3291" s="21">
        <v>30.41</v>
      </c>
      <c r="I3291" t="s">
        <v>1074</v>
      </c>
      <c r="J3291" s="22">
        <f>ROUND(E3291/I3288* H3291,5)</f>
        <v>3.0409999999999999</v>
      </c>
      <c r="K3291" s="23"/>
    </row>
    <row r="3292" spans="1:27" x14ac:dyDescent="0.2">
      <c r="D3292" s="24" t="s">
        <v>1075</v>
      </c>
      <c r="E3292" s="23"/>
      <c r="H3292" s="23"/>
      <c r="K3292" s="21">
        <f>SUM(J3290:J3291)</f>
        <v>5.6530000000000005</v>
      </c>
    </row>
    <row r="3293" spans="1:27" x14ac:dyDescent="0.2">
      <c r="B3293" s="14" t="s">
        <v>1080</v>
      </c>
      <c r="E3293" s="23"/>
      <c r="H3293" s="23"/>
      <c r="K3293" s="23"/>
    </row>
    <row r="3294" spans="1:27" ht="240" x14ac:dyDescent="0.2">
      <c r="B3294" t="s">
        <v>2247</v>
      </c>
      <c r="C3294" t="s">
        <v>23</v>
      </c>
      <c r="D3294" s="26" t="s">
        <v>2248</v>
      </c>
      <c r="E3294" s="20">
        <v>0.65</v>
      </c>
      <c r="G3294" t="s">
        <v>1073</v>
      </c>
      <c r="H3294" s="21">
        <v>35</v>
      </c>
      <c r="I3294" t="s">
        <v>1074</v>
      </c>
      <c r="J3294" s="22">
        <f>ROUND(E3294* H3294,5)</f>
        <v>22.75</v>
      </c>
      <c r="K3294" s="23"/>
    </row>
    <row r="3295" spans="1:27" x14ac:dyDescent="0.2">
      <c r="D3295" s="24" t="s">
        <v>1090</v>
      </c>
      <c r="E3295" s="23"/>
      <c r="H3295" s="23"/>
      <c r="K3295" s="21">
        <f>SUM(J3294:J3294)</f>
        <v>22.75</v>
      </c>
    </row>
    <row r="3296" spans="1:27" x14ac:dyDescent="0.2">
      <c r="E3296" s="23"/>
      <c r="H3296" s="23"/>
      <c r="K3296" s="23"/>
    </row>
    <row r="3297" spans="1:27" x14ac:dyDescent="0.2">
      <c r="D3297" s="24" t="s">
        <v>1092</v>
      </c>
      <c r="E3297" s="23"/>
      <c r="H3297" s="23">
        <v>1.5</v>
      </c>
      <c r="I3297" t="s">
        <v>1093</v>
      </c>
      <c r="J3297">
        <f>ROUND(H3297/100*K3292,5)</f>
        <v>8.48E-2</v>
      </c>
      <c r="K3297" s="23"/>
    </row>
    <row r="3298" spans="1:27" x14ac:dyDescent="0.2">
      <c r="D3298" s="24" t="s">
        <v>1091</v>
      </c>
      <c r="E3298" s="23"/>
      <c r="H3298" s="23"/>
      <c r="K3298" s="25">
        <f>SUM(J3289:J3297)</f>
        <v>28.4878</v>
      </c>
    </row>
    <row r="3299" spans="1:27" x14ac:dyDescent="0.2">
      <c r="D3299" s="24" t="s">
        <v>1142</v>
      </c>
      <c r="E3299" s="23"/>
      <c r="H3299" s="23">
        <v>8</v>
      </c>
      <c r="I3299" t="s">
        <v>1093</v>
      </c>
      <c r="K3299" s="21">
        <f>ROUND(H3299/100*K3298,5)</f>
        <v>2.27902</v>
      </c>
    </row>
    <row r="3300" spans="1:27" x14ac:dyDescent="0.2">
      <c r="D3300" s="24" t="s">
        <v>1094</v>
      </c>
      <c r="E3300" s="23"/>
      <c r="H3300" s="23"/>
      <c r="K3300" s="25">
        <f>SUM(K3298:K3299)</f>
        <v>30.766819999999999</v>
      </c>
    </row>
    <row r="3302" spans="1:27" ht="45" customHeight="1" x14ac:dyDescent="0.2">
      <c r="A3302" s="17" t="s">
        <v>2291</v>
      </c>
      <c r="B3302" s="17" t="s">
        <v>951</v>
      </c>
      <c r="C3302" s="1" t="s">
        <v>23</v>
      </c>
      <c r="D3302" s="96" t="s">
        <v>952</v>
      </c>
      <c r="E3302" s="97"/>
      <c r="F3302" s="97"/>
      <c r="G3302" s="1"/>
      <c r="H3302" s="18" t="s">
        <v>1066</v>
      </c>
      <c r="I3302" s="98">
        <v>1</v>
      </c>
      <c r="J3302" s="99"/>
      <c r="K3302" s="19">
        <f>ROUND(K3314,2)</f>
        <v>490.09</v>
      </c>
      <c r="L3302" s="2" t="s">
        <v>2250</v>
      </c>
      <c r="M3302" s="1"/>
      <c r="N3302" s="1"/>
      <c r="O3302" s="1"/>
      <c r="P3302" s="1"/>
      <c r="Q3302" s="1"/>
      <c r="R3302" s="1"/>
      <c r="S3302" s="1"/>
      <c r="T3302" s="1"/>
      <c r="U3302" s="1"/>
      <c r="V3302" s="1"/>
      <c r="W3302" s="1"/>
      <c r="X3302" s="1"/>
      <c r="Y3302" s="1"/>
      <c r="Z3302" s="1"/>
      <c r="AA3302" s="1"/>
    </row>
    <row r="3303" spans="1:27" x14ac:dyDescent="0.2">
      <c r="B3303" s="14" t="s">
        <v>1068</v>
      </c>
    </row>
    <row r="3304" spans="1:27" x14ac:dyDescent="0.2">
      <c r="B3304" t="s">
        <v>1136</v>
      </c>
      <c r="C3304" t="s">
        <v>1070</v>
      </c>
      <c r="D3304" t="s">
        <v>1137</v>
      </c>
      <c r="E3304" s="20">
        <v>0.5</v>
      </c>
      <c r="F3304" t="s">
        <v>1072</v>
      </c>
      <c r="G3304" t="s">
        <v>1073</v>
      </c>
      <c r="H3304" s="21">
        <v>30.41</v>
      </c>
      <c r="I3304" t="s">
        <v>1074</v>
      </c>
      <c r="J3304" s="22">
        <f>ROUND(E3304/I3302* H3304,5)</f>
        <v>15.205</v>
      </c>
      <c r="K3304" s="23"/>
    </row>
    <row r="3305" spans="1:27" x14ac:dyDescent="0.2">
      <c r="B3305" t="s">
        <v>1138</v>
      </c>
      <c r="C3305" t="s">
        <v>1070</v>
      </c>
      <c r="D3305" t="s">
        <v>1139</v>
      </c>
      <c r="E3305" s="20">
        <v>0.5</v>
      </c>
      <c r="F3305" t="s">
        <v>1072</v>
      </c>
      <c r="G3305" t="s">
        <v>1073</v>
      </c>
      <c r="H3305" s="21">
        <v>26.12</v>
      </c>
      <c r="I3305" t="s">
        <v>1074</v>
      </c>
      <c r="J3305" s="22">
        <f>ROUND(E3305/I3302* H3305,5)</f>
        <v>13.06</v>
      </c>
      <c r="K3305" s="23"/>
    </row>
    <row r="3306" spans="1:27" x14ac:dyDescent="0.2">
      <c r="D3306" s="24" t="s">
        <v>1075</v>
      </c>
      <c r="E3306" s="23"/>
      <c r="H3306" s="23"/>
      <c r="K3306" s="21">
        <f>SUM(J3304:J3305)</f>
        <v>28.265000000000001</v>
      </c>
    </row>
    <row r="3307" spans="1:27" x14ac:dyDescent="0.2">
      <c r="B3307" s="14" t="s">
        <v>1080</v>
      </c>
      <c r="E3307" s="23"/>
      <c r="H3307" s="23"/>
      <c r="K3307" s="23"/>
    </row>
    <row r="3308" spans="1:27" ht="350" x14ac:dyDescent="0.2">
      <c r="B3308" t="s">
        <v>2251</v>
      </c>
      <c r="C3308" t="s">
        <v>23</v>
      </c>
      <c r="D3308" s="26" t="s">
        <v>2252</v>
      </c>
      <c r="E3308" s="20">
        <v>0.65</v>
      </c>
      <c r="G3308" t="s">
        <v>1073</v>
      </c>
      <c r="H3308" s="21">
        <v>654</v>
      </c>
      <c r="I3308" t="s">
        <v>1074</v>
      </c>
      <c r="J3308" s="22">
        <f>ROUND(E3308* H3308,5)</f>
        <v>425.1</v>
      </c>
      <c r="K3308" s="23"/>
    </row>
    <row r="3309" spans="1:27" x14ac:dyDescent="0.2">
      <c r="D3309" s="24" t="s">
        <v>1090</v>
      </c>
      <c r="E3309" s="23"/>
      <c r="H3309" s="23"/>
      <c r="K3309" s="21">
        <f>SUM(J3308:J3308)</f>
        <v>425.1</v>
      </c>
    </row>
    <row r="3310" spans="1:27" x14ac:dyDescent="0.2">
      <c r="E3310" s="23"/>
      <c r="H3310" s="23"/>
      <c r="K3310" s="23"/>
    </row>
    <row r="3311" spans="1:27" x14ac:dyDescent="0.2">
      <c r="D3311" s="24" t="s">
        <v>1092</v>
      </c>
      <c r="E3311" s="23"/>
      <c r="H3311" s="23">
        <v>1.5</v>
      </c>
      <c r="I3311" t="s">
        <v>1093</v>
      </c>
      <c r="J3311">
        <f>ROUND(H3311/100*K3306,5)</f>
        <v>0.42398000000000002</v>
      </c>
      <c r="K3311" s="23"/>
    </row>
    <row r="3312" spans="1:27" x14ac:dyDescent="0.2">
      <c r="D3312" s="24" t="s">
        <v>1091</v>
      </c>
      <c r="E3312" s="23"/>
      <c r="H3312" s="23"/>
      <c r="K3312" s="25">
        <f>SUM(J3303:J3311)</f>
        <v>453.78897999999998</v>
      </c>
    </row>
    <row r="3313" spans="1:27" x14ac:dyDescent="0.2">
      <c r="D3313" s="24" t="s">
        <v>1142</v>
      </c>
      <c r="E3313" s="23"/>
      <c r="H3313" s="23">
        <v>8</v>
      </c>
      <c r="I3313" t="s">
        <v>1093</v>
      </c>
      <c r="K3313" s="21">
        <f>ROUND(H3313/100*K3312,5)</f>
        <v>36.30312</v>
      </c>
    </row>
    <row r="3314" spans="1:27" x14ac:dyDescent="0.2">
      <c r="D3314" s="24" t="s">
        <v>1094</v>
      </c>
      <c r="E3314" s="23"/>
      <c r="H3314" s="23"/>
      <c r="K3314" s="25">
        <f>SUM(K3312:K3313)</f>
        <v>490.09209999999996</v>
      </c>
    </row>
    <row r="3316" spans="1:27" ht="45" customHeight="1" x14ac:dyDescent="0.2">
      <c r="A3316" s="17" t="s">
        <v>2295</v>
      </c>
      <c r="B3316" s="17" t="s">
        <v>949</v>
      </c>
      <c r="C3316" s="1" t="s">
        <v>23</v>
      </c>
      <c r="D3316" s="96" t="s">
        <v>950</v>
      </c>
      <c r="E3316" s="97"/>
      <c r="F3316" s="97"/>
      <c r="G3316" s="1"/>
      <c r="H3316" s="18" t="s">
        <v>1066</v>
      </c>
      <c r="I3316" s="98">
        <v>1</v>
      </c>
      <c r="J3316" s="99"/>
      <c r="K3316" s="19">
        <f>ROUND(K3328,2)</f>
        <v>150.75</v>
      </c>
      <c r="L3316" s="2" t="s">
        <v>2254</v>
      </c>
      <c r="M3316" s="1"/>
      <c r="N3316" s="1"/>
      <c r="O3316" s="1"/>
      <c r="P3316" s="1"/>
      <c r="Q3316" s="1"/>
      <c r="R3316" s="1"/>
      <c r="S3316" s="1"/>
      <c r="T3316" s="1"/>
      <c r="U3316" s="1"/>
      <c r="V3316" s="1"/>
      <c r="W3316" s="1"/>
      <c r="X3316" s="1"/>
      <c r="Y3316" s="1"/>
      <c r="Z3316" s="1"/>
      <c r="AA3316" s="1"/>
    </row>
    <row r="3317" spans="1:27" x14ac:dyDescent="0.2">
      <c r="B3317" s="14" t="s">
        <v>1068</v>
      </c>
    </row>
    <row r="3318" spans="1:27" x14ac:dyDescent="0.2">
      <c r="B3318" t="s">
        <v>1138</v>
      </c>
      <c r="C3318" t="s">
        <v>1070</v>
      </c>
      <c r="D3318" t="s">
        <v>1139</v>
      </c>
      <c r="E3318" s="20">
        <v>0.5</v>
      </c>
      <c r="F3318" t="s">
        <v>1072</v>
      </c>
      <c r="G3318" t="s">
        <v>1073</v>
      </c>
      <c r="H3318" s="21">
        <v>26.12</v>
      </c>
      <c r="I3318" t="s">
        <v>1074</v>
      </c>
      <c r="J3318" s="22">
        <f>ROUND(E3318/I3316* H3318,5)</f>
        <v>13.06</v>
      </c>
      <c r="K3318" s="23"/>
    </row>
    <row r="3319" spans="1:27" x14ac:dyDescent="0.2">
      <c r="B3319" t="s">
        <v>1136</v>
      </c>
      <c r="C3319" t="s">
        <v>1070</v>
      </c>
      <c r="D3319" t="s">
        <v>1137</v>
      </c>
      <c r="E3319" s="20">
        <v>0.5</v>
      </c>
      <c r="F3319" t="s">
        <v>1072</v>
      </c>
      <c r="G3319" t="s">
        <v>1073</v>
      </c>
      <c r="H3319" s="21">
        <v>30.41</v>
      </c>
      <c r="I3319" t="s">
        <v>1074</v>
      </c>
      <c r="J3319" s="22">
        <f>ROUND(E3319/I3316* H3319,5)</f>
        <v>15.205</v>
      </c>
      <c r="K3319" s="23"/>
    </row>
    <row r="3320" spans="1:27" x14ac:dyDescent="0.2">
      <c r="D3320" s="24" t="s">
        <v>1075</v>
      </c>
      <c r="E3320" s="23"/>
      <c r="H3320" s="23"/>
      <c r="K3320" s="21">
        <f>SUM(J3318:J3319)</f>
        <v>28.265000000000001</v>
      </c>
    </row>
    <row r="3321" spans="1:27" x14ac:dyDescent="0.2">
      <c r="B3321" s="14" t="s">
        <v>1080</v>
      </c>
      <c r="E3321" s="23"/>
      <c r="H3321" s="23"/>
      <c r="K3321" s="23"/>
    </row>
    <row r="3322" spans="1:27" x14ac:dyDescent="0.2">
      <c r="B3322" t="s">
        <v>2255</v>
      </c>
      <c r="C3322" t="s">
        <v>742</v>
      </c>
      <c r="D3322" t="s">
        <v>2256</v>
      </c>
      <c r="E3322" s="20">
        <v>0.65</v>
      </c>
      <c r="G3322" t="s">
        <v>1073</v>
      </c>
      <c r="H3322" s="21">
        <v>170.61</v>
      </c>
      <c r="I3322" t="s">
        <v>1074</v>
      </c>
      <c r="J3322" s="22">
        <f>ROUND(E3322* H3322,5)</f>
        <v>110.8965</v>
      </c>
      <c r="K3322" s="23"/>
    </row>
    <row r="3323" spans="1:27" x14ac:dyDescent="0.2">
      <c r="D3323" s="24" t="s">
        <v>1090</v>
      </c>
      <c r="E3323" s="23"/>
      <c r="H3323" s="23"/>
      <c r="K3323" s="21">
        <f>SUM(J3322:J3322)</f>
        <v>110.8965</v>
      </c>
    </row>
    <row r="3324" spans="1:27" x14ac:dyDescent="0.2">
      <c r="E3324" s="23"/>
      <c r="H3324" s="23"/>
      <c r="K3324" s="23"/>
    </row>
    <row r="3325" spans="1:27" x14ac:dyDescent="0.2">
      <c r="D3325" s="24" t="s">
        <v>1092</v>
      </c>
      <c r="E3325" s="23"/>
      <c r="H3325" s="23">
        <v>1.5</v>
      </c>
      <c r="I3325" t="s">
        <v>1093</v>
      </c>
      <c r="J3325">
        <f>ROUND(H3325/100*K3320,5)</f>
        <v>0.42398000000000002</v>
      </c>
      <c r="K3325" s="23"/>
    </row>
    <row r="3326" spans="1:27" x14ac:dyDescent="0.2">
      <c r="D3326" s="24" t="s">
        <v>1091</v>
      </c>
      <c r="E3326" s="23"/>
      <c r="H3326" s="23"/>
      <c r="K3326" s="25">
        <f>SUM(J3317:J3325)</f>
        <v>139.58547999999999</v>
      </c>
    </row>
    <row r="3327" spans="1:27" x14ac:dyDescent="0.2">
      <c r="D3327" s="24" t="s">
        <v>1142</v>
      </c>
      <c r="E3327" s="23"/>
      <c r="H3327" s="23">
        <v>8</v>
      </c>
      <c r="I3327" t="s">
        <v>1093</v>
      </c>
      <c r="K3327" s="21">
        <f>ROUND(H3327/100*K3326,5)</f>
        <v>11.166840000000001</v>
      </c>
    </row>
    <row r="3328" spans="1:27" x14ac:dyDescent="0.2">
      <c r="D3328" s="24" t="s">
        <v>1094</v>
      </c>
      <c r="E3328" s="23"/>
      <c r="H3328" s="23"/>
      <c r="K3328" s="25">
        <f>SUM(K3326:K3327)</f>
        <v>150.75232</v>
      </c>
    </row>
    <row r="3330" spans="1:27" ht="45" customHeight="1" x14ac:dyDescent="0.2">
      <c r="A3330" s="17" t="s">
        <v>2301</v>
      </c>
      <c r="B3330" s="17" t="s">
        <v>855</v>
      </c>
      <c r="C3330" s="1" t="s">
        <v>23</v>
      </c>
      <c r="D3330" s="96" t="s">
        <v>856</v>
      </c>
      <c r="E3330" s="97"/>
      <c r="F3330" s="97"/>
      <c r="G3330" s="1"/>
      <c r="H3330" s="18" t="s">
        <v>1066</v>
      </c>
      <c r="I3330" s="98">
        <v>1</v>
      </c>
      <c r="J3330" s="99"/>
      <c r="K3330" s="19">
        <f>ROUND(K3342,2)</f>
        <v>11001.89</v>
      </c>
      <c r="L3330" s="2" t="s">
        <v>2258</v>
      </c>
      <c r="M3330" s="1"/>
      <c r="N3330" s="1"/>
      <c r="O3330" s="1"/>
      <c r="P3330" s="1"/>
      <c r="Q3330" s="1"/>
      <c r="R3330" s="1"/>
      <c r="S3330" s="1"/>
      <c r="T3330" s="1"/>
      <c r="U3330" s="1"/>
      <c r="V3330" s="1"/>
      <c r="W3330" s="1"/>
      <c r="X3330" s="1"/>
      <c r="Y3330" s="1"/>
      <c r="Z3330" s="1"/>
      <c r="AA3330" s="1"/>
    </row>
    <row r="3331" spans="1:27" x14ac:dyDescent="0.2">
      <c r="B3331" s="14" t="s">
        <v>1068</v>
      </c>
    </row>
    <row r="3332" spans="1:27" x14ac:dyDescent="0.2">
      <c r="B3332" t="s">
        <v>2161</v>
      </c>
      <c r="C3332" t="s">
        <v>1070</v>
      </c>
      <c r="D3332" t="s">
        <v>2162</v>
      </c>
      <c r="E3332" s="20">
        <v>15</v>
      </c>
      <c r="F3332" t="s">
        <v>1072</v>
      </c>
      <c r="G3332" t="s">
        <v>1073</v>
      </c>
      <c r="H3332" s="21">
        <v>30.41</v>
      </c>
      <c r="I3332" t="s">
        <v>1074</v>
      </c>
      <c r="J3332" s="22">
        <f>ROUND(E3332/I3330* H3332,5)</f>
        <v>456.15</v>
      </c>
      <c r="K3332" s="23"/>
    </row>
    <row r="3333" spans="1:27" x14ac:dyDescent="0.2">
      <c r="B3333" t="s">
        <v>2163</v>
      </c>
      <c r="C3333" t="s">
        <v>1070</v>
      </c>
      <c r="D3333" t="s">
        <v>2164</v>
      </c>
      <c r="E3333" s="20">
        <v>15</v>
      </c>
      <c r="F3333" t="s">
        <v>1072</v>
      </c>
      <c r="G3333" t="s">
        <v>1073</v>
      </c>
      <c r="H3333" s="21">
        <v>26.08</v>
      </c>
      <c r="I3333" t="s">
        <v>1074</v>
      </c>
      <c r="J3333" s="22">
        <f>ROUND(E3333/I3330* H3333,5)</f>
        <v>391.2</v>
      </c>
      <c r="K3333" s="23"/>
    </row>
    <row r="3334" spans="1:27" x14ac:dyDescent="0.2">
      <c r="D3334" s="24" t="s">
        <v>1075</v>
      </c>
      <c r="E3334" s="23"/>
      <c r="H3334" s="23"/>
      <c r="K3334" s="21">
        <f>SUM(J3332:J3333)</f>
        <v>847.34999999999991</v>
      </c>
    </row>
    <row r="3335" spans="1:27" x14ac:dyDescent="0.2">
      <c r="B3335" s="14" t="s">
        <v>1080</v>
      </c>
      <c r="E3335" s="23"/>
      <c r="H3335" s="23"/>
      <c r="K3335" s="23"/>
    </row>
    <row r="3336" spans="1:27" ht="409.6" x14ac:dyDescent="0.2">
      <c r="B3336" t="s">
        <v>2259</v>
      </c>
      <c r="C3336" t="s">
        <v>23</v>
      </c>
      <c r="D3336" s="26" t="s">
        <v>856</v>
      </c>
      <c r="E3336" s="20">
        <v>1</v>
      </c>
      <c r="G3336" t="s">
        <v>1073</v>
      </c>
      <c r="H3336" s="21">
        <v>9318.4</v>
      </c>
      <c r="I3336" t="s">
        <v>1074</v>
      </c>
      <c r="J3336" s="22">
        <f>ROUND(E3336* H3336,5)</f>
        <v>9318.4</v>
      </c>
      <c r="K3336" s="23"/>
    </row>
    <row r="3337" spans="1:27" x14ac:dyDescent="0.2">
      <c r="D3337" s="24" t="s">
        <v>1090</v>
      </c>
      <c r="E3337" s="23"/>
      <c r="H3337" s="23"/>
      <c r="K3337" s="21">
        <f>SUM(J3336:J3336)</f>
        <v>9318.4</v>
      </c>
    </row>
    <row r="3338" spans="1:27" x14ac:dyDescent="0.2">
      <c r="E3338" s="23"/>
      <c r="H3338" s="23"/>
      <c r="K3338" s="23"/>
    </row>
    <row r="3339" spans="1:27" x14ac:dyDescent="0.2">
      <c r="D3339" s="24" t="s">
        <v>1092</v>
      </c>
      <c r="E3339" s="23"/>
      <c r="H3339" s="23">
        <v>2.5</v>
      </c>
      <c r="I3339" t="s">
        <v>1093</v>
      </c>
      <c r="J3339">
        <f>ROUND(H3339/100*K3334,5)</f>
        <v>21.18375</v>
      </c>
      <c r="K3339" s="23"/>
    </row>
    <row r="3340" spans="1:27" x14ac:dyDescent="0.2">
      <c r="D3340" s="24" t="s">
        <v>1091</v>
      </c>
      <c r="E3340" s="23"/>
      <c r="H3340" s="23"/>
      <c r="K3340" s="25">
        <f>SUM(J3331:J3339)</f>
        <v>10186.93375</v>
      </c>
    </row>
    <row r="3341" spans="1:27" x14ac:dyDescent="0.2">
      <c r="D3341" s="24" t="s">
        <v>1142</v>
      </c>
      <c r="E3341" s="23"/>
      <c r="H3341" s="23">
        <v>8</v>
      </c>
      <c r="I3341" t="s">
        <v>1093</v>
      </c>
      <c r="K3341" s="21">
        <f>ROUND(H3341/100*K3340,5)</f>
        <v>814.9547</v>
      </c>
    </row>
    <row r="3342" spans="1:27" x14ac:dyDescent="0.2">
      <c r="D3342" s="24" t="s">
        <v>1094</v>
      </c>
      <c r="E3342" s="23"/>
      <c r="H3342" s="23"/>
      <c r="K3342" s="25">
        <f>SUM(K3340:K3341)</f>
        <v>11001.88845</v>
      </c>
    </row>
    <row r="3344" spans="1:27" ht="45" customHeight="1" x14ac:dyDescent="0.2">
      <c r="A3344" s="17" t="s">
        <v>2303</v>
      </c>
      <c r="B3344" s="17" t="s">
        <v>857</v>
      </c>
      <c r="C3344" s="1" t="s">
        <v>23</v>
      </c>
      <c r="D3344" s="96" t="s">
        <v>858</v>
      </c>
      <c r="E3344" s="97"/>
      <c r="F3344" s="97"/>
      <c r="G3344" s="1"/>
      <c r="H3344" s="18" t="s">
        <v>1066</v>
      </c>
      <c r="I3344" s="98">
        <v>1</v>
      </c>
      <c r="J3344" s="99"/>
      <c r="K3344" s="19">
        <f>ROUND(K3356,2)</f>
        <v>1164.0899999999999</v>
      </c>
      <c r="L3344" s="2" t="s">
        <v>2261</v>
      </c>
      <c r="M3344" s="1"/>
      <c r="N3344" s="1"/>
      <c r="O3344" s="1"/>
      <c r="P3344" s="1"/>
      <c r="Q3344" s="1"/>
      <c r="R3344" s="1"/>
      <c r="S3344" s="1"/>
      <c r="T3344" s="1"/>
      <c r="U3344" s="1"/>
      <c r="V3344" s="1"/>
      <c r="W3344" s="1"/>
      <c r="X3344" s="1"/>
      <c r="Y3344" s="1"/>
      <c r="Z3344" s="1"/>
      <c r="AA3344" s="1"/>
    </row>
    <row r="3345" spans="1:27" x14ac:dyDescent="0.2">
      <c r="B3345" s="14" t="s">
        <v>1068</v>
      </c>
    </row>
    <row r="3346" spans="1:27" x14ac:dyDescent="0.2">
      <c r="B3346" t="s">
        <v>2161</v>
      </c>
      <c r="C3346" t="s">
        <v>1070</v>
      </c>
      <c r="D3346" t="s">
        <v>2162</v>
      </c>
      <c r="E3346" s="20">
        <v>3</v>
      </c>
      <c r="F3346" t="s">
        <v>1072</v>
      </c>
      <c r="G3346" t="s">
        <v>1073</v>
      </c>
      <c r="H3346" s="21">
        <v>30.41</v>
      </c>
      <c r="I3346" t="s">
        <v>1074</v>
      </c>
      <c r="J3346" s="22">
        <f>ROUND(E3346/I3344* H3346,5)</f>
        <v>91.23</v>
      </c>
      <c r="K3346" s="23"/>
    </row>
    <row r="3347" spans="1:27" x14ac:dyDescent="0.2">
      <c r="B3347" t="s">
        <v>2163</v>
      </c>
      <c r="C3347" t="s">
        <v>1070</v>
      </c>
      <c r="D3347" t="s">
        <v>2164</v>
      </c>
      <c r="E3347" s="20">
        <v>3</v>
      </c>
      <c r="F3347" t="s">
        <v>1072</v>
      </c>
      <c r="G3347" t="s">
        <v>1073</v>
      </c>
      <c r="H3347" s="21">
        <v>26.08</v>
      </c>
      <c r="I3347" t="s">
        <v>1074</v>
      </c>
      <c r="J3347" s="22">
        <f>ROUND(E3347/I3344* H3347,5)</f>
        <v>78.239999999999995</v>
      </c>
      <c r="K3347" s="23"/>
    </row>
    <row r="3348" spans="1:27" x14ac:dyDescent="0.2">
      <c r="D3348" s="24" t="s">
        <v>1075</v>
      </c>
      <c r="E3348" s="23"/>
      <c r="H3348" s="23"/>
      <c r="K3348" s="21">
        <f>SUM(J3346:J3347)</f>
        <v>169.47</v>
      </c>
    </row>
    <row r="3349" spans="1:27" x14ac:dyDescent="0.2">
      <c r="B3349" s="14" t="s">
        <v>2262</v>
      </c>
      <c r="E3349" s="23"/>
      <c r="H3349" s="23"/>
      <c r="K3349" s="23"/>
    </row>
    <row r="3350" spans="1:27" x14ac:dyDescent="0.2">
      <c r="B3350" t="s">
        <v>2263</v>
      </c>
      <c r="C3350" t="s">
        <v>23</v>
      </c>
      <c r="D3350" t="s">
        <v>2264</v>
      </c>
      <c r="E3350" s="20">
        <v>0.65</v>
      </c>
      <c r="G3350" t="s">
        <v>1073</v>
      </c>
      <c r="H3350" s="21">
        <v>1391</v>
      </c>
      <c r="I3350" t="s">
        <v>1074</v>
      </c>
      <c r="J3350" s="22">
        <f>ROUND(E3350* H3350,5)</f>
        <v>904.15</v>
      </c>
      <c r="K3350" s="23"/>
    </row>
    <row r="3351" spans="1:27" x14ac:dyDescent="0.2">
      <c r="D3351" s="24" t="s">
        <v>2265</v>
      </c>
      <c r="E3351" s="23"/>
      <c r="H3351" s="23"/>
      <c r="K3351" s="21">
        <f>SUM(J3350:J3350)</f>
        <v>904.15</v>
      </c>
    </row>
    <row r="3352" spans="1:27" x14ac:dyDescent="0.2">
      <c r="E3352" s="23"/>
      <c r="H3352" s="23"/>
      <c r="K3352" s="23"/>
    </row>
    <row r="3353" spans="1:27" x14ac:dyDescent="0.2">
      <c r="D3353" s="24" t="s">
        <v>1092</v>
      </c>
      <c r="E3353" s="23"/>
      <c r="H3353" s="23">
        <v>2.5</v>
      </c>
      <c r="I3353" t="s">
        <v>1093</v>
      </c>
      <c r="J3353">
        <f>ROUND(H3353/100*K3348,5)</f>
        <v>4.2367499999999998</v>
      </c>
      <c r="K3353" s="23"/>
    </row>
    <row r="3354" spans="1:27" x14ac:dyDescent="0.2">
      <c r="D3354" s="24" t="s">
        <v>1091</v>
      </c>
      <c r="E3354" s="23"/>
      <c r="H3354" s="23"/>
      <c r="K3354" s="25">
        <f>SUM(J3345:J3353)</f>
        <v>1077.8567499999999</v>
      </c>
    </row>
    <row r="3355" spans="1:27" x14ac:dyDescent="0.2">
      <c r="D3355" s="24" t="s">
        <v>1142</v>
      </c>
      <c r="E3355" s="23"/>
      <c r="H3355" s="23">
        <v>8</v>
      </c>
      <c r="I3355" t="s">
        <v>1093</v>
      </c>
      <c r="K3355" s="21">
        <f>ROUND(H3355/100*K3354,5)</f>
        <v>86.228539999999995</v>
      </c>
    </row>
    <row r="3356" spans="1:27" x14ac:dyDescent="0.2">
      <c r="D3356" s="24" t="s">
        <v>1094</v>
      </c>
      <c r="E3356" s="23"/>
      <c r="H3356" s="23"/>
      <c r="K3356" s="25">
        <f>SUM(K3354:K3355)</f>
        <v>1164.08529</v>
      </c>
    </row>
    <row r="3358" spans="1:27" ht="45" customHeight="1" x14ac:dyDescent="0.2">
      <c r="A3358" s="17" t="s">
        <v>2313</v>
      </c>
      <c r="B3358" s="17" t="s">
        <v>859</v>
      </c>
      <c r="C3358" s="1" t="s">
        <v>23</v>
      </c>
      <c r="D3358" s="96" t="s">
        <v>860</v>
      </c>
      <c r="E3358" s="97"/>
      <c r="F3358" s="97"/>
      <c r="G3358" s="1"/>
      <c r="H3358" s="18" t="s">
        <v>1066</v>
      </c>
      <c r="I3358" s="98">
        <v>1</v>
      </c>
      <c r="J3358" s="99"/>
      <c r="K3358" s="19">
        <f>ROUND(K3370,2)</f>
        <v>11766.72</v>
      </c>
      <c r="L3358" s="2" t="s">
        <v>2267</v>
      </c>
      <c r="M3358" s="1"/>
      <c r="N3358" s="1"/>
      <c r="O3358" s="1"/>
      <c r="P3358" s="1"/>
      <c r="Q3358" s="1"/>
      <c r="R3358" s="1"/>
      <c r="S3358" s="1"/>
      <c r="T3358" s="1"/>
      <c r="U3358" s="1"/>
      <c r="V3358" s="1"/>
      <c r="W3358" s="1"/>
      <c r="X3358" s="1"/>
      <c r="Y3358" s="1"/>
      <c r="Z3358" s="1"/>
      <c r="AA3358" s="1"/>
    </row>
    <row r="3359" spans="1:27" x14ac:dyDescent="0.2">
      <c r="B3359" s="14" t="s">
        <v>1068</v>
      </c>
    </row>
    <row r="3360" spans="1:27" x14ac:dyDescent="0.2">
      <c r="B3360" t="s">
        <v>2161</v>
      </c>
      <c r="C3360" t="s">
        <v>1070</v>
      </c>
      <c r="D3360" t="s">
        <v>2162</v>
      </c>
      <c r="E3360" s="20">
        <v>50</v>
      </c>
      <c r="F3360" t="s">
        <v>1072</v>
      </c>
      <c r="G3360" t="s">
        <v>1073</v>
      </c>
      <c r="H3360" s="21">
        <v>30.41</v>
      </c>
      <c r="I3360" t="s">
        <v>1074</v>
      </c>
      <c r="J3360" s="22">
        <f>ROUND(E3360/I3358* H3360,5)</f>
        <v>1520.5</v>
      </c>
      <c r="K3360" s="23"/>
    </row>
    <row r="3361" spans="1:27" x14ac:dyDescent="0.2">
      <c r="B3361" t="s">
        <v>2163</v>
      </c>
      <c r="C3361" t="s">
        <v>1070</v>
      </c>
      <c r="D3361" t="s">
        <v>2164</v>
      </c>
      <c r="E3361" s="20">
        <v>50</v>
      </c>
      <c r="F3361" t="s">
        <v>1072</v>
      </c>
      <c r="G3361" t="s">
        <v>1073</v>
      </c>
      <c r="H3361" s="21">
        <v>26.08</v>
      </c>
      <c r="I3361" t="s">
        <v>1074</v>
      </c>
      <c r="J3361" s="22">
        <f>ROUND(E3361/I3358* H3361,5)</f>
        <v>1304</v>
      </c>
      <c r="K3361" s="23"/>
    </row>
    <row r="3362" spans="1:27" x14ac:dyDescent="0.2">
      <c r="D3362" s="24" t="s">
        <v>1075</v>
      </c>
      <c r="E3362" s="23"/>
      <c r="H3362" s="23"/>
      <c r="K3362" s="21">
        <f>SUM(J3360:J3361)</f>
        <v>2824.5</v>
      </c>
    </row>
    <row r="3363" spans="1:27" x14ac:dyDescent="0.2">
      <c r="B3363" s="14" t="s">
        <v>2262</v>
      </c>
      <c r="E3363" s="23"/>
      <c r="H3363" s="23"/>
      <c r="K3363" s="23"/>
    </row>
    <row r="3364" spans="1:27" x14ac:dyDescent="0.2">
      <c r="B3364" t="s">
        <v>2268</v>
      </c>
      <c r="C3364" t="s">
        <v>598</v>
      </c>
      <c r="D3364" t="s">
        <v>2269</v>
      </c>
      <c r="E3364" s="20">
        <v>1</v>
      </c>
      <c r="G3364" t="s">
        <v>1073</v>
      </c>
      <c r="H3364" s="21">
        <v>8000</v>
      </c>
      <c r="I3364" t="s">
        <v>1074</v>
      </c>
      <c r="J3364" s="22">
        <f>ROUND(E3364* H3364,5)</f>
        <v>8000</v>
      </c>
      <c r="K3364" s="23"/>
    </row>
    <row r="3365" spans="1:27" x14ac:dyDescent="0.2">
      <c r="D3365" s="24" t="s">
        <v>2265</v>
      </c>
      <c r="E3365" s="23"/>
      <c r="H3365" s="23"/>
      <c r="K3365" s="21">
        <f>SUM(J3364:J3364)</f>
        <v>8000</v>
      </c>
    </row>
    <row r="3366" spans="1:27" x14ac:dyDescent="0.2">
      <c r="E3366" s="23"/>
      <c r="H3366" s="23"/>
      <c r="K3366" s="23"/>
    </row>
    <row r="3367" spans="1:27" x14ac:dyDescent="0.2">
      <c r="D3367" s="24" t="s">
        <v>1092</v>
      </c>
      <c r="E3367" s="23"/>
      <c r="H3367" s="23">
        <v>2.5</v>
      </c>
      <c r="I3367" t="s">
        <v>1093</v>
      </c>
      <c r="J3367">
        <f>ROUND(H3367/100*K3362,5)</f>
        <v>70.612499999999997</v>
      </c>
      <c r="K3367" s="23"/>
    </row>
    <row r="3368" spans="1:27" x14ac:dyDescent="0.2">
      <c r="D3368" s="24" t="s">
        <v>1091</v>
      </c>
      <c r="E3368" s="23"/>
      <c r="H3368" s="23"/>
      <c r="K3368" s="25">
        <f>SUM(J3359:J3367)</f>
        <v>10895.112499999999</v>
      </c>
    </row>
    <row r="3369" spans="1:27" x14ac:dyDescent="0.2">
      <c r="D3369" s="24" t="s">
        <v>1142</v>
      </c>
      <c r="E3369" s="23"/>
      <c r="H3369" s="23">
        <v>8</v>
      </c>
      <c r="I3369" t="s">
        <v>1093</v>
      </c>
      <c r="K3369" s="21">
        <f>ROUND(H3369/100*K3368,5)</f>
        <v>871.60900000000004</v>
      </c>
    </row>
    <row r="3370" spans="1:27" x14ac:dyDescent="0.2">
      <c r="D3370" s="24" t="s">
        <v>1094</v>
      </c>
      <c r="E3370" s="23"/>
      <c r="H3370" s="23"/>
      <c r="K3370" s="25">
        <f>SUM(K3368:K3369)</f>
        <v>11766.7215</v>
      </c>
    </row>
    <row r="3372" spans="1:27" ht="45" customHeight="1" x14ac:dyDescent="0.2">
      <c r="A3372" s="17" t="s">
        <v>2323</v>
      </c>
      <c r="B3372" s="17" t="s">
        <v>716</v>
      </c>
      <c r="C3372" s="1" t="s">
        <v>23</v>
      </c>
      <c r="D3372" s="96" t="s">
        <v>717</v>
      </c>
      <c r="E3372" s="97"/>
      <c r="F3372" s="97"/>
      <c r="G3372" s="1"/>
      <c r="H3372" s="18" t="s">
        <v>1066</v>
      </c>
      <c r="I3372" s="98">
        <v>1</v>
      </c>
      <c r="J3372" s="99"/>
      <c r="K3372" s="19">
        <f>ROUND(K3387,2)</f>
        <v>6328.56</v>
      </c>
      <c r="L3372" s="2" t="s">
        <v>2271</v>
      </c>
      <c r="M3372" s="1"/>
      <c r="N3372" s="1"/>
      <c r="O3372" s="1"/>
      <c r="P3372" s="1"/>
      <c r="Q3372" s="1"/>
      <c r="R3372" s="1"/>
      <c r="S3372" s="1"/>
      <c r="T3372" s="1"/>
      <c r="U3372" s="1"/>
      <c r="V3372" s="1"/>
      <c r="W3372" s="1"/>
      <c r="X3372" s="1"/>
      <c r="Y3372" s="1"/>
      <c r="Z3372" s="1"/>
      <c r="AA3372" s="1"/>
    </row>
    <row r="3373" spans="1:27" x14ac:dyDescent="0.2">
      <c r="B3373" s="14" t="s">
        <v>1068</v>
      </c>
    </row>
    <row r="3374" spans="1:27" x14ac:dyDescent="0.2">
      <c r="B3374" t="s">
        <v>2161</v>
      </c>
      <c r="C3374" t="s">
        <v>1070</v>
      </c>
      <c r="D3374" t="s">
        <v>2162</v>
      </c>
      <c r="E3374" s="20">
        <v>10</v>
      </c>
      <c r="F3374" t="s">
        <v>1072</v>
      </c>
      <c r="G3374" t="s">
        <v>1073</v>
      </c>
      <c r="H3374" s="21">
        <v>30.41</v>
      </c>
      <c r="I3374" t="s">
        <v>1074</v>
      </c>
      <c r="J3374" s="22">
        <f>ROUND(E3374/I3372* H3374,5)</f>
        <v>304.10000000000002</v>
      </c>
      <c r="K3374" s="23"/>
    </row>
    <row r="3375" spans="1:27" x14ac:dyDescent="0.2">
      <c r="B3375" t="s">
        <v>2163</v>
      </c>
      <c r="C3375" t="s">
        <v>1070</v>
      </c>
      <c r="D3375" t="s">
        <v>2164</v>
      </c>
      <c r="E3375" s="20">
        <v>10</v>
      </c>
      <c r="F3375" t="s">
        <v>1072</v>
      </c>
      <c r="G3375" t="s">
        <v>1073</v>
      </c>
      <c r="H3375" s="21">
        <v>26.08</v>
      </c>
      <c r="I3375" t="s">
        <v>1074</v>
      </c>
      <c r="J3375" s="22">
        <f>ROUND(E3375/I3372* H3375,5)</f>
        <v>260.8</v>
      </c>
      <c r="K3375" s="23"/>
    </row>
    <row r="3376" spans="1:27" x14ac:dyDescent="0.2">
      <c r="D3376" s="24" t="s">
        <v>1075</v>
      </c>
      <c r="E3376" s="23"/>
      <c r="H3376" s="23"/>
      <c r="K3376" s="21">
        <f>SUM(J3374:J3375)</f>
        <v>564.90000000000009</v>
      </c>
    </row>
    <row r="3377" spans="1:27" x14ac:dyDescent="0.2">
      <c r="B3377" s="14" t="s">
        <v>1080</v>
      </c>
      <c r="E3377" s="23"/>
      <c r="H3377" s="23"/>
      <c r="K3377" s="23"/>
    </row>
    <row r="3378" spans="1:27" x14ac:dyDescent="0.2">
      <c r="B3378" t="s">
        <v>2272</v>
      </c>
      <c r="C3378" t="s">
        <v>625</v>
      </c>
      <c r="D3378" t="s">
        <v>2271</v>
      </c>
      <c r="E3378" s="20">
        <v>0.7</v>
      </c>
      <c r="G3378" t="s">
        <v>1073</v>
      </c>
      <c r="H3378" s="21">
        <v>7045.03</v>
      </c>
      <c r="I3378" t="s">
        <v>1074</v>
      </c>
      <c r="J3378" s="22">
        <f>ROUND(E3378* H3378,5)</f>
        <v>4931.5209999999997</v>
      </c>
      <c r="K3378" s="23"/>
    </row>
    <row r="3379" spans="1:27" x14ac:dyDescent="0.2">
      <c r="D3379" s="24" t="s">
        <v>1090</v>
      </c>
      <c r="E3379" s="23"/>
      <c r="H3379" s="23"/>
      <c r="K3379" s="21">
        <f>SUM(J3378:J3378)</f>
        <v>4931.5209999999997</v>
      </c>
    </row>
    <row r="3380" spans="1:27" x14ac:dyDescent="0.2">
      <c r="B3380" s="14" t="s">
        <v>2262</v>
      </c>
      <c r="E3380" s="23"/>
      <c r="H3380" s="23"/>
      <c r="K3380" s="23"/>
    </row>
    <row r="3381" spans="1:27" x14ac:dyDescent="0.2">
      <c r="B3381" t="s">
        <v>2273</v>
      </c>
      <c r="C3381" t="s">
        <v>625</v>
      </c>
      <c r="D3381" t="s">
        <v>2274</v>
      </c>
      <c r="E3381" s="20">
        <v>0.7</v>
      </c>
      <c r="G3381" t="s">
        <v>1073</v>
      </c>
      <c r="H3381" s="21">
        <v>498.91</v>
      </c>
      <c r="I3381" t="s">
        <v>1074</v>
      </c>
      <c r="J3381" s="22">
        <f>ROUND(E3381* H3381,5)</f>
        <v>349.23700000000002</v>
      </c>
      <c r="K3381" s="23"/>
    </row>
    <row r="3382" spans="1:27" x14ac:dyDescent="0.2">
      <c r="D3382" s="24" t="s">
        <v>2265</v>
      </c>
      <c r="E3382" s="23"/>
      <c r="H3382" s="23"/>
      <c r="K3382" s="21">
        <f>SUM(J3381:J3381)</f>
        <v>349.23700000000002</v>
      </c>
    </row>
    <row r="3383" spans="1:27" x14ac:dyDescent="0.2">
      <c r="E3383" s="23"/>
      <c r="H3383" s="23"/>
      <c r="K3383" s="23"/>
    </row>
    <row r="3384" spans="1:27" x14ac:dyDescent="0.2">
      <c r="D3384" s="24" t="s">
        <v>1092</v>
      </c>
      <c r="E3384" s="23"/>
      <c r="H3384" s="23">
        <v>2.5</v>
      </c>
      <c r="I3384" t="s">
        <v>1093</v>
      </c>
      <c r="J3384">
        <f>ROUND(H3384/100*K3376,5)</f>
        <v>14.1225</v>
      </c>
      <c r="K3384" s="23"/>
    </row>
    <row r="3385" spans="1:27" x14ac:dyDescent="0.2">
      <c r="D3385" s="24" t="s">
        <v>1091</v>
      </c>
      <c r="E3385" s="23"/>
      <c r="H3385" s="23"/>
      <c r="K3385" s="25">
        <f>SUM(J3373:J3384)</f>
        <v>5859.7805000000008</v>
      </c>
    </row>
    <row r="3386" spans="1:27" x14ac:dyDescent="0.2">
      <c r="D3386" s="24" t="s">
        <v>1142</v>
      </c>
      <c r="E3386" s="23"/>
      <c r="H3386" s="23">
        <v>8</v>
      </c>
      <c r="I3386" t="s">
        <v>1093</v>
      </c>
      <c r="K3386" s="21">
        <f>ROUND(H3386/100*K3385,5)</f>
        <v>468.78244000000001</v>
      </c>
    </row>
    <row r="3387" spans="1:27" x14ac:dyDescent="0.2">
      <c r="D3387" s="24" t="s">
        <v>1094</v>
      </c>
      <c r="E3387" s="23"/>
      <c r="H3387" s="23"/>
      <c r="K3387" s="25">
        <f>SUM(K3385:K3386)</f>
        <v>6328.5629400000007</v>
      </c>
    </row>
    <row r="3389" spans="1:27" ht="45" customHeight="1" x14ac:dyDescent="0.2">
      <c r="A3389" s="17" t="s">
        <v>2333</v>
      </c>
      <c r="B3389" s="17" t="s">
        <v>718</v>
      </c>
      <c r="C3389" s="1" t="s">
        <v>23</v>
      </c>
      <c r="D3389" s="96" t="s">
        <v>719</v>
      </c>
      <c r="E3389" s="97"/>
      <c r="F3389" s="97"/>
      <c r="G3389" s="1"/>
      <c r="H3389" s="18" t="s">
        <v>1066</v>
      </c>
      <c r="I3389" s="98">
        <v>1</v>
      </c>
      <c r="J3389" s="99"/>
      <c r="K3389" s="19">
        <f>ROUND(K3404,2)</f>
        <v>4158.09</v>
      </c>
      <c r="L3389" s="2" t="s">
        <v>2276</v>
      </c>
      <c r="M3389" s="1"/>
      <c r="N3389" s="1"/>
      <c r="O3389" s="1"/>
      <c r="P3389" s="1"/>
      <c r="Q3389" s="1"/>
      <c r="R3389" s="1"/>
      <c r="S3389" s="1"/>
      <c r="T3389" s="1"/>
      <c r="U3389" s="1"/>
      <c r="V3389" s="1"/>
      <c r="W3389" s="1"/>
      <c r="X3389" s="1"/>
      <c r="Y3389" s="1"/>
      <c r="Z3389" s="1"/>
      <c r="AA3389" s="1"/>
    </row>
    <row r="3390" spans="1:27" x14ac:dyDescent="0.2">
      <c r="B3390" s="14" t="s">
        <v>1068</v>
      </c>
    </row>
    <row r="3391" spans="1:27" x14ac:dyDescent="0.2">
      <c r="B3391" t="s">
        <v>2161</v>
      </c>
      <c r="C3391" t="s">
        <v>1070</v>
      </c>
      <c r="D3391" t="s">
        <v>2162</v>
      </c>
      <c r="E3391" s="20">
        <v>8</v>
      </c>
      <c r="F3391" t="s">
        <v>1072</v>
      </c>
      <c r="G3391" t="s">
        <v>1073</v>
      </c>
      <c r="H3391" s="21">
        <v>30.41</v>
      </c>
      <c r="I3391" t="s">
        <v>1074</v>
      </c>
      <c r="J3391" s="22">
        <f>ROUND(E3391/I3389* H3391,5)</f>
        <v>243.28</v>
      </c>
      <c r="K3391" s="23"/>
    </row>
    <row r="3392" spans="1:27" x14ac:dyDescent="0.2">
      <c r="B3392" t="s">
        <v>2163</v>
      </c>
      <c r="C3392" t="s">
        <v>1070</v>
      </c>
      <c r="D3392" t="s">
        <v>2164</v>
      </c>
      <c r="E3392" s="20">
        <v>8</v>
      </c>
      <c r="F3392" t="s">
        <v>1072</v>
      </c>
      <c r="G3392" t="s">
        <v>1073</v>
      </c>
      <c r="H3392" s="21">
        <v>26.08</v>
      </c>
      <c r="I3392" t="s">
        <v>1074</v>
      </c>
      <c r="J3392" s="22">
        <f>ROUND(E3392/I3389* H3392,5)</f>
        <v>208.64</v>
      </c>
      <c r="K3392" s="23"/>
    </row>
    <row r="3393" spans="1:27" x14ac:dyDescent="0.2">
      <c r="D3393" s="24" t="s">
        <v>1075</v>
      </c>
      <c r="E3393" s="23"/>
      <c r="H3393" s="23"/>
      <c r="K3393" s="21">
        <f>SUM(J3391:J3392)</f>
        <v>451.91999999999996</v>
      </c>
    </row>
    <row r="3394" spans="1:27" x14ac:dyDescent="0.2">
      <c r="B3394" s="14" t="s">
        <v>1080</v>
      </c>
      <c r="E3394" s="23"/>
      <c r="H3394" s="23"/>
      <c r="K3394" s="23"/>
    </row>
    <row r="3395" spans="1:27" x14ac:dyDescent="0.2">
      <c r="B3395" t="s">
        <v>2277</v>
      </c>
      <c r="C3395" t="s">
        <v>625</v>
      </c>
      <c r="D3395" t="s">
        <v>2278</v>
      </c>
      <c r="E3395" s="20">
        <v>0.7</v>
      </c>
      <c r="G3395" t="s">
        <v>1073</v>
      </c>
      <c r="H3395" s="21">
        <v>4339.57</v>
      </c>
      <c r="I3395" t="s">
        <v>1074</v>
      </c>
      <c r="J3395" s="22">
        <f>ROUND(E3395* H3395,5)</f>
        <v>3037.6990000000001</v>
      </c>
      <c r="K3395" s="23"/>
    </row>
    <row r="3396" spans="1:27" x14ac:dyDescent="0.2">
      <c r="D3396" s="24" t="s">
        <v>1090</v>
      </c>
      <c r="E3396" s="23"/>
      <c r="H3396" s="23"/>
      <c r="K3396" s="21">
        <f>SUM(J3395:J3395)</f>
        <v>3037.6990000000001</v>
      </c>
    </row>
    <row r="3397" spans="1:27" x14ac:dyDescent="0.2">
      <c r="B3397" s="14" t="s">
        <v>2262</v>
      </c>
      <c r="E3397" s="23"/>
      <c r="H3397" s="23"/>
      <c r="K3397" s="23"/>
    </row>
    <row r="3398" spans="1:27" x14ac:dyDescent="0.2">
      <c r="B3398" t="s">
        <v>2279</v>
      </c>
      <c r="C3398" t="s">
        <v>625</v>
      </c>
      <c r="D3398" t="s">
        <v>2274</v>
      </c>
      <c r="E3398" s="20">
        <v>0.7</v>
      </c>
      <c r="G3398" t="s">
        <v>1073</v>
      </c>
      <c r="H3398" s="21">
        <v>498.81</v>
      </c>
      <c r="I3398" t="s">
        <v>1074</v>
      </c>
      <c r="J3398" s="22">
        <f>ROUND(E3398* H3398,5)</f>
        <v>349.16699999999997</v>
      </c>
      <c r="K3398" s="23"/>
    </row>
    <row r="3399" spans="1:27" x14ac:dyDescent="0.2">
      <c r="D3399" s="24" t="s">
        <v>2265</v>
      </c>
      <c r="E3399" s="23"/>
      <c r="H3399" s="23"/>
      <c r="K3399" s="21">
        <f>SUM(J3398:J3398)</f>
        <v>349.16699999999997</v>
      </c>
    </row>
    <row r="3400" spans="1:27" x14ac:dyDescent="0.2">
      <c r="E3400" s="23"/>
      <c r="H3400" s="23"/>
      <c r="K3400" s="23"/>
    </row>
    <row r="3401" spans="1:27" x14ac:dyDescent="0.2">
      <c r="D3401" s="24" t="s">
        <v>1092</v>
      </c>
      <c r="E3401" s="23"/>
      <c r="H3401" s="23">
        <v>2.5</v>
      </c>
      <c r="I3401" t="s">
        <v>1093</v>
      </c>
      <c r="J3401">
        <f>ROUND(H3401/100*K3393,5)</f>
        <v>11.298</v>
      </c>
      <c r="K3401" s="23"/>
    </row>
    <row r="3402" spans="1:27" x14ac:dyDescent="0.2">
      <c r="D3402" s="24" t="s">
        <v>1091</v>
      </c>
      <c r="E3402" s="23"/>
      <c r="H3402" s="23"/>
      <c r="K3402" s="25">
        <f>SUM(J3390:J3401)</f>
        <v>3850.0839999999998</v>
      </c>
    </row>
    <row r="3403" spans="1:27" x14ac:dyDescent="0.2">
      <c r="D3403" s="24" t="s">
        <v>1142</v>
      </c>
      <c r="E3403" s="23"/>
      <c r="H3403" s="23">
        <v>8</v>
      </c>
      <c r="I3403" t="s">
        <v>1093</v>
      </c>
      <c r="K3403" s="21">
        <f>ROUND(H3403/100*K3402,5)</f>
        <v>308.00671999999997</v>
      </c>
    </row>
    <row r="3404" spans="1:27" x14ac:dyDescent="0.2">
      <c r="D3404" s="24" t="s">
        <v>1094</v>
      </c>
      <c r="E3404" s="23"/>
      <c r="H3404" s="23"/>
      <c r="K3404" s="25">
        <f>SUM(K3402:K3403)</f>
        <v>4158.0907200000001</v>
      </c>
    </row>
    <row r="3406" spans="1:27" ht="45" customHeight="1" x14ac:dyDescent="0.2">
      <c r="A3406" s="17" t="s">
        <v>2343</v>
      </c>
      <c r="B3406" s="17" t="s">
        <v>720</v>
      </c>
      <c r="C3406" s="1" t="s">
        <v>23</v>
      </c>
      <c r="D3406" s="96" t="s">
        <v>721</v>
      </c>
      <c r="E3406" s="97"/>
      <c r="F3406" s="97"/>
      <c r="G3406" s="1"/>
      <c r="H3406" s="18" t="s">
        <v>1066</v>
      </c>
      <c r="I3406" s="98">
        <v>1</v>
      </c>
      <c r="J3406" s="99"/>
      <c r="K3406" s="19">
        <f>ROUND(K3418,2)</f>
        <v>1412.12</v>
      </c>
      <c r="L3406" s="2" t="s">
        <v>2281</v>
      </c>
      <c r="M3406" s="1"/>
      <c r="N3406" s="1"/>
      <c r="O3406" s="1"/>
      <c r="P3406" s="1"/>
      <c r="Q3406" s="1"/>
      <c r="R3406" s="1"/>
      <c r="S3406" s="1"/>
      <c r="T3406" s="1"/>
      <c r="U3406" s="1"/>
      <c r="V3406" s="1"/>
      <c r="W3406" s="1"/>
      <c r="X3406" s="1"/>
      <c r="Y3406" s="1"/>
      <c r="Z3406" s="1"/>
      <c r="AA3406" s="1"/>
    </row>
    <row r="3407" spans="1:27" x14ac:dyDescent="0.2">
      <c r="B3407" s="14" t="s">
        <v>1068</v>
      </c>
    </row>
    <row r="3408" spans="1:27" x14ac:dyDescent="0.2">
      <c r="B3408" t="s">
        <v>2161</v>
      </c>
      <c r="C3408" t="s">
        <v>1070</v>
      </c>
      <c r="D3408" t="s">
        <v>2162</v>
      </c>
      <c r="E3408" s="20">
        <v>2</v>
      </c>
      <c r="F3408" t="s">
        <v>1072</v>
      </c>
      <c r="G3408" t="s">
        <v>1073</v>
      </c>
      <c r="H3408" s="21">
        <v>30.41</v>
      </c>
      <c r="I3408" t="s">
        <v>1074</v>
      </c>
      <c r="J3408" s="22">
        <f>ROUND(E3408/I3406* H3408,5)</f>
        <v>60.82</v>
      </c>
      <c r="K3408" s="23"/>
    </row>
    <row r="3409" spans="1:27" x14ac:dyDescent="0.2">
      <c r="B3409" t="s">
        <v>2163</v>
      </c>
      <c r="C3409" t="s">
        <v>1070</v>
      </c>
      <c r="D3409" t="s">
        <v>2164</v>
      </c>
      <c r="E3409" s="20">
        <v>2</v>
      </c>
      <c r="F3409" t="s">
        <v>1072</v>
      </c>
      <c r="G3409" t="s">
        <v>1073</v>
      </c>
      <c r="H3409" s="21">
        <v>26.08</v>
      </c>
      <c r="I3409" t="s">
        <v>1074</v>
      </c>
      <c r="J3409" s="22">
        <f>ROUND(E3409/I3406* H3409,5)</f>
        <v>52.16</v>
      </c>
      <c r="K3409" s="23"/>
    </row>
    <row r="3410" spans="1:27" x14ac:dyDescent="0.2">
      <c r="D3410" s="24" t="s">
        <v>1075</v>
      </c>
      <c r="E3410" s="23"/>
      <c r="H3410" s="23"/>
      <c r="K3410" s="21">
        <f>SUM(J3408:J3409)</f>
        <v>112.97999999999999</v>
      </c>
    </row>
    <row r="3411" spans="1:27" x14ac:dyDescent="0.2">
      <c r="B3411" s="14" t="s">
        <v>2262</v>
      </c>
      <c r="E3411" s="23"/>
      <c r="H3411" s="23"/>
      <c r="K3411" s="23"/>
    </row>
    <row r="3412" spans="1:27" x14ac:dyDescent="0.2">
      <c r="B3412" t="s">
        <v>2282</v>
      </c>
      <c r="C3412" t="s">
        <v>625</v>
      </c>
      <c r="D3412" t="s">
        <v>2281</v>
      </c>
      <c r="E3412" s="20">
        <v>0.65</v>
      </c>
      <c r="G3412" t="s">
        <v>1073</v>
      </c>
      <c r="H3412" s="21">
        <v>1833.4</v>
      </c>
      <c r="I3412" t="s">
        <v>1074</v>
      </c>
      <c r="J3412" s="22">
        <f>ROUND(E3412* H3412,5)</f>
        <v>1191.71</v>
      </c>
      <c r="K3412" s="23"/>
    </row>
    <row r="3413" spans="1:27" x14ac:dyDescent="0.2">
      <c r="D3413" s="24" t="s">
        <v>2265</v>
      </c>
      <c r="E3413" s="23"/>
      <c r="H3413" s="23"/>
      <c r="K3413" s="21">
        <f>SUM(J3412:J3412)</f>
        <v>1191.71</v>
      </c>
    </row>
    <row r="3414" spans="1:27" x14ac:dyDescent="0.2">
      <c r="E3414" s="23"/>
      <c r="H3414" s="23"/>
      <c r="K3414" s="23"/>
    </row>
    <row r="3415" spans="1:27" x14ac:dyDescent="0.2">
      <c r="D3415" s="24" t="s">
        <v>1092</v>
      </c>
      <c r="E3415" s="23"/>
      <c r="H3415" s="23">
        <v>2.5</v>
      </c>
      <c r="I3415" t="s">
        <v>1093</v>
      </c>
      <c r="J3415">
        <f>ROUND(H3415/100*K3410,5)</f>
        <v>2.8245</v>
      </c>
      <c r="K3415" s="23"/>
    </row>
    <row r="3416" spans="1:27" x14ac:dyDescent="0.2">
      <c r="D3416" s="24" t="s">
        <v>1091</v>
      </c>
      <c r="E3416" s="23"/>
      <c r="H3416" s="23"/>
      <c r="K3416" s="25">
        <f>SUM(J3407:J3415)</f>
        <v>1307.5145</v>
      </c>
    </row>
    <row r="3417" spans="1:27" x14ac:dyDescent="0.2">
      <c r="D3417" s="24" t="s">
        <v>1142</v>
      </c>
      <c r="E3417" s="23"/>
      <c r="H3417" s="23">
        <v>8</v>
      </c>
      <c r="I3417" t="s">
        <v>1093</v>
      </c>
      <c r="K3417" s="21">
        <f>ROUND(H3417/100*K3416,5)</f>
        <v>104.60115999999999</v>
      </c>
    </row>
    <row r="3418" spans="1:27" x14ac:dyDescent="0.2">
      <c r="D3418" s="24" t="s">
        <v>1094</v>
      </c>
      <c r="E3418" s="23"/>
      <c r="H3418" s="23"/>
      <c r="K3418" s="25">
        <f>SUM(K3416:K3417)</f>
        <v>1412.1156599999999</v>
      </c>
    </row>
    <row r="3420" spans="1:27" ht="45" customHeight="1" x14ac:dyDescent="0.2">
      <c r="A3420" s="17" t="s">
        <v>2349</v>
      </c>
      <c r="B3420" s="17" t="s">
        <v>746</v>
      </c>
      <c r="C3420" s="1" t="s">
        <v>23</v>
      </c>
      <c r="D3420" s="96" t="s">
        <v>747</v>
      </c>
      <c r="E3420" s="97"/>
      <c r="F3420" s="97"/>
      <c r="G3420" s="1"/>
      <c r="H3420" s="18" t="s">
        <v>1066</v>
      </c>
      <c r="I3420" s="98">
        <v>1</v>
      </c>
      <c r="J3420" s="99"/>
      <c r="K3420" s="19">
        <f>ROUND(K3432,2)</f>
        <v>88.57</v>
      </c>
      <c r="L3420" s="2" t="s">
        <v>2284</v>
      </c>
      <c r="M3420" s="1"/>
      <c r="N3420" s="1"/>
      <c r="O3420" s="1"/>
      <c r="P3420" s="1"/>
      <c r="Q3420" s="1"/>
      <c r="R3420" s="1"/>
      <c r="S3420" s="1"/>
      <c r="T3420" s="1"/>
      <c r="U3420" s="1"/>
      <c r="V3420" s="1"/>
      <c r="W3420" s="1"/>
      <c r="X3420" s="1"/>
      <c r="Y3420" s="1"/>
      <c r="Z3420" s="1"/>
      <c r="AA3420" s="1"/>
    </row>
    <row r="3421" spans="1:27" x14ac:dyDescent="0.2">
      <c r="B3421" s="14" t="s">
        <v>1068</v>
      </c>
    </row>
    <row r="3422" spans="1:27" x14ac:dyDescent="0.2">
      <c r="B3422" t="s">
        <v>2161</v>
      </c>
      <c r="C3422" t="s">
        <v>1070</v>
      </c>
      <c r="D3422" t="s">
        <v>2162</v>
      </c>
      <c r="E3422" s="20">
        <v>0.3</v>
      </c>
      <c r="F3422" t="s">
        <v>1072</v>
      </c>
      <c r="G3422" t="s">
        <v>1073</v>
      </c>
      <c r="H3422" s="21">
        <v>30.41</v>
      </c>
      <c r="I3422" t="s">
        <v>1074</v>
      </c>
      <c r="J3422" s="22">
        <f>ROUND(E3422/I3420* H3422,5)</f>
        <v>9.1229999999999993</v>
      </c>
      <c r="K3422" s="23"/>
    </row>
    <row r="3423" spans="1:27" x14ac:dyDescent="0.2">
      <c r="B3423" t="s">
        <v>2163</v>
      </c>
      <c r="C3423" t="s">
        <v>1070</v>
      </c>
      <c r="D3423" t="s">
        <v>2164</v>
      </c>
      <c r="E3423" s="20">
        <v>0.3</v>
      </c>
      <c r="F3423" t="s">
        <v>1072</v>
      </c>
      <c r="G3423" t="s">
        <v>1073</v>
      </c>
      <c r="H3423" s="21">
        <v>26.08</v>
      </c>
      <c r="I3423" t="s">
        <v>1074</v>
      </c>
      <c r="J3423" s="22">
        <f>ROUND(E3423/I3420* H3423,5)</f>
        <v>7.8239999999999998</v>
      </c>
      <c r="K3423" s="23"/>
    </row>
    <row r="3424" spans="1:27" x14ac:dyDescent="0.2">
      <c r="D3424" s="24" t="s">
        <v>1075</v>
      </c>
      <c r="E3424" s="23"/>
      <c r="H3424" s="23"/>
      <c r="K3424" s="21">
        <f>SUM(J3422:J3423)</f>
        <v>16.946999999999999</v>
      </c>
    </row>
    <row r="3425" spans="1:27" x14ac:dyDescent="0.2">
      <c r="B3425" s="14" t="s">
        <v>1080</v>
      </c>
      <c r="E3425" s="23"/>
      <c r="H3425" s="23"/>
      <c r="K3425" s="23"/>
    </row>
    <row r="3426" spans="1:27" x14ac:dyDescent="0.2">
      <c r="B3426" t="s">
        <v>2285</v>
      </c>
      <c r="C3426" t="s">
        <v>23</v>
      </c>
      <c r="D3426" t="s">
        <v>2286</v>
      </c>
      <c r="E3426" s="20">
        <v>1</v>
      </c>
      <c r="G3426" t="s">
        <v>1073</v>
      </c>
      <c r="H3426" s="21">
        <v>64.81</v>
      </c>
      <c r="I3426" t="s">
        <v>1074</v>
      </c>
      <c r="J3426" s="22">
        <f>ROUND(E3426* H3426,5)</f>
        <v>64.81</v>
      </c>
      <c r="K3426" s="23"/>
    </row>
    <row r="3427" spans="1:27" x14ac:dyDescent="0.2">
      <c r="D3427" s="24" t="s">
        <v>1090</v>
      </c>
      <c r="E3427" s="23"/>
      <c r="H3427" s="23"/>
      <c r="K3427" s="21">
        <f>SUM(J3426:J3426)</f>
        <v>64.81</v>
      </c>
    </row>
    <row r="3428" spans="1:27" x14ac:dyDescent="0.2">
      <c r="E3428" s="23"/>
      <c r="H3428" s="23"/>
      <c r="K3428" s="23"/>
    </row>
    <row r="3429" spans="1:27" x14ac:dyDescent="0.2">
      <c r="D3429" s="24" t="s">
        <v>1092</v>
      </c>
      <c r="E3429" s="23"/>
      <c r="H3429" s="23">
        <v>1.5</v>
      </c>
      <c r="I3429" t="s">
        <v>1093</v>
      </c>
      <c r="J3429">
        <f>ROUND(H3429/100*K3424,5)</f>
        <v>0.25420999999999999</v>
      </c>
      <c r="K3429" s="23"/>
    </row>
    <row r="3430" spans="1:27" x14ac:dyDescent="0.2">
      <c r="D3430" s="24" t="s">
        <v>1091</v>
      </c>
      <c r="E3430" s="23"/>
      <c r="H3430" s="23"/>
      <c r="K3430" s="25">
        <f>SUM(J3421:J3429)</f>
        <v>82.011210000000005</v>
      </c>
    </row>
    <row r="3431" spans="1:27" x14ac:dyDescent="0.2">
      <c r="D3431" s="24" t="s">
        <v>1142</v>
      </c>
      <c r="E3431" s="23"/>
      <c r="H3431" s="23">
        <v>8</v>
      </c>
      <c r="I3431" t="s">
        <v>1093</v>
      </c>
      <c r="K3431" s="21">
        <f>ROUND(H3431/100*K3430,5)</f>
        <v>6.5609000000000002</v>
      </c>
    </row>
    <row r="3432" spans="1:27" x14ac:dyDescent="0.2">
      <c r="D3432" s="24" t="s">
        <v>1094</v>
      </c>
      <c r="E3432" s="23"/>
      <c r="H3432" s="23"/>
      <c r="K3432" s="25">
        <f>SUM(K3430:K3431)</f>
        <v>88.572110000000009</v>
      </c>
    </row>
    <row r="3434" spans="1:27" ht="45" customHeight="1" x14ac:dyDescent="0.2">
      <c r="A3434" s="17" t="s">
        <v>2357</v>
      </c>
      <c r="B3434" s="17" t="s">
        <v>744</v>
      </c>
      <c r="C3434" s="1" t="s">
        <v>23</v>
      </c>
      <c r="D3434" s="96" t="s">
        <v>745</v>
      </c>
      <c r="E3434" s="97"/>
      <c r="F3434" s="97"/>
      <c r="G3434" s="1"/>
      <c r="H3434" s="18" t="s">
        <v>1066</v>
      </c>
      <c r="I3434" s="98">
        <v>1</v>
      </c>
      <c r="J3434" s="99"/>
      <c r="K3434" s="19">
        <f>ROUND(K3446,2)</f>
        <v>34.06</v>
      </c>
      <c r="L3434" s="2" t="s">
        <v>2288</v>
      </c>
      <c r="M3434" s="1"/>
      <c r="N3434" s="1"/>
      <c r="O3434" s="1"/>
      <c r="P3434" s="1"/>
      <c r="Q3434" s="1"/>
      <c r="R3434" s="1"/>
      <c r="S3434" s="1"/>
      <c r="T3434" s="1"/>
      <c r="U3434" s="1"/>
      <c r="V3434" s="1"/>
      <c r="W3434" s="1"/>
      <c r="X3434" s="1"/>
      <c r="Y3434" s="1"/>
      <c r="Z3434" s="1"/>
      <c r="AA3434" s="1"/>
    </row>
    <row r="3435" spans="1:27" x14ac:dyDescent="0.2">
      <c r="B3435" s="14" t="s">
        <v>1068</v>
      </c>
    </row>
    <row r="3436" spans="1:27" x14ac:dyDescent="0.2">
      <c r="B3436" t="s">
        <v>2161</v>
      </c>
      <c r="C3436" t="s">
        <v>1070</v>
      </c>
      <c r="D3436" t="s">
        <v>2162</v>
      </c>
      <c r="E3436" s="20">
        <v>0.3</v>
      </c>
      <c r="F3436" t="s">
        <v>1072</v>
      </c>
      <c r="G3436" t="s">
        <v>1073</v>
      </c>
      <c r="H3436" s="21">
        <v>30.41</v>
      </c>
      <c r="I3436" t="s">
        <v>1074</v>
      </c>
      <c r="J3436" s="22">
        <f>ROUND(E3436/I3434* H3436,5)</f>
        <v>9.1229999999999993</v>
      </c>
      <c r="K3436" s="23"/>
    </row>
    <row r="3437" spans="1:27" x14ac:dyDescent="0.2">
      <c r="B3437" t="s">
        <v>2163</v>
      </c>
      <c r="C3437" t="s">
        <v>1070</v>
      </c>
      <c r="D3437" t="s">
        <v>2164</v>
      </c>
      <c r="E3437" s="20">
        <v>0.3</v>
      </c>
      <c r="F3437" t="s">
        <v>1072</v>
      </c>
      <c r="G3437" t="s">
        <v>1073</v>
      </c>
      <c r="H3437" s="21">
        <v>26.08</v>
      </c>
      <c r="I3437" t="s">
        <v>1074</v>
      </c>
      <c r="J3437" s="22">
        <f>ROUND(E3437/I3434* H3437,5)</f>
        <v>7.8239999999999998</v>
      </c>
      <c r="K3437" s="23"/>
    </row>
    <row r="3438" spans="1:27" x14ac:dyDescent="0.2">
      <c r="D3438" s="24" t="s">
        <v>1075</v>
      </c>
      <c r="E3438" s="23"/>
      <c r="H3438" s="23"/>
      <c r="K3438" s="21">
        <f>SUM(J3436:J3437)</f>
        <v>16.946999999999999</v>
      </c>
    </row>
    <row r="3439" spans="1:27" x14ac:dyDescent="0.2">
      <c r="B3439" s="14" t="s">
        <v>1080</v>
      </c>
      <c r="E3439" s="23"/>
      <c r="H3439" s="23"/>
      <c r="K3439" s="23"/>
    </row>
    <row r="3440" spans="1:27" x14ac:dyDescent="0.2">
      <c r="B3440" t="s">
        <v>2289</v>
      </c>
      <c r="C3440" t="s">
        <v>23</v>
      </c>
      <c r="D3440" t="s">
        <v>2290</v>
      </c>
      <c r="E3440" s="20">
        <v>1</v>
      </c>
      <c r="G3440" t="s">
        <v>1073</v>
      </c>
      <c r="H3440" s="21">
        <v>14.34</v>
      </c>
      <c r="I3440" t="s">
        <v>1074</v>
      </c>
      <c r="J3440" s="22">
        <f>ROUND(E3440* H3440,5)</f>
        <v>14.34</v>
      </c>
      <c r="K3440" s="23"/>
    </row>
    <row r="3441" spans="1:27" x14ac:dyDescent="0.2">
      <c r="D3441" s="24" t="s">
        <v>1090</v>
      </c>
      <c r="E3441" s="23"/>
      <c r="H3441" s="23"/>
      <c r="K3441" s="21">
        <f>SUM(J3440:J3440)</f>
        <v>14.34</v>
      </c>
    </row>
    <row r="3442" spans="1:27" x14ac:dyDescent="0.2">
      <c r="E3442" s="23"/>
      <c r="H3442" s="23"/>
      <c r="K3442" s="23"/>
    </row>
    <row r="3443" spans="1:27" x14ac:dyDescent="0.2">
      <c r="D3443" s="24" t="s">
        <v>1092</v>
      </c>
      <c r="E3443" s="23"/>
      <c r="H3443" s="23">
        <v>1.5</v>
      </c>
      <c r="I3443" t="s">
        <v>1093</v>
      </c>
      <c r="J3443">
        <f>ROUND(H3443/100*K3438,5)</f>
        <v>0.25420999999999999</v>
      </c>
      <c r="K3443" s="23"/>
    </row>
    <row r="3444" spans="1:27" x14ac:dyDescent="0.2">
      <c r="D3444" s="24" t="s">
        <v>1091</v>
      </c>
      <c r="E3444" s="23"/>
      <c r="H3444" s="23"/>
      <c r="K3444" s="25">
        <f>SUM(J3435:J3443)</f>
        <v>31.54121</v>
      </c>
    </row>
    <row r="3445" spans="1:27" x14ac:dyDescent="0.2">
      <c r="D3445" s="24" t="s">
        <v>1142</v>
      </c>
      <c r="E3445" s="23"/>
      <c r="H3445" s="23">
        <v>8</v>
      </c>
      <c r="I3445" t="s">
        <v>1093</v>
      </c>
      <c r="K3445" s="21">
        <f>ROUND(H3445/100*K3444,5)</f>
        <v>2.5232999999999999</v>
      </c>
    </row>
    <row r="3446" spans="1:27" x14ac:dyDescent="0.2">
      <c r="D3446" s="24" t="s">
        <v>1094</v>
      </c>
      <c r="E3446" s="23"/>
      <c r="H3446" s="23"/>
      <c r="K3446" s="25">
        <f>SUM(K3444:K3445)</f>
        <v>34.064509999999999</v>
      </c>
    </row>
    <row r="3448" spans="1:27" ht="45" customHeight="1" x14ac:dyDescent="0.2">
      <c r="A3448" s="17" t="s">
        <v>2363</v>
      </c>
      <c r="B3448" s="17" t="s">
        <v>741</v>
      </c>
      <c r="C3448" s="1" t="s">
        <v>742</v>
      </c>
      <c r="D3448" s="96" t="s">
        <v>743</v>
      </c>
      <c r="E3448" s="97"/>
      <c r="F3448" s="97"/>
      <c r="G3448" s="1"/>
      <c r="H3448" s="18" t="s">
        <v>1066</v>
      </c>
      <c r="I3448" s="98">
        <v>1</v>
      </c>
      <c r="J3448" s="99"/>
      <c r="K3448" s="19">
        <f>ROUND(K3460,2)</f>
        <v>21.04</v>
      </c>
      <c r="L3448" s="2" t="s">
        <v>2292</v>
      </c>
      <c r="M3448" s="1"/>
      <c r="N3448" s="1"/>
      <c r="O3448" s="1"/>
      <c r="P3448" s="1"/>
      <c r="Q3448" s="1"/>
      <c r="R3448" s="1"/>
      <c r="S3448" s="1"/>
      <c r="T3448" s="1"/>
      <c r="U3448" s="1"/>
      <c r="V3448" s="1"/>
      <c r="W3448" s="1"/>
      <c r="X3448" s="1"/>
      <c r="Y3448" s="1"/>
      <c r="Z3448" s="1"/>
      <c r="AA3448" s="1"/>
    </row>
    <row r="3449" spans="1:27" x14ac:dyDescent="0.2">
      <c r="B3449" s="14" t="s">
        <v>1068</v>
      </c>
    </row>
    <row r="3450" spans="1:27" x14ac:dyDescent="0.2">
      <c r="B3450" t="s">
        <v>2163</v>
      </c>
      <c r="C3450" t="s">
        <v>1070</v>
      </c>
      <c r="D3450" t="s">
        <v>2164</v>
      </c>
      <c r="E3450" s="20">
        <v>0.2</v>
      </c>
      <c r="F3450" t="s">
        <v>1072</v>
      </c>
      <c r="G3450" t="s">
        <v>1073</v>
      </c>
      <c r="H3450" s="21">
        <v>26.08</v>
      </c>
      <c r="I3450" t="s">
        <v>1074</v>
      </c>
      <c r="J3450" s="22">
        <f>ROUND(E3450/I3448* H3450,5)</f>
        <v>5.2160000000000002</v>
      </c>
      <c r="K3450" s="23"/>
    </row>
    <row r="3451" spans="1:27" x14ac:dyDescent="0.2">
      <c r="B3451" t="s">
        <v>2161</v>
      </c>
      <c r="C3451" t="s">
        <v>1070</v>
      </c>
      <c r="D3451" t="s">
        <v>2162</v>
      </c>
      <c r="E3451" s="20">
        <v>0.2</v>
      </c>
      <c r="F3451" t="s">
        <v>1072</v>
      </c>
      <c r="G3451" t="s">
        <v>1073</v>
      </c>
      <c r="H3451" s="21">
        <v>30.41</v>
      </c>
      <c r="I3451" t="s">
        <v>1074</v>
      </c>
      <c r="J3451" s="22">
        <f>ROUND(E3451/I3448* H3451,5)</f>
        <v>6.0819999999999999</v>
      </c>
      <c r="K3451" s="23"/>
    </row>
    <row r="3452" spans="1:27" x14ac:dyDescent="0.2">
      <c r="D3452" s="24" t="s">
        <v>1075</v>
      </c>
      <c r="E3452" s="23"/>
      <c r="H3452" s="23"/>
      <c r="K3452" s="21">
        <f>SUM(J3450:J3451)</f>
        <v>11.298</v>
      </c>
    </row>
    <row r="3453" spans="1:27" x14ac:dyDescent="0.2">
      <c r="B3453" s="14" t="s">
        <v>1080</v>
      </c>
      <c r="E3453" s="23"/>
      <c r="H3453" s="23"/>
      <c r="K3453" s="23"/>
    </row>
    <row r="3454" spans="1:27" x14ac:dyDescent="0.2">
      <c r="B3454" t="s">
        <v>2293</v>
      </c>
      <c r="C3454" t="s">
        <v>23</v>
      </c>
      <c r="D3454" t="s">
        <v>2294</v>
      </c>
      <c r="E3454" s="20">
        <v>1</v>
      </c>
      <c r="G3454" t="s">
        <v>1073</v>
      </c>
      <c r="H3454" s="21">
        <v>8.01</v>
      </c>
      <c r="I3454" t="s">
        <v>1074</v>
      </c>
      <c r="J3454" s="22">
        <f>ROUND(E3454* H3454,5)</f>
        <v>8.01</v>
      </c>
      <c r="K3454" s="23"/>
    </row>
    <row r="3455" spans="1:27" x14ac:dyDescent="0.2">
      <c r="D3455" s="24" t="s">
        <v>1090</v>
      </c>
      <c r="E3455" s="23"/>
      <c r="H3455" s="23"/>
      <c r="K3455" s="21">
        <f>SUM(J3454:J3454)</f>
        <v>8.01</v>
      </c>
    </row>
    <row r="3456" spans="1:27" x14ac:dyDescent="0.2">
      <c r="E3456" s="23"/>
      <c r="H3456" s="23"/>
      <c r="K3456" s="23"/>
    </row>
    <row r="3457" spans="1:27" x14ac:dyDescent="0.2">
      <c r="D3457" s="24" t="s">
        <v>1092</v>
      </c>
      <c r="E3457" s="23"/>
      <c r="H3457" s="23">
        <v>1.5</v>
      </c>
      <c r="I3457" t="s">
        <v>1093</v>
      </c>
      <c r="J3457">
        <f>ROUND(H3457/100*K3452,5)</f>
        <v>0.16947000000000001</v>
      </c>
      <c r="K3457" s="23"/>
    </row>
    <row r="3458" spans="1:27" x14ac:dyDescent="0.2">
      <c r="D3458" s="24" t="s">
        <v>1091</v>
      </c>
      <c r="E3458" s="23"/>
      <c r="H3458" s="23"/>
      <c r="K3458" s="25">
        <f>SUM(J3449:J3457)</f>
        <v>19.47747</v>
      </c>
    </row>
    <row r="3459" spans="1:27" x14ac:dyDescent="0.2">
      <c r="D3459" s="24" t="s">
        <v>1142</v>
      </c>
      <c r="E3459" s="23"/>
      <c r="H3459" s="23">
        <v>8</v>
      </c>
      <c r="I3459" t="s">
        <v>1093</v>
      </c>
      <c r="K3459" s="21">
        <f>ROUND(H3459/100*K3458,5)</f>
        <v>1.5582</v>
      </c>
    </row>
    <row r="3460" spans="1:27" x14ac:dyDescent="0.2">
      <c r="D3460" s="24" t="s">
        <v>1094</v>
      </c>
      <c r="E3460" s="23"/>
      <c r="H3460" s="23"/>
      <c r="K3460" s="25">
        <f>SUM(K3458:K3459)</f>
        <v>21.03567</v>
      </c>
    </row>
    <row r="3462" spans="1:27" ht="45" customHeight="1" x14ac:dyDescent="0.2">
      <c r="A3462" s="17" t="s">
        <v>2369</v>
      </c>
      <c r="B3462" s="17" t="s">
        <v>722</v>
      </c>
      <c r="C3462" s="1" t="s">
        <v>23</v>
      </c>
      <c r="D3462" s="96" t="s">
        <v>723</v>
      </c>
      <c r="E3462" s="97"/>
      <c r="F3462" s="97"/>
      <c r="G3462" s="1"/>
      <c r="H3462" s="18" t="s">
        <v>1066</v>
      </c>
      <c r="I3462" s="98">
        <v>1</v>
      </c>
      <c r="J3462" s="99"/>
      <c r="K3462" s="19">
        <f>ROUND(K3475,2)</f>
        <v>469.63</v>
      </c>
      <c r="L3462" s="2" t="s">
        <v>2296</v>
      </c>
      <c r="M3462" s="1"/>
      <c r="N3462" s="1"/>
      <c r="O3462" s="1"/>
      <c r="P3462" s="1"/>
      <c r="Q3462" s="1"/>
      <c r="R3462" s="1"/>
      <c r="S3462" s="1"/>
      <c r="T3462" s="1"/>
      <c r="U3462" s="1"/>
      <c r="V3462" s="1"/>
      <c r="W3462" s="1"/>
      <c r="X3462" s="1"/>
      <c r="Y3462" s="1"/>
      <c r="Z3462" s="1"/>
      <c r="AA3462" s="1"/>
    </row>
    <row r="3463" spans="1:27" x14ac:dyDescent="0.2">
      <c r="B3463" s="14" t="s">
        <v>1068</v>
      </c>
    </row>
    <row r="3464" spans="1:27" x14ac:dyDescent="0.2">
      <c r="B3464" t="s">
        <v>2163</v>
      </c>
      <c r="C3464" t="s">
        <v>1070</v>
      </c>
      <c r="D3464" t="s">
        <v>2164</v>
      </c>
      <c r="E3464" s="20">
        <v>3</v>
      </c>
      <c r="F3464" t="s">
        <v>1072</v>
      </c>
      <c r="G3464" t="s">
        <v>1073</v>
      </c>
      <c r="H3464" s="21">
        <v>26.08</v>
      </c>
      <c r="I3464" t="s">
        <v>1074</v>
      </c>
      <c r="J3464" s="22">
        <f>ROUND(E3464/I3462* H3464,5)</f>
        <v>78.239999999999995</v>
      </c>
      <c r="K3464" s="23"/>
    </row>
    <row r="3465" spans="1:27" x14ac:dyDescent="0.2">
      <c r="B3465" t="s">
        <v>2161</v>
      </c>
      <c r="C3465" t="s">
        <v>1070</v>
      </c>
      <c r="D3465" t="s">
        <v>2162</v>
      </c>
      <c r="E3465" s="20">
        <v>3</v>
      </c>
      <c r="F3465" t="s">
        <v>1072</v>
      </c>
      <c r="G3465" t="s">
        <v>1073</v>
      </c>
      <c r="H3465" s="21">
        <v>30.41</v>
      </c>
      <c r="I3465" t="s">
        <v>1074</v>
      </c>
      <c r="J3465" s="22">
        <f>ROUND(E3465/I3462* H3465,5)</f>
        <v>91.23</v>
      </c>
      <c r="K3465" s="23"/>
    </row>
    <row r="3466" spans="1:27" x14ac:dyDescent="0.2">
      <c r="D3466" s="24" t="s">
        <v>1075</v>
      </c>
      <c r="E3466" s="23"/>
      <c r="H3466" s="23"/>
      <c r="K3466" s="21">
        <f>SUM(J3464:J3465)</f>
        <v>169.47</v>
      </c>
    </row>
    <row r="3467" spans="1:27" x14ac:dyDescent="0.2">
      <c r="B3467" s="14" t="s">
        <v>1080</v>
      </c>
      <c r="E3467" s="23"/>
      <c r="H3467" s="23"/>
      <c r="K3467" s="23"/>
    </row>
    <row r="3468" spans="1:27" x14ac:dyDescent="0.2">
      <c r="B3468" t="s">
        <v>2299</v>
      </c>
      <c r="C3468" t="s">
        <v>23</v>
      </c>
      <c r="D3468" t="s">
        <v>2300</v>
      </c>
      <c r="E3468" s="20">
        <v>1</v>
      </c>
      <c r="G3468" t="s">
        <v>1073</v>
      </c>
      <c r="H3468" s="21">
        <v>226.84</v>
      </c>
      <c r="I3468" t="s">
        <v>1074</v>
      </c>
      <c r="J3468" s="22">
        <f>ROUND(E3468* H3468,5)</f>
        <v>226.84</v>
      </c>
      <c r="K3468" s="23"/>
    </row>
    <row r="3469" spans="1:27" x14ac:dyDescent="0.2">
      <c r="B3469" t="s">
        <v>2297</v>
      </c>
      <c r="C3469" t="s">
        <v>23</v>
      </c>
      <c r="D3469" t="s">
        <v>2298</v>
      </c>
      <c r="E3469" s="20">
        <v>2</v>
      </c>
      <c r="G3469" t="s">
        <v>1073</v>
      </c>
      <c r="H3469" s="21">
        <v>17.149999999999999</v>
      </c>
      <c r="I3469" t="s">
        <v>1074</v>
      </c>
      <c r="J3469" s="22">
        <f>ROUND(E3469* H3469,5)</f>
        <v>34.299999999999997</v>
      </c>
      <c r="K3469" s="23"/>
    </row>
    <row r="3470" spans="1:27" x14ac:dyDescent="0.2">
      <c r="D3470" s="24" t="s">
        <v>1090</v>
      </c>
      <c r="E3470" s="23"/>
      <c r="H3470" s="23"/>
      <c r="K3470" s="21">
        <f>SUM(J3468:J3469)</f>
        <v>261.14</v>
      </c>
    </row>
    <row r="3471" spans="1:27" x14ac:dyDescent="0.2">
      <c r="E3471" s="23"/>
      <c r="H3471" s="23"/>
      <c r="K3471" s="23"/>
    </row>
    <row r="3472" spans="1:27" x14ac:dyDescent="0.2">
      <c r="D3472" s="24" t="s">
        <v>1092</v>
      </c>
      <c r="E3472" s="23"/>
      <c r="H3472" s="23">
        <v>2.5</v>
      </c>
      <c r="I3472" t="s">
        <v>1093</v>
      </c>
      <c r="J3472">
        <f>ROUND(H3472/100*K3466,5)</f>
        <v>4.2367499999999998</v>
      </c>
      <c r="K3472" s="23"/>
    </row>
    <row r="3473" spans="1:27" x14ac:dyDescent="0.2">
      <c r="D3473" s="24" t="s">
        <v>1091</v>
      </c>
      <c r="E3473" s="23"/>
      <c r="H3473" s="23"/>
      <c r="K3473" s="25">
        <f>SUM(J3463:J3472)</f>
        <v>434.84674999999999</v>
      </c>
    </row>
    <row r="3474" spans="1:27" x14ac:dyDescent="0.2">
      <c r="D3474" s="24" t="s">
        <v>1142</v>
      </c>
      <c r="E3474" s="23"/>
      <c r="H3474" s="23">
        <v>8</v>
      </c>
      <c r="I3474" t="s">
        <v>1093</v>
      </c>
      <c r="K3474" s="21">
        <f>ROUND(H3474/100*K3473,5)</f>
        <v>34.787739999999999</v>
      </c>
    </row>
    <row r="3475" spans="1:27" x14ac:dyDescent="0.2">
      <c r="D3475" s="24" t="s">
        <v>1094</v>
      </c>
      <c r="E3475" s="23"/>
      <c r="H3475" s="23"/>
      <c r="K3475" s="25">
        <f>SUM(K3473:K3474)</f>
        <v>469.63448999999997</v>
      </c>
    </row>
    <row r="3477" spans="1:27" ht="45" customHeight="1" x14ac:dyDescent="0.2">
      <c r="A3477" s="17" t="s">
        <v>2373</v>
      </c>
      <c r="B3477" s="17" t="s">
        <v>861</v>
      </c>
      <c r="C3477" s="1" t="s">
        <v>23</v>
      </c>
      <c r="D3477" s="96" t="s">
        <v>862</v>
      </c>
      <c r="E3477" s="97"/>
      <c r="F3477" s="97"/>
      <c r="G3477" s="1"/>
      <c r="H3477" s="18" t="s">
        <v>1066</v>
      </c>
      <c r="I3477" s="98">
        <v>1</v>
      </c>
      <c r="J3477" s="99"/>
      <c r="K3477" s="19">
        <v>1080</v>
      </c>
      <c r="L3477" s="2" t="s">
        <v>2302</v>
      </c>
      <c r="M3477" s="1"/>
      <c r="N3477" s="1"/>
      <c r="O3477" s="1"/>
      <c r="P3477" s="1"/>
      <c r="Q3477" s="1"/>
      <c r="R3477" s="1"/>
      <c r="S3477" s="1"/>
      <c r="T3477" s="1"/>
      <c r="U3477" s="1"/>
      <c r="V3477" s="1"/>
      <c r="W3477" s="1"/>
      <c r="X3477" s="1"/>
      <c r="Y3477" s="1"/>
      <c r="Z3477" s="1"/>
      <c r="AA3477" s="1"/>
    </row>
    <row r="3478" spans="1:27" ht="45" customHeight="1" x14ac:dyDescent="0.2">
      <c r="A3478" s="17" t="s">
        <v>2377</v>
      </c>
      <c r="B3478" s="17" t="s">
        <v>622</v>
      </c>
      <c r="C3478" s="1" t="s">
        <v>36</v>
      </c>
      <c r="D3478" s="96" t="s">
        <v>623</v>
      </c>
      <c r="E3478" s="97"/>
      <c r="F3478" s="97"/>
      <c r="G3478" s="1"/>
      <c r="H3478" s="18" t="s">
        <v>1066</v>
      </c>
      <c r="I3478" s="98">
        <v>1</v>
      </c>
      <c r="J3478" s="99"/>
      <c r="K3478" s="19">
        <f>ROUND(K3493,2)</f>
        <v>13.74</v>
      </c>
      <c r="L3478" s="2" t="s">
        <v>2304</v>
      </c>
      <c r="M3478" s="1"/>
      <c r="N3478" s="1"/>
      <c r="O3478" s="1"/>
      <c r="P3478" s="1"/>
      <c r="Q3478" s="1"/>
      <c r="R3478" s="1"/>
      <c r="S3478" s="1"/>
      <c r="T3478" s="1"/>
      <c r="U3478" s="1"/>
      <c r="V3478" s="1"/>
      <c r="W3478" s="1"/>
      <c r="X3478" s="1"/>
      <c r="Y3478" s="1"/>
      <c r="Z3478" s="1"/>
      <c r="AA3478" s="1"/>
    </row>
    <row r="3479" spans="1:27" x14ac:dyDescent="0.2">
      <c r="B3479" s="14" t="s">
        <v>1068</v>
      </c>
    </row>
    <row r="3480" spans="1:27" x14ac:dyDescent="0.2">
      <c r="B3480" t="s">
        <v>1138</v>
      </c>
      <c r="C3480" t="s">
        <v>1070</v>
      </c>
      <c r="D3480" t="s">
        <v>1139</v>
      </c>
      <c r="E3480" s="20">
        <v>0.14000000000000001</v>
      </c>
      <c r="F3480" t="s">
        <v>1072</v>
      </c>
      <c r="G3480" t="s">
        <v>1073</v>
      </c>
      <c r="H3480" s="21">
        <v>26.12</v>
      </c>
      <c r="I3480" t="s">
        <v>1074</v>
      </c>
      <c r="J3480" s="22">
        <f>ROUND(E3480/I3478* H3480,5)</f>
        <v>3.6568000000000001</v>
      </c>
      <c r="K3480" s="23"/>
    </row>
    <row r="3481" spans="1:27" x14ac:dyDescent="0.2">
      <c r="B3481" t="s">
        <v>1136</v>
      </c>
      <c r="C3481" t="s">
        <v>1070</v>
      </c>
      <c r="D3481" t="s">
        <v>1137</v>
      </c>
      <c r="E3481" s="20">
        <v>0.14000000000000001</v>
      </c>
      <c r="F3481" t="s">
        <v>1072</v>
      </c>
      <c r="G3481" t="s">
        <v>1073</v>
      </c>
      <c r="H3481" s="21">
        <v>30.41</v>
      </c>
      <c r="I3481" t="s">
        <v>1074</v>
      </c>
      <c r="J3481" s="22">
        <f>ROUND(E3481/I3478* H3481,5)</f>
        <v>4.2573999999999996</v>
      </c>
      <c r="K3481" s="23"/>
    </row>
    <row r="3482" spans="1:27" x14ac:dyDescent="0.2">
      <c r="D3482" s="24" t="s">
        <v>1075</v>
      </c>
      <c r="E3482" s="23"/>
      <c r="H3482" s="23"/>
      <c r="K3482" s="21">
        <f>SUM(J3480:J3481)</f>
        <v>7.9141999999999992</v>
      </c>
    </row>
    <row r="3483" spans="1:27" x14ac:dyDescent="0.2">
      <c r="B3483" s="14" t="s">
        <v>1080</v>
      </c>
      <c r="E3483" s="23"/>
      <c r="H3483" s="23"/>
      <c r="K3483" s="23"/>
    </row>
    <row r="3484" spans="1:27" x14ac:dyDescent="0.2">
      <c r="B3484" t="s">
        <v>2311</v>
      </c>
      <c r="C3484" t="s">
        <v>23</v>
      </c>
      <c r="D3484" t="s">
        <v>2312</v>
      </c>
      <c r="E3484" s="20">
        <v>1</v>
      </c>
      <c r="G3484" t="s">
        <v>1073</v>
      </c>
      <c r="H3484" s="21">
        <v>0.4</v>
      </c>
      <c r="I3484" t="s">
        <v>1074</v>
      </c>
      <c r="J3484" s="22">
        <f>ROUND(E3484* H3484,5)</f>
        <v>0.4</v>
      </c>
      <c r="K3484" s="23"/>
    </row>
    <row r="3485" spans="1:27" x14ac:dyDescent="0.2">
      <c r="B3485" t="s">
        <v>2305</v>
      </c>
      <c r="C3485" t="s">
        <v>23</v>
      </c>
      <c r="D3485" t="s">
        <v>2306</v>
      </c>
      <c r="E3485" s="20">
        <v>0.5</v>
      </c>
      <c r="G3485" t="s">
        <v>1073</v>
      </c>
      <c r="H3485" s="21">
        <v>0.45</v>
      </c>
      <c r="I3485" t="s">
        <v>1074</v>
      </c>
      <c r="J3485" s="22">
        <f>ROUND(E3485* H3485,5)</f>
        <v>0.22500000000000001</v>
      </c>
      <c r="K3485" s="23"/>
    </row>
    <row r="3486" spans="1:27" x14ac:dyDescent="0.2">
      <c r="B3486" t="s">
        <v>2309</v>
      </c>
      <c r="C3486" t="s">
        <v>23</v>
      </c>
      <c r="D3486" t="s">
        <v>2310</v>
      </c>
      <c r="E3486" s="20">
        <v>0.3</v>
      </c>
      <c r="G3486" t="s">
        <v>1073</v>
      </c>
      <c r="H3486" s="21">
        <v>2.0299999999999998</v>
      </c>
      <c r="I3486" t="s">
        <v>1074</v>
      </c>
      <c r="J3486" s="22">
        <f>ROUND(E3486* H3486,5)</f>
        <v>0.60899999999999999</v>
      </c>
      <c r="K3486" s="23"/>
    </row>
    <row r="3487" spans="1:27" x14ac:dyDescent="0.2">
      <c r="B3487" t="s">
        <v>2307</v>
      </c>
      <c r="C3487" t="s">
        <v>36</v>
      </c>
      <c r="D3487" t="s">
        <v>2308</v>
      </c>
      <c r="E3487" s="20">
        <v>1.02</v>
      </c>
      <c r="G3487" t="s">
        <v>1073</v>
      </c>
      <c r="H3487" s="21">
        <v>3.39</v>
      </c>
      <c r="I3487" t="s">
        <v>1074</v>
      </c>
      <c r="J3487" s="22">
        <f>ROUND(E3487* H3487,5)</f>
        <v>3.4578000000000002</v>
      </c>
      <c r="K3487" s="23"/>
    </row>
    <row r="3488" spans="1:27" x14ac:dyDescent="0.2">
      <c r="D3488" s="24" t="s">
        <v>1090</v>
      </c>
      <c r="E3488" s="23"/>
      <c r="H3488" s="23"/>
      <c r="K3488" s="21">
        <f>SUM(J3484:J3487)</f>
        <v>4.6918000000000006</v>
      </c>
    </row>
    <row r="3489" spans="1:27" x14ac:dyDescent="0.2">
      <c r="E3489" s="23"/>
      <c r="H3489" s="23"/>
      <c r="K3489" s="23"/>
    </row>
    <row r="3490" spans="1:27" x14ac:dyDescent="0.2">
      <c r="D3490" s="24" t="s">
        <v>1092</v>
      </c>
      <c r="E3490" s="23"/>
      <c r="H3490" s="23">
        <v>1.5</v>
      </c>
      <c r="I3490" t="s">
        <v>1093</v>
      </c>
      <c r="J3490">
        <f>ROUND(H3490/100*K3482,5)</f>
        <v>0.11871</v>
      </c>
      <c r="K3490" s="23"/>
    </row>
    <row r="3491" spans="1:27" x14ac:dyDescent="0.2">
      <c r="D3491" s="24" t="s">
        <v>1091</v>
      </c>
      <c r="E3491" s="23"/>
      <c r="H3491" s="23"/>
      <c r="K3491" s="25">
        <f>SUM(J3479:J3490)</f>
        <v>12.72471</v>
      </c>
    </row>
    <row r="3492" spans="1:27" x14ac:dyDescent="0.2">
      <c r="D3492" s="24" t="s">
        <v>1142</v>
      </c>
      <c r="E3492" s="23"/>
      <c r="H3492" s="23">
        <v>8</v>
      </c>
      <c r="I3492" t="s">
        <v>1093</v>
      </c>
      <c r="K3492" s="21">
        <f>ROUND(H3492/100*K3491,5)</f>
        <v>1.0179800000000001</v>
      </c>
    </row>
    <row r="3493" spans="1:27" x14ac:dyDescent="0.2">
      <c r="D3493" s="24" t="s">
        <v>1094</v>
      </c>
      <c r="E3493" s="23"/>
      <c r="H3493" s="23"/>
      <c r="K3493" s="25">
        <f>SUM(K3491:K3492)</f>
        <v>13.74269</v>
      </c>
    </row>
    <row r="3495" spans="1:27" ht="45" customHeight="1" x14ac:dyDescent="0.2">
      <c r="A3495" s="17" t="s">
        <v>2381</v>
      </c>
      <c r="B3495" s="17" t="s">
        <v>608</v>
      </c>
      <c r="C3495" s="1" t="s">
        <v>36</v>
      </c>
      <c r="D3495" s="96" t="s">
        <v>609</v>
      </c>
      <c r="E3495" s="97"/>
      <c r="F3495" s="97"/>
      <c r="G3495" s="1"/>
      <c r="H3495" s="18" t="s">
        <v>1066</v>
      </c>
      <c r="I3495" s="98">
        <v>1</v>
      </c>
      <c r="J3495" s="99"/>
      <c r="K3495" s="19">
        <f>ROUND(K3510,2)</f>
        <v>24.29</v>
      </c>
      <c r="L3495" s="2" t="s">
        <v>2314</v>
      </c>
      <c r="M3495" s="1"/>
      <c r="N3495" s="1"/>
      <c r="O3495" s="1"/>
      <c r="P3495" s="1"/>
      <c r="Q3495" s="1"/>
      <c r="R3495" s="1"/>
      <c r="S3495" s="1"/>
      <c r="T3495" s="1"/>
      <c r="U3495" s="1"/>
      <c r="V3495" s="1"/>
      <c r="W3495" s="1"/>
      <c r="X3495" s="1"/>
      <c r="Y3495" s="1"/>
      <c r="Z3495" s="1"/>
      <c r="AA3495" s="1"/>
    </row>
    <row r="3496" spans="1:27" x14ac:dyDescent="0.2">
      <c r="B3496" s="14" t="s">
        <v>1068</v>
      </c>
    </row>
    <row r="3497" spans="1:27" x14ac:dyDescent="0.2">
      <c r="B3497" t="s">
        <v>1136</v>
      </c>
      <c r="C3497" t="s">
        <v>1070</v>
      </c>
      <c r="D3497" t="s">
        <v>1137</v>
      </c>
      <c r="E3497" s="20">
        <v>0.55000000000000004</v>
      </c>
      <c r="F3497" t="s">
        <v>1072</v>
      </c>
      <c r="G3497" t="s">
        <v>1073</v>
      </c>
      <c r="H3497" s="21">
        <v>30.41</v>
      </c>
      <c r="I3497" t="s">
        <v>1074</v>
      </c>
      <c r="J3497" s="22">
        <f>ROUND(E3497/I3495* H3497,5)</f>
        <v>16.7255</v>
      </c>
      <c r="K3497" s="23"/>
    </row>
    <row r="3498" spans="1:27" x14ac:dyDescent="0.2">
      <c r="B3498" t="s">
        <v>1138</v>
      </c>
      <c r="C3498" t="s">
        <v>1070</v>
      </c>
      <c r="D3498" t="s">
        <v>1139</v>
      </c>
      <c r="E3498" s="20">
        <v>5.5E-2</v>
      </c>
      <c r="F3498" t="s">
        <v>1072</v>
      </c>
      <c r="G3498" t="s">
        <v>1073</v>
      </c>
      <c r="H3498" s="21">
        <v>26.12</v>
      </c>
      <c r="I3498" t="s">
        <v>1074</v>
      </c>
      <c r="J3498" s="22">
        <f>ROUND(E3498/I3495* H3498,5)</f>
        <v>1.4366000000000001</v>
      </c>
      <c r="K3498" s="23"/>
    </row>
    <row r="3499" spans="1:27" x14ac:dyDescent="0.2">
      <c r="D3499" s="24" t="s">
        <v>1075</v>
      </c>
      <c r="E3499" s="23"/>
      <c r="H3499" s="23"/>
      <c r="K3499" s="21">
        <f>SUM(J3497:J3498)</f>
        <v>18.162099999999999</v>
      </c>
    </row>
    <row r="3500" spans="1:27" x14ac:dyDescent="0.2">
      <c r="B3500" s="14" t="s">
        <v>1080</v>
      </c>
      <c r="E3500" s="23"/>
      <c r="H3500" s="23"/>
      <c r="K3500" s="23"/>
    </row>
    <row r="3501" spans="1:27" x14ac:dyDescent="0.2">
      <c r="B3501" t="s">
        <v>2317</v>
      </c>
      <c r="C3501" t="s">
        <v>23</v>
      </c>
      <c r="D3501" t="s">
        <v>2318</v>
      </c>
      <c r="E3501" s="20">
        <v>1</v>
      </c>
      <c r="G3501" t="s">
        <v>1073</v>
      </c>
      <c r="H3501" s="21">
        <v>7.0000000000000007E-2</v>
      </c>
      <c r="I3501" t="s">
        <v>1074</v>
      </c>
      <c r="J3501" s="22">
        <f>ROUND(E3501* H3501,5)</f>
        <v>7.0000000000000007E-2</v>
      </c>
      <c r="K3501" s="23"/>
    </row>
    <row r="3502" spans="1:27" x14ac:dyDescent="0.2">
      <c r="B3502" t="s">
        <v>2321</v>
      </c>
      <c r="C3502" t="s">
        <v>23</v>
      </c>
      <c r="D3502" t="s">
        <v>2322</v>
      </c>
      <c r="E3502" s="20">
        <v>1</v>
      </c>
      <c r="G3502" t="s">
        <v>1073</v>
      </c>
      <c r="H3502" s="21">
        <v>0.48</v>
      </c>
      <c r="I3502" t="s">
        <v>1074</v>
      </c>
      <c r="J3502" s="22">
        <f>ROUND(E3502* H3502,5)</f>
        <v>0.48</v>
      </c>
      <c r="K3502" s="23"/>
    </row>
    <row r="3503" spans="1:27" x14ac:dyDescent="0.2">
      <c r="B3503" t="s">
        <v>2315</v>
      </c>
      <c r="C3503" t="s">
        <v>23</v>
      </c>
      <c r="D3503" t="s">
        <v>2316</v>
      </c>
      <c r="E3503" s="20">
        <v>0.3</v>
      </c>
      <c r="G3503" t="s">
        <v>1073</v>
      </c>
      <c r="H3503" s="21">
        <v>2.79</v>
      </c>
      <c r="I3503" t="s">
        <v>1074</v>
      </c>
      <c r="J3503" s="22">
        <f>ROUND(E3503* H3503,5)</f>
        <v>0.83699999999999997</v>
      </c>
      <c r="K3503" s="23"/>
    </row>
    <row r="3504" spans="1:27" x14ac:dyDescent="0.2">
      <c r="B3504" t="s">
        <v>2319</v>
      </c>
      <c r="C3504" t="s">
        <v>36</v>
      </c>
      <c r="D3504" t="s">
        <v>2320</v>
      </c>
      <c r="E3504" s="20">
        <v>1.02</v>
      </c>
      <c r="G3504" t="s">
        <v>1073</v>
      </c>
      <c r="H3504" s="21">
        <v>2.62</v>
      </c>
      <c r="I3504" t="s">
        <v>1074</v>
      </c>
      <c r="J3504" s="22">
        <f>ROUND(E3504* H3504,5)</f>
        <v>2.6724000000000001</v>
      </c>
      <c r="K3504" s="23"/>
    </row>
    <row r="3505" spans="1:27" x14ac:dyDescent="0.2">
      <c r="D3505" s="24" t="s">
        <v>1090</v>
      </c>
      <c r="E3505" s="23"/>
      <c r="H3505" s="23"/>
      <c r="K3505" s="21">
        <f>SUM(J3501:J3504)</f>
        <v>4.0594000000000001</v>
      </c>
    </row>
    <row r="3506" spans="1:27" x14ac:dyDescent="0.2">
      <c r="E3506" s="23"/>
      <c r="H3506" s="23"/>
      <c r="K3506" s="23"/>
    </row>
    <row r="3507" spans="1:27" x14ac:dyDescent="0.2">
      <c r="D3507" s="24" t="s">
        <v>1092</v>
      </c>
      <c r="E3507" s="23"/>
      <c r="H3507" s="23">
        <v>1.5</v>
      </c>
      <c r="I3507" t="s">
        <v>1093</v>
      </c>
      <c r="J3507">
        <f>ROUND(H3507/100*K3499,5)</f>
        <v>0.27243000000000001</v>
      </c>
      <c r="K3507" s="23"/>
    </row>
    <row r="3508" spans="1:27" x14ac:dyDescent="0.2">
      <c r="D3508" s="24" t="s">
        <v>1091</v>
      </c>
      <c r="E3508" s="23"/>
      <c r="H3508" s="23"/>
      <c r="K3508" s="25">
        <f>SUM(J3496:J3507)</f>
        <v>22.493929999999999</v>
      </c>
    </row>
    <row r="3509" spans="1:27" x14ac:dyDescent="0.2">
      <c r="D3509" s="24" t="s">
        <v>1142</v>
      </c>
      <c r="E3509" s="23"/>
      <c r="H3509" s="23">
        <v>8</v>
      </c>
      <c r="I3509" t="s">
        <v>1093</v>
      </c>
      <c r="K3509" s="21">
        <f>ROUND(H3509/100*K3508,5)</f>
        <v>1.7995099999999999</v>
      </c>
    </row>
    <row r="3510" spans="1:27" x14ac:dyDescent="0.2">
      <c r="D3510" s="24" t="s">
        <v>1094</v>
      </c>
      <c r="E3510" s="23"/>
      <c r="H3510" s="23"/>
      <c r="K3510" s="25">
        <f>SUM(K3508:K3509)</f>
        <v>24.29344</v>
      </c>
    </row>
    <row r="3512" spans="1:27" ht="45" customHeight="1" x14ac:dyDescent="0.2">
      <c r="A3512" s="17" t="s">
        <v>2385</v>
      </c>
      <c r="B3512" s="17" t="s">
        <v>610</v>
      </c>
      <c r="C3512" s="1" t="s">
        <v>36</v>
      </c>
      <c r="D3512" s="96" t="s">
        <v>611</v>
      </c>
      <c r="E3512" s="97"/>
      <c r="F3512" s="97"/>
      <c r="G3512" s="1"/>
      <c r="H3512" s="18" t="s">
        <v>1066</v>
      </c>
      <c r="I3512" s="98">
        <v>1</v>
      </c>
      <c r="J3512" s="99"/>
      <c r="K3512" s="19">
        <f>ROUND(K3527,2)</f>
        <v>26.92</v>
      </c>
      <c r="L3512" s="2" t="s">
        <v>2324</v>
      </c>
      <c r="M3512" s="1"/>
      <c r="N3512" s="1"/>
      <c r="O3512" s="1"/>
      <c r="P3512" s="1"/>
      <c r="Q3512" s="1"/>
      <c r="R3512" s="1"/>
      <c r="S3512" s="1"/>
      <c r="T3512" s="1"/>
      <c r="U3512" s="1"/>
      <c r="V3512" s="1"/>
      <c r="W3512" s="1"/>
      <c r="X3512" s="1"/>
      <c r="Y3512" s="1"/>
      <c r="Z3512" s="1"/>
      <c r="AA3512" s="1"/>
    </row>
    <row r="3513" spans="1:27" x14ac:dyDescent="0.2">
      <c r="B3513" s="14" t="s">
        <v>1068</v>
      </c>
    </row>
    <row r="3514" spans="1:27" x14ac:dyDescent="0.2">
      <c r="B3514" t="s">
        <v>1136</v>
      </c>
      <c r="C3514" t="s">
        <v>1070</v>
      </c>
      <c r="D3514" t="s">
        <v>1137</v>
      </c>
      <c r="E3514" s="20">
        <v>0.55000000000000004</v>
      </c>
      <c r="F3514" t="s">
        <v>1072</v>
      </c>
      <c r="G3514" t="s">
        <v>1073</v>
      </c>
      <c r="H3514" s="21">
        <v>30.41</v>
      </c>
      <c r="I3514" t="s">
        <v>1074</v>
      </c>
      <c r="J3514" s="22">
        <f>ROUND(E3514/I3512* H3514,5)</f>
        <v>16.7255</v>
      </c>
      <c r="K3514" s="23"/>
    </row>
    <row r="3515" spans="1:27" x14ac:dyDescent="0.2">
      <c r="B3515" t="s">
        <v>1138</v>
      </c>
      <c r="C3515" t="s">
        <v>1070</v>
      </c>
      <c r="D3515" t="s">
        <v>1139</v>
      </c>
      <c r="E3515" s="20">
        <v>5.5E-2</v>
      </c>
      <c r="F3515" t="s">
        <v>1072</v>
      </c>
      <c r="G3515" t="s">
        <v>1073</v>
      </c>
      <c r="H3515" s="21">
        <v>26.12</v>
      </c>
      <c r="I3515" t="s">
        <v>1074</v>
      </c>
      <c r="J3515" s="22">
        <f>ROUND(E3515/I3512* H3515,5)</f>
        <v>1.4366000000000001</v>
      </c>
      <c r="K3515" s="23"/>
    </row>
    <row r="3516" spans="1:27" x14ac:dyDescent="0.2">
      <c r="D3516" s="24" t="s">
        <v>1075</v>
      </c>
      <c r="E3516" s="23"/>
      <c r="H3516" s="23"/>
      <c r="K3516" s="21">
        <f>SUM(J3514:J3515)</f>
        <v>18.162099999999999</v>
      </c>
    </row>
    <row r="3517" spans="1:27" x14ac:dyDescent="0.2">
      <c r="B3517" s="14" t="s">
        <v>1080</v>
      </c>
      <c r="E3517" s="23"/>
      <c r="H3517" s="23"/>
      <c r="K3517" s="23"/>
    </row>
    <row r="3518" spans="1:27" x14ac:dyDescent="0.2">
      <c r="B3518" t="s">
        <v>2327</v>
      </c>
      <c r="C3518" t="s">
        <v>23</v>
      </c>
      <c r="D3518" t="s">
        <v>2328</v>
      </c>
      <c r="E3518" s="20">
        <v>1</v>
      </c>
      <c r="G3518" t="s">
        <v>1073</v>
      </c>
      <c r="H3518" s="21">
        <v>0.09</v>
      </c>
      <c r="I3518" t="s">
        <v>1074</v>
      </c>
      <c r="J3518" s="22">
        <f>ROUND(E3518* H3518,5)</f>
        <v>0.09</v>
      </c>
      <c r="K3518" s="23"/>
    </row>
    <row r="3519" spans="1:27" x14ac:dyDescent="0.2">
      <c r="B3519" t="s">
        <v>2329</v>
      </c>
      <c r="C3519" t="s">
        <v>23</v>
      </c>
      <c r="D3519" t="s">
        <v>2330</v>
      </c>
      <c r="E3519" s="20">
        <v>0.3</v>
      </c>
      <c r="G3519" t="s">
        <v>1073</v>
      </c>
      <c r="H3519" s="21">
        <v>3.51</v>
      </c>
      <c r="I3519" t="s">
        <v>1074</v>
      </c>
      <c r="J3519" s="22">
        <f>ROUND(E3519* H3519,5)</f>
        <v>1.0529999999999999</v>
      </c>
      <c r="K3519" s="23"/>
    </row>
    <row r="3520" spans="1:27" x14ac:dyDescent="0.2">
      <c r="B3520" t="s">
        <v>2331</v>
      </c>
      <c r="C3520" t="s">
        <v>36</v>
      </c>
      <c r="D3520" t="s">
        <v>2332</v>
      </c>
      <c r="E3520" s="20">
        <v>1.02</v>
      </c>
      <c r="G3520" t="s">
        <v>1073</v>
      </c>
      <c r="H3520" s="21">
        <v>4.6900000000000004</v>
      </c>
      <c r="I3520" t="s">
        <v>1074</v>
      </c>
      <c r="J3520" s="22">
        <f>ROUND(E3520* H3520,5)</f>
        <v>4.7838000000000003</v>
      </c>
      <c r="K3520" s="23"/>
    </row>
    <row r="3521" spans="1:27" x14ac:dyDescent="0.2">
      <c r="B3521" t="s">
        <v>2325</v>
      </c>
      <c r="C3521" t="s">
        <v>23</v>
      </c>
      <c r="D3521" t="s">
        <v>2326</v>
      </c>
      <c r="E3521" s="20">
        <v>1</v>
      </c>
      <c r="G3521" t="s">
        <v>1073</v>
      </c>
      <c r="H3521" s="21">
        <v>0.56000000000000005</v>
      </c>
      <c r="I3521" t="s">
        <v>1074</v>
      </c>
      <c r="J3521" s="22">
        <f>ROUND(E3521* H3521,5)</f>
        <v>0.56000000000000005</v>
      </c>
      <c r="K3521" s="23"/>
    </row>
    <row r="3522" spans="1:27" x14ac:dyDescent="0.2">
      <c r="D3522" s="24" t="s">
        <v>1090</v>
      </c>
      <c r="E3522" s="23"/>
      <c r="H3522" s="23"/>
      <c r="K3522" s="21">
        <f>SUM(J3518:J3521)</f>
        <v>6.4868000000000006</v>
      </c>
    </row>
    <row r="3523" spans="1:27" x14ac:dyDescent="0.2">
      <c r="E3523" s="23"/>
      <c r="H3523" s="23"/>
      <c r="K3523" s="23"/>
    </row>
    <row r="3524" spans="1:27" x14ac:dyDescent="0.2">
      <c r="D3524" s="24" t="s">
        <v>1092</v>
      </c>
      <c r="E3524" s="23"/>
      <c r="H3524" s="23">
        <v>1.5</v>
      </c>
      <c r="I3524" t="s">
        <v>1093</v>
      </c>
      <c r="J3524">
        <f>ROUND(H3524/100*K3516,5)</f>
        <v>0.27243000000000001</v>
      </c>
      <c r="K3524" s="23"/>
    </row>
    <row r="3525" spans="1:27" x14ac:dyDescent="0.2">
      <c r="D3525" s="24" t="s">
        <v>1091</v>
      </c>
      <c r="E3525" s="23"/>
      <c r="H3525" s="23"/>
      <c r="K3525" s="25">
        <f>SUM(J3513:J3524)</f>
        <v>24.921329999999998</v>
      </c>
    </row>
    <row r="3526" spans="1:27" x14ac:dyDescent="0.2">
      <c r="D3526" s="24" t="s">
        <v>1142</v>
      </c>
      <c r="E3526" s="23"/>
      <c r="H3526" s="23">
        <v>8</v>
      </c>
      <c r="I3526" t="s">
        <v>1093</v>
      </c>
      <c r="K3526" s="21">
        <f>ROUND(H3526/100*K3525,5)</f>
        <v>1.9937100000000001</v>
      </c>
    </row>
    <row r="3527" spans="1:27" x14ac:dyDescent="0.2">
      <c r="D3527" s="24" t="s">
        <v>1094</v>
      </c>
      <c r="E3527" s="23"/>
      <c r="H3527" s="23"/>
      <c r="K3527" s="25">
        <f>SUM(K3525:K3526)</f>
        <v>26.915039999999998</v>
      </c>
    </row>
    <row r="3529" spans="1:27" ht="45" customHeight="1" x14ac:dyDescent="0.2">
      <c r="A3529" s="17" t="s">
        <v>2389</v>
      </c>
      <c r="B3529" s="17" t="s">
        <v>606</v>
      </c>
      <c r="C3529" s="1" t="s">
        <v>36</v>
      </c>
      <c r="D3529" s="96" t="s">
        <v>607</v>
      </c>
      <c r="E3529" s="97"/>
      <c r="F3529" s="97"/>
      <c r="G3529" s="1"/>
      <c r="H3529" s="18" t="s">
        <v>1066</v>
      </c>
      <c r="I3529" s="98">
        <v>1</v>
      </c>
      <c r="J3529" s="99"/>
      <c r="K3529" s="19">
        <f>ROUND(K3546,2)</f>
        <v>8.64</v>
      </c>
      <c r="L3529" s="2" t="s">
        <v>2334</v>
      </c>
      <c r="M3529" s="1"/>
      <c r="N3529" s="1"/>
      <c r="O3529" s="1"/>
      <c r="P3529" s="1"/>
      <c r="Q3529" s="1"/>
      <c r="R3529" s="1"/>
      <c r="S3529" s="1"/>
      <c r="T3529" s="1"/>
      <c r="U3529" s="1"/>
      <c r="V3529" s="1"/>
      <c r="W3529" s="1"/>
      <c r="X3529" s="1"/>
      <c r="Y3529" s="1"/>
      <c r="Z3529" s="1"/>
      <c r="AA3529" s="1"/>
    </row>
    <row r="3530" spans="1:27" x14ac:dyDescent="0.2">
      <c r="B3530" s="14" t="s">
        <v>1068</v>
      </c>
    </row>
    <row r="3531" spans="1:27" x14ac:dyDescent="0.2">
      <c r="B3531" t="s">
        <v>1138</v>
      </c>
      <c r="C3531" t="s">
        <v>1070</v>
      </c>
      <c r="D3531" t="s">
        <v>1139</v>
      </c>
      <c r="E3531" s="20">
        <v>5.5899999999999998E-2</v>
      </c>
      <c r="F3531" t="s">
        <v>1072</v>
      </c>
      <c r="G3531" t="s">
        <v>1073</v>
      </c>
      <c r="H3531" s="21">
        <v>26.12</v>
      </c>
      <c r="I3531" t="s">
        <v>1074</v>
      </c>
      <c r="J3531" s="22">
        <f>ROUND(E3531/I3529* H3531,5)</f>
        <v>1.46011</v>
      </c>
      <c r="K3531" s="23"/>
    </row>
    <row r="3532" spans="1:27" x14ac:dyDescent="0.2">
      <c r="B3532" t="s">
        <v>1136</v>
      </c>
      <c r="C3532" t="s">
        <v>1070</v>
      </c>
      <c r="D3532" t="s">
        <v>1137</v>
      </c>
      <c r="E3532" s="20">
        <v>5.5899999999999998E-2</v>
      </c>
      <c r="F3532" t="s">
        <v>1072</v>
      </c>
      <c r="G3532" t="s">
        <v>1073</v>
      </c>
      <c r="H3532" s="21">
        <v>30.41</v>
      </c>
      <c r="I3532" t="s">
        <v>1074</v>
      </c>
      <c r="J3532" s="22">
        <f>ROUND(E3532/I3529* H3532,5)</f>
        <v>1.6999200000000001</v>
      </c>
      <c r="K3532" s="23"/>
    </row>
    <row r="3533" spans="1:27" x14ac:dyDescent="0.2">
      <c r="D3533" s="24" t="s">
        <v>1075</v>
      </c>
      <c r="E3533" s="23"/>
      <c r="H3533" s="23"/>
      <c r="K3533" s="21">
        <f>SUM(J3531:J3532)</f>
        <v>3.1600299999999999</v>
      </c>
    </row>
    <row r="3534" spans="1:27" x14ac:dyDescent="0.2">
      <c r="B3534" s="14" t="s">
        <v>1076</v>
      </c>
      <c r="E3534" s="23"/>
      <c r="H3534" s="23"/>
      <c r="K3534" s="23"/>
    </row>
    <row r="3535" spans="1:27" x14ac:dyDescent="0.2">
      <c r="B3535" t="s">
        <v>2335</v>
      </c>
      <c r="C3535" t="s">
        <v>1070</v>
      </c>
      <c r="D3535" t="s">
        <v>2336</v>
      </c>
      <c r="E3535" s="20">
        <v>5.5899999999999998E-2</v>
      </c>
      <c r="F3535" t="s">
        <v>1072</v>
      </c>
      <c r="G3535" t="s">
        <v>1073</v>
      </c>
      <c r="H3535" s="21">
        <v>4.32</v>
      </c>
      <c r="I3535" t="s">
        <v>1074</v>
      </c>
      <c r="J3535" s="22">
        <f>ROUND(E3535/I3529* H3535,5)</f>
        <v>0.24149000000000001</v>
      </c>
      <c r="K3535" s="23"/>
    </row>
    <row r="3536" spans="1:27" x14ac:dyDescent="0.2">
      <c r="D3536" s="24" t="s">
        <v>1079</v>
      </c>
      <c r="E3536" s="23"/>
      <c r="H3536" s="23"/>
      <c r="K3536" s="21">
        <f>SUM(J3535:J3535)</f>
        <v>0.24149000000000001</v>
      </c>
    </row>
    <row r="3537" spans="1:27" x14ac:dyDescent="0.2">
      <c r="B3537" s="14" t="s">
        <v>1080</v>
      </c>
      <c r="E3537" s="23"/>
      <c r="H3537" s="23"/>
      <c r="K3537" s="23"/>
    </row>
    <row r="3538" spans="1:27" x14ac:dyDescent="0.2">
      <c r="B3538" t="s">
        <v>2341</v>
      </c>
      <c r="C3538" t="s">
        <v>23</v>
      </c>
      <c r="D3538" t="s">
        <v>2342</v>
      </c>
      <c r="E3538" s="20">
        <v>0.3</v>
      </c>
      <c r="G3538" t="s">
        <v>1073</v>
      </c>
      <c r="H3538" s="21">
        <v>7.39</v>
      </c>
      <c r="I3538" t="s">
        <v>1074</v>
      </c>
      <c r="J3538" s="22">
        <f>ROUND(E3538* H3538,5)</f>
        <v>2.2170000000000001</v>
      </c>
      <c r="K3538" s="23"/>
    </row>
    <row r="3539" spans="1:27" x14ac:dyDescent="0.2">
      <c r="B3539" t="s">
        <v>2337</v>
      </c>
      <c r="C3539" t="s">
        <v>23</v>
      </c>
      <c r="D3539" t="s">
        <v>2338</v>
      </c>
      <c r="E3539" s="20">
        <v>0.9</v>
      </c>
      <c r="G3539" t="s">
        <v>1073</v>
      </c>
      <c r="H3539" s="21">
        <v>1.05</v>
      </c>
      <c r="I3539" t="s">
        <v>1074</v>
      </c>
      <c r="J3539" s="22">
        <f>ROUND(E3539* H3539,5)</f>
        <v>0.94499999999999995</v>
      </c>
      <c r="K3539" s="23"/>
    </row>
    <row r="3540" spans="1:27" x14ac:dyDescent="0.2">
      <c r="B3540" t="s">
        <v>2339</v>
      </c>
      <c r="C3540" t="s">
        <v>36</v>
      </c>
      <c r="D3540" t="s">
        <v>2340</v>
      </c>
      <c r="E3540" s="20">
        <v>1.02</v>
      </c>
      <c r="G3540" t="s">
        <v>1073</v>
      </c>
      <c r="H3540" s="21">
        <v>1.36</v>
      </c>
      <c r="I3540" t="s">
        <v>1074</v>
      </c>
      <c r="J3540" s="22">
        <f>ROUND(E3540* H3540,5)</f>
        <v>1.3872</v>
      </c>
      <c r="K3540" s="23"/>
    </row>
    <row r="3541" spans="1:27" x14ac:dyDescent="0.2">
      <c r="D3541" s="24" t="s">
        <v>1090</v>
      </c>
      <c r="E3541" s="23"/>
      <c r="H3541" s="23"/>
      <c r="K3541" s="21">
        <f>SUM(J3538:J3540)</f>
        <v>4.5491999999999999</v>
      </c>
    </row>
    <row r="3542" spans="1:27" x14ac:dyDescent="0.2">
      <c r="E3542" s="23"/>
      <c r="H3542" s="23"/>
      <c r="K3542" s="23"/>
    </row>
    <row r="3543" spans="1:27" x14ac:dyDescent="0.2">
      <c r="D3543" s="24" t="s">
        <v>1092</v>
      </c>
      <c r="E3543" s="23"/>
      <c r="H3543" s="23">
        <v>1.5</v>
      </c>
      <c r="I3543" t="s">
        <v>1093</v>
      </c>
      <c r="J3543">
        <f>ROUND(H3543/100*K3533,5)</f>
        <v>4.7399999999999998E-2</v>
      </c>
      <c r="K3543" s="23"/>
    </row>
    <row r="3544" spans="1:27" x14ac:dyDescent="0.2">
      <c r="D3544" s="24" t="s">
        <v>1091</v>
      </c>
      <c r="E3544" s="23"/>
      <c r="H3544" s="23"/>
      <c r="K3544" s="25">
        <f>SUM(J3530:J3543)</f>
        <v>7.9981200000000001</v>
      </c>
    </row>
    <row r="3545" spans="1:27" x14ac:dyDescent="0.2">
      <c r="D3545" s="24" t="s">
        <v>1142</v>
      </c>
      <c r="E3545" s="23"/>
      <c r="H3545" s="23">
        <v>8</v>
      </c>
      <c r="I3545" t="s">
        <v>1093</v>
      </c>
      <c r="K3545" s="21">
        <f>ROUND(H3545/100*K3544,5)</f>
        <v>0.63985000000000003</v>
      </c>
    </row>
    <row r="3546" spans="1:27" x14ac:dyDescent="0.2">
      <c r="D3546" s="24" t="s">
        <v>1094</v>
      </c>
      <c r="E3546" s="23"/>
      <c r="H3546" s="23"/>
      <c r="K3546" s="25">
        <f>SUM(K3544:K3545)</f>
        <v>8.6379699999999993</v>
      </c>
    </row>
    <row r="3548" spans="1:27" ht="45" customHeight="1" x14ac:dyDescent="0.2">
      <c r="A3548" s="17" t="s">
        <v>2393</v>
      </c>
      <c r="B3548" s="17" t="s">
        <v>602</v>
      </c>
      <c r="C3548" s="1" t="s">
        <v>36</v>
      </c>
      <c r="D3548" s="96" t="s">
        <v>603</v>
      </c>
      <c r="E3548" s="97"/>
      <c r="F3548" s="97"/>
      <c r="G3548" s="1"/>
      <c r="H3548" s="18" t="s">
        <v>1066</v>
      </c>
      <c r="I3548" s="98">
        <v>1</v>
      </c>
      <c r="J3548" s="99"/>
      <c r="K3548" s="19">
        <f>ROUND(K3565,2)</f>
        <v>3.3</v>
      </c>
      <c r="L3548" s="2" t="s">
        <v>2344</v>
      </c>
      <c r="M3548" s="1"/>
      <c r="N3548" s="1"/>
      <c r="O3548" s="1"/>
      <c r="P3548" s="1"/>
      <c r="Q3548" s="1"/>
      <c r="R3548" s="1"/>
      <c r="S3548" s="1"/>
      <c r="T3548" s="1"/>
      <c r="U3548" s="1"/>
      <c r="V3548" s="1"/>
      <c r="W3548" s="1"/>
      <c r="X3548" s="1"/>
      <c r="Y3548" s="1"/>
      <c r="Z3548" s="1"/>
      <c r="AA3548" s="1"/>
    </row>
    <row r="3549" spans="1:27" x14ac:dyDescent="0.2">
      <c r="B3549" s="14" t="s">
        <v>1068</v>
      </c>
    </row>
    <row r="3550" spans="1:27" x14ac:dyDescent="0.2">
      <c r="B3550" t="s">
        <v>1136</v>
      </c>
      <c r="C3550" t="s">
        <v>1070</v>
      </c>
      <c r="D3550" t="s">
        <v>1137</v>
      </c>
      <c r="E3550" s="20">
        <v>1.1180000000000001E-2</v>
      </c>
      <c r="F3550" t="s">
        <v>1072</v>
      </c>
      <c r="G3550" t="s">
        <v>1073</v>
      </c>
      <c r="H3550" s="21">
        <v>30.41</v>
      </c>
      <c r="I3550" t="s">
        <v>1074</v>
      </c>
      <c r="J3550" s="22">
        <f>ROUND(E3550/I3548* H3550,5)</f>
        <v>0.33998</v>
      </c>
      <c r="K3550" s="23"/>
    </row>
    <row r="3551" spans="1:27" x14ac:dyDescent="0.2">
      <c r="B3551" t="s">
        <v>1138</v>
      </c>
      <c r="C3551" t="s">
        <v>1070</v>
      </c>
      <c r="D3551" t="s">
        <v>1139</v>
      </c>
      <c r="E3551" s="20">
        <v>1.1180000000000001E-2</v>
      </c>
      <c r="F3551" t="s">
        <v>1072</v>
      </c>
      <c r="G3551" t="s">
        <v>1073</v>
      </c>
      <c r="H3551" s="21">
        <v>26.12</v>
      </c>
      <c r="I3551" t="s">
        <v>1074</v>
      </c>
      <c r="J3551" s="22">
        <f>ROUND(E3551/I3548* H3551,5)</f>
        <v>0.29202</v>
      </c>
      <c r="K3551" s="23"/>
    </row>
    <row r="3552" spans="1:27" x14ac:dyDescent="0.2">
      <c r="D3552" s="24" t="s">
        <v>1075</v>
      </c>
      <c r="E3552" s="23"/>
      <c r="H3552" s="23"/>
      <c r="K3552" s="21">
        <f>SUM(J3550:J3551)</f>
        <v>0.63200000000000001</v>
      </c>
    </row>
    <row r="3553" spans="1:27" x14ac:dyDescent="0.2">
      <c r="B3553" s="14" t="s">
        <v>1076</v>
      </c>
      <c r="E3553" s="23"/>
      <c r="H3553" s="23"/>
      <c r="K3553" s="23"/>
    </row>
    <row r="3554" spans="1:27" x14ac:dyDescent="0.2">
      <c r="B3554" t="s">
        <v>2335</v>
      </c>
      <c r="C3554" t="s">
        <v>1070</v>
      </c>
      <c r="D3554" t="s">
        <v>2336</v>
      </c>
      <c r="E3554" s="20">
        <v>1.1180000000000001E-2</v>
      </c>
      <c r="F3554" t="s">
        <v>1072</v>
      </c>
      <c r="G3554" t="s">
        <v>1073</v>
      </c>
      <c r="H3554" s="21">
        <v>4.32</v>
      </c>
      <c r="I3554" t="s">
        <v>1074</v>
      </c>
      <c r="J3554" s="22">
        <f>ROUND(E3554/I3548* H3554,5)</f>
        <v>4.8300000000000003E-2</v>
      </c>
      <c r="K3554" s="23"/>
    </row>
    <row r="3555" spans="1:27" x14ac:dyDescent="0.2">
      <c r="D3555" s="24" t="s">
        <v>1079</v>
      </c>
      <c r="E3555" s="23"/>
      <c r="H3555" s="23"/>
      <c r="K3555" s="21">
        <f>SUM(J3554:J3554)</f>
        <v>4.8300000000000003E-2</v>
      </c>
    </row>
    <row r="3556" spans="1:27" x14ac:dyDescent="0.2">
      <c r="B3556" s="14" t="s">
        <v>1080</v>
      </c>
      <c r="E3556" s="23"/>
      <c r="H3556" s="23"/>
      <c r="K3556" s="23"/>
    </row>
    <row r="3557" spans="1:27" x14ac:dyDescent="0.2">
      <c r="B3557" t="s">
        <v>2345</v>
      </c>
      <c r="C3557" t="s">
        <v>23</v>
      </c>
      <c r="D3557" t="s">
        <v>2346</v>
      </c>
      <c r="E3557" s="20">
        <v>0.15</v>
      </c>
      <c r="G3557" t="s">
        <v>1073</v>
      </c>
      <c r="H3557" s="21">
        <v>6.13</v>
      </c>
      <c r="I3557" t="s">
        <v>1074</v>
      </c>
      <c r="J3557" s="22">
        <f>ROUND(E3557* H3557,5)</f>
        <v>0.91949999999999998</v>
      </c>
      <c r="K3557" s="23"/>
    </row>
    <row r="3558" spans="1:27" x14ac:dyDescent="0.2">
      <c r="B3558" t="s">
        <v>2347</v>
      </c>
      <c r="C3558" t="s">
        <v>36</v>
      </c>
      <c r="D3558" t="s">
        <v>2348</v>
      </c>
      <c r="E3558" s="20">
        <v>1.02</v>
      </c>
      <c r="G3558" t="s">
        <v>1073</v>
      </c>
      <c r="H3558" s="21">
        <v>0.76</v>
      </c>
      <c r="I3558" t="s">
        <v>1074</v>
      </c>
      <c r="J3558" s="22">
        <f>ROUND(E3558* H3558,5)</f>
        <v>0.7752</v>
      </c>
      <c r="K3558" s="23"/>
    </row>
    <row r="3559" spans="1:27" x14ac:dyDescent="0.2">
      <c r="B3559" t="s">
        <v>2325</v>
      </c>
      <c r="C3559" t="s">
        <v>23</v>
      </c>
      <c r="D3559" t="s">
        <v>2326</v>
      </c>
      <c r="E3559" s="20">
        <v>1.2</v>
      </c>
      <c r="G3559" t="s">
        <v>1073</v>
      </c>
      <c r="H3559" s="21">
        <v>0.56000000000000005</v>
      </c>
      <c r="I3559" t="s">
        <v>1074</v>
      </c>
      <c r="J3559" s="22">
        <f>ROUND(E3559* H3559,5)</f>
        <v>0.67200000000000004</v>
      </c>
      <c r="K3559" s="23"/>
    </row>
    <row r="3560" spans="1:27" x14ac:dyDescent="0.2">
      <c r="D3560" s="24" t="s">
        <v>1090</v>
      </c>
      <c r="E3560" s="23"/>
      <c r="H3560" s="23"/>
      <c r="K3560" s="21">
        <f>SUM(J3557:J3559)</f>
        <v>2.3667000000000002</v>
      </c>
    </row>
    <row r="3561" spans="1:27" x14ac:dyDescent="0.2">
      <c r="E3561" s="23"/>
      <c r="H3561" s="23"/>
      <c r="K3561" s="23"/>
    </row>
    <row r="3562" spans="1:27" x14ac:dyDescent="0.2">
      <c r="D3562" s="24" t="s">
        <v>1092</v>
      </c>
      <c r="E3562" s="23"/>
      <c r="H3562" s="23">
        <v>1.5</v>
      </c>
      <c r="I3562" t="s">
        <v>1093</v>
      </c>
      <c r="J3562">
        <f>ROUND(H3562/100*K3552,5)</f>
        <v>9.4800000000000006E-3</v>
      </c>
      <c r="K3562" s="23"/>
    </row>
    <row r="3563" spans="1:27" x14ac:dyDescent="0.2">
      <c r="D3563" s="24" t="s">
        <v>1091</v>
      </c>
      <c r="E3563" s="23"/>
      <c r="H3563" s="23"/>
      <c r="K3563" s="25">
        <f>SUM(J3549:J3562)</f>
        <v>3.0564800000000001</v>
      </c>
    </row>
    <row r="3564" spans="1:27" x14ac:dyDescent="0.2">
      <c r="D3564" s="24" t="s">
        <v>1142</v>
      </c>
      <c r="E3564" s="23"/>
      <c r="H3564" s="23">
        <v>8</v>
      </c>
      <c r="I3564" t="s">
        <v>1093</v>
      </c>
      <c r="K3564" s="21">
        <f>ROUND(H3564/100*K3563,5)</f>
        <v>0.24451999999999999</v>
      </c>
    </row>
    <row r="3565" spans="1:27" x14ac:dyDescent="0.2">
      <c r="D3565" s="24" t="s">
        <v>1094</v>
      </c>
      <c r="E3565" s="23"/>
      <c r="H3565" s="23"/>
      <c r="K3565" s="25">
        <f>SUM(K3563:K3564)</f>
        <v>3.3010000000000002</v>
      </c>
    </row>
    <row r="3567" spans="1:27" ht="45" customHeight="1" x14ac:dyDescent="0.2">
      <c r="A3567" s="17" t="s">
        <v>2404</v>
      </c>
      <c r="B3567" s="17" t="s">
        <v>604</v>
      </c>
      <c r="C3567" s="1" t="s">
        <v>36</v>
      </c>
      <c r="D3567" s="96" t="s">
        <v>605</v>
      </c>
      <c r="E3567" s="97"/>
      <c r="F3567" s="97"/>
      <c r="G3567" s="1"/>
      <c r="H3567" s="18" t="s">
        <v>1066</v>
      </c>
      <c r="I3567" s="98">
        <v>1</v>
      </c>
      <c r="J3567" s="99"/>
      <c r="K3567" s="19">
        <f>ROUND(K3584,2)</f>
        <v>3.66</v>
      </c>
      <c r="L3567" s="2" t="s">
        <v>2350</v>
      </c>
      <c r="M3567" s="1"/>
      <c r="N3567" s="1"/>
      <c r="O3567" s="1"/>
      <c r="P3567" s="1"/>
      <c r="Q3567" s="1"/>
      <c r="R3567" s="1"/>
      <c r="S3567" s="1"/>
      <c r="T3567" s="1"/>
      <c r="U3567" s="1"/>
      <c r="V3567" s="1"/>
      <c r="W3567" s="1"/>
      <c r="X3567" s="1"/>
      <c r="Y3567" s="1"/>
      <c r="Z3567" s="1"/>
      <c r="AA3567" s="1"/>
    </row>
    <row r="3568" spans="1:27" x14ac:dyDescent="0.2">
      <c r="B3568" s="14" t="s">
        <v>1068</v>
      </c>
    </row>
    <row r="3569" spans="2:11" x14ac:dyDescent="0.2">
      <c r="B3569" t="s">
        <v>1136</v>
      </c>
      <c r="C3569" t="s">
        <v>1070</v>
      </c>
      <c r="D3569" t="s">
        <v>1137</v>
      </c>
      <c r="E3569" s="20">
        <v>1.1469999999999999E-2</v>
      </c>
      <c r="F3569" t="s">
        <v>1072</v>
      </c>
      <c r="G3569" t="s">
        <v>1073</v>
      </c>
      <c r="H3569" s="21">
        <v>30.41</v>
      </c>
      <c r="I3569" t="s">
        <v>1074</v>
      </c>
      <c r="J3569" s="22">
        <f>ROUND(E3569/I3567* H3569,5)</f>
        <v>0.3488</v>
      </c>
      <c r="K3569" s="23"/>
    </row>
    <row r="3570" spans="2:11" x14ac:dyDescent="0.2">
      <c r="B3570" t="s">
        <v>1138</v>
      </c>
      <c r="C3570" t="s">
        <v>1070</v>
      </c>
      <c r="D3570" t="s">
        <v>1139</v>
      </c>
      <c r="E3570" s="20">
        <v>1.1469999999999999E-2</v>
      </c>
      <c r="F3570" t="s">
        <v>1072</v>
      </c>
      <c r="G3570" t="s">
        <v>1073</v>
      </c>
      <c r="H3570" s="21">
        <v>26.12</v>
      </c>
      <c r="I3570" t="s">
        <v>1074</v>
      </c>
      <c r="J3570" s="22">
        <f>ROUND(E3570/I3567* H3570,5)</f>
        <v>0.29959999999999998</v>
      </c>
      <c r="K3570" s="23"/>
    </row>
    <row r="3571" spans="2:11" x14ac:dyDescent="0.2">
      <c r="D3571" s="24" t="s">
        <v>1075</v>
      </c>
      <c r="E3571" s="23"/>
      <c r="H3571" s="23"/>
      <c r="K3571" s="21">
        <f>SUM(J3569:J3570)</f>
        <v>0.64839999999999998</v>
      </c>
    </row>
    <row r="3572" spans="2:11" x14ac:dyDescent="0.2">
      <c r="B3572" s="14" t="s">
        <v>1076</v>
      </c>
      <c r="E3572" s="23"/>
      <c r="H3572" s="23"/>
      <c r="K3572" s="23"/>
    </row>
    <row r="3573" spans="2:11" x14ac:dyDescent="0.2">
      <c r="B3573" t="s">
        <v>2335</v>
      </c>
      <c r="C3573" t="s">
        <v>1070</v>
      </c>
      <c r="D3573" t="s">
        <v>2336</v>
      </c>
      <c r="E3573" s="20">
        <v>1.1469999999999999E-2</v>
      </c>
      <c r="F3573" t="s">
        <v>1072</v>
      </c>
      <c r="G3573" t="s">
        <v>1073</v>
      </c>
      <c r="H3573" s="21">
        <v>4.32</v>
      </c>
      <c r="I3573" t="s">
        <v>1074</v>
      </c>
      <c r="J3573" s="22">
        <f>ROUND(E3573/I3567* H3573,5)</f>
        <v>4.9549999999999997E-2</v>
      </c>
      <c r="K3573" s="23"/>
    </row>
    <row r="3574" spans="2:11" x14ac:dyDescent="0.2">
      <c r="D3574" s="24" t="s">
        <v>1079</v>
      </c>
      <c r="E3574" s="23"/>
      <c r="H3574" s="23"/>
      <c r="K3574" s="21">
        <f>SUM(J3573:J3573)</f>
        <v>4.9549999999999997E-2</v>
      </c>
    </row>
    <row r="3575" spans="2:11" x14ac:dyDescent="0.2">
      <c r="B3575" s="14" t="s">
        <v>1080</v>
      </c>
      <c r="E3575" s="23"/>
      <c r="H3575" s="23"/>
      <c r="K3575" s="23"/>
    </row>
    <row r="3576" spans="2:11" x14ac:dyDescent="0.2">
      <c r="B3576" t="s">
        <v>2351</v>
      </c>
      <c r="C3576" t="s">
        <v>23</v>
      </c>
      <c r="D3576" t="s">
        <v>2352</v>
      </c>
      <c r="E3576" s="20">
        <v>1.2</v>
      </c>
      <c r="G3576" t="s">
        <v>1073</v>
      </c>
      <c r="H3576" s="21">
        <v>0.76</v>
      </c>
      <c r="I3576" t="s">
        <v>1074</v>
      </c>
      <c r="J3576" s="22">
        <f>ROUND(E3576* H3576,5)</f>
        <v>0.91200000000000003</v>
      </c>
      <c r="K3576" s="23"/>
    </row>
    <row r="3577" spans="2:11" x14ac:dyDescent="0.2">
      <c r="B3577" t="s">
        <v>2355</v>
      </c>
      <c r="C3577" t="s">
        <v>23</v>
      </c>
      <c r="D3577" t="s">
        <v>2356</v>
      </c>
      <c r="E3577" s="20">
        <v>0.15</v>
      </c>
      <c r="G3577" t="s">
        <v>1073</v>
      </c>
      <c r="H3577" s="21">
        <v>6.16</v>
      </c>
      <c r="I3577" t="s">
        <v>1074</v>
      </c>
      <c r="J3577" s="22">
        <f>ROUND(E3577* H3577,5)</f>
        <v>0.92400000000000004</v>
      </c>
      <c r="K3577" s="23"/>
    </row>
    <row r="3578" spans="2:11" x14ac:dyDescent="0.2">
      <c r="B3578" t="s">
        <v>2353</v>
      </c>
      <c r="C3578" t="s">
        <v>36</v>
      </c>
      <c r="D3578" t="s">
        <v>2354</v>
      </c>
      <c r="E3578" s="20">
        <v>1.02</v>
      </c>
      <c r="G3578" t="s">
        <v>1073</v>
      </c>
      <c r="H3578" s="21">
        <v>0.83</v>
      </c>
      <c r="I3578" t="s">
        <v>1074</v>
      </c>
      <c r="J3578" s="22">
        <f>ROUND(E3578* H3578,5)</f>
        <v>0.84660000000000002</v>
      </c>
      <c r="K3578" s="23"/>
    </row>
    <row r="3579" spans="2:11" x14ac:dyDescent="0.2">
      <c r="D3579" s="24" t="s">
        <v>1090</v>
      </c>
      <c r="E3579" s="23"/>
      <c r="H3579" s="23"/>
      <c r="K3579" s="21">
        <f>SUM(J3576:J3578)</f>
        <v>2.6825999999999999</v>
      </c>
    </row>
    <row r="3580" spans="2:11" x14ac:dyDescent="0.2">
      <c r="E3580" s="23"/>
      <c r="H3580" s="23"/>
      <c r="K3580" s="23"/>
    </row>
    <row r="3581" spans="2:11" x14ac:dyDescent="0.2">
      <c r="D3581" s="24" t="s">
        <v>1092</v>
      </c>
      <c r="E3581" s="23"/>
      <c r="H3581" s="23">
        <v>1.5</v>
      </c>
      <c r="I3581" t="s">
        <v>1093</v>
      </c>
      <c r="J3581">
        <f>ROUND(H3581/100*K3571,5)</f>
        <v>9.7300000000000008E-3</v>
      </c>
      <c r="K3581" s="23"/>
    </row>
    <row r="3582" spans="2:11" x14ac:dyDescent="0.2">
      <c r="D3582" s="24" t="s">
        <v>1091</v>
      </c>
      <c r="E3582" s="23"/>
      <c r="H3582" s="23"/>
      <c r="K3582" s="25">
        <f>SUM(J3568:J3581)</f>
        <v>3.3902799999999997</v>
      </c>
    </row>
    <row r="3583" spans="2:11" x14ac:dyDescent="0.2">
      <c r="D3583" s="24" t="s">
        <v>1142</v>
      </c>
      <c r="E3583" s="23"/>
      <c r="H3583" s="23">
        <v>8</v>
      </c>
      <c r="I3583" t="s">
        <v>1093</v>
      </c>
      <c r="K3583" s="21">
        <f>ROUND(H3583/100*K3582,5)</f>
        <v>0.27122000000000002</v>
      </c>
    </row>
    <row r="3584" spans="2:11" x14ac:dyDescent="0.2">
      <c r="D3584" s="24" t="s">
        <v>1094</v>
      </c>
      <c r="E3584" s="23"/>
      <c r="H3584" s="23"/>
      <c r="K3584" s="25">
        <f>SUM(K3582:K3583)</f>
        <v>3.6614999999999998</v>
      </c>
    </row>
    <row r="3586" spans="1:27" ht="45" customHeight="1" x14ac:dyDescent="0.2">
      <c r="A3586" s="17" t="s">
        <v>2410</v>
      </c>
      <c r="B3586" s="17" t="s">
        <v>612</v>
      </c>
      <c r="C3586" s="1" t="s">
        <v>36</v>
      </c>
      <c r="D3586" s="96" t="s">
        <v>613</v>
      </c>
      <c r="E3586" s="97"/>
      <c r="F3586" s="97"/>
      <c r="G3586" s="1"/>
      <c r="H3586" s="18" t="s">
        <v>1066</v>
      </c>
      <c r="I3586" s="98">
        <v>1</v>
      </c>
      <c r="J3586" s="99"/>
      <c r="K3586" s="19">
        <f>ROUND(K3599,2)</f>
        <v>7.32</v>
      </c>
      <c r="L3586" s="2" t="s">
        <v>2358</v>
      </c>
      <c r="M3586" s="1"/>
      <c r="N3586" s="1"/>
      <c r="O3586" s="1"/>
      <c r="P3586" s="1"/>
      <c r="Q3586" s="1"/>
      <c r="R3586" s="1"/>
      <c r="S3586" s="1"/>
      <c r="T3586" s="1"/>
      <c r="U3586" s="1"/>
      <c r="V3586" s="1"/>
      <c r="W3586" s="1"/>
      <c r="X3586" s="1"/>
      <c r="Y3586" s="1"/>
      <c r="Z3586" s="1"/>
      <c r="AA3586" s="1"/>
    </row>
    <row r="3587" spans="1:27" x14ac:dyDescent="0.2">
      <c r="B3587" s="14" t="s">
        <v>1068</v>
      </c>
    </row>
    <row r="3588" spans="1:27" x14ac:dyDescent="0.2">
      <c r="B3588" t="s">
        <v>1136</v>
      </c>
      <c r="C3588" t="s">
        <v>1070</v>
      </c>
      <c r="D3588" t="s">
        <v>1137</v>
      </c>
      <c r="E3588" s="20">
        <v>0.09</v>
      </c>
      <c r="F3588" t="s">
        <v>1072</v>
      </c>
      <c r="G3588" t="s">
        <v>1073</v>
      </c>
      <c r="H3588" s="21">
        <v>30.41</v>
      </c>
      <c r="I3588" t="s">
        <v>1074</v>
      </c>
      <c r="J3588" s="22">
        <f>ROUND(E3588/I3586* H3588,5)</f>
        <v>2.7368999999999999</v>
      </c>
      <c r="K3588" s="23"/>
    </row>
    <row r="3589" spans="1:27" x14ac:dyDescent="0.2">
      <c r="B3589" t="s">
        <v>1138</v>
      </c>
      <c r="C3589" t="s">
        <v>1070</v>
      </c>
      <c r="D3589" t="s">
        <v>1139</v>
      </c>
      <c r="E3589" s="20">
        <v>0.09</v>
      </c>
      <c r="F3589" t="s">
        <v>1072</v>
      </c>
      <c r="G3589" t="s">
        <v>1073</v>
      </c>
      <c r="H3589" s="21">
        <v>26.12</v>
      </c>
      <c r="I3589" t="s">
        <v>1074</v>
      </c>
      <c r="J3589" s="22">
        <f>ROUND(E3589/I3586* H3589,5)</f>
        <v>2.3508</v>
      </c>
      <c r="K3589" s="23"/>
    </row>
    <row r="3590" spans="1:27" x14ac:dyDescent="0.2">
      <c r="D3590" s="24" t="s">
        <v>1075</v>
      </c>
      <c r="E3590" s="23"/>
      <c r="H3590" s="23"/>
      <c r="K3590" s="21">
        <f>SUM(J3588:J3589)</f>
        <v>5.0876999999999999</v>
      </c>
    </row>
    <row r="3591" spans="1:27" x14ac:dyDescent="0.2">
      <c r="B3591" s="14" t="s">
        <v>1080</v>
      </c>
      <c r="E3591" s="23"/>
      <c r="H3591" s="23"/>
      <c r="K3591" s="23"/>
    </row>
    <row r="3592" spans="1:27" x14ac:dyDescent="0.2">
      <c r="B3592" t="s">
        <v>2361</v>
      </c>
      <c r="C3592" t="s">
        <v>36</v>
      </c>
      <c r="D3592" t="s">
        <v>2362</v>
      </c>
      <c r="E3592" s="20">
        <v>1.02</v>
      </c>
      <c r="G3592" t="s">
        <v>1073</v>
      </c>
      <c r="H3592" s="21">
        <v>1.53</v>
      </c>
      <c r="I3592" t="s">
        <v>1074</v>
      </c>
      <c r="J3592" s="22">
        <f>ROUND(E3592* H3592,5)</f>
        <v>1.5606</v>
      </c>
      <c r="K3592" s="23"/>
    </row>
    <row r="3593" spans="1:27" x14ac:dyDescent="0.2">
      <c r="B3593" t="s">
        <v>2359</v>
      </c>
      <c r="C3593" t="s">
        <v>23</v>
      </c>
      <c r="D3593" t="s">
        <v>2360</v>
      </c>
      <c r="E3593" s="20">
        <v>1</v>
      </c>
      <c r="G3593" t="s">
        <v>1073</v>
      </c>
      <c r="H3593" s="21">
        <v>0.05</v>
      </c>
      <c r="I3593" t="s">
        <v>1074</v>
      </c>
      <c r="J3593" s="22">
        <f>ROUND(E3593* H3593,5)</f>
        <v>0.05</v>
      </c>
      <c r="K3593" s="23"/>
    </row>
    <row r="3594" spans="1:27" x14ac:dyDescent="0.2">
      <c r="D3594" s="24" t="s">
        <v>1090</v>
      </c>
      <c r="E3594" s="23"/>
      <c r="H3594" s="23"/>
      <c r="K3594" s="21">
        <f>SUM(J3592:J3593)</f>
        <v>1.6106</v>
      </c>
    </row>
    <row r="3595" spans="1:27" x14ac:dyDescent="0.2">
      <c r="E3595" s="23"/>
      <c r="H3595" s="23"/>
      <c r="K3595" s="23"/>
    </row>
    <row r="3596" spans="1:27" x14ac:dyDescent="0.2">
      <c r="D3596" s="24" t="s">
        <v>1092</v>
      </c>
      <c r="E3596" s="23"/>
      <c r="H3596" s="23">
        <v>1.5</v>
      </c>
      <c r="I3596" t="s">
        <v>1093</v>
      </c>
      <c r="J3596">
        <f>ROUND(H3596/100*K3590,5)</f>
        <v>7.6319999999999999E-2</v>
      </c>
      <c r="K3596" s="23"/>
    </row>
    <row r="3597" spans="1:27" x14ac:dyDescent="0.2">
      <c r="D3597" s="24" t="s">
        <v>1091</v>
      </c>
      <c r="E3597" s="23"/>
      <c r="H3597" s="23"/>
      <c r="K3597" s="25">
        <f>SUM(J3587:J3596)</f>
        <v>6.7746199999999996</v>
      </c>
    </row>
    <row r="3598" spans="1:27" x14ac:dyDescent="0.2">
      <c r="D3598" s="24" t="s">
        <v>1142</v>
      </c>
      <c r="E3598" s="23"/>
      <c r="H3598" s="23">
        <v>8</v>
      </c>
      <c r="I3598" t="s">
        <v>1093</v>
      </c>
      <c r="K3598" s="21">
        <f>ROUND(H3598/100*K3597,5)</f>
        <v>0.54196999999999995</v>
      </c>
    </row>
    <row r="3599" spans="1:27" x14ac:dyDescent="0.2">
      <c r="D3599" s="24" t="s">
        <v>1094</v>
      </c>
      <c r="E3599" s="23"/>
      <c r="H3599" s="23"/>
      <c r="K3599" s="25">
        <f>SUM(K3597:K3598)</f>
        <v>7.3165899999999997</v>
      </c>
    </row>
    <row r="3601" spans="1:27" ht="45" customHeight="1" x14ac:dyDescent="0.2">
      <c r="A3601" s="17" t="s">
        <v>2414</v>
      </c>
      <c r="B3601" s="17" t="s">
        <v>616</v>
      </c>
      <c r="C3601" s="1" t="s">
        <v>36</v>
      </c>
      <c r="D3601" s="96" t="s">
        <v>617</v>
      </c>
      <c r="E3601" s="97"/>
      <c r="F3601" s="97"/>
      <c r="G3601" s="1"/>
      <c r="H3601" s="18" t="s">
        <v>1066</v>
      </c>
      <c r="I3601" s="98">
        <v>1</v>
      </c>
      <c r="J3601" s="99"/>
      <c r="K3601" s="19">
        <f>ROUND(K3614,2)</f>
        <v>11.86</v>
      </c>
      <c r="L3601" s="2" t="s">
        <v>2364</v>
      </c>
      <c r="M3601" s="1"/>
      <c r="N3601" s="1"/>
      <c r="O3601" s="1"/>
      <c r="P3601" s="1"/>
      <c r="Q3601" s="1"/>
      <c r="R3601" s="1"/>
      <c r="S3601" s="1"/>
      <c r="T3601" s="1"/>
      <c r="U3601" s="1"/>
      <c r="V3601" s="1"/>
      <c r="W3601" s="1"/>
      <c r="X3601" s="1"/>
      <c r="Y3601" s="1"/>
      <c r="Z3601" s="1"/>
      <c r="AA3601" s="1"/>
    </row>
    <row r="3602" spans="1:27" x14ac:dyDescent="0.2">
      <c r="B3602" s="14" t="s">
        <v>1068</v>
      </c>
    </row>
    <row r="3603" spans="1:27" x14ac:dyDescent="0.2">
      <c r="B3603" t="s">
        <v>1136</v>
      </c>
      <c r="C3603" t="s">
        <v>1070</v>
      </c>
      <c r="D3603" t="s">
        <v>1137</v>
      </c>
      <c r="E3603" s="20">
        <v>0.09</v>
      </c>
      <c r="F3603" t="s">
        <v>1072</v>
      </c>
      <c r="G3603" t="s">
        <v>1073</v>
      </c>
      <c r="H3603" s="21">
        <v>30.41</v>
      </c>
      <c r="I3603" t="s">
        <v>1074</v>
      </c>
      <c r="J3603" s="22">
        <f>ROUND(E3603/I3601* H3603,5)</f>
        <v>2.7368999999999999</v>
      </c>
      <c r="K3603" s="23"/>
    </row>
    <row r="3604" spans="1:27" x14ac:dyDescent="0.2">
      <c r="B3604" t="s">
        <v>1138</v>
      </c>
      <c r="C3604" t="s">
        <v>1070</v>
      </c>
      <c r="D3604" t="s">
        <v>1139</v>
      </c>
      <c r="E3604" s="20">
        <v>0.09</v>
      </c>
      <c r="F3604" t="s">
        <v>1072</v>
      </c>
      <c r="G3604" t="s">
        <v>1073</v>
      </c>
      <c r="H3604" s="21">
        <v>26.12</v>
      </c>
      <c r="I3604" t="s">
        <v>1074</v>
      </c>
      <c r="J3604" s="22">
        <f>ROUND(E3604/I3601* H3604,5)</f>
        <v>2.3508</v>
      </c>
      <c r="K3604" s="23"/>
    </row>
    <row r="3605" spans="1:27" x14ac:dyDescent="0.2">
      <c r="D3605" s="24" t="s">
        <v>1075</v>
      </c>
      <c r="E3605" s="23"/>
      <c r="H3605" s="23"/>
      <c r="K3605" s="21">
        <f>SUM(J3603:J3604)</f>
        <v>5.0876999999999999</v>
      </c>
    </row>
    <row r="3606" spans="1:27" x14ac:dyDescent="0.2">
      <c r="B3606" s="14" t="s">
        <v>1080</v>
      </c>
      <c r="E3606" s="23"/>
      <c r="H3606" s="23"/>
      <c r="K3606" s="23"/>
    </row>
    <row r="3607" spans="1:27" x14ac:dyDescent="0.2">
      <c r="B3607" t="s">
        <v>2367</v>
      </c>
      <c r="C3607" t="s">
        <v>23</v>
      </c>
      <c r="D3607" t="s">
        <v>2368</v>
      </c>
      <c r="E3607" s="20">
        <v>1</v>
      </c>
      <c r="G3607" t="s">
        <v>1073</v>
      </c>
      <c r="H3607" s="21">
        <v>0.16</v>
      </c>
      <c r="I3607" t="s">
        <v>1074</v>
      </c>
      <c r="J3607" s="22">
        <f>ROUND(E3607* H3607,5)</f>
        <v>0.16</v>
      </c>
      <c r="K3607" s="23"/>
    </row>
    <row r="3608" spans="1:27" x14ac:dyDescent="0.2">
      <c r="B3608" t="s">
        <v>2365</v>
      </c>
      <c r="C3608" t="s">
        <v>36</v>
      </c>
      <c r="D3608" t="s">
        <v>2366</v>
      </c>
      <c r="E3608" s="20">
        <v>1.02</v>
      </c>
      <c r="G3608" t="s">
        <v>1073</v>
      </c>
      <c r="H3608" s="21">
        <v>5.55</v>
      </c>
      <c r="I3608" t="s">
        <v>1074</v>
      </c>
      <c r="J3608" s="22">
        <f>ROUND(E3608* H3608,5)</f>
        <v>5.6609999999999996</v>
      </c>
      <c r="K3608" s="23"/>
    </row>
    <row r="3609" spans="1:27" x14ac:dyDescent="0.2">
      <c r="D3609" s="24" t="s">
        <v>1090</v>
      </c>
      <c r="E3609" s="23"/>
      <c r="H3609" s="23"/>
      <c r="K3609" s="21">
        <f>SUM(J3607:J3608)</f>
        <v>5.8209999999999997</v>
      </c>
    </row>
    <row r="3610" spans="1:27" x14ac:dyDescent="0.2">
      <c r="E3610" s="23"/>
      <c r="H3610" s="23"/>
      <c r="K3610" s="23"/>
    </row>
    <row r="3611" spans="1:27" x14ac:dyDescent="0.2">
      <c r="D3611" s="24" t="s">
        <v>1092</v>
      </c>
      <c r="E3611" s="23"/>
      <c r="H3611" s="23">
        <v>1.5</v>
      </c>
      <c r="I3611" t="s">
        <v>1093</v>
      </c>
      <c r="J3611">
        <f>ROUND(H3611/100*K3605,5)</f>
        <v>7.6319999999999999E-2</v>
      </c>
      <c r="K3611" s="23"/>
    </row>
    <row r="3612" spans="1:27" x14ac:dyDescent="0.2">
      <c r="D3612" s="24" t="s">
        <v>1091</v>
      </c>
      <c r="E3612" s="23"/>
      <c r="H3612" s="23"/>
      <c r="K3612" s="25">
        <f>SUM(J3602:J3611)</f>
        <v>10.98502</v>
      </c>
    </row>
    <row r="3613" spans="1:27" x14ac:dyDescent="0.2">
      <c r="D3613" s="24" t="s">
        <v>1142</v>
      </c>
      <c r="E3613" s="23"/>
      <c r="H3613" s="23">
        <v>8</v>
      </c>
      <c r="I3613" t="s">
        <v>1093</v>
      </c>
      <c r="K3613" s="21">
        <f>ROUND(H3613/100*K3612,5)</f>
        <v>0.87880000000000003</v>
      </c>
    </row>
    <row r="3614" spans="1:27" x14ac:dyDescent="0.2">
      <c r="D3614" s="24" t="s">
        <v>1094</v>
      </c>
      <c r="E3614" s="23"/>
      <c r="H3614" s="23"/>
      <c r="K3614" s="25">
        <f>SUM(K3612:K3613)</f>
        <v>11.86382</v>
      </c>
    </row>
    <row r="3616" spans="1:27" ht="45" customHeight="1" x14ac:dyDescent="0.2">
      <c r="A3616" s="17" t="s">
        <v>2422</v>
      </c>
      <c r="B3616" s="17" t="s">
        <v>614</v>
      </c>
      <c r="C3616" s="1" t="s">
        <v>36</v>
      </c>
      <c r="D3616" s="96" t="s">
        <v>615</v>
      </c>
      <c r="E3616" s="97"/>
      <c r="F3616" s="97"/>
      <c r="G3616" s="1"/>
      <c r="H3616" s="18" t="s">
        <v>1066</v>
      </c>
      <c r="I3616" s="98">
        <v>1</v>
      </c>
      <c r="J3616" s="99"/>
      <c r="K3616" s="19">
        <f>ROUND(K3629,2)</f>
        <v>7.51</v>
      </c>
      <c r="L3616" s="2" t="s">
        <v>2370</v>
      </c>
      <c r="M3616" s="1"/>
      <c r="N3616" s="1"/>
      <c r="O3616" s="1"/>
      <c r="P3616" s="1"/>
      <c r="Q3616" s="1"/>
      <c r="R3616" s="1"/>
      <c r="S3616" s="1"/>
      <c r="T3616" s="1"/>
      <c r="U3616" s="1"/>
      <c r="V3616" s="1"/>
      <c r="W3616" s="1"/>
      <c r="X3616" s="1"/>
      <c r="Y3616" s="1"/>
      <c r="Z3616" s="1"/>
      <c r="AA3616" s="1"/>
    </row>
    <row r="3617" spans="1:27" x14ac:dyDescent="0.2">
      <c r="B3617" s="14" t="s">
        <v>1068</v>
      </c>
    </row>
    <row r="3618" spans="1:27" x14ac:dyDescent="0.2">
      <c r="B3618" t="s">
        <v>1136</v>
      </c>
      <c r="C3618" t="s">
        <v>1070</v>
      </c>
      <c r="D3618" t="s">
        <v>1137</v>
      </c>
      <c r="E3618" s="20">
        <v>0.09</v>
      </c>
      <c r="F3618" t="s">
        <v>1072</v>
      </c>
      <c r="G3618" t="s">
        <v>1073</v>
      </c>
      <c r="H3618" s="21">
        <v>30.41</v>
      </c>
      <c r="I3618" t="s">
        <v>1074</v>
      </c>
      <c r="J3618" s="22">
        <f>ROUND(E3618/I3616* H3618,5)</f>
        <v>2.7368999999999999</v>
      </c>
      <c r="K3618" s="23"/>
    </row>
    <row r="3619" spans="1:27" x14ac:dyDescent="0.2">
      <c r="B3619" t="s">
        <v>1138</v>
      </c>
      <c r="C3619" t="s">
        <v>1070</v>
      </c>
      <c r="D3619" t="s">
        <v>1139</v>
      </c>
      <c r="E3619" s="20">
        <v>0.09</v>
      </c>
      <c r="F3619" t="s">
        <v>1072</v>
      </c>
      <c r="G3619" t="s">
        <v>1073</v>
      </c>
      <c r="H3619" s="21">
        <v>26.12</v>
      </c>
      <c r="I3619" t="s">
        <v>1074</v>
      </c>
      <c r="J3619" s="22">
        <f>ROUND(E3619/I3616* H3619,5)</f>
        <v>2.3508</v>
      </c>
      <c r="K3619" s="23"/>
    </row>
    <row r="3620" spans="1:27" x14ac:dyDescent="0.2">
      <c r="D3620" s="24" t="s">
        <v>1075</v>
      </c>
      <c r="E3620" s="23"/>
      <c r="H3620" s="23"/>
      <c r="K3620" s="21">
        <f>SUM(J3618:J3619)</f>
        <v>5.0876999999999999</v>
      </c>
    </row>
    <row r="3621" spans="1:27" x14ac:dyDescent="0.2">
      <c r="B3621" s="14" t="s">
        <v>1080</v>
      </c>
      <c r="E3621" s="23"/>
      <c r="H3621" s="23"/>
      <c r="K3621" s="23"/>
    </row>
    <row r="3622" spans="1:27" x14ac:dyDescent="0.2">
      <c r="B3622" t="s">
        <v>2359</v>
      </c>
      <c r="C3622" t="s">
        <v>23</v>
      </c>
      <c r="D3622" t="s">
        <v>2360</v>
      </c>
      <c r="E3622" s="20">
        <v>1</v>
      </c>
      <c r="G3622" t="s">
        <v>1073</v>
      </c>
      <c r="H3622" s="21">
        <v>0.05</v>
      </c>
      <c r="I3622" t="s">
        <v>1074</v>
      </c>
      <c r="J3622" s="22">
        <f>ROUND(E3622* H3622,5)</f>
        <v>0.05</v>
      </c>
      <c r="K3622" s="23"/>
    </row>
    <row r="3623" spans="1:27" x14ac:dyDescent="0.2">
      <c r="B3623" t="s">
        <v>2371</v>
      </c>
      <c r="C3623" t="s">
        <v>36</v>
      </c>
      <c r="D3623" t="s">
        <v>2372</v>
      </c>
      <c r="E3623" s="20">
        <v>1.02</v>
      </c>
      <c r="G3623" t="s">
        <v>1073</v>
      </c>
      <c r="H3623" s="21">
        <v>1.71</v>
      </c>
      <c r="I3623" t="s">
        <v>1074</v>
      </c>
      <c r="J3623" s="22">
        <f>ROUND(E3623* H3623,5)</f>
        <v>1.7442</v>
      </c>
      <c r="K3623" s="23"/>
    </row>
    <row r="3624" spans="1:27" x14ac:dyDescent="0.2">
      <c r="D3624" s="24" t="s">
        <v>1090</v>
      </c>
      <c r="E3624" s="23"/>
      <c r="H3624" s="23"/>
      <c r="K3624" s="21">
        <f>SUM(J3622:J3623)</f>
        <v>1.7942</v>
      </c>
    </row>
    <row r="3625" spans="1:27" x14ac:dyDescent="0.2">
      <c r="E3625" s="23"/>
      <c r="H3625" s="23"/>
      <c r="K3625" s="23"/>
    </row>
    <row r="3626" spans="1:27" x14ac:dyDescent="0.2">
      <c r="D3626" s="24" t="s">
        <v>1092</v>
      </c>
      <c r="E3626" s="23"/>
      <c r="H3626" s="23">
        <v>1.5</v>
      </c>
      <c r="I3626" t="s">
        <v>1093</v>
      </c>
      <c r="J3626">
        <f>ROUND(H3626/100*K3620,5)</f>
        <v>7.6319999999999999E-2</v>
      </c>
      <c r="K3626" s="23"/>
    </row>
    <row r="3627" spans="1:27" x14ac:dyDescent="0.2">
      <c r="D3627" s="24" t="s">
        <v>1091</v>
      </c>
      <c r="E3627" s="23"/>
      <c r="H3627" s="23"/>
      <c r="K3627" s="25">
        <f>SUM(J3617:J3626)</f>
        <v>6.9582199999999998</v>
      </c>
    </row>
    <row r="3628" spans="1:27" x14ac:dyDescent="0.2">
      <c r="D3628" s="24" t="s">
        <v>1142</v>
      </c>
      <c r="E3628" s="23"/>
      <c r="H3628" s="23">
        <v>8</v>
      </c>
      <c r="I3628" t="s">
        <v>1093</v>
      </c>
      <c r="K3628" s="21">
        <f>ROUND(H3628/100*K3627,5)</f>
        <v>0.55666000000000004</v>
      </c>
    </row>
    <row r="3629" spans="1:27" x14ac:dyDescent="0.2">
      <c r="D3629" s="24" t="s">
        <v>1094</v>
      </c>
      <c r="E3629" s="23"/>
      <c r="H3629" s="23"/>
      <c r="K3629" s="25">
        <f>SUM(K3627:K3628)</f>
        <v>7.5148799999999998</v>
      </c>
    </row>
    <row r="3631" spans="1:27" ht="45" customHeight="1" x14ac:dyDescent="0.2">
      <c r="A3631" s="17" t="s">
        <v>2431</v>
      </c>
      <c r="B3631" s="17" t="s">
        <v>618</v>
      </c>
      <c r="C3631" s="1" t="s">
        <v>36</v>
      </c>
      <c r="D3631" s="96" t="s">
        <v>619</v>
      </c>
      <c r="E3631" s="97"/>
      <c r="F3631" s="97"/>
      <c r="G3631" s="1"/>
      <c r="H3631" s="18" t="s">
        <v>1066</v>
      </c>
      <c r="I3631" s="98">
        <v>1</v>
      </c>
      <c r="J3631" s="99"/>
      <c r="K3631" s="19">
        <f>ROUND(K3644,2)</f>
        <v>11.95</v>
      </c>
      <c r="L3631" s="2" t="s">
        <v>2374</v>
      </c>
      <c r="M3631" s="1"/>
      <c r="N3631" s="1"/>
      <c r="O3631" s="1"/>
      <c r="P3631" s="1"/>
      <c r="Q3631" s="1"/>
      <c r="R3631" s="1"/>
      <c r="S3631" s="1"/>
      <c r="T3631" s="1"/>
      <c r="U3631" s="1"/>
      <c r="V3631" s="1"/>
      <c r="W3631" s="1"/>
      <c r="X3631" s="1"/>
      <c r="Y3631" s="1"/>
      <c r="Z3631" s="1"/>
      <c r="AA3631" s="1"/>
    </row>
    <row r="3632" spans="1:27" x14ac:dyDescent="0.2">
      <c r="B3632" s="14" t="s">
        <v>1068</v>
      </c>
    </row>
    <row r="3633" spans="1:27" x14ac:dyDescent="0.2">
      <c r="B3633" t="s">
        <v>1136</v>
      </c>
      <c r="C3633" t="s">
        <v>1070</v>
      </c>
      <c r="D3633" t="s">
        <v>1137</v>
      </c>
      <c r="E3633" s="20">
        <v>0.09</v>
      </c>
      <c r="F3633" t="s">
        <v>1072</v>
      </c>
      <c r="G3633" t="s">
        <v>1073</v>
      </c>
      <c r="H3633" s="21">
        <v>30.41</v>
      </c>
      <c r="I3633" t="s">
        <v>1074</v>
      </c>
      <c r="J3633" s="22">
        <f>ROUND(E3633/I3631* H3633,5)</f>
        <v>2.7368999999999999</v>
      </c>
      <c r="K3633" s="23"/>
    </row>
    <row r="3634" spans="1:27" x14ac:dyDescent="0.2">
      <c r="B3634" t="s">
        <v>1138</v>
      </c>
      <c r="C3634" t="s">
        <v>1070</v>
      </c>
      <c r="D3634" t="s">
        <v>1139</v>
      </c>
      <c r="E3634" s="20">
        <v>0.09</v>
      </c>
      <c r="F3634" t="s">
        <v>1072</v>
      </c>
      <c r="G3634" t="s">
        <v>1073</v>
      </c>
      <c r="H3634" s="21">
        <v>26.12</v>
      </c>
      <c r="I3634" t="s">
        <v>1074</v>
      </c>
      <c r="J3634" s="22">
        <f>ROUND(E3634/I3631* H3634,5)</f>
        <v>2.3508</v>
      </c>
      <c r="K3634" s="23"/>
    </row>
    <row r="3635" spans="1:27" x14ac:dyDescent="0.2">
      <c r="D3635" s="24" t="s">
        <v>1075</v>
      </c>
      <c r="E3635" s="23"/>
      <c r="H3635" s="23"/>
      <c r="K3635" s="21">
        <f>SUM(J3633:J3634)</f>
        <v>5.0876999999999999</v>
      </c>
    </row>
    <row r="3636" spans="1:27" x14ac:dyDescent="0.2">
      <c r="B3636" s="14" t="s">
        <v>1080</v>
      </c>
      <c r="E3636" s="23"/>
      <c r="H3636" s="23"/>
      <c r="K3636" s="23"/>
    </row>
    <row r="3637" spans="1:27" x14ac:dyDescent="0.2">
      <c r="B3637" t="s">
        <v>2367</v>
      </c>
      <c r="C3637" t="s">
        <v>23</v>
      </c>
      <c r="D3637" t="s">
        <v>2368</v>
      </c>
      <c r="E3637" s="20">
        <v>1</v>
      </c>
      <c r="G3637" t="s">
        <v>1073</v>
      </c>
      <c r="H3637" s="21">
        <v>0.16</v>
      </c>
      <c r="I3637" t="s">
        <v>1074</v>
      </c>
      <c r="J3637" s="22">
        <f>ROUND(E3637* H3637,5)</f>
        <v>0.16</v>
      </c>
      <c r="K3637" s="23"/>
    </row>
    <row r="3638" spans="1:27" x14ac:dyDescent="0.2">
      <c r="B3638" t="s">
        <v>2375</v>
      </c>
      <c r="C3638" t="s">
        <v>36</v>
      </c>
      <c r="D3638" t="s">
        <v>2376</v>
      </c>
      <c r="E3638" s="20">
        <v>1.02</v>
      </c>
      <c r="G3638" t="s">
        <v>1073</v>
      </c>
      <c r="H3638" s="21">
        <v>5.63</v>
      </c>
      <c r="I3638" t="s">
        <v>1074</v>
      </c>
      <c r="J3638" s="22">
        <f>ROUND(E3638* H3638,5)</f>
        <v>5.7426000000000004</v>
      </c>
      <c r="K3638" s="23"/>
    </row>
    <row r="3639" spans="1:27" x14ac:dyDescent="0.2">
      <c r="D3639" s="24" t="s">
        <v>1090</v>
      </c>
      <c r="E3639" s="23"/>
      <c r="H3639" s="23"/>
      <c r="K3639" s="21">
        <f>SUM(J3637:J3638)</f>
        <v>5.9026000000000005</v>
      </c>
    </row>
    <row r="3640" spans="1:27" x14ac:dyDescent="0.2">
      <c r="E3640" s="23"/>
      <c r="H3640" s="23"/>
      <c r="K3640" s="23"/>
    </row>
    <row r="3641" spans="1:27" x14ac:dyDescent="0.2">
      <c r="D3641" s="24" t="s">
        <v>1092</v>
      </c>
      <c r="E3641" s="23"/>
      <c r="H3641" s="23">
        <v>1.5</v>
      </c>
      <c r="I3641" t="s">
        <v>1093</v>
      </c>
      <c r="J3641">
        <f>ROUND(H3641/100*K3635,5)</f>
        <v>7.6319999999999999E-2</v>
      </c>
      <c r="K3641" s="23"/>
    </row>
    <row r="3642" spans="1:27" x14ac:dyDescent="0.2">
      <c r="D3642" s="24" t="s">
        <v>1091</v>
      </c>
      <c r="E3642" s="23"/>
      <c r="H3642" s="23"/>
      <c r="K3642" s="25">
        <f>SUM(J3632:J3641)</f>
        <v>11.066620000000002</v>
      </c>
    </row>
    <row r="3643" spans="1:27" x14ac:dyDescent="0.2">
      <c r="D3643" s="24" t="s">
        <v>1142</v>
      </c>
      <c r="E3643" s="23"/>
      <c r="H3643" s="23">
        <v>8</v>
      </c>
      <c r="I3643" t="s">
        <v>1093</v>
      </c>
      <c r="K3643" s="21">
        <f>ROUND(H3643/100*K3642,5)</f>
        <v>0.88532999999999995</v>
      </c>
    </row>
    <row r="3644" spans="1:27" x14ac:dyDescent="0.2">
      <c r="D3644" s="24" t="s">
        <v>1094</v>
      </c>
      <c r="E3644" s="23"/>
      <c r="H3644" s="23"/>
      <c r="K3644" s="25">
        <f>SUM(K3642:K3643)</f>
        <v>11.951950000000002</v>
      </c>
    </row>
    <row r="3646" spans="1:27" ht="45" customHeight="1" x14ac:dyDescent="0.2">
      <c r="A3646" s="17" t="s">
        <v>2435</v>
      </c>
      <c r="B3646" s="17" t="s">
        <v>620</v>
      </c>
      <c r="C3646" s="1" t="s">
        <v>36</v>
      </c>
      <c r="D3646" s="96" t="s">
        <v>621</v>
      </c>
      <c r="E3646" s="97"/>
      <c r="F3646" s="97"/>
      <c r="G3646" s="1"/>
      <c r="H3646" s="18" t="s">
        <v>1066</v>
      </c>
      <c r="I3646" s="98">
        <v>1</v>
      </c>
      <c r="J3646" s="99"/>
      <c r="K3646" s="19">
        <f>ROUND(K3659,2)</f>
        <v>13.79</v>
      </c>
      <c r="L3646" s="2" t="s">
        <v>2378</v>
      </c>
      <c r="M3646" s="1"/>
      <c r="N3646" s="1"/>
      <c r="O3646" s="1"/>
      <c r="P3646" s="1"/>
      <c r="Q3646" s="1"/>
      <c r="R3646" s="1"/>
      <c r="S3646" s="1"/>
      <c r="T3646" s="1"/>
      <c r="U3646" s="1"/>
      <c r="V3646" s="1"/>
      <c r="W3646" s="1"/>
      <c r="X3646" s="1"/>
      <c r="Y3646" s="1"/>
      <c r="Z3646" s="1"/>
      <c r="AA3646" s="1"/>
    </row>
    <row r="3647" spans="1:27" x14ac:dyDescent="0.2">
      <c r="B3647" s="14" t="s">
        <v>1068</v>
      </c>
    </row>
    <row r="3648" spans="1:27" x14ac:dyDescent="0.2">
      <c r="B3648" t="s">
        <v>1136</v>
      </c>
      <c r="C3648" t="s">
        <v>1070</v>
      </c>
      <c r="D3648" t="s">
        <v>1137</v>
      </c>
      <c r="E3648" s="20">
        <v>0.1</v>
      </c>
      <c r="F3648" t="s">
        <v>1072</v>
      </c>
      <c r="G3648" t="s">
        <v>1073</v>
      </c>
      <c r="H3648" s="21">
        <v>30.41</v>
      </c>
      <c r="I3648" t="s">
        <v>1074</v>
      </c>
      <c r="J3648" s="22">
        <f>ROUND(E3648/I3646* H3648,5)</f>
        <v>3.0409999999999999</v>
      </c>
      <c r="K3648" s="23"/>
    </row>
    <row r="3649" spans="1:27" x14ac:dyDescent="0.2">
      <c r="B3649" t="s">
        <v>1138</v>
      </c>
      <c r="C3649" t="s">
        <v>1070</v>
      </c>
      <c r="D3649" t="s">
        <v>1139</v>
      </c>
      <c r="E3649" s="20">
        <v>0.1</v>
      </c>
      <c r="F3649" t="s">
        <v>1072</v>
      </c>
      <c r="G3649" t="s">
        <v>1073</v>
      </c>
      <c r="H3649" s="21">
        <v>26.12</v>
      </c>
      <c r="I3649" t="s">
        <v>1074</v>
      </c>
      <c r="J3649" s="22">
        <f>ROUND(E3649/I3646* H3649,5)</f>
        <v>2.6120000000000001</v>
      </c>
      <c r="K3649" s="23"/>
    </row>
    <row r="3650" spans="1:27" x14ac:dyDescent="0.2">
      <c r="D3650" s="24" t="s">
        <v>1075</v>
      </c>
      <c r="E3650" s="23"/>
      <c r="H3650" s="23"/>
      <c r="K3650" s="21">
        <f>SUM(J3648:J3649)</f>
        <v>5.6530000000000005</v>
      </c>
    </row>
    <row r="3651" spans="1:27" x14ac:dyDescent="0.2">
      <c r="B3651" s="14" t="s">
        <v>1080</v>
      </c>
      <c r="E3651" s="23"/>
      <c r="H3651" s="23"/>
      <c r="K3651" s="23"/>
    </row>
    <row r="3652" spans="1:27" x14ac:dyDescent="0.2">
      <c r="B3652" t="s">
        <v>2367</v>
      </c>
      <c r="C3652" t="s">
        <v>23</v>
      </c>
      <c r="D3652" t="s">
        <v>2368</v>
      </c>
      <c r="E3652" s="20">
        <v>1</v>
      </c>
      <c r="G3652" t="s">
        <v>1073</v>
      </c>
      <c r="H3652" s="21">
        <v>0.16</v>
      </c>
      <c r="I3652" t="s">
        <v>1074</v>
      </c>
      <c r="J3652" s="22">
        <f>ROUND(E3652* H3652,5)</f>
        <v>0.16</v>
      </c>
      <c r="K3652" s="23"/>
    </row>
    <row r="3653" spans="1:27" x14ac:dyDescent="0.2">
      <c r="B3653" t="s">
        <v>2379</v>
      </c>
      <c r="C3653" t="s">
        <v>36</v>
      </c>
      <c r="D3653" t="s">
        <v>2380</v>
      </c>
      <c r="E3653" s="20">
        <v>1.02</v>
      </c>
      <c r="G3653" t="s">
        <v>1073</v>
      </c>
      <c r="H3653" s="21">
        <v>6.74</v>
      </c>
      <c r="I3653" t="s">
        <v>1074</v>
      </c>
      <c r="J3653" s="22">
        <f>ROUND(E3653* H3653,5)</f>
        <v>6.8747999999999996</v>
      </c>
      <c r="K3653" s="23"/>
    </row>
    <row r="3654" spans="1:27" x14ac:dyDescent="0.2">
      <c r="D3654" s="24" t="s">
        <v>1090</v>
      </c>
      <c r="E3654" s="23"/>
      <c r="H3654" s="23"/>
      <c r="K3654" s="21">
        <f>SUM(J3652:J3653)</f>
        <v>7.0347999999999997</v>
      </c>
    </row>
    <row r="3655" spans="1:27" x14ac:dyDescent="0.2">
      <c r="E3655" s="23"/>
      <c r="H3655" s="23"/>
      <c r="K3655" s="23"/>
    </row>
    <row r="3656" spans="1:27" x14ac:dyDescent="0.2">
      <c r="D3656" s="24" t="s">
        <v>1092</v>
      </c>
      <c r="E3656" s="23"/>
      <c r="H3656" s="23">
        <v>1.5</v>
      </c>
      <c r="I3656" t="s">
        <v>1093</v>
      </c>
      <c r="J3656">
        <f>ROUND(H3656/100*K3650,5)</f>
        <v>8.48E-2</v>
      </c>
      <c r="K3656" s="23"/>
    </row>
    <row r="3657" spans="1:27" x14ac:dyDescent="0.2">
      <c r="D3657" s="24" t="s">
        <v>1091</v>
      </c>
      <c r="E3657" s="23"/>
      <c r="H3657" s="23"/>
      <c r="K3657" s="25">
        <f>SUM(J3647:J3656)</f>
        <v>12.772599999999999</v>
      </c>
    </row>
    <row r="3658" spans="1:27" x14ac:dyDescent="0.2">
      <c r="D3658" s="24" t="s">
        <v>1142</v>
      </c>
      <c r="E3658" s="23"/>
      <c r="H3658" s="23">
        <v>8</v>
      </c>
      <c r="I3658" t="s">
        <v>1093</v>
      </c>
      <c r="K3658" s="21">
        <f>ROUND(H3658/100*K3657,5)</f>
        <v>1.0218100000000001</v>
      </c>
    </row>
    <row r="3659" spans="1:27" x14ac:dyDescent="0.2">
      <c r="D3659" s="24" t="s">
        <v>1094</v>
      </c>
      <c r="E3659" s="23"/>
      <c r="H3659" s="23"/>
      <c r="K3659" s="25">
        <f>SUM(K3657:K3658)</f>
        <v>13.794409999999999</v>
      </c>
    </row>
    <row r="3661" spans="1:27" ht="45" customHeight="1" x14ac:dyDescent="0.2">
      <c r="A3661" s="17" t="s">
        <v>2439</v>
      </c>
      <c r="B3661" s="17" t="s">
        <v>812</v>
      </c>
      <c r="C3661" s="1" t="s">
        <v>23</v>
      </c>
      <c r="D3661" s="96" t="s">
        <v>813</v>
      </c>
      <c r="E3661" s="97"/>
      <c r="F3661" s="97"/>
      <c r="G3661" s="1"/>
      <c r="H3661" s="18" t="s">
        <v>1066</v>
      </c>
      <c r="I3661" s="98">
        <v>1</v>
      </c>
      <c r="J3661" s="99"/>
      <c r="K3661" s="19">
        <f>ROUND(K3671,2)</f>
        <v>6639.14</v>
      </c>
      <c r="L3661" s="2" t="s">
        <v>2382</v>
      </c>
      <c r="M3661" s="1"/>
      <c r="N3661" s="1"/>
      <c r="O3661" s="1"/>
      <c r="P3661" s="1"/>
      <c r="Q3661" s="1"/>
      <c r="R3661" s="1"/>
      <c r="S3661" s="1"/>
      <c r="T3661" s="1"/>
      <c r="U3661" s="1"/>
      <c r="V3661" s="1"/>
      <c r="W3661" s="1"/>
      <c r="X3661" s="1"/>
      <c r="Y3661" s="1"/>
      <c r="Z3661" s="1"/>
      <c r="AA3661" s="1"/>
    </row>
    <row r="3662" spans="1:27" x14ac:dyDescent="0.2">
      <c r="B3662" s="14" t="s">
        <v>1068</v>
      </c>
    </row>
    <row r="3663" spans="1:27" x14ac:dyDescent="0.2">
      <c r="B3663" t="s">
        <v>2050</v>
      </c>
      <c r="C3663" t="s">
        <v>1070</v>
      </c>
      <c r="D3663" t="s">
        <v>2051</v>
      </c>
      <c r="E3663" s="20">
        <v>15</v>
      </c>
      <c r="F3663" t="s">
        <v>1072</v>
      </c>
      <c r="G3663" t="s">
        <v>1073</v>
      </c>
      <c r="H3663" s="21">
        <v>26.08</v>
      </c>
      <c r="I3663" t="s">
        <v>1074</v>
      </c>
      <c r="J3663" s="22">
        <f>ROUND(E3663/I3661* H3663,5)</f>
        <v>391.2</v>
      </c>
      <c r="K3663" s="23"/>
    </row>
    <row r="3664" spans="1:27" x14ac:dyDescent="0.2">
      <c r="B3664" t="s">
        <v>1184</v>
      </c>
      <c r="C3664" t="s">
        <v>1070</v>
      </c>
      <c r="D3664" t="s">
        <v>1185</v>
      </c>
      <c r="E3664" s="20">
        <v>15</v>
      </c>
      <c r="F3664" t="s">
        <v>1072</v>
      </c>
      <c r="G3664" t="s">
        <v>1073</v>
      </c>
      <c r="H3664" s="21">
        <v>30.41</v>
      </c>
      <c r="I3664" t="s">
        <v>1074</v>
      </c>
      <c r="J3664" s="22">
        <f>ROUND(E3664/I3661* H3664,5)</f>
        <v>456.15</v>
      </c>
      <c r="K3664" s="23"/>
    </row>
    <row r="3665" spans="1:27" x14ac:dyDescent="0.2">
      <c r="D3665" s="24" t="s">
        <v>1075</v>
      </c>
      <c r="E3665" s="23"/>
      <c r="H3665" s="23"/>
      <c r="K3665" s="21">
        <f>SUM(J3663:J3664)</f>
        <v>847.34999999999991</v>
      </c>
    </row>
    <row r="3666" spans="1:27" x14ac:dyDescent="0.2">
      <c r="B3666" s="14" t="s">
        <v>1080</v>
      </c>
      <c r="E3666" s="23"/>
      <c r="H3666" s="23"/>
      <c r="K3666" s="23"/>
    </row>
    <row r="3667" spans="1:27" x14ac:dyDescent="0.2">
      <c r="B3667" t="s">
        <v>2383</v>
      </c>
      <c r="C3667" t="s">
        <v>23</v>
      </c>
      <c r="D3667" t="s">
        <v>2384</v>
      </c>
      <c r="E3667" s="20">
        <v>1</v>
      </c>
      <c r="G3667" t="s">
        <v>1073</v>
      </c>
      <c r="H3667" s="21">
        <v>5300</v>
      </c>
      <c r="I3667" t="s">
        <v>1074</v>
      </c>
      <c r="J3667" s="22">
        <f>ROUND(E3667* H3667,5)</f>
        <v>5300</v>
      </c>
      <c r="K3667" s="23"/>
    </row>
    <row r="3668" spans="1:27" x14ac:dyDescent="0.2">
      <c r="D3668" s="24" t="s">
        <v>1090</v>
      </c>
      <c r="E3668" s="23"/>
      <c r="H3668" s="23"/>
      <c r="K3668" s="21">
        <f>SUM(J3667:J3667)</f>
        <v>5300</v>
      </c>
    </row>
    <row r="3669" spans="1:27" x14ac:dyDescent="0.2">
      <c r="D3669" s="24" t="s">
        <v>1091</v>
      </c>
      <c r="E3669" s="23"/>
      <c r="H3669" s="23"/>
      <c r="K3669" s="25">
        <f>SUM(J3662:J3668)</f>
        <v>6147.35</v>
      </c>
    </row>
    <row r="3670" spans="1:27" x14ac:dyDescent="0.2">
      <c r="D3670" s="24" t="s">
        <v>1142</v>
      </c>
      <c r="E3670" s="23"/>
      <c r="H3670" s="23">
        <v>8</v>
      </c>
      <c r="I3670" t="s">
        <v>1093</v>
      </c>
      <c r="K3670" s="21">
        <f>ROUND(H3670/100*K3669,5)</f>
        <v>491.78800000000001</v>
      </c>
    </row>
    <row r="3671" spans="1:27" x14ac:dyDescent="0.2">
      <c r="D3671" s="24" t="s">
        <v>1094</v>
      </c>
      <c r="E3671" s="23"/>
      <c r="H3671" s="23"/>
      <c r="K3671" s="25">
        <f>SUM(K3669:K3670)</f>
        <v>6639.1380000000008</v>
      </c>
    </row>
    <row r="3673" spans="1:27" ht="45" customHeight="1" x14ac:dyDescent="0.2">
      <c r="A3673" s="17" t="s">
        <v>2457</v>
      </c>
      <c r="B3673" s="17" t="s">
        <v>814</v>
      </c>
      <c r="C3673" s="1" t="s">
        <v>23</v>
      </c>
      <c r="D3673" s="96" t="s">
        <v>815</v>
      </c>
      <c r="E3673" s="97"/>
      <c r="F3673" s="97"/>
      <c r="G3673" s="1"/>
      <c r="H3673" s="18" t="s">
        <v>1066</v>
      </c>
      <c r="I3673" s="98">
        <v>1</v>
      </c>
      <c r="J3673" s="99"/>
      <c r="K3673" s="19">
        <f>ROUND(K3683,2)</f>
        <v>1071.27</v>
      </c>
      <c r="L3673" s="2" t="s">
        <v>2386</v>
      </c>
      <c r="M3673" s="1"/>
      <c r="N3673" s="1"/>
      <c r="O3673" s="1"/>
      <c r="P3673" s="1"/>
      <c r="Q3673" s="1"/>
      <c r="R3673" s="1"/>
      <c r="S3673" s="1"/>
      <c r="T3673" s="1"/>
      <c r="U3673" s="1"/>
      <c r="V3673" s="1"/>
      <c r="W3673" s="1"/>
      <c r="X3673" s="1"/>
      <c r="Y3673" s="1"/>
      <c r="Z3673" s="1"/>
      <c r="AA3673" s="1"/>
    </row>
    <row r="3674" spans="1:27" x14ac:dyDescent="0.2">
      <c r="B3674" s="14" t="s">
        <v>1068</v>
      </c>
    </row>
    <row r="3675" spans="1:27" x14ac:dyDescent="0.2">
      <c r="B3675" t="s">
        <v>2050</v>
      </c>
      <c r="C3675" t="s">
        <v>1070</v>
      </c>
      <c r="D3675" t="s">
        <v>2051</v>
      </c>
      <c r="E3675" s="20">
        <v>8</v>
      </c>
      <c r="F3675" t="s">
        <v>1072</v>
      </c>
      <c r="G3675" t="s">
        <v>1073</v>
      </c>
      <c r="H3675" s="21">
        <v>26.08</v>
      </c>
      <c r="I3675" t="s">
        <v>1074</v>
      </c>
      <c r="J3675" s="22">
        <f>ROUND(E3675/I3673* H3675,5)</f>
        <v>208.64</v>
      </c>
      <c r="K3675" s="23"/>
    </row>
    <row r="3676" spans="1:27" x14ac:dyDescent="0.2">
      <c r="B3676" t="s">
        <v>1184</v>
      </c>
      <c r="C3676" t="s">
        <v>1070</v>
      </c>
      <c r="D3676" t="s">
        <v>1185</v>
      </c>
      <c r="E3676" s="20">
        <v>8</v>
      </c>
      <c r="F3676" t="s">
        <v>1072</v>
      </c>
      <c r="G3676" t="s">
        <v>1073</v>
      </c>
      <c r="H3676" s="21">
        <v>30.41</v>
      </c>
      <c r="I3676" t="s">
        <v>1074</v>
      </c>
      <c r="J3676" s="22">
        <f>ROUND(E3676/I3673* H3676,5)</f>
        <v>243.28</v>
      </c>
      <c r="K3676" s="23"/>
    </row>
    <row r="3677" spans="1:27" x14ac:dyDescent="0.2">
      <c r="D3677" s="24" t="s">
        <v>1075</v>
      </c>
      <c r="E3677" s="23"/>
      <c r="H3677" s="23"/>
      <c r="K3677" s="21">
        <f>SUM(J3675:J3676)</f>
        <v>451.91999999999996</v>
      </c>
    </row>
    <row r="3678" spans="1:27" x14ac:dyDescent="0.2">
      <c r="B3678" s="14" t="s">
        <v>1080</v>
      </c>
      <c r="E3678" s="23"/>
      <c r="H3678" s="23"/>
      <c r="K3678" s="23"/>
    </row>
    <row r="3679" spans="1:27" x14ac:dyDescent="0.2">
      <c r="B3679" t="s">
        <v>2387</v>
      </c>
      <c r="C3679" t="s">
        <v>23</v>
      </c>
      <c r="D3679" t="s">
        <v>2388</v>
      </c>
      <c r="E3679" s="20">
        <v>1</v>
      </c>
      <c r="G3679" t="s">
        <v>1073</v>
      </c>
      <c r="H3679" s="21">
        <v>540</v>
      </c>
      <c r="I3679" t="s">
        <v>1074</v>
      </c>
      <c r="J3679" s="22">
        <f>ROUND(E3679* H3679,5)</f>
        <v>540</v>
      </c>
      <c r="K3679" s="23"/>
    </row>
    <row r="3680" spans="1:27" x14ac:dyDescent="0.2">
      <c r="D3680" s="24" t="s">
        <v>1090</v>
      </c>
      <c r="E3680" s="23"/>
      <c r="H3680" s="23"/>
      <c r="K3680" s="21">
        <f>SUM(J3679:J3679)</f>
        <v>540</v>
      </c>
    </row>
    <row r="3681" spans="1:27" x14ac:dyDescent="0.2">
      <c r="D3681" s="24" t="s">
        <v>1091</v>
      </c>
      <c r="E3681" s="23"/>
      <c r="H3681" s="23"/>
      <c r="K3681" s="25">
        <f>SUM(J3674:J3680)</f>
        <v>991.92</v>
      </c>
    </row>
    <row r="3682" spans="1:27" x14ac:dyDescent="0.2">
      <c r="D3682" s="24" t="s">
        <v>1142</v>
      </c>
      <c r="E3682" s="23"/>
      <c r="H3682" s="23">
        <v>8</v>
      </c>
      <c r="I3682" t="s">
        <v>1093</v>
      </c>
      <c r="K3682" s="21">
        <f>ROUND(H3682/100*K3681,5)</f>
        <v>79.3536</v>
      </c>
    </row>
    <row r="3683" spans="1:27" x14ac:dyDescent="0.2">
      <c r="D3683" s="24" t="s">
        <v>1094</v>
      </c>
      <c r="E3683" s="23"/>
      <c r="H3683" s="23"/>
      <c r="K3683" s="25">
        <f>SUM(K3681:K3682)</f>
        <v>1071.2736</v>
      </c>
    </row>
    <row r="3685" spans="1:27" ht="45" customHeight="1" x14ac:dyDescent="0.2">
      <c r="A3685" s="17" t="s">
        <v>2461</v>
      </c>
      <c r="B3685" s="17" t="s">
        <v>816</v>
      </c>
      <c r="C3685" s="1" t="s">
        <v>23</v>
      </c>
      <c r="D3685" s="96" t="s">
        <v>817</v>
      </c>
      <c r="E3685" s="97"/>
      <c r="F3685" s="97"/>
      <c r="G3685" s="1"/>
      <c r="H3685" s="18" t="s">
        <v>1066</v>
      </c>
      <c r="I3685" s="98">
        <v>1</v>
      </c>
      <c r="J3685" s="99"/>
      <c r="K3685" s="19">
        <f>ROUND(K3695,2)</f>
        <v>758.65</v>
      </c>
      <c r="L3685" s="2" t="s">
        <v>2390</v>
      </c>
      <c r="M3685" s="1"/>
      <c r="N3685" s="1"/>
      <c r="O3685" s="1"/>
      <c r="P3685" s="1"/>
      <c r="Q3685" s="1"/>
      <c r="R3685" s="1"/>
      <c r="S3685" s="1"/>
      <c r="T3685" s="1"/>
      <c r="U3685" s="1"/>
      <c r="V3685" s="1"/>
      <c r="W3685" s="1"/>
      <c r="X3685" s="1"/>
      <c r="Y3685" s="1"/>
      <c r="Z3685" s="1"/>
      <c r="AA3685" s="1"/>
    </row>
    <row r="3686" spans="1:27" x14ac:dyDescent="0.2">
      <c r="B3686" s="14" t="s">
        <v>1068</v>
      </c>
    </row>
    <row r="3687" spans="1:27" x14ac:dyDescent="0.2">
      <c r="B3687" t="s">
        <v>1184</v>
      </c>
      <c r="C3687" t="s">
        <v>1070</v>
      </c>
      <c r="D3687" t="s">
        <v>1185</v>
      </c>
      <c r="E3687" s="20">
        <v>5</v>
      </c>
      <c r="F3687" t="s">
        <v>1072</v>
      </c>
      <c r="G3687" t="s">
        <v>1073</v>
      </c>
      <c r="H3687" s="21">
        <v>30.41</v>
      </c>
      <c r="I3687" t="s">
        <v>1074</v>
      </c>
      <c r="J3687" s="22">
        <f>ROUND(E3687/I3685* H3687,5)</f>
        <v>152.05000000000001</v>
      </c>
      <c r="K3687" s="23"/>
    </row>
    <row r="3688" spans="1:27" x14ac:dyDescent="0.2">
      <c r="B3688" t="s">
        <v>2050</v>
      </c>
      <c r="C3688" t="s">
        <v>1070</v>
      </c>
      <c r="D3688" t="s">
        <v>2051</v>
      </c>
      <c r="E3688" s="20">
        <v>5</v>
      </c>
      <c r="F3688" t="s">
        <v>1072</v>
      </c>
      <c r="G3688" t="s">
        <v>1073</v>
      </c>
      <c r="H3688" s="21">
        <v>26.08</v>
      </c>
      <c r="I3688" t="s">
        <v>1074</v>
      </c>
      <c r="J3688" s="22">
        <f>ROUND(E3688/I3685* H3688,5)</f>
        <v>130.4</v>
      </c>
      <c r="K3688" s="23"/>
    </row>
    <row r="3689" spans="1:27" x14ac:dyDescent="0.2">
      <c r="D3689" s="24" t="s">
        <v>1075</v>
      </c>
      <c r="E3689" s="23"/>
      <c r="H3689" s="23"/>
      <c r="K3689" s="21">
        <f>SUM(J3687:J3688)</f>
        <v>282.45000000000005</v>
      </c>
    </row>
    <row r="3690" spans="1:27" x14ac:dyDescent="0.2">
      <c r="B3690" s="14" t="s">
        <v>1080</v>
      </c>
      <c r="E3690" s="23"/>
      <c r="H3690" s="23"/>
      <c r="K3690" s="23"/>
    </row>
    <row r="3691" spans="1:27" x14ac:dyDescent="0.2">
      <c r="B3691" t="s">
        <v>2391</v>
      </c>
      <c r="C3691" t="s">
        <v>23</v>
      </c>
      <c r="D3691" t="s">
        <v>2392</v>
      </c>
      <c r="E3691" s="20">
        <v>1</v>
      </c>
      <c r="G3691" t="s">
        <v>1073</v>
      </c>
      <c r="H3691" s="21">
        <v>420</v>
      </c>
      <c r="I3691" t="s">
        <v>1074</v>
      </c>
      <c r="J3691" s="22">
        <f>ROUND(E3691* H3691,5)</f>
        <v>420</v>
      </c>
      <c r="K3691" s="23"/>
    </row>
    <row r="3692" spans="1:27" x14ac:dyDescent="0.2">
      <c r="D3692" s="24" t="s">
        <v>1090</v>
      </c>
      <c r="E3692" s="23"/>
      <c r="H3692" s="23"/>
      <c r="K3692" s="21">
        <f>SUM(J3691:J3691)</f>
        <v>420</v>
      </c>
    </row>
    <row r="3693" spans="1:27" x14ac:dyDescent="0.2">
      <c r="D3693" s="24" t="s">
        <v>1091</v>
      </c>
      <c r="E3693" s="23"/>
      <c r="H3693" s="23"/>
      <c r="K3693" s="25">
        <f>SUM(J3686:J3692)</f>
        <v>702.45</v>
      </c>
    </row>
    <row r="3694" spans="1:27" x14ac:dyDescent="0.2">
      <c r="D3694" s="24" t="s">
        <v>1142</v>
      </c>
      <c r="E3694" s="23"/>
      <c r="H3694" s="23">
        <v>8</v>
      </c>
      <c r="I3694" t="s">
        <v>1093</v>
      </c>
      <c r="K3694" s="21">
        <f>ROUND(H3694/100*K3693,5)</f>
        <v>56.195999999999998</v>
      </c>
    </row>
    <row r="3695" spans="1:27" x14ac:dyDescent="0.2">
      <c r="D3695" s="24" t="s">
        <v>1094</v>
      </c>
      <c r="E3695" s="23"/>
      <c r="H3695" s="23"/>
      <c r="K3695" s="25">
        <f>SUM(K3693:K3694)</f>
        <v>758.64600000000007</v>
      </c>
    </row>
    <row r="3697" spans="1:27" ht="45" customHeight="1" x14ac:dyDescent="0.2">
      <c r="A3697" s="17" t="s">
        <v>2465</v>
      </c>
      <c r="B3697" s="17" t="s">
        <v>802</v>
      </c>
      <c r="C3697" s="1" t="s">
        <v>23</v>
      </c>
      <c r="D3697" s="96" t="s">
        <v>803</v>
      </c>
      <c r="E3697" s="97"/>
      <c r="F3697" s="97"/>
      <c r="G3697" s="1"/>
      <c r="H3697" s="18" t="s">
        <v>1066</v>
      </c>
      <c r="I3697" s="98">
        <v>1</v>
      </c>
      <c r="J3697" s="99"/>
      <c r="K3697" s="19">
        <f>ROUND(K3710,2)</f>
        <v>18.59</v>
      </c>
      <c r="L3697" s="2" t="s">
        <v>2394</v>
      </c>
      <c r="M3697" s="1"/>
      <c r="N3697" s="1"/>
      <c r="O3697" s="1"/>
      <c r="P3697" s="1"/>
      <c r="Q3697" s="1"/>
      <c r="R3697" s="1"/>
      <c r="S3697" s="1"/>
      <c r="T3697" s="1"/>
      <c r="U3697" s="1"/>
      <c r="V3697" s="1"/>
      <c r="W3697" s="1"/>
      <c r="X3697" s="1"/>
      <c r="Y3697" s="1"/>
      <c r="Z3697" s="1"/>
      <c r="AA3697" s="1"/>
    </row>
    <row r="3698" spans="1:27" x14ac:dyDescent="0.2">
      <c r="B3698" s="14" t="s">
        <v>1068</v>
      </c>
    </row>
    <row r="3699" spans="1:27" x14ac:dyDescent="0.2">
      <c r="B3699" t="s">
        <v>1184</v>
      </c>
      <c r="C3699" t="s">
        <v>1070</v>
      </c>
      <c r="D3699" t="s">
        <v>1185</v>
      </c>
      <c r="E3699" s="20">
        <v>0.3</v>
      </c>
      <c r="F3699" t="s">
        <v>1072</v>
      </c>
      <c r="G3699" t="s">
        <v>1073</v>
      </c>
      <c r="H3699" s="21">
        <v>30.41</v>
      </c>
      <c r="I3699" t="s">
        <v>1074</v>
      </c>
      <c r="J3699" s="22">
        <f>ROUND(E3699/I3697* H3699,5)</f>
        <v>9.1229999999999993</v>
      </c>
      <c r="K3699" s="23"/>
    </row>
    <row r="3700" spans="1:27" x14ac:dyDescent="0.2">
      <c r="B3700" t="s">
        <v>2050</v>
      </c>
      <c r="C3700" t="s">
        <v>1070</v>
      </c>
      <c r="D3700" t="s">
        <v>2051</v>
      </c>
      <c r="E3700" s="20">
        <v>0.15</v>
      </c>
      <c r="F3700" t="s">
        <v>1072</v>
      </c>
      <c r="G3700" t="s">
        <v>1073</v>
      </c>
      <c r="H3700" s="21">
        <v>26.08</v>
      </c>
      <c r="I3700" t="s">
        <v>1074</v>
      </c>
      <c r="J3700" s="22">
        <f>ROUND(E3700/I3697* H3700,5)</f>
        <v>3.9119999999999999</v>
      </c>
      <c r="K3700" s="23"/>
    </row>
    <row r="3701" spans="1:27" x14ac:dyDescent="0.2">
      <c r="D3701" s="24" t="s">
        <v>1075</v>
      </c>
      <c r="E3701" s="23"/>
      <c r="H3701" s="23"/>
      <c r="K3701" s="21">
        <f>SUM(J3699:J3700)</f>
        <v>13.035</v>
      </c>
    </row>
    <row r="3702" spans="1:27" x14ac:dyDescent="0.2">
      <c r="B3702" s="14" t="s">
        <v>1080</v>
      </c>
      <c r="E3702" s="23"/>
      <c r="H3702" s="23"/>
      <c r="K3702" s="23"/>
    </row>
    <row r="3703" spans="1:27" x14ac:dyDescent="0.2">
      <c r="B3703" t="s">
        <v>2395</v>
      </c>
      <c r="C3703" t="s">
        <v>23</v>
      </c>
      <c r="D3703" t="s">
        <v>2396</v>
      </c>
      <c r="E3703" s="20">
        <v>1</v>
      </c>
      <c r="G3703" t="s">
        <v>1073</v>
      </c>
      <c r="H3703" s="21">
        <v>3.61</v>
      </c>
      <c r="I3703" t="s">
        <v>1074</v>
      </c>
      <c r="J3703" s="22">
        <f>ROUND(E3703* H3703,5)</f>
        <v>3.61</v>
      </c>
      <c r="K3703" s="23"/>
    </row>
    <row r="3704" spans="1:27" x14ac:dyDescent="0.2">
      <c r="B3704" t="s">
        <v>2397</v>
      </c>
      <c r="C3704" t="s">
        <v>23</v>
      </c>
      <c r="D3704" t="s">
        <v>2398</v>
      </c>
      <c r="E3704" s="20">
        <v>1</v>
      </c>
      <c r="G3704" t="s">
        <v>1073</v>
      </c>
      <c r="H3704" s="21">
        <v>0.37</v>
      </c>
      <c r="I3704" t="s">
        <v>1074</v>
      </c>
      <c r="J3704" s="22">
        <f>ROUND(E3704* H3704,5)</f>
        <v>0.37</v>
      </c>
      <c r="K3704" s="23"/>
    </row>
    <row r="3705" spans="1:27" x14ac:dyDescent="0.2">
      <c r="D3705" s="24" t="s">
        <v>1090</v>
      </c>
      <c r="E3705" s="23"/>
      <c r="H3705" s="23"/>
      <c r="K3705" s="21">
        <f>SUM(J3703:J3704)</f>
        <v>3.98</v>
      </c>
    </row>
    <row r="3706" spans="1:27" x14ac:dyDescent="0.2">
      <c r="E3706" s="23"/>
      <c r="H3706" s="23"/>
      <c r="K3706" s="23"/>
    </row>
    <row r="3707" spans="1:27" x14ac:dyDescent="0.2">
      <c r="D3707" s="24" t="s">
        <v>1092</v>
      </c>
      <c r="E3707" s="23"/>
      <c r="H3707" s="23">
        <v>1.5</v>
      </c>
      <c r="I3707" t="s">
        <v>1093</v>
      </c>
      <c r="J3707">
        <f>ROUND(H3707/100*K3701,5)</f>
        <v>0.19553000000000001</v>
      </c>
      <c r="K3707" s="23"/>
    </row>
    <row r="3708" spans="1:27" x14ac:dyDescent="0.2">
      <c r="D3708" s="24" t="s">
        <v>1091</v>
      </c>
      <c r="E3708" s="23"/>
      <c r="H3708" s="23"/>
      <c r="K3708" s="25">
        <f>SUM(J3698:J3707)</f>
        <v>17.210530000000002</v>
      </c>
    </row>
    <row r="3709" spans="1:27" x14ac:dyDescent="0.2">
      <c r="D3709" s="24" t="s">
        <v>1142</v>
      </c>
      <c r="E3709" s="23"/>
      <c r="H3709" s="23">
        <v>8</v>
      </c>
      <c r="I3709" t="s">
        <v>1093</v>
      </c>
      <c r="K3709" s="21">
        <f>ROUND(H3709/100*K3708,5)</f>
        <v>1.3768400000000001</v>
      </c>
    </row>
    <row r="3710" spans="1:27" x14ac:dyDescent="0.2">
      <c r="D3710" s="24" t="s">
        <v>1094</v>
      </c>
      <c r="E3710" s="23"/>
      <c r="H3710" s="23"/>
      <c r="K3710" s="25">
        <f>SUM(K3708:K3709)</f>
        <v>18.587370000000004</v>
      </c>
    </row>
    <row r="3712" spans="1:27" ht="45" customHeight="1" x14ac:dyDescent="0.2">
      <c r="A3712" s="17"/>
      <c r="B3712" s="17" t="s">
        <v>2399</v>
      </c>
      <c r="C3712" s="1" t="s">
        <v>23</v>
      </c>
      <c r="D3712" s="96" t="s">
        <v>2400</v>
      </c>
      <c r="E3712" s="97"/>
      <c r="F3712" s="97"/>
      <c r="G3712" s="1"/>
      <c r="H3712" s="18" t="s">
        <v>1066</v>
      </c>
      <c r="I3712" s="98">
        <v>1</v>
      </c>
      <c r="J3712" s="99"/>
      <c r="K3712" s="19">
        <f>ROUND(K3724,2)</f>
        <v>25.91</v>
      </c>
      <c r="L3712" s="2" t="s">
        <v>2401</v>
      </c>
      <c r="M3712" s="1"/>
      <c r="N3712" s="1"/>
      <c r="O3712" s="1"/>
      <c r="P3712" s="1"/>
      <c r="Q3712" s="1"/>
      <c r="R3712" s="1"/>
      <c r="S3712" s="1"/>
      <c r="T3712" s="1"/>
      <c r="U3712" s="1"/>
      <c r="V3712" s="1"/>
      <c r="W3712" s="1"/>
      <c r="X3712" s="1"/>
      <c r="Y3712" s="1"/>
      <c r="Z3712" s="1"/>
      <c r="AA3712" s="1"/>
    </row>
    <row r="3713" spans="1:27" x14ac:dyDescent="0.2">
      <c r="B3713" s="14" t="s">
        <v>1068</v>
      </c>
    </row>
    <row r="3714" spans="1:27" x14ac:dyDescent="0.2">
      <c r="B3714" t="s">
        <v>1184</v>
      </c>
      <c r="C3714" t="s">
        <v>1070</v>
      </c>
      <c r="D3714" t="s">
        <v>1185</v>
      </c>
      <c r="E3714" s="20">
        <v>0.5</v>
      </c>
      <c r="F3714" t="s">
        <v>1072</v>
      </c>
      <c r="G3714" t="s">
        <v>1073</v>
      </c>
      <c r="H3714" s="21">
        <v>30.41</v>
      </c>
      <c r="I3714" t="s">
        <v>1074</v>
      </c>
      <c r="J3714" s="22">
        <f>ROUND(E3714/I3712* H3714,5)</f>
        <v>15.205</v>
      </c>
      <c r="K3714" s="23"/>
    </row>
    <row r="3715" spans="1:27" x14ac:dyDescent="0.2">
      <c r="B3715" t="s">
        <v>2050</v>
      </c>
      <c r="C3715" t="s">
        <v>1070</v>
      </c>
      <c r="D3715" t="s">
        <v>2051</v>
      </c>
      <c r="E3715" s="20">
        <v>0.15</v>
      </c>
      <c r="F3715" t="s">
        <v>1072</v>
      </c>
      <c r="G3715" t="s">
        <v>1073</v>
      </c>
      <c r="H3715" s="21">
        <v>26.08</v>
      </c>
      <c r="I3715" t="s">
        <v>1074</v>
      </c>
      <c r="J3715" s="22">
        <f>ROUND(E3715/I3712* H3715,5)</f>
        <v>3.9119999999999999</v>
      </c>
      <c r="K3715" s="23"/>
    </row>
    <row r="3716" spans="1:27" x14ac:dyDescent="0.2">
      <c r="D3716" s="24" t="s">
        <v>1075</v>
      </c>
      <c r="E3716" s="23"/>
      <c r="H3716" s="23"/>
      <c r="K3716" s="21">
        <f>SUM(J3714:J3715)</f>
        <v>19.117000000000001</v>
      </c>
    </row>
    <row r="3717" spans="1:27" x14ac:dyDescent="0.2">
      <c r="B3717" s="14" t="s">
        <v>1080</v>
      </c>
      <c r="E3717" s="23"/>
      <c r="H3717" s="23"/>
      <c r="K3717" s="23"/>
    </row>
    <row r="3718" spans="1:27" x14ac:dyDescent="0.2">
      <c r="B3718" t="s">
        <v>2402</v>
      </c>
      <c r="C3718" t="s">
        <v>23</v>
      </c>
      <c r="D3718" t="s">
        <v>2403</v>
      </c>
      <c r="E3718" s="20">
        <v>1</v>
      </c>
      <c r="G3718" t="s">
        <v>1073</v>
      </c>
      <c r="H3718" s="21">
        <v>4.59</v>
      </c>
      <c r="I3718" t="s">
        <v>1074</v>
      </c>
      <c r="J3718" s="22">
        <f>ROUND(E3718* H3718,5)</f>
        <v>4.59</v>
      </c>
      <c r="K3718" s="23"/>
    </row>
    <row r="3719" spans="1:27" x14ac:dyDescent="0.2">
      <c r="D3719" s="24" t="s">
        <v>1090</v>
      </c>
      <c r="E3719" s="23"/>
      <c r="H3719" s="23"/>
      <c r="K3719" s="21">
        <f>SUM(J3718:J3718)</f>
        <v>4.59</v>
      </c>
    </row>
    <row r="3720" spans="1:27" x14ac:dyDescent="0.2">
      <c r="E3720" s="23"/>
      <c r="H3720" s="23"/>
      <c r="K3720" s="23"/>
    </row>
    <row r="3721" spans="1:27" x14ac:dyDescent="0.2">
      <c r="D3721" s="24" t="s">
        <v>1092</v>
      </c>
      <c r="E3721" s="23"/>
      <c r="H3721" s="23">
        <v>1.5</v>
      </c>
      <c r="I3721" t="s">
        <v>1093</v>
      </c>
      <c r="J3721">
        <f>ROUND(H3721/100*K3716,5)</f>
        <v>0.28676000000000001</v>
      </c>
      <c r="K3721" s="23"/>
    </row>
    <row r="3722" spans="1:27" x14ac:dyDescent="0.2">
      <c r="D3722" s="24" t="s">
        <v>1091</v>
      </c>
      <c r="E3722" s="23"/>
      <c r="H3722" s="23"/>
      <c r="K3722" s="25">
        <f>SUM(J3713:J3721)</f>
        <v>23.993760000000002</v>
      </c>
    </row>
    <row r="3723" spans="1:27" x14ac:dyDescent="0.2">
      <c r="D3723" s="24" t="s">
        <v>1142</v>
      </c>
      <c r="E3723" s="23"/>
      <c r="H3723" s="23">
        <v>8</v>
      </c>
      <c r="I3723" t="s">
        <v>1093</v>
      </c>
      <c r="K3723" s="21">
        <f>ROUND(H3723/100*K3722,5)</f>
        <v>1.9195</v>
      </c>
    </row>
    <row r="3724" spans="1:27" x14ac:dyDescent="0.2">
      <c r="D3724" s="24" t="s">
        <v>1094</v>
      </c>
      <c r="E3724" s="23"/>
      <c r="H3724" s="23"/>
      <c r="K3724" s="25">
        <f>SUM(K3722:K3723)</f>
        <v>25.913260000000001</v>
      </c>
    </row>
    <row r="3726" spans="1:27" ht="45" customHeight="1" x14ac:dyDescent="0.2">
      <c r="A3726" s="17" t="s">
        <v>2469</v>
      </c>
      <c r="B3726" s="17" t="s">
        <v>818</v>
      </c>
      <c r="C3726" s="1" t="s">
        <v>23</v>
      </c>
      <c r="D3726" s="96" t="s">
        <v>819</v>
      </c>
      <c r="E3726" s="97"/>
      <c r="F3726" s="97"/>
      <c r="G3726" s="1"/>
      <c r="H3726" s="18" t="s">
        <v>1066</v>
      </c>
      <c r="I3726" s="98">
        <v>1</v>
      </c>
      <c r="J3726" s="99"/>
      <c r="K3726" s="19">
        <f>ROUND(K3739,2)</f>
        <v>202.59</v>
      </c>
      <c r="L3726" s="2" t="s">
        <v>2405</v>
      </c>
      <c r="M3726" s="1"/>
      <c r="N3726" s="1"/>
      <c r="O3726" s="1"/>
      <c r="P3726" s="1"/>
      <c r="Q3726" s="1"/>
      <c r="R3726" s="1"/>
      <c r="S3726" s="1"/>
      <c r="T3726" s="1"/>
      <c r="U3726" s="1"/>
      <c r="V3726" s="1"/>
      <c r="W3726" s="1"/>
      <c r="X3726" s="1"/>
      <c r="Y3726" s="1"/>
      <c r="Z3726" s="1"/>
      <c r="AA3726" s="1"/>
    </row>
    <row r="3727" spans="1:27" x14ac:dyDescent="0.2">
      <c r="B3727" s="14" t="s">
        <v>1068</v>
      </c>
    </row>
    <row r="3728" spans="1:27" x14ac:dyDescent="0.2">
      <c r="B3728" t="s">
        <v>1184</v>
      </c>
      <c r="C3728" t="s">
        <v>1070</v>
      </c>
      <c r="D3728" t="s">
        <v>1185</v>
      </c>
      <c r="E3728" s="20">
        <v>1</v>
      </c>
      <c r="F3728" t="s">
        <v>1072</v>
      </c>
      <c r="G3728" t="s">
        <v>1073</v>
      </c>
      <c r="H3728" s="21">
        <v>30.41</v>
      </c>
      <c r="I3728" t="s">
        <v>1074</v>
      </c>
      <c r="J3728" s="22">
        <f>ROUND(E3728/I3726* H3728,5)</f>
        <v>30.41</v>
      </c>
      <c r="K3728" s="23"/>
    </row>
    <row r="3729" spans="1:27" x14ac:dyDescent="0.2">
      <c r="B3729" t="s">
        <v>2050</v>
      </c>
      <c r="C3729" t="s">
        <v>1070</v>
      </c>
      <c r="D3729" t="s">
        <v>2051</v>
      </c>
      <c r="E3729" s="20">
        <v>1</v>
      </c>
      <c r="F3729" t="s">
        <v>1072</v>
      </c>
      <c r="G3729" t="s">
        <v>1073</v>
      </c>
      <c r="H3729" s="21">
        <v>26.08</v>
      </c>
      <c r="I3729" t="s">
        <v>1074</v>
      </c>
      <c r="J3729" s="22">
        <f>ROUND(E3729/I3726* H3729,5)</f>
        <v>26.08</v>
      </c>
      <c r="K3729" s="23"/>
    </row>
    <row r="3730" spans="1:27" x14ac:dyDescent="0.2">
      <c r="D3730" s="24" t="s">
        <v>1075</v>
      </c>
      <c r="E3730" s="23"/>
      <c r="H3730" s="23"/>
      <c r="K3730" s="21">
        <f>SUM(J3728:J3729)</f>
        <v>56.489999999999995</v>
      </c>
    </row>
    <row r="3731" spans="1:27" x14ac:dyDescent="0.2">
      <c r="B3731" s="14" t="s">
        <v>1080</v>
      </c>
      <c r="E3731" s="23"/>
      <c r="H3731" s="23"/>
      <c r="K3731" s="23"/>
    </row>
    <row r="3732" spans="1:27" x14ac:dyDescent="0.2">
      <c r="B3732" t="s">
        <v>2408</v>
      </c>
      <c r="C3732" t="s">
        <v>23</v>
      </c>
      <c r="D3732" t="s">
        <v>2409</v>
      </c>
      <c r="E3732" s="20">
        <v>1</v>
      </c>
      <c r="G3732" t="s">
        <v>1073</v>
      </c>
      <c r="H3732" s="21">
        <v>13.88</v>
      </c>
      <c r="I3732" t="s">
        <v>1074</v>
      </c>
      <c r="J3732" s="22">
        <f>ROUND(E3732* H3732,5)</f>
        <v>13.88</v>
      </c>
      <c r="K3732" s="23"/>
    </row>
    <row r="3733" spans="1:27" x14ac:dyDescent="0.2">
      <c r="B3733" t="s">
        <v>2406</v>
      </c>
      <c r="C3733" t="s">
        <v>23</v>
      </c>
      <c r="D3733" t="s">
        <v>2407</v>
      </c>
      <c r="E3733" s="20">
        <v>1</v>
      </c>
      <c r="G3733" t="s">
        <v>1073</v>
      </c>
      <c r="H3733" s="21">
        <v>116.37</v>
      </c>
      <c r="I3733" t="s">
        <v>1074</v>
      </c>
      <c r="J3733" s="22">
        <f>ROUND(E3733* H3733,5)</f>
        <v>116.37</v>
      </c>
      <c r="K3733" s="23"/>
    </row>
    <row r="3734" spans="1:27" x14ac:dyDescent="0.2">
      <c r="D3734" s="24" t="s">
        <v>1090</v>
      </c>
      <c r="E3734" s="23"/>
      <c r="H3734" s="23"/>
      <c r="K3734" s="21">
        <f>SUM(J3732:J3733)</f>
        <v>130.25</v>
      </c>
    </row>
    <row r="3735" spans="1:27" x14ac:dyDescent="0.2">
      <c r="E3735" s="23"/>
      <c r="H3735" s="23"/>
      <c r="K3735" s="23"/>
    </row>
    <row r="3736" spans="1:27" x14ac:dyDescent="0.2">
      <c r="D3736" s="24" t="s">
        <v>1092</v>
      </c>
      <c r="E3736" s="23"/>
      <c r="H3736" s="23">
        <v>1.5</v>
      </c>
      <c r="I3736" t="s">
        <v>1093</v>
      </c>
      <c r="J3736">
        <f>ROUND(H3736/100*K3730,5)</f>
        <v>0.84735000000000005</v>
      </c>
      <c r="K3736" s="23"/>
    </row>
    <row r="3737" spans="1:27" x14ac:dyDescent="0.2">
      <c r="D3737" s="24" t="s">
        <v>1091</v>
      </c>
      <c r="E3737" s="23"/>
      <c r="H3737" s="23"/>
      <c r="K3737" s="25">
        <f>SUM(J3727:J3736)</f>
        <v>187.58735000000001</v>
      </c>
    </row>
    <row r="3738" spans="1:27" x14ac:dyDescent="0.2">
      <c r="D3738" s="24" t="s">
        <v>1142</v>
      </c>
      <c r="E3738" s="23"/>
      <c r="H3738" s="23">
        <v>8</v>
      </c>
      <c r="I3738" t="s">
        <v>1093</v>
      </c>
      <c r="K3738" s="21">
        <f>ROUND(H3738/100*K3737,5)</f>
        <v>15.00699</v>
      </c>
    </row>
    <row r="3739" spans="1:27" x14ac:dyDescent="0.2">
      <c r="D3739" s="24" t="s">
        <v>1094</v>
      </c>
      <c r="E3739" s="23"/>
      <c r="H3739" s="23"/>
      <c r="K3739" s="25">
        <f>SUM(K3737:K3738)</f>
        <v>202.59434000000002</v>
      </c>
    </row>
    <row r="3741" spans="1:27" ht="45" customHeight="1" x14ac:dyDescent="0.2">
      <c r="A3741" s="17" t="s">
        <v>2473</v>
      </c>
      <c r="B3741" s="17" t="s">
        <v>820</v>
      </c>
      <c r="C3741" s="1" t="s">
        <v>23</v>
      </c>
      <c r="D3741" s="96" t="s">
        <v>821</v>
      </c>
      <c r="E3741" s="97"/>
      <c r="F3741" s="97"/>
      <c r="G3741" s="1"/>
      <c r="H3741" s="18" t="s">
        <v>1066</v>
      </c>
      <c r="I3741" s="98">
        <v>1</v>
      </c>
      <c r="J3741" s="99"/>
      <c r="K3741" s="19">
        <f>ROUND(K3753,2)</f>
        <v>308.55</v>
      </c>
      <c r="L3741" s="2" t="s">
        <v>2411</v>
      </c>
      <c r="M3741" s="1"/>
      <c r="N3741" s="1"/>
      <c r="O3741" s="1"/>
      <c r="P3741" s="1"/>
      <c r="Q3741" s="1"/>
      <c r="R3741" s="1"/>
      <c r="S3741" s="1"/>
      <c r="T3741" s="1"/>
      <c r="U3741" s="1"/>
      <c r="V3741" s="1"/>
      <c r="W3741" s="1"/>
      <c r="X3741" s="1"/>
      <c r="Y3741" s="1"/>
      <c r="Z3741" s="1"/>
      <c r="AA3741" s="1"/>
    </row>
    <row r="3742" spans="1:27" x14ac:dyDescent="0.2">
      <c r="B3742" s="14" t="s">
        <v>1068</v>
      </c>
    </row>
    <row r="3743" spans="1:27" x14ac:dyDescent="0.2">
      <c r="B3743" t="s">
        <v>2050</v>
      </c>
      <c r="C3743" t="s">
        <v>1070</v>
      </c>
      <c r="D3743" t="s">
        <v>2051</v>
      </c>
      <c r="E3743" s="20">
        <v>1</v>
      </c>
      <c r="F3743" t="s">
        <v>1072</v>
      </c>
      <c r="G3743" t="s">
        <v>1073</v>
      </c>
      <c r="H3743" s="21">
        <v>26.08</v>
      </c>
      <c r="I3743" t="s">
        <v>1074</v>
      </c>
      <c r="J3743" s="22">
        <f>ROUND(E3743/I3741* H3743,5)</f>
        <v>26.08</v>
      </c>
      <c r="K3743" s="23"/>
    </row>
    <row r="3744" spans="1:27" x14ac:dyDescent="0.2">
      <c r="B3744" t="s">
        <v>1184</v>
      </c>
      <c r="C3744" t="s">
        <v>1070</v>
      </c>
      <c r="D3744" t="s">
        <v>1185</v>
      </c>
      <c r="E3744" s="20">
        <v>1</v>
      </c>
      <c r="F3744" t="s">
        <v>1072</v>
      </c>
      <c r="G3744" t="s">
        <v>1073</v>
      </c>
      <c r="H3744" s="21">
        <v>30.41</v>
      </c>
      <c r="I3744" t="s">
        <v>1074</v>
      </c>
      <c r="J3744" s="22">
        <f>ROUND(E3744/I3741* H3744,5)</f>
        <v>30.41</v>
      </c>
      <c r="K3744" s="23"/>
    </row>
    <row r="3745" spans="1:27" x14ac:dyDescent="0.2">
      <c r="D3745" s="24" t="s">
        <v>1075</v>
      </c>
      <c r="E3745" s="23"/>
      <c r="H3745" s="23"/>
      <c r="K3745" s="21">
        <f>SUM(J3743:J3744)</f>
        <v>56.489999999999995</v>
      </c>
    </row>
    <row r="3746" spans="1:27" x14ac:dyDescent="0.2">
      <c r="B3746" s="14" t="s">
        <v>1080</v>
      </c>
      <c r="E3746" s="23"/>
      <c r="H3746" s="23"/>
      <c r="K3746" s="23"/>
    </row>
    <row r="3747" spans="1:27" x14ac:dyDescent="0.2">
      <c r="B3747" t="s">
        <v>2412</v>
      </c>
      <c r="C3747" t="s">
        <v>23</v>
      </c>
      <c r="D3747" t="s">
        <v>2413</v>
      </c>
      <c r="E3747" s="20">
        <v>1</v>
      </c>
      <c r="G3747" t="s">
        <v>1073</v>
      </c>
      <c r="H3747" s="21">
        <v>228.36</v>
      </c>
      <c r="I3747" t="s">
        <v>1074</v>
      </c>
      <c r="J3747" s="22">
        <f>ROUND(E3747* H3747,5)</f>
        <v>228.36</v>
      </c>
      <c r="K3747" s="23"/>
    </row>
    <row r="3748" spans="1:27" x14ac:dyDescent="0.2">
      <c r="D3748" s="24" t="s">
        <v>1090</v>
      </c>
      <c r="E3748" s="23"/>
      <c r="H3748" s="23"/>
      <c r="K3748" s="21">
        <f>SUM(J3747:J3747)</f>
        <v>228.36</v>
      </c>
    </row>
    <row r="3749" spans="1:27" x14ac:dyDescent="0.2">
      <c r="E3749" s="23"/>
      <c r="H3749" s="23"/>
      <c r="K3749" s="23"/>
    </row>
    <row r="3750" spans="1:27" x14ac:dyDescent="0.2">
      <c r="D3750" s="24" t="s">
        <v>1092</v>
      </c>
      <c r="E3750" s="23"/>
      <c r="H3750" s="23">
        <v>1.5</v>
      </c>
      <c r="I3750" t="s">
        <v>1093</v>
      </c>
      <c r="J3750">
        <f>ROUND(H3750/100*K3745,5)</f>
        <v>0.84735000000000005</v>
      </c>
      <c r="K3750" s="23"/>
    </row>
    <row r="3751" spans="1:27" x14ac:dyDescent="0.2">
      <c r="D3751" s="24" t="s">
        <v>1091</v>
      </c>
      <c r="E3751" s="23"/>
      <c r="H3751" s="23"/>
      <c r="K3751" s="25">
        <f>SUM(J3742:J3750)</f>
        <v>285.69735000000003</v>
      </c>
    </row>
    <row r="3752" spans="1:27" x14ac:dyDescent="0.2">
      <c r="D3752" s="24" t="s">
        <v>1142</v>
      </c>
      <c r="E3752" s="23"/>
      <c r="H3752" s="23">
        <v>8</v>
      </c>
      <c r="I3752" t="s">
        <v>1093</v>
      </c>
      <c r="K3752" s="21">
        <f>ROUND(H3752/100*K3751,5)</f>
        <v>22.855789999999999</v>
      </c>
    </row>
    <row r="3753" spans="1:27" x14ac:dyDescent="0.2">
      <c r="D3753" s="24" t="s">
        <v>1094</v>
      </c>
      <c r="E3753" s="23"/>
      <c r="H3753" s="23"/>
      <c r="K3753" s="25">
        <f>SUM(K3751:K3752)</f>
        <v>308.55314000000004</v>
      </c>
    </row>
    <row r="3755" spans="1:27" ht="45" customHeight="1" x14ac:dyDescent="0.2">
      <c r="A3755" s="17" t="s">
        <v>2477</v>
      </c>
      <c r="B3755" s="17" t="s">
        <v>776</v>
      </c>
      <c r="C3755" s="1" t="s">
        <v>36</v>
      </c>
      <c r="D3755" s="96" t="s">
        <v>777</v>
      </c>
      <c r="E3755" s="97"/>
      <c r="F3755" s="97"/>
      <c r="G3755" s="1"/>
      <c r="H3755" s="18" t="s">
        <v>1066</v>
      </c>
      <c r="I3755" s="98">
        <v>1</v>
      </c>
      <c r="J3755" s="99"/>
      <c r="K3755" s="19">
        <f>ROUND(K3769,2)</f>
        <v>36.83</v>
      </c>
      <c r="L3755" s="2" t="s">
        <v>2415</v>
      </c>
      <c r="M3755" s="1"/>
      <c r="N3755" s="1"/>
      <c r="O3755" s="1"/>
      <c r="P3755" s="1"/>
      <c r="Q3755" s="1"/>
      <c r="R3755" s="1"/>
      <c r="S3755" s="1"/>
      <c r="T3755" s="1"/>
      <c r="U3755" s="1"/>
      <c r="V3755" s="1"/>
      <c r="W3755" s="1"/>
      <c r="X3755" s="1"/>
      <c r="Y3755" s="1"/>
      <c r="Z3755" s="1"/>
      <c r="AA3755" s="1"/>
    </row>
    <row r="3756" spans="1:27" x14ac:dyDescent="0.2">
      <c r="B3756" s="14" t="s">
        <v>1068</v>
      </c>
    </row>
    <row r="3757" spans="1:27" x14ac:dyDescent="0.2">
      <c r="B3757" t="s">
        <v>1184</v>
      </c>
      <c r="C3757" t="s">
        <v>1070</v>
      </c>
      <c r="D3757" t="s">
        <v>1185</v>
      </c>
      <c r="E3757" s="20">
        <v>0.17499999999999999</v>
      </c>
      <c r="F3757" t="s">
        <v>1072</v>
      </c>
      <c r="G3757" t="s">
        <v>1073</v>
      </c>
      <c r="H3757" s="21">
        <v>30.41</v>
      </c>
      <c r="I3757" t="s">
        <v>1074</v>
      </c>
      <c r="J3757" s="22">
        <f>ROUND(E3757/I3755* H3757,5)</f>
        <v>5.3217499999999998</v>
      </c>
      <c r="K3757" s="23"/>
    </row>
    <row r="3758" spans="1:27" x14ac:dyDescent="0.2">
      <c r="B3758" t="s">
        <v>2050</v>
      </c>
      <c r="C3758" t="s">
        <v>1070</v>
      </c>
      <c r="D3758" t="s">
        <v>2051</v>
      </c>
      <c r="E3758" s="20">
        <v>8.7999999999999995E-2</v>
      </c>
      <c r="F3758" t="s">
        <v>1072</v>
      </c>
      <c r="G3758" t="s">
        <v>1073</v>
      </c>
      <c r="H3758" s="21">
        <v>26.08</v>
      </c>
      <c r="I3758" t="s">
        <v>1074</v>
      </c>
      <c r="J3758" s="22">
        <f>ROUND(E3758/I3755* H3758,5)</f>
        <v>2.2950400000000002</v>
      </c>
      <c r="K3758" s="23"/>
    </row>
    <row r="3759" spans="1:27" x14ac:dyDescent="0.2">
      <c r="D3759" s="24" t="s">
        <v>1075</v>
      </c>
      <c r="E3759" s="23"/>
      <c r="H3759" s="23"/>
      <c r="K3759" s="21">
        <f>SUM(J3757:J3758)</f>
        <v>7.6167899999999999</v>
      </c>
    </row>
    <row r="3760" spans="1:27" x14ac:dyDescent="0.2">
      <c r="B3760" s="14" t="s">
        <v>1080</v>
      </c>
      <c r="E3760" s="23"/>
      <c r="H3760" s="23"/>
      <c r="K3760" s="23"/>
    </row>
    <row r="3761" spans="1:27" x14ac:dyDescent="0.2">
      <c r="B3761" t="s">
        <v>2416</v>
      </c>
      <c r="C3761" t="s">
        <v>23</v>
      </c>
      <c r="D3761" t="s">
        <v>2417</v>
      </c>
      <c r="E3761" s="20">
        <v>1</v>
      </c>
      <c r="G3761" t="s">
        <v>1073</v>
      </c>
      <c r="H3761" s="21">
        <v>3.83</v>
      </c>
      <c r="I3761" t="s">
        <v>1074</v>
      </c>
      <c r="J3761" s="22">
        <f>ROUND(E3761* H3761,5)</f>
        <v>3.83</v>
      </c>
      <c r="K3761" s="23"/>
    </row>
    <row r="3762" spans="1:27" x14ac:dyDescent="0.2">
      <c r="B3762" t="s">
        <v>2420</v>
      </c>
      <c r="C3762" t="s">
        <v>36</v>
      </c>
      <c r="D3762" t="s">
        <v>2421</v>
      </c>
      <c r="E3762" s="20">
        <v>1</v>
      </c>
      <c r="G3762" t="s">
        <v>1073</v>
      </c>
      <c r="H3762" s="21">
        <v>19.739999999999998</v>
      </c>
      <c r="I3762" t="s">
        <v>1074</v>
      </c>
      <c r="J3762" s="22">
        <f>ROUND(E3762* H3762,5)</f>
        <v>19.739999999999998</v>
      </c>
      <c r="K3762" s="23"/>
    </row>
    <row r="3763" spans="1:27" x14ac:dyDescent="0.2">
      <c r="B3763" t="s">
        <v>2418</v>
      </c>
      <c r="C3763" t="s">
        <v>23</v>
      </c>
      <c r="D3763" t="s">
        <v>2419</v>
      </c>
      <c r="E3763" s="20">
        <v>1</v>
      </c>
      <c r="G3763" t="s">
        <v>1073</v>
      </c>
      <c r="H3763" s="21">
        <v>2.8</v>
      </c>
      <c r="I3763" t="s">
        <v>1074</v>
      </c>
      <c r="J3763" s="22">
        <f>ROUND(E3763* H3763,5)</f>
        <v>2.8</v>
      </c>
      <c r="K3763" s="23"/>
    </row>
    <row r="3764" spans="1:27" x14ac:dyDescent="0.2">
      <c r="D3764" s="24" t="s">
        <v>1090</v>
      </c>
      <c r="E3764" s="23"/>
      <c r="H3764" s="23"/>
      <c r="K3764" s="21">
        <f>SUM(J3761:J3763)</f>
        <v>26.37</v>
      </c>
    </row>
    <row r="3765" spans="1:27" x14ac:dyDescent="0.2">
      <c r="E3765" s="23"/>
      <c r="H3765" s="23"/>
      <c r="K3765" s="23"/>
    </row>
    <row r="3766" spans="1:27" x14ac:dyDescent="0.2">
      <c r="D3766" s="24" t="s">
        <v>1092</v>
      </c>
      <c r="E3766" s="23"/>
      <c r="H3766" s="23">
        <v>1.5</v>
      </c>
      <c r="I3766" t="s">
        <v>1093</v>
      </c>
      <c r="J3766">
        <f>ROUND(H3766/100*K3759,5)</f>
        <v>0.11425</v>
      </c>
      <c r="K3766" s="23"/>
    </row>
    <row r="3767" spans="1:27" x14ac:dyDescent="0.2">
      <c r="D3767" s="24" t="s">
        <v>1091</v>
      </c>
      <c r="E3767" s="23"/>
      <c r="H3767" s="23"/>
      <c r="K3767" s="25">
        <f>SUM(J3756:J3766)</f>
        <v>34.101039999999998</v>
      </c>
    </row>
    <row r="3768" spans="1:27" x14ac:dyDescent="0.2">
      <c r="D3768" s="24" t="s">
        <v>1142</v>
      </c>
      <c r="E3768" s="23"/>
      <c r="H3768" s="23">
        <v>8</v>
      </c>
      <c r="I3768" t="s">
        <v>1093</v>
      </c>
      <c r="K3768" s="21">
        <f>ROUND(H3768/100*K3767,5)</f>
        <v>2.7280799999999998</v>
      </c>
    </row>
    <row r="3769" spans="1:27" x14ac:dyDescent="0.2">
      <c r="D3769" s="24" t="s">
        <v>1094</v>
      </c>
      <c r="E3769" s="23"/>
      <c r="H3769" s="23"/>
      <c r="K3769" s="25">
        <f>SUM(K3767:K3768)</f>
        <v>36.829119999999996</v>
      </c>
    </row>
    <row r="3771" spans="1:27" ht="45" customHeight="1" x14ac:dyDescent="0.2">
      <c r="A3771" s="17" t="s">
        <v>2481</v>
      </c>
      <c r="B3771" s="17" t="s">
        <v>780</v>
      </c>
      <c r="C3771" s="1" t="s">
        <v>36</v>
      </c>
      <c r="D3771" s="96" t="s">
        <v>781</v>
      </c>
      <c r="E3771" s="97"/>
      <c r="F3771" s="97"/>
      <c r="G3771" s="1"/>
      <c r="H3771" s="18" t="s">
        <v>1066</v>
      </c>
      <c r="I3771" s="98">
        <v>1</v>
      </c>
      <c r="J3771" s="99"/>
      <c r="K3771" s="19">
        <f>ROUND(K3783,2)</f>
        <v>2.63</v>
      </c>
      <c r="L3771" s="2" t="s">
        <v>2423</v>
      </c>
      <c r="M3771" s="1"/>
      <c r="N3771" s="1"/>
      <c r="O3771" s="1"/>
      <c r="P3771" s="1"/>
      <c r="Q3771" s="1"/>
      <c r="R3771" s="1"/>
      <c r="S3771" s="1"/>
      <c r="T3771" s="1"/>
      <c r="U3771" s="1"/>
      <c r="V3771" s="1"/>
      <c r="W3771" s="1"/>
      <c r="X3771" s="1"/>
      <c r="Y3771" s="1"/>
      <c r="Z3771" s="1"/>
      <c r="AA3771" s="1"/>
    </row>
    <row r="3772" spans="1:27" x14ac:dyDescent="0.2">
      <c r="B3772" s="14" t="s">
        <v>1068</v>
      </c>
    </row>
    <row r="3773" spans="1:27" x14ac:dyDescent="0.2">
      <c r="B3773" t="s">
        <v>1184</v>
      </c>
      <c r="C3773" t="s">
        <v>1070</v>
      </c>
      <c r="D3773" t="s">
        <v>1185</v>
      </c>
      <c r="E3773" s="20">
        <v>2.5000000000000001E-2</v>
      </c>
      <c r="F3773" t="s">
        <v>1072</v>
      </c>
      <c r="G3773" t="s">
        <v>1073</v>
      </c>
      <c r="H3773" s="21">
        <v>30.41</v>
      </c>
      <c r="I3773" t="s">
        <v>1074</v>
      </c>
      <c r="J3773" s="22">
        <f>ROUND(E3773/I3771* H3773,5)</f>
        <v>0.76024999999999998</v>
      </c>
      <c r="K3773" s="23"/>
    </row>
    <row r="3774" spans="1:27" x14ac:dyDescent="0.2">
      <c r="B3774" t="s">
        <v>2050</v>
      </c>
      <c r="C3774" t="s">
        <v>1070</v>
      </c>
      <c r="D3774" t="s">
        <v>2051</v>
      </c>
      <c r="E3774" s="20">
        <v>0.02</v>
      </c>
      <c r="F3774" t="s">
        <v>1072</v>
      </c>
      <c r="G3774" t="s">
        <v>1073</v>
      </c>
      <c r="H3774" s="21">
        <v>26.08</v>
      </c>
      <c r="I3774" t="s">
        <v>1074</v>
      </c>
      <c r="J3774" s="22">
        <f>ROUND(E3774/I3771* H3774,5)</f>
        <v>0.52159999999999995</v>
      </c>
      <c r="K3774" s="23"/>
    </row>
    <row r="3775" spans="1:27" x14ac:dyDescent="0.2">
      <c r="D3775" s="24" t="s">
        <v>1075</v>
      </c>
      <c r="E3775" s="23"/>
      <c r="H3775" s="23"/>
      <c r="K3775" s="21">
        <f>SUM(J3773:J3774)</f>
        <v>1.2818499999999999</v>
      </c>
    </row>
    <row r="3776" spans="1:27" x14ac:dyDescent="0.2">
      <c r="B3776" s="14" t="s">
        <v>1080</v>
      </c>
      <c r="E3776" s="23"/>
      <c r="H3776" s="23"/>
      <c r="K3776" s="23"/>
    </row>
    <row r="3777" spans="1:27" x14ac:dyDescent="0.2">
      <c r="B3777" t="s">
        <v>2424</v>
      </c>
      <c r="C3777" t="s">
        <v>36</v>
      </c>
      <c r="D3777" t="s">
        <v>2425</v>
      </c>
      <c r="E3777" s="20">
        <v>1.02</v>
      </c>
      <c r="G3777" t="s">
        <v>1073</v>
      </c>
      <c r="H3777" s="21">
        <v>1.1100000000000001</v>
      </c>
      <c r="I3777" t="s">
        <v>1074</v>
      </c>
      <c r="J3777" s="22">
        <f>ROUND(E3777* H3777,5)</f>
        <v>1.1322000000000001</v>
      </c>
      <c r="K3777" s="23"/>
    </row>
    <row r="3778" spans="1:27" x14ac:dyDescent="0.2">
      <c r="D3778" s="24" t="s">
        <v>1090</v>
      </c>
      <c r="E3778" s="23"/>
      <c r="H3778" s="23"/>
      <c r="K3778" s="21">
        <f>SUM(J3777:J3777)</f>
        <v>1.1322000000000001</v>
      </c>
    </row>
    <row r="3779" spans="1:27" x14ac:dyDescent="0.2">
      <c r="E3779" s="23"/>
      <c r="H3779" s="23"/>
      <c r="K3779" s="23"/>
    </row>
    <row r="3780" spans="1:27" x14ac:dyDescent="0.2">
      <c r="D3780" s="24" t="s">
        <v>1092</v>
      </c>
      <c r="E3780" s="23"/>
      <c r="H3780" s="23">
        <v>1.5</v>
      </c>
      <c r="I3780" t="s">
        <v>1093</v>
      </c>
      <c r="J3780">
        <f>ROUND(H3780/100*K3775,5)</f>
        <v>1.9230000000000001E-2</v>
      </c>
      <c r="K3780" s="23"/>
    </row>
    <row r="3781" spans="1:27" x14ac:dyDescent="0.2">
      <c r="D3781" s="24" t="s">
        <v>1091</v>
      </c>
      <c r="E3781" s="23"/>
      <c r="H3781" s="23"/>
      <c r="K3781" s="25">
        <f>SUM(J3772:J3780)</f>
        <v>2.4332799999999999</v>
      </c>
    </row>
    <row r="3782" spans="1:27" x14ac:dyDescent="0.2">
      <c r="D3782" s="24" t="s">
        <v>1142</v>
      </c>
      <c r="E3782" s="23"/>
      <c r="H3782" s="23">
        <v>8</v>
      </c>
      <c r="I3782" t="s">
        <v>1093</v>
      </c>
      <c r="K3782" s="21">
        <f>ROUND(H3782/100*K3781,5)</f>
        <v>0.19466</v>
      </c>
    </row>
    <row r="3783" spans="1:27" x14ac:dyDescent="0.2">
      <c r="D3783" s="24" t="s">
        <v>1094</v>
      </c>
      <c r="E3783" s="23"/>
      <c r="H3783" s="23"/>
      <c r="K3783" s="25">
        <f>SUM(K3781:K3782)</f>
        <v>2.6279399999999997</v>
      </c>
    </row>
    <row r="3785" spans="1:27" ht="45" customHeight="1" x14ac:dyDescent="0.2">
      <c r="A3785" s="17"/>
      <c r="B3785" s="17" t="s">
        <v>2426</v>
      </c>
      <c r="C3785" s="1" t="s">
        <v>36</v>
      </c>
      <c r="D3785" s="96" t="s">
        <v>2427</v>
      </c>
      <c r="E3785" s="97"/>
      <c r="F3785" s="97"/>
      <c r="G3785" s="1"/>
      <c r="H3785" s="18" t="s">
        <v>1066</v>
      </c>
      <c r="I3785" s="98">
        <v>1</v>
      </c>
      <c r="J3785" s="99"/>
      <c r="K3785" s="19">
        <f>ROUND(K3797,2)</f>
        <v>1.69</v>
      </c>
      <c r="L3785" s="2" t="s">
        <v>2428</v>
      </c>
      <c r="M3785" s="1"/>
      <c r="N3785" s="1"/>
      <c r="O3785" s="1"/>
      <c r="P3785" s="1"/>
      <c r="Q3785" s="1"/>
      <c r="R3785" s="1"/>
      <c r="S3785" s="1"/>
      <c r="T3785" s="1"/>
      <c r="U3785" s="1"/>
      <c r="V3785" s="1"/>
      <c r="W3785" s="1"/>
      <c r="X3785" s="1"/>
      <c r="Y3785" s="1"/>
      <c r="Z3785" s="1"/>
      <c r="AA3785" s="1"/>
    </row>
    <row r="3786" spans="1:27" x14ac:dyDescent="0.2">
      <c r="B3786" s="14" t="s">
        <v>1068</v>
      </c>
    </row>
    <row r="3787" spans="1:27" x14ac:dyDescent="0.2">
      <c r="B3787" t="s">
        <v>1184</v>
      </c>
      <c r="C3787" t="s">
        <v>1070</v>
      </c>
      <c r="D3787" t="s">
        <v>1185</v>
      </c>
      <c r="E3787" s="20">
        <v>1.6E-2</v>
      </c>
      <c r="F3787" t="s">
        <v>1072</v>
      </c>
      <c r="G3787" t="s">
        <v>1073</v>
      </c>
      <c r="H3787" s="21">
        <v>30.41</v>
      </c>
      <c r="I3787" t="s">
        <v>1074</v>
      </c>
      <c r="J3787" s="22">
        <f>ROUND(E3787/I3785* H3787,5)</f>
        <v>0.48655999999999999</v>
      </c>
      <c r="K3787" s="23"/>
    </row>
    <row r="3788" spans="1:27" x14ac:dyDescent="0.2">
      <c r="B3788" t="s">
        <v>2050</v>
      </c>
      <c r="C3788" t="s">
        <v>1070</v>
      </c>
      <c r="D3788" t="s">
        <v>2051</v>
      </c>
      <c r="E3788" s="20">
        <v>0.02</v>
      </c>
      <c r="F3788" t="s">
        <v>1072</v>
      </c>
      <c r="G3788" t="s">
        <v>1073</v>
      </c>
      <c r="H3788" s="21">
        <v>26.08</v>
      </c>
      <c r="I3788" t="s">
        <v>1074</v>
      </c>
      <c r="J3788" s="22">
        <f>ROUND(E3788/I3785* H3788,5)</f>
        <v>0.52159999999999995</v>
      </c>
      <c r="K3788" s="23"/>
    </row>
    <row r="3789" spans="1:27" x14ac:dyDescent="0.2">
      <c r="D3789" s="24" t="s">
        <v>1075</v>
      </c>
      <c r="E3789" s="23"/>
      <c r="H3789" s="23"/>
      <c r="K3789" s="21">
        <f>SUM(J3787:J3788)</f>
        <v>1.0081599999999999</v>
      </c>
    </row>
    <row r="3790" spans="1:27" x14ac:dyDescent="0.2">
      <c r="B3790" s="14" t="s">
        <v>1080</v>
      </c>
      <c r="E3790" s="23"/>
      <c r="H3790" s="23"/>
      <c r="K3790" s="23"/>
    </row>
    <row r="3791" spans="1:27" x14ac:dyDescent="0.2">
      <c r="B3791" t="s">
        <v>2429</v>
      </c>
      <c r="C3791" t="s">
        <v>36</v>
      </c>
      <c r="D3791" t="s">
        <v>2430</v>
      </c>
      <c r="E3791" s="20">
        <v>1.02</v>
      </c>
      <c r="G3791" t="s">
        <v>1073</v>
      </c>
      <c r="H3791" s="21">
        <v>0.53</v>
      </c>
      <c r="I3791" t="s">
        <v>1074</v>
      </c>
      <c r="J3791" s="22">
        <f>ROUND(E3791* H3791,5)</f>
        <v>0.54059999999999997</v>
      </c>
      <c r="K3791" s="23"/>
    </row>
    <row r="3792" spans="1:27" x14ac:dyDescent="0.2">
      <c r="D3792" s="24" t="s">
        <v>1090</v>
      </c>
      <c r="E3792" s="23"/>
      <c r="H3792" s="23"/>
      <c r="K3792" s="21">
        <f>SUM(J3791:J3791)</f>
        <v>0.54059999999999997</v>
      </c>
    </row>
    <row r="3793" spans="1:27" x14ac:dyDescent="0.2">
      <c r="E3793" s="23"/>
      <c r="H3793" s="23"/>
      <c r="K3793" s="23"/>
    </row>
    <row r="3794" spans="1:27" x14ac:dyDescent="0.2">
      <c r="D3794" s="24" t="s">
        <v>1092</v>
      </c>
      <c r="E3794" s="23"/>
      <c r="H3794" s="23">
        <v>1.5</v>
      </c>
      <c r="I3794" t="s">
        <v>1093</v>
      </c>
      <c r="J3794">
        <f>ROUND(H3794/100*K3789,5)</f>
        <v>1.512E-2</v>
      </c>
      <c r="K3794" s="23"/>
    </row>
    <row r="3795" spans="1:27" x14ac:dyDescent="0.2">
      <c r="D3795" s="24" t="s">
        <v>1091</v>
      </c>
      <c r="E3795" s="23"/>
      <c r="H3795" s="23"/>
      <c r="K3795" s="25">
        <f>SUM(J3786:J3794)</f>
        <v>1.5638799999999999</v>
      </c>
    </row>
    <row r="3796" spans="1:27" x14ac:dyDescent="0.2">
      <c r="D3796" s="24" t="s">
        <v>1142</v>
      </c>
      <c r="E3796" s="23"/>
      <c r="H3796" s="23">
        <v>8</v>
      </c>
      <c r="I3796" t="s">
        <v>1093</v>
      </c>
      <c r="K3796" s="21">
        <f>ROUND(H3796/100*K3795,5)</f>
        <v>0.12511</v>
      </c>
    </row>
    <row r="3797" spans="1:27" x14ac:dyDescent="0.2">
      <c r="D3797" s="24" t="s">
        <v>1094</v>
      </c>
      <c r="E3797" s="23"/>
      <c r="H3797" s="23"/>
      <c r="K3797" s="25">
        <f>SUM(K3795:K3796)</f>
        <v>1.68899</v>
      </c>
    </row>
    <row r="3799" spans="1:27" ht="45" customHeight="1" x14ac:dyDescent="0.2">
      <c r="A3799" s="17" t="s">
        <v>2485</v>
      </c>
      <c r="B3799" s="17" t="s">
        <v>784</v>
      </c>
      <c r="C3799" s="1" t="s">
        <v>36</v>
      </c>
      <c r="D3799" s="96" t="s">
        <v>785</v>
      </c>
      <c r="E3799" s="97"/>
      <c r="F3799" s="97"/>
      <c r="G3799" s="1"/>
      <c r="H3799" s="18" t="s">
        <v>1066</v>
      </c>
      <c r="I3799" s="98">
        <v>1</v>
      </c>
      <c r="J3799" s="99"/>
      <c r="K3799" s="19">
        <f>ROUND(K3811,2)</f>
        <v>2.2599999999999998</v>
      </c>
      <c r="L3799" s="2" t="s">
        <v>2432</v>
      </c>
      <c r="M3799" s="1"/>
      <c r="N3799" s="1"/>
      <c r="O3799" s="1"/>
      <c r="P3799" s="1"/>
      <c r="Q3799" s="1"/>
      <c r="R3799" s="1"/>
      <c r="S3799" s="1"/>
      <c r="T3799" s="1"/>
      <c r="U3799" s="1"/>
      <c r="V3799" s="1"/>
      <c r="W3799" s="1"/>
      <c r="X3799" s="1"/>
      <c r="Y3799" s="1"/>
      <c r="Z3799" s="1"/>
      <c r="AA3799" s="1"/>
    </row>
    <row r="3800" spans="1:27" x14ac:dyDescent="0.2">
      <c r="B3800" s="14" t="s">
        <v>1068</v>
      </c>
    </row>
    <row r="3801" spans="1:27" x14ac:dyDescent="0.2">
      <c r="B3801" t="s">
        <v>1184</v>
      </c>
      <c r="C3801" t="s">
        <v>1070</v>
      </c>
      <c r="D3801" t="s">
        <v>1185</v>
      </c>
      <c r="E3801" s="20">
        <v>1.6E-2</v>
      </c>
      <c r="F3801" t="s">
        <v>1072</v>
      </c>
      <c r="G3801" t="s">
        <v>1073</v>
      </c>
      <c r="H3801" s="21">
        <v>30.41</v>
      </c>
      <c r="I3801" t="s">
        <v>1074</v>
      </c>
      <c r="J3801" s="22">
        <f>ROUND(E3801/I3799* H3801,5)</f>
        <v>0.48655999999999999</v>
      </c>
      <c r="K3801" s="23"/>
    </row>
    <row r="3802" spans="1:27" x14ac:dyDescent="0.2">
      <c r="B3802" t="s">
        <v>2050</v>
      </c>
      <c r="C3802" t="s">
        <v>1070</v>
      </c>
      <c r="D3802" t="s">
        <v>2051</v>
      </c>
      <c r="E3802" s="20">
        <v>0.02</v>
      </c>
      <c r="F3802" t="s">
        <v>1072</v>
      </c>
      <c r="G3802" t="s">
        <v>1073</v>
      </c>
      <c r="H3802" s="21">
        <v>26.08</v>
      </c>
      <c r="I3802" t="s">
        <v>1074</v>
      </c>
      <c r="J3802" s="22">
        <f>ROUND(E3802/I3799* H3802,5)</f>
        <v>0.52159999999999995</v>
      </c>
      <c r="K3802" s="23"/>
    </row>
    <row r="3803" spans="1:27" x14ac:dyDescent="0.2">
      <c r="D3803" s="24" t="s">
        <v>1075</v>
      </c>
      <c r="E3803" s="23"/>
      <c r="H3803" s="23"/>
      <c r="K3803" s="21">
        <f>SUM(J3801:J3802)</f>
        <v>1.0081599999999999</v>
      </c>
    </row>
    <row r="3804" spans="1:27" x14ac:dyDescent="0.2">
      <c r="B3804" s="14" t="s">
        <v>1080</v>
      </c>
      <c r="E3804" s="23"/>
      <c r="H3804" s="23"/>
      <c r="K3804" s="23"/>
    </row>
    <row r="3805" spans="1:27" x14ac:dyDescent="0.2">
      <c r="B3805" t="s">
        <v>2433</v>
      </c>
      <c r="C3805" t="s">
        <v>36</v>
      </c>
      <c r="D3805" t="s">
        <v>2434</v>
      </c>
      <c r="E3805" s="20">
        <v>1.02</v>
      </c>
      <c r="G3805" t="s">
        <v>1073</v>
      </c>
      <c r="H3805" s="21">
        <v>1.05</v>
      </c>
      <c r="I3805" t="s">
        <v>1074</v>
      </c>
      <c r="J3805" s="22">
        <f>ROUND(E3805* H3805,5)</f>
        <v>1.071</v>
      </c>
      <c r="K3805" s="23"/>
    </row>
    <row r="3806" spans="1:27" x14ac:dyDescent="0.2">
      <c r="D3806" s="24" t="s">
        <v>1090</v>
      </c>
      <c r="E3806" s="23"/>
      <c r="H3806" s="23"/>
      <c r="K3806" s="21">
        <f>SUM(J3805:J3805)</f>
        <v>1.071</v>
      </c>
    </row>
    <row r="3807" spans="1:27" x14ac:dyDescent="0.2">
      <c r="E3807" s="23"/>
      <c r="H3807" s="23"/>
      <c r="K3807" s="23"/>
    </row>
    <row r="3808" spans="1:27" x14ac:dyDescent="0.2">
      <c r="D3808" s="24" t="s">
        <v>1092</v>
      </c>
      <c r="E3808" s="23"/>
      <c r="H3808" s="23">
        <v>1.5</v>
      </c>
      <c r="I3808" t="s">
        <v>1093</v>
      </c>
      <c r="J3808">
        <f>ROUND(H3808/100*K3803,5)</f>
        <v>1.512E-2</v>
      </c>
      <c r="K3808" s="23"/>
    </row>
    <row r="3809" spans="1:27" x14ac:dyDescent="0.2">
      <c r="D3809" s="24" t="s">
        <v>1091</v>
      </c>
      <c r="E3809" s="23"/>
      <c r="H3809" s="23"/>
      <c r="K3809" s="25">
        <f>SUM(J3800:J3808)</f>
        <v>2.0942799999999999</v>
      </c>
    </row>
    <row r="3810" spans="1:27" x14ac:dyDescent="0.2">
      <c r="D3810" s="24" t="s">
        <v>1142</v>
      </c>
      <c r="E3810" s="23"/>
      <c r="H3810" s="23">
        <v>8</v>
      </c>
      <c r="I3810" t="s">
        <v>1093</v>
      </c>
      <c r="K3810" s="21">
        <f>ROUND(H3810/100*K3809,5)</f>
        <v>0.16753999999999999</v>
      </c>
    </row>
    <row r="3811" spans="1:27" x14ac:dyDescent="0.2">
      <c r="D3811" s="24" t="s">
        <v>1094</v>
      </c>
      <c r="E3811" s="23"/>
      <c r="H3811" s="23"/>
      <c r="K3811" s="25">
        <f>SUM(K3809:K3810)</f>
        <v>2.2618199999999997</v>
      </c>
    </row>
    <row r="3813" spans="1:27" ht="45" customHeight="1" x14ac:dyDescent="0.2">
      <c r="A3813" s="17" t="s">
        <v>2494</v>
      </c>
      <c r="B3813" s="17" t="s">
        <v>786</v>
      </c>
      <c r="C3813" s="1" t="s">
        <v>36</v>
      </c>
      <c r="D3813" s="96" t="s">
        <v>787</v>
      </c>
      <c r="E3813" s="97"/>
      <c r="F3813" s="97"/>
      <c r="G3813" s="1"/>
      <c r="H3813" s="18" t="s">
        <v>1066</v>
      </c>
      <c r="I3813" s="98">
        <v>1</v>
      </c>
      <c r="J3813" s="99"/>
      <c r="K3813" s="19">
        <f>ROUND(K3825,2)</f>
        <v>2.65</v>
      </c>
      <c r="L3813" s="2" t="s">
        <v>2436</v>
      </c>
      <c r="M3813" s="1"/>
      <c r="N3813" s="1"/>
      <c r="O3813" s="1"/>
      <c r="P3813" s="1"/>
      <c r="Q3813" s="1"/>
      <c r="R3813" s="1"/>
      <c r="S3813" s="1"/>
      <c r="T3813" s="1"/>
      <c r="U3813" s="1"/>
      <c r="V3813" s="1"/>
      <c r="W3813" s="1"/>
      <c r="X3813" s="1"/>
      <c r="Y3813" s="1"/>
      <c r="Z3813" s="1"/>
      <c r="AA3813" s="1"/>
    </row>
    <row r="3814" spans="1:27" x14ac:dyDescent="0.2">
      <c r="B3814" s="14" t="s">
        <v>1068</v>
      </c>
    </row>
    <row r="3815" spans="1:27" x14ac:dyDescent="0.2">
      <c r="B3815" t="s">
        <v>1184</v>
      </c>
      <c r="C3815" t="s">
        <v>1070</v>
      </c>
      <c r="D3815" t="s">
        <v>1185</v>
      </c>
      <c r="E3815" s="20">
        <v>1.6E-2</v>
      </c>
      <c r="F3815" t="s">
        <v>1072</v>
      </c>
      <c r="G3815" t="s">
        <v>1073</v>
      </c>
      <c r="H3815" s="21">
        <v>30.41</v>
      </c>
      <c r="I3815" t="s">
        <v>1074</v>
      </c>
      <c r="J3815" s="22">
        <f>ROUND(E3815/I3813* H3815,5)</f>
        <v>0.48655999999999999</v>
      </c>
      <c r="K3815" s="23"/>
    </row>
    <row r="3816" spans="1:27" x14ac:dyDescent="0.2">
      <c r="B3816" t="s">
        <v>2050</v>
      </c>
      <c r="C3816" t="s">
        <v>1070</v>
      </c>
      <c r="D3816" t="s">
        <v>2051</v>
      </c>
      <c r="E3816" s="20">
        <v>0.02</v>
      </c>
      <c r="F3816" t="s">
        <v>1072</v>
      </c>
      <c r="G3816" t="s">
        <v>1073</v>
      </c>
      <c r="H3816" s="21">
        <v>26.08</v>
      </c>
      <c r="I3816" t="s">
        <v>1074</v>
      </c>
      <c r="J3816" s="22">
        <f>ROUND(E3816/I3813* H3816,5)</f>
        <v>0.52159999999999995</v>
      </c>
      <c r="K3816" s="23"/>
    </row>
    <row r="3817" spans="1:27" x14ac:dyDescent="0.2">
      <c r="D3817" s="24" t="s">
        <v>1075</v>
      </c>
      <c r="E3817" s="23"/>
      <c r="H3817" s="23"/>
      <c r="K3817" s="21">
        <f>SUM(J3815:J3816)</f>
        <v>1.0081599999999999</v>
      </c>
    </row>
    <row r="3818" spans="1:27" x14ac:dyDescent="0.2">
      <c r="B3818" s="14" t="s">
        <v>1080</v>
      </c>
      <c r="E3818" s="23"/>
      <c r="H3818" s="23"/>
      <c r="K3818" s="23"/>
    </row>
    <row r="3819" spans="1:27" x14ac:dyDescent="0.2">
      <c r="B3819" t="s">
        <v>2437</v>
      </c>
      <c r="C3819" t="s">
        <v>36</v>
      </c>
      <c r="D3819" t="s">
        <v>2438</v>
      </c>
      <c r="E3819" s="20">
        <v>1.02</v>
      </c>
      <c r="G3819" t="s">
        <v>1073</v>
      </c>
      <c r="H3819" s="21">
        <v>1.4</v>
      </c>
      <c r="I3819" t="s">
        <v>1074</v>
      </c>
      <c r="J3819" s="22">
        <f>ROUND(E3819* H3819,5)</f>
        <v>1.4279999999999999</v>
      </c>
      <c r="K3819" s="23"/>
    </row>
    <row r="3820" spans="1:27" x14ac:dyDescent="0.2">
      <c r="D3820" s="24" t="s">
        <v>1090</v>
      </c>
      <c r="E3820" s="23"/>
      <c r="H3820" s="23"/>
      <c r="K3820" s="21">
        <f>SUM(J3819:J3819)</f>
        <v>1.4279999999999999</v>
      </c>
    </row>
    <row r="3821" spans="1:27" x14ac:dyDescent="0.2">
      <c r="E3821" s="23"/>
      <c r="H3821" s="23"/>
      <c r="K3821" s="23"/>
    </row>
    <row r="3822" spans="1:27" x14ac:dyDescent="0.2">
      <c r="D3822" s="24" t="s">
        <v>1092</v>
      </c>
      <c r="E3822" s="23"/>
      <c r="H3822" s="23">
        <v>1.5</v>
      </c>
      <c r="I3822" t="s">
        <v>1093</v>
      </c>
      <c r="J3822">
        <f>ROUND(H3822/100*K3817,5)</f>
        <v>1.512E-2</v>
      </c>
      <c r="K3822" s="23"/>
    </row>
    <row r="3823" spans="1:27" x14ac:dyDescent="0.2">
      <c r="D3823" s="24" t="s">
        <v>1091</v>
      </c>
      <c r="E3823" s="23"/>
      <c r="H3823" s="23"/>
      <c r="K3823" s="25">
        <f>SUM(J3814:J3822)</f>
        <v>2.4512800000000001</v>
      </c>
    </row>
    <row r="3824" spans="1:27" x14ac:dyDescent="0.2">
      <c r="D3824" s="24" t="s">
        <v>1142</v>
      </c>
      <c r="E3824" s="23"/>
      <c r="H3824" s="23">
        <v>8</v>
      </c>
      <c r="I3824" t="s">
        <v>1093</v>
      </c>
      <c r="K3824" s="21">
        <f>ROUND(H3824/100*K3823,5)</f>
        <v>0.1961</v>
      </c>
    </row>
    <row r="3825" spans="1:27" x14ac:dyDescent="0.2">
      <c r="D3825" s="24" t="s">
        <v>1094</v>
      </c>
      <c r="E3825" s="23"/>
      <c r="H3825" s="23"/>
      <c r="K3825" s="25">
        <f>SUM(K3823:K3824)</f>
        <v>2.6473800000000001</v>
      </c>
    </row>
    <row r="3827" spans="1:27" ht="45" customHeight="1" x14ac:dyDescent="0.2">
      <c r="A3827" s="17" t="s">
        <v>2500</v>
      </c>
      <c r="B3827" s="17" t="s">
        <v>782</v>
      </c>
      <c r="C3827" s="1" t="s">
        <v>36</v>
      </c>
      <c r="D3827" s="96" t="s">
        <v>783</v>
      </c>
      <c r="E3827" s="97"/>
      <c r="F3827" s="97"/>
      <c r="G3827" s="1"/>
      <c r="H3827" s="18" t="s">
        <v>1066</v>
      </c>
      <c r="I3827" s="98">
        <v>1</v>
      </c>
      <c r="J3827" s="99"/>
      <c r="K3827" s="19">
        <f>ROUND(K3840,2)</f>
        <v>7.12</v>
      </c>
      <c r="L3827" s="2" t="s">
        <v>2440</v>
      </c>
      <c r="M3827" s="1"/>
      <c r="N3827" s="1"/>
      <c r="O3827" s="1"/>
      <c r="P3827" s="1"/>
      <c r="Q3827" s="1"/>
      <c r="R3827" s="1"/>
      <c r="S3827" s="1"/>
      <c r="T3827" s="1"/>
      <c r="U3827" s="1"/>
      <c r="V3827" s="1"/>
      <c r="W3827" s="1"/>
      <c r="X3827" s="1"/>
      <c r="Y3827" s="1"/>
      <c r="Z3827" s="1"/>
      <c r="AA3827" s="1"/>
    </row>
    <row r="3828" spans="1:27" x14ac:dyDescent="0.2">
      <c r="B3828" s="14" t="s">
        <v>1068</v>
      </c>
    </row>
    <row r="3829" spans="1:27" x14ac:dyDescent="0.2">
      <c r="B3829" t="s">
        <v>1184</v>
      </c>
      <c r="C3829" t="s">
        <v>1070</v>
      </c>
      <c r="D3829" t="s">
        <v>1185</v>
      </c>
      <c r="E3829" s="20">
        <v>3.6999999999999998E-2</v>
      </c>
      <c r="F3829" t="s">
        <v>1072</v>
      </c>
      <c r="G3829" t="s">
        <v>1073</v>
      </c>
      <c r="H3829" s="21">
        <v>30.41</v>
      </c>
      <c r="I3829" t="s">
        <v>1074</v>
      </c>
      <c r="J3829" s="22">
        <f>ROUND(E3829/I3827* H3829,5)</f>
        <v>1.12517</v>
      </c>
      <c r="K3829" s="23"/>
    </row>
    <row r="3830" spans="1:27" x14ac:dyDescent="0.2">
      <c r="B3830" t="s">
        <v>2050</v>
      </c>
      <c r="C3830" t="s">
        <v>1070</v>
      </c>
      <c r="D3830" t="s">
        <v>2051</v>
      </c>
      <c r="E3830" s="20">
        <v>0.05</v>
      </c>
      <c r="F3830" t="s">
        <v>1072</v>
      </c>
      <c r="G3830" t="s">
        <v>1073</v>
      </c>
      <c r="H3830" s="21">
        <v>26.08</v>
      </c>
      <c r="I3830" t="s">
        <v>1074</v>
      </c>
      <c r="J3830" s="22">
        <f>ROUND(E3830/I3827* H3830,5)</f>
        <v>1.304</v>
      </c>
      <c r="K3830" s="23"/>
    </row>
    <row r="3831" spans="1:27" x14ac:dyDescent="0.2">
      <c r="D3831" s="24" t="s">
        <v>1075</v>
      </c>
      <c r="E3831" s="23"/>
      <c r="H3831" s="23"/>
      <c r="K3831" s="21">
        <f>SUM(J3829:J3830)</f>
        <v>2.4291700000000001</v>
      </c>
    </row>
    <row r="3832" spans="1:27" x14ac:dyDescent="0.2">
      <c r="B3832" s="14" t="s">
        <v>1080</v>
      </c>
      <c r="E3832" s="23"/>
      <c r="H3832" s="23"/>
      <c r="K3832" s="23"/>
    </row>
    <row r="3833" spans="1:27" x14ac:dyDescent="0.2">
      <c r="B3833" t="s">
        <v>2443</v>
      </c>
      <c r="C3833" t="s">
        <v>23</v>
      </c>
      <c r="D3833" t="s">
        <v>2444</v>
      </c>
      <c r="E3833" s="20">
        <v>1</v>
      </c>
      <c r="G3833" t="s">
        <v>1073</v>
      </c>
      <c r="H3833" s="21">
        <v>0.27</v>
      </c>
      <c r="I3833" t="s">
        <v>1074</v>
      </c>
      <c r="J3833" s="22">
        <f>ROUND(E3833* H3833,5)</f>
        <v>0.27</v>
      </c>
      <c r="K3833" s="23"/>
    </row>
    <row r="3834" spans="1:27" x14ac:dyDescent="0.2">
      <c r="B3834" t="s">
        <v>2441</v>
      </c>
      <c r="C3834" t="s">
        <v>36</v>
      </c>
      <c r="D3834" t="s">
        <v>2442</v>
      </c>
      <c r="E3834" s="20">
        <v>1.02</v>
      </c>
      <c r="G3834" t="s">
        <v>1073</v>
      </c>
      <c r="H3834" s="21">
        <v>3.78</v>
      </c>
      <c r="I3834" t="s">
        <v>1074</v>
      </c>
      <c r="J3834" s="22">
        <f>ROUND(E3834* H3834,5)</f>
        <v>3.8555999999999999</v>
      </c>
      <c r="K3834" s="23"/>
    </row>
    <row r="3835" spans="1:27" x14ac:dyDescent="0.2">
      <c r="D3835" s="24" t="s">
        <v>1090</v>
      </c>
      <c r="E3835" s="23"/>
      <c r="H3835" s="23"/>
      <c r="K3835" s="21">
        <f>SUM(J3833:J3834)</f>
        <v>4.1256000000000004</v>
      </c>
    </row>
    <row r="3836" spans="1:27" x14ac:dyDescent="0.2">
      <c r="E3836" s="23"/>
      <c r="H3836" s="23"/>
      <c r="K3836" s="23"/>
    </row>
    <row r="3837" spans="1:27" x14ac:dyDescent="0.2">
      <c r="D3837" s="24" t="s">
        <v>1092</v>
      </c>
      <c r="E3837" s="23"/>
      <c r="H3837" s="23">
        <v>1.5</v>
      </c>
      <c r="I3837" t="s">
        <v>1093</v>
      </c>
      <c r="J3837">
        <f>ROUND(H3837/100*K3831,5)</f>
        <v>3.644E-2</v>
      </c>
      <c r="K3837" s="23"/>
    </row>
    <row r="3838" spans="1:27" x14ac:dyDescent="0.2">
      <c r="D3838" s="24" t="s">
        <v>1091</v>
      </c>
      <c r="E3838" s="23"/>
      <c r="H3838" s="23"/>
      <c r="K3838" s="25">
        <f>SUM(J3828:J3837)</f>
        <v>6.5912099999999993</v>
      </c>
    </row>
    <row r="3839" spans="1:27" x14ac:dyDescent="0.2">
      <c r="D3839" s="24" t="s">
        <v>1142</v>
      </c>
      <c r="E3839" s="23"/>
      <c r="H3839" s="23">
        <v>8</v>
      </c>
      <c r="I3839" t="s">
        <v>1093</v>
      </c>
      <c r="K3839" s="21">
        <f>ROUND(H3839/100*K3838,5)</f>
        <v>0.52729999999999999</v>
      </c>
    </row>
    <row r="3840" spans="1:27" x14ac:dyDescent="0.2">
      <c r="D3840" s="24" t="s">
        <v>1094</v>
      </c>
      <c r="E3840" s="23"/>
      <c r="H3840" s="23"/>
      <c r="K3840" s="25">
        <f>SUM(K3838:K3839)</f>
        <v>7.1185099999999997</v>
      </c>
    </row>
    <row r="3842" spans="1:27" ht="45" customHeight="1" x14ac:dyDescent="0.2">
      <c r="A3842" s="17"/>
      <c r="B3842" s="17" t="s">
        <v>2445</v>
      </c>
      <c r="C3842" s="1" t="s">
        <v>36</v>
      </c>
      <c r="D3842" s="96" t="s">
        <v>2446</v>
      </c>
      <c r="E3842" s="97"/>
      <c r="F3842" s="97"/>
      <c r="G3842" s="1"/>
      <c r="H3842" s="18" t="s">
        <v>1066</v>
      </c>
      <c r="I3842" s="98">
        <v>1</v>
      </c>
      <c r="J3842" s="99"/>
      <c r="K3842" s="19">
        <f>ROUND(K3855,2)</f>
        <v>11.43</v>
      </c>
      <c r="L3842" s="2" t="s">
        <v>2447</v>
      </c>
      <c r="M3842" s="1"/>
      <c r="N3842" s="1"/>
      <c r="O3842" s="1"/>
      <c r="P3842" s="1"/>
      <c r="Q3842" s="1"/>
      <c r="R3842" s="1"/>
      <c r="S3842" s="1"/>
      <c r="T3842" s="1"/>
      <c r="U3842" s="1"/>
      <c r="V3842" s="1"/>
      <c r="W3842" s="1"/>
      <c r="X3842" s="1"/>
      <c r="Y3842" s="1"/>
      <c r="Z3842" s="1"/>
      <c r="AA3842" s="1"/>
    </row>
    <row r="3843" spans="1:27" x14ac:dyDescent="0.2">
      <c r="B3843" s="14" t="s">
        <v>1068</v>
      </c>
    </row>
    <row r="3844" spans="1:27" x14ac:dyDescent="0.2">
      <c r="B3844" t="s">
        <v>1184</v>
      </c>
      <c r="C3844" t="s">
        <v>1070</v>
      </c>
      <c r="D3844" t="s">
        <v>1185</v>
      </c>
      <c r="E3844" s="20">
        <v>4.7E-2</v>
      </c>
      <c r="F3844" t="s">
        <v>1072</v>
      </c>
      <c r="G3844" t="s">
        <v>1073</v>
      </c>
      <c r="H3844" s="21">
        <v>30.41</v>
      </c>
      <c r="I3844" t="s">
        <v>1074</v>
      </c>
      <c r="J3844" s="22">
        <f>ROUND(E3844/I3842* H3844,5)</f>
        <v>1.42927</v>
      </c>
      <c r="K3844" s="23"/>
    </row>
    <row r="3845" spans="1:27" x14ac:dyDescent="0.2">
      <c r="B3845" t="s">
        <v>2050</v>
      </c>
      <c r="C3845" t="s">
        <v>1070</v>
      </c>
      <c r="D3845" t="s">
        <v>2051</v>
      </c>
      <c r="E3845" s="20">
        <v>0.05</v>
      </c>
      <c r="F3845" t="s">
        <v>1072</v>
      </c>
      <c r="G3845" t="s">
        <v>1073</v>
      </c>
      <c r="H3845" s="21">
        <v>26.08</v>
      </c>
      <c r="I3845" t="s">
        <v>1074</v>
      </c>
      <c r="J3845" s="22">
        <f>ROUND(E3845/I3842* H3845,5)</f>
        <v>1.304</v>
      </c>
      <c r="K3845" s="23"/>
    </row>
    <row r="3846" spans="1:27" x14ac:dyDescent="0.2">
      <c r="D3846" s="24" t="s">
        <v>1075</v>
      </c>
      <c r="E3846" s="23"/>
      <c r="H3846" s="23"/>
      <c r="K3846" s="21">
        <f>SUM(J3844:J3845)</f>
        <v>2.7332700000000001</v>
      </c>
    </row>
    <row r="3847" spans="1:27" x14ac:dyDescent="0.2">
      <c r="B3847" s="14" t="s">
        <v>1080</v>
      </c>
      <c r="E3847" s="23"/>
      <c r="H3847" s="23"/>
      <c r="K3847" s="23"/>
    </row>
    <row r="3848" spans="1:27" x14ac:dyDescent="0.2">
      <c r="B3848" t="s">
        <v>2443</v>
      </c>
      <c r="C3848" t="s">
        <v>23</v>
      </c>
      <c r="D3848" t="s">
        <v>2444</v>
      </c>
      <c r="E3848" s="20">
        <v>1</v>
      </c>
      <c r="G3848" t="s">
        <v>1073</v>
      </c>
      <c r="H3848" s="21">
        <v>0.27</v>
      </c>
      <c r="I3848" t="s">
        <v>1074</v>
      </c>
      <c r="J3848" s="22">
        <f>ROUND(E3848* H3848,5)</f>
        <v>0.27</v>
      </c>
      <c r="K3848" s="23"/>
    </row>
    <row r="3849" spans="1:27" x14ac:dyDescent="0.2">
      <c r="B3849" t="s">
        <v>2448</v>
      </c>
      <c r="C3849" t="s">
        <v>36</v>
      </c>
      <c r="D3849" t="s">
        <v>2449</v>
      </c>
      <c r="E3849" s="20">
        <v>1.02</v>
      </c>
      <c r="G3849" t="s">
        <v>1073</v>
      </c>
      <c r="H3849" s="21">
        <v>7.39</v>
      </c>
      <c r="I3849" t="s">
        <v>1074</v>
      </c>
      <c r="J3849" s="22">
        <f>ROUND(E3849* H3849,5)</f>
        <v>7.5377999999999998</v>
      </c>
      <c r="K3849" s="23"/>
    </row>
    <row r="3850" spans="1:27" x14ac:dyDescent="0.2">
      <c r="D3850" s="24" t="s">
        <v>1090</v>
      </c>
      <c r="E3850" s="23"/>
      <c r="H3850" s="23"/>
      <c r="K3850" s="21">
        <f>SUM(J3848:J3849)</f>
        <v>7.8078000000000003</v>
      </c>
    </row>
    <row r="3851" spans="1:27" x14ac:dyDescent="0.2">
      <c r="E3851" s="23"/>
      <c r="H3851" s="23"/>
      <c r="K3851" s="23"/>
    </row>
    <row r="3852" spans="1:27" x14ac:dyDescent="0.2">
      <c r="D3852" s="24" t="s">
        <v>1092</v>
      </c>
      <c r="E3852" s="23"/>
      <c r="H3852" s="23">
        <v>1.5</v>
      </c>
      <c r="I3852" t="s">
        <v>1093</v>
      </c>
      <c r="J3852">
        <f>ROUND(H3852/100*K3846,5)</f>
        <v>4.1000000000000002E-2</v>
      </c>
      <c r="K3852" s="23"/>
    </row>
    <row r="3853" spans="1:27" x14ac:dyDescent="0.2">
      <c r="D3853" s="24" t="s">
        <v>1091</v>
      </c>
      <c r="E3853" s="23"/>
      <c r="H3853" s="23"/>
      <c r="K3853" s="25">
        <f>SUM(J3843:J3852)</f>
        <v>10.58207</v>
      </c>
    </row>
    <row r="3854" spans="1:27" x14ac:dyDescent="0.2">
      <c r="D3854" s="24" t="s">
        <v>1142</v>
      </c>
      <c r="E3854" s="23"/>
      <c r="H3854" s="23">
        <v>8</v>
      </c>
      <c r="I3854" t="s">
        <v>1093</v>
      </c>
      <c r="K3854" s="21">
        <f>ROUND(H3854/100*K3853,5)</f>
        <v>0.84657000000000004</v>
      </c>
    </row>
    <row r="3855" spans="1:27" x14ac:dyDescent="0.2">
      <c r="D3855" s="24" t="s">
        <v>1094</v>
      </c>
      <c r="E3855" s="23"/>
      <c r="H3855" s="23"/>
      <c r="K3855" s="25">
        <f>SUM(K3853:K3854)</f>
        <v>11.42864</v>
      </c>
    </row>
    <row r="3857" spans="1:27" ht="45" customHeight="1" x14ac:dyDescent="0.2">
      <c r="A3857" s="17"/>
      <c r="B3857" s="17" t="s">
        <v>2450</v>
      </c>
      <c r="C3857" s="1" t="s">
        <v>36</v>
      </c>
      <c r="D3857" s="96" t="s">
        <v>2451</v>
      </c>
      <c r="E3857" s="97"/>
      <c r="F3857" s="97"/>
      <c r="G3857" s="1"/>
      <c r="H3857" s="18" t="s">
        <v>1066</v>
      </c>
      <c r="I3857" s="98">
        <v>1</v>
      </c>
      <c r="J3857" s="99"/>
      <c r="K3857" s="19">
        <f>ROUND(K3870,2)</f>
        <v>5.7</v>
      </c>
      <c r="L3857" s="2" t="s">
        <v>2452</v>
      </c>
      <c r="M3857" s="1"/>
      <c r="N3857" s="1"/>
      <c r="O3857" s="1"/>
      <c r="P3857" s="1"/>
      <c r="Q3857" s="1"/>
      <c r="R3857" s="1"/>
      <c r="S3857" s="1"/>
      <c r="T3857" s="1"/>
      <c r="U3857" s="1"/>
      <c r="V3857" s="1"/>
      <c r="W3857" s="1"/>
      <c r="X3857" s="1"/>
      <c r="Y3857" s="1"/>
      <c r="Z3857" s="1"/>
      <c r="AA3857" s="1"/>
    </row>
    <row r="3858" spans="1:27" x14ac:dyDescent="0.2">
      <c r="B3858" s="14" t="s">
        <v>1068</v>
      </c>
    </row>
    <row r="3859" spans="1:27" x14ac:dyDescent="0.2">
      <c r="B3859" t="s">
        <v>2050</v>
      </c>
      <c r="C3859" t="s">
        <v>1070</v>
      </c>
      <c r="D3859" t="s">
        <v>2051</v>
      </c>
      <c r="E3859" s="20">
        <v>0.05</v>
      </c>
      <c r="F3859" t="s">
        <v>1072</v>
      </c>
      <c r="G3859" t="s">
        <v>1073</v>
      </c>
      <c r="H3859" s="21">
        <v>26.08</v>
      </c>
      <c r="I3859" t="s">
        <v>1074</v>
      </c>
      <c r="J3859" s="22">
        <f>ROUND(E3859/I3857* H3859,5)</f>
        <v>1.304</v>
      </c>
      <c r="K3859" s="23"/>
    </row>
    <row r="3860" spans="1:27" x14ac:dyDescent="0.2">
      <c r="B3860" t="s">
        <v>1184</v>
      </c>
      <c r="C3860" t="s">
        <v>1070</v>
      </c>
      <c r="D3860" t="s">
        <v>1185</v>
      </c>
      <c r="E3860" s="20">
        <v>4.7E-2</v>
      </c>
      <c r="F3860" t="s">
        <v>1072</v>
      </c>
      <c r="G3860" t="s">
        <v>1073</v>
      </c>
      <c r="H3860" s="21">
        <v>30.41</v>
      </c>
      <c r="I3860" t="s">
        <v>1074</v>
      </c>
      <c r="J3860" s="22">
        <f>ROUND(E3860/I3857* H3860,5)</f>
        <v>1.42927</v>
      </c>
      <c r="K3860" s="23"/>
    </row>
    <row r="3861" spans="1:27" x14ac:dyDescent="0.2">
      <c r="D3861" s="24" t="s">
        <v>1075</v>
      </c>
      <c r="E3861" s="23"/>
      <c r="H3861" s="23"/>
      <c r="K3861" s="21">
        <f>SUM(J3859:J3860)</f>
        <v>2.7332700000000001</v>
      </c>
    </row>
    <row r="3862" spans="1:27" x14ac:dyDescent="0.2">
      <c r="B3862" s="14" t="s">
        <v>1080</v>
      </c>
      <c r="E3862" s="23"/>
      <c r="H3862" s="23"/>
      <c r="K3862" s="23"/>
    </row>
    <row r="3863" spans="1:27" x14ac:dyDescent="0.2">
      <c r="B3863" t="s">
        <v>2455</v>
      </c>
      <c r="C3863" t="s">
        <v>23</v>
      </c>
      <c r="D3863" t="s">
        <v>2456</v>
      </c>
      <c r="E3863" s="20">
        <v>1</v>
      </c>
      <c r="G3863" t="s">
        <v>1073</v>
      </c>
      <c r="H3863" s="21">
        <v>0.17</v>
      </c>
      <c r="I3863" t="s">
        <v>1074</v>
      </c>
      <c r="J3863" s="22">
        <f>ROUND(E3863* H3863,5)</f>
        <v>0.17</v>
      </c>
      <c r="K3863" s="23"/>
    </row>
    <row r="3864" spans="1:27" x14ac:dyDescent="0.2">
      <c r="B3864" t="s">
        <v>2453</v>
      </c>
      <c r="C3864" t="s">
        <v>36</v>
      </c>
      <c r="D3864" t="s">
        <v>2454</v>
      </c>
      <c r="E3864" s="20">
        <v>1.02</v>
      </c>
      <c r="G3864" t="s">
        <v>1073</v>
      </c>
      <c r="H3864" s="21">
        <v>2.29</v>
      </c>
      <c r="I3864" t="s">
        <v>1074</v>
      </c>
      <c r="J3864" s="22">
        <f>ROUND(E3864* H3864,5)</f>
        <v>2.3357999999999999</v>
      </c>
      <c r="K3864" s="23"/>
    </row>
    <row r="3865" spans="1:27" x14ac:dyDescent="0.2">
      <c r="D3865" s="24" t="s">
        <v>1090</v>
      </c>
      <c r="E3865" s="23"/>
      <c r="H3865" s="23"/>
      <c r="K3865" s="21">
        <f>SUM(J3863:J3864)</f>
        <v>2.5057999999999998</v>
      </c>
    </row>
    <row r="3866" spans="1:27" x14ac:dyDescent="0.2">
      <c r="E3866" s="23"/>
      <c r="H3866" s="23"/>
      <c r="K3866" s="23"/>
    </row>
    <row r="3867" spans="1:27" x14ac:dyDescent="0.2">
      <c r="D3867" s="24" t="s">
        <v>1092</v>
      </c>
      <c r="E3867" s="23"/>
      <c r="H3867" s="23">
        <v>1.5</v>
      </c>
      <c r="I3867" t="s">
        <v>1093</v>
      </c>
      <c r="J3867">
        <f>ROUND(H3867/100*K3861,5)</f>
        <v>4.1000000000000002E-2</v>
      </c>
      <c r="K3867" s="23"/>
    </row>
    <row r="3868" spans="1:27" x14ac:dyDescent="0.2">
      <c r="D3868" s="24" t="s">
        <v>1091</v>
      </c>
      <c r="E3868" s="23"/>
      <c r="H3868" s="23"/>
      <c r="K3868" s="25">
        <f>SUM(J3858:J3867)</f>
        <v>5.2800700000000003</v>
      </c>
    </row>
    <row r="3869" spans="1:27" x14ac:dyDescent="0.2">
      <c r="D3869" s="24" t="s">
        <v>1142</v>
      </c>
      <c r="E3869" s="23"/>
      <c r="H3869" s="23">
        <v>8</v>
      </c>
      <c r="I3869" t="s">
        <v>1093</v>
      </c>
      <c r="K3869" s="21">
        <f>ROUND(H3869/100*K3868,5)</f>
        <v>0.42241000000000001</v>
      </c>
    </row>
    <row r="3870" spans="1:27" x14ac:dyDescent="0.2">
      <c r="D3870" s="24" t="s">
        <v>1094</v>
      </c>
      <c r="E3870" s="23"/>
      <c r="H3870" s="23"/>
      <c r="K3870" s="25">
        <f>SUM(K3868:K3869)</f>
        <v>5.7024800000000004</v>
      </c>
    </row>
    <row r="3872" spans="1:27" ht="45" customHeight="1" x14ac:dyDescent="0.2">
      <c r="A3872" s="17" t="s">
        <v>2511</v>
      </c>
      <c r="B3872" s="17" t="s">
        <v>764</v>
      </c>
      <c r="C3872" s="1" t="s">
        <v>36</v>
      </c>
      <c r="D3872" s="96" t="s">
        <v>765</v>
      </c>
      <c r="E3872" s="97"/>
      <c r="F3872" s="97"/>
      <c r="G3872" s="1"/>
      <c r="H3872" s="18" t="s">
        <v>1066</v>
      </c>
      <c r="I3872" s="98">
        <v>1</v>
      </c>
      <c r="J3872" s="99"/>
      <c r="K3872" s="19">
        <f>ROUND(K3884,2)</f>
        <v>2.95</v>
      </c>
      <c r="L3872" s="2" t="s">
        <v>2458</v>
      </c>
      <c r="M3872" s="1"/>
      <c r="N3872" s="1"/>
      <c r="O3872" s="1"/>
      <c r="P3872" s="1"/>
      <c r="Q3872" s="1"/>
      <c r="R3872" s="1"/>
      <c r="S3872" s="1"/>
      <c r="T3872" s="1"/>
      <c r="U3872" s="1"/>
      <c r="V3872" s="1"/>
      <c r="W3872" s="1"/>
      <c r="X3872" s="1"/>
      <c r="Y3872" s="1"/>
      <c r="Z3872" s="1"/>
      <c r="AA3872" s="1"/>
    </row>
    <row r="3873" spans="1:27" x14ac:dyDescent="0.2">
      <c r="B3873" s="14" t="s">
        <v>1068</v>
      </c>
    </row>
    <row r="3874" spans="1:27" x14ac:dyDescent="0.2">
      <c r="B3874" t="s">
        <v>1184</v>
      </c>
      <c r="C3874" t="s">
        <v>1070</v>
      </c>
      <c r="D3874" t="s">
        <v>1185</v>
      </c>
      <c r="E3874" s="20">
        <v>1.2E-2</v>
      </c>
      <c r="F3874" t="s">
        <v>1072</v>
      </c>
      <c r="G3874" t="s">
        <v>1073</v>
      </c>
      <c r="H3874" s="21">
        <v>30.41</v>
      </c>
      <c r="I3874" t="s">
        <v>1074</v>
      </c>
      <c r="J3874" s="22">
        <f>ROUND(E3874/I3872* H3874,5)</f>
        <v>0.36492000000000002</v>
      </c>
      <c r="K3874" s="23"/>
    </row>
    <row r="3875" spans="1:27" x14ac:dyDescent="0.2">
      <c r="B3875" t="s">
        <v>2050</v>
      </c>
      <c r="C3875" t="s">
        <v>1070</v>
      </c>
      <c r="D3875" t="s">
        <v>2051</v>
      </c>
      <c r="E3875" s="20">
        <v>1.2E-2</v>
      </c>
      <c r="F3875" t="s">
        <v>1072</v>
      </c>
      <c r="G3875" t="s">
        <v>1073</v>
      </c>
      <c r="H3875" s="21">
        <v>26.08</v>
      </c>
      <c r="I3875" t="s">
        <v>1074</v>
      </c>
      <c r="J3875" s="22">
        <f>ROUND(E3875/I3872* H3875,5)</f>
        <v>0.31296000000000002</v>
      </c>
      <c r="K3875" s="23"/>
    </row>
    <row r="3876" spans="1:27" x14ac:dyDescent="0.2">
      <c r="D3876" s="24" t="s">
        <v>1075</v>
      </c>
      <c r="E3876" s="23"/>
      <c r="H3876" s="23"/>
      <c r="K3876" s="21">
        <f>SUM(J3874:J3875)</f>
        <v>0.67788000000000004</v>
      </c>
    </row>
    <row r="3877" spans="1:27" x14ac:dyDescent="0.2">
      <c r="B3877" s="14" t="s">
        <v>1080</v>
      </c>
      <c r="E3877" s="23"/>
      <c r="H3877" s="23"/>
      <c r="K3877" s="23"/>
    </row>
    <row r="3878" spans="1:27" x14ac:dyDescent="0.2">
      <c r="B3878" t="s">
        <v>2459</v>
      </c>
      <c r="C3878" t="s">
        <v>36</v>
      </c>
      <c r="D3878" t="s">
        <v>2460</v>
      </c>
      <c r="E3878" s="20">
        <v>1.02</v>
      </c>
      <c r="G3878" t="s">
        <v>1073</v>
      </c>
      <c r="H3878" s="21">
        <v>2</v>
      </c>
      <c r="I3878" t="s">
        <v>1074</v>
      </c>
      <c r="J3878" s="22">
        <f>ROUND(E3878* H3878,5)</f>
        <v>2.04</v>
      </c>
      <c r="K3878" s="23"/>
    </row>
    <row r="3879" spans="1:27" x14ac:dyDescent="0.2">
      <c r="D3879" s="24" t="s">
        <v>1090</v>
      </c>
      <c r="E3879" s="23"/>
      <c r="H3879" s="23"/>
      <c r="K3879" s="21">
        <f>SUM(J3878:J3878)</f>
        <v>2.04</v>
      </c>
    </row>
    <row r="3880" spans="1:27" x14ac:dyDescent="0.2">
      <c r="E3880" s="23"/>
      <c r="H3880" s="23"/>
      <c r="K3880" s="23"/>
    </row>
    <row r="3881" spans="1:27" x14ac:dyDescent="0.2">
      <c r="D3881" s="24" t="s">
        <v>1092</v>
      </c>
      <c r="E3881" s="23"/>
      <c r="H3881" s="23">
        <v>1.5</v>
      </c>
      <c r="I3881" t="s">
        <v>1093</v>
      </c>
      <c r="J3881">
        <f>ROUND(H3881/100*K3876,5)</f>
        <v>1.017E-2</v>
      </c>
      <c r="K3881" s="23"/>
    </row>
    <row r="3882" spans="1:27" x14ac:dyDescent="0.2">
      <c r="D3882" s="24" t="s">
        <v>1091</v>
      </c>
      <c r="E3882" s="23"/>
      <c r="H3882" s="23"/>
      <c r="K3882" s="25">
        <f>SUM(J3873:J3881)</f>
        <v>2.7280500000000001</v>
      </c>
    </row>
    <row r="3883" spans="1:27" x14ac:dyDescent="0.2">
      <c r="D3883" s="24" t="s">
        <v>1142</v>
      </c>
      <c r="E3883" s="23"/>
      <c r="H3883" s="23">
        <v>8</v>
      </c>
      <c r="I3883" t="s">
        <v>1093</v>
      </c>
      <c r="K3883" s="21">
        <f>ROUND(H3883/100*K3882,5)</f>
        <v>0.21823999999999999</v>
      </c>
    </row>
    <row r="3884" spans="1:27" x14ac:dyDescent="0.2">
      <c r="D3884" s="24" t="s">
        <v>1094</v>
      </c>
      <c r="E3884" s="23"/>
      <c r="H3884" s="23"/>
      <c r="K3884" s="25">
        <f>SUM(K3882:K3883)</f>
        <v>2.9462900000000003</v>
      </c>
    </row>
    <row r="3886" spans="1:27" ht="45" customHeight="1" x14ac:dyDescent="0.2">
      <c r="A3886" s="17" t="s">
        <v>2826</v>
      </c>
      <c r="B3886" s="17" t="s">
        <v>766</v>
      </c>
      <c r="C3886" s="1" t="s">
        <v>36</v>
      </c>
      <c r="D3886" s="96" t="s">
        <v>767</v>
      </c>
      <c r="E3886" s="97"/>
      <c r="F3886" s="97"/>
      <c r="G3886" s="1"/>
      <c r="H3886" s="18" t="s">
        <v>1066</v>
      </c>
      <c r="I3886" s="98">
        <v>1</v>
      </c>
      <c r="J3886" s="99"/>
      <c r="K3886" s="19">
        <f>ROUND(K3898,2)</f>
        <v>3.79</v>
      </c>
      <c r="L3886" s="2" t="s">
        <v>2462</v>
      </c>
      <c r="M3886" s="1"/>
      <c r="N3886" s="1"/>
      <c r="O3886" s="1"/>
      <c r="P3886" s="1"/>
      <c r="Q3886" s="1"/>
      <c r="R3886" s="1"/>
      <c r="S3886" s="1"/>
      <c r="T3886" s="1"/>
      <c r="U3886" s="1"/>
      <c r="V3886" s="1"/>
      <c r="W3886" s="1"/>
      <c r="X3886" s="1"/>
      <c r="Y3886" s="1"/>
      <c r="Z3886" s="1"/>
      <c r="AA3886" s="1"/>
    </row>
    <row r="3887" spans="1:27" x14ac:dyDescent="0.2">
      <c r="B3887" s="14" t="s">
        <v>1068</v>
      </c>
    </row>
    <row r="3888" spans="1:27" x14ac:dyDescent="0.2">
      <c r="B3888" t="s">
        <v>1184</v>
      </c>
      <c r="C3888" t="s">
        <v>1070</v>
      </c>
      <c r="D3888" t="s">
        <v>1185</v>
      </c>
      <c r="E3888" s="20">
        <v>1.2E-2</v>
      </c>
      <c r="F3888" t="s">
        <v>1072</v>
      </c>
      <c r="G3888" t="s">
        <v>1073</v>
      </c>
      <c r="H3888" s="21">
        <v>30.41</v>
      </c>
      <c r="I3888" t="s">
        <v>1074</v>
      </c>
      <c r="J3888" s="22">
        <f>ROUND(E3888/I3886* H3888,5)</f>
        <v>0.36492000000000002</v>
      </c>
      <c r="K3888" s="23"/>
    </row>
    <row r="3889" spans="1:27" x14ac:dyDescent="0.2">
      <c r="B3889" t="s">
        <v>2050</v>
      </c>
      <c r="C3889" t="s">
        <v>1070</v>
      </c>
      <c r="D3889" t="s">
        <v>2051</v>
      </c>
      <c r="E3889" s="20">
        <v>1.2E-2</v>
      </c>
      <c r="F3889" t="s">
        <v>1072</v>
      </c>
      <c r="G3889" t="s">
        <v>1073</v>
      </c>
      <c r="H3889" s="21">
        <v>26.08</v>
      </c>
      <c r="I3889" t="s">
        <v>1074</v>
      </c>
      <c r="J3889" s="22">
        <f>ROUND(E3889/I3886* H3889,5)</f>
        <v>0.31296000000000002</v>
      </c>
      <c r="K3889" s="23"/>
    </row>
    <row r="3890" spans="1:27" x14ac:dyDescent="0.2">
      <c r="D3890" s="24" t="s">
        <v>1075</v>
      </c>
      <c r="E3890" s="23"/>
      <c r="H3890" s="23"/>
      <c r="K3890" s="21">
        <f>SUM(J3888:J3889)</f>
        <v>0.67788000000000004</v>
      </c>
    </row>
    <row r="3891" spans="1:27" x14ac:dyDescent="0.2">
      <c r="B3891" s="14" t="s">
        <v>1080</v>
      </c>
      <c r="E3891" s="23"/>
      <c r="H3891" s="23"/>
      <c r="K3891" s="23"/>
    </row>
    <row r="3892" spans="1:27" x14ac:dyDescent="0.2">
      <c r="B3892" t="s">
        <v>2463</v>
      </c>
      <c r="C3892" t="s">
        <v>36</v>
      </c>
      <c r="D3892" t="s">
        <v>2464</v>
      </c>
      <c r="E3892" s="20">
        <v>1.02</v>
      </c>
      <c r="G3892" t="s">
        <v>1073</v>
      </c>
      <c r="H3892" s="21">
        <v>2.77</v>
      </c>
      <c r="I3892" t="s">
        <v>1074</v>
      </c>
      <c r="J3892" s="22">
        <f>ROUND(E3892* H3892,5)</f>
        <v>2.8254000000000001</v>
      </c>
      <c r="K3892" s="23"/>
    </row>
    <row r="3893" spans="1:27" x14ac:dyDescent="0.2">
      <c r="D3893" s="24" t="s">
        <v>1090</v>
      </c>
      <c r="E3893" s="23"/>
      <c r="H3893" s="23"/>
      <c r="K3893" s="21">
        <f>SUM(J3892:J3892)</f>
        <v>2.8254000000000001</v>
      </c>
    </row>
    <row r="3894" spans="1:27" x14ac:dyDescent="0.2">
      <c r="E3894" s="23"/>
      <c r="H3894" s="23"/>
      <c r="K3894" s="23"/>
    </row>
    <row r="3895" spans="1:27" x14ac:dyDescent="0.2">
      <c r="D3895" s="24" t="s">
        <v>1092</v>
      </c>
      <c r="E3895" s="23"/>
      <c r="H3895" s="23">
        <v>1.5</v>
      </c>
      <c r="I3895" t="s">
        <v>1093</v>
      </c>
      <c r="J3895">
        <f>ROUND(H3895/100*K3890,5)</f>
        <v>1.017E-2</v>
      </c>
      <c r="K3895" s="23"/>
    </row>
    <row r="3896" spans="1:27" x14ac:dyDescent="0.2">
      <c r="D3896" s="24" t="s">
        <v>1091</v>
      </c>
      <c r="E3896" s="23"/>
      <c r="H3896" s="23"/>
      <c r="K3896" s="25">
        <f>SUM(J3887:J3895)</f>
        <v>3.5134500000000002</v>
      </c>
    </row>
    <row r="3897" spans="1:27" x14ac:dyDescent="0.2">
      <c r="D3897" s="24" t="s">
        <v>1142</v>
      </c>
      <c r="E3897" s="23"/>
      <c r="H3897" s="23">
        <v>8</v>
      </c>
      <c r="I3897" t="s">
        <v>1093</v>
      </c>
      <c r="K3897" s="21">
        <f>ROUND(H3897/100*K3896,5)</f>
        <v>0.28108</v>
      </c>
    </row>
    <row r="3898" spans="1:27" x14ac:dyDescent="0.2">
      <c r="D3898" s="24" t="s">
        <v>1094</v>
      </c>
      <c r="E3898" s="23"/>
      <c r="H3898" s="23"/>
      <c r="K3898" s="25">
        <f>SUM(K3896:K3897)</f>
        <v>3.79453</v>
      </c>
    </row>
    <row r="3900" spans="1:27" ht="45" customHeight="1" x14ac:dyDescent="0.2">
      <c r="A3900" s="17" t="s">
        <v>2828</v>
      </c>
      <c r="B3900" s="17" t="s">
        <v>768</v>
      </c>
      <c r="C3900" s="1" t="s">
        <v>36</v>
      </c>
      <c r="D3900" s="96" t="s">
        <v>769</v>
      </c>
      <c r="E3900" s="97"/>
      <c r="F3900" s="97"/>
      <c r="G3900" s="1"/>
      <c r="H3900" s="18" t="s">
        <v>1066</v>
      </c>
      <c r="I3900" s="98">
        <v>1</v>
      </c>
      <c r="J3900" s="99"/>
      <c r="K3900" s="19">
        <f>ROUND(K3912,2)</f>
        <v>7.99</v>
      </c>
      <c r="L3900" s="2" t="s">
        <v>2466</v>
      </c>
      <c r="M3900" s="1"/>
      <c r="N3900" s="1"/>
      <c r="O3900" s="1"/>
      <c r="P3900" s="1"/>
      <c r="Q3900" s="1"/>
      <c r="R3900" s="1"/>
      <c r="S3900" s="1"/>
      <c r="T3900" s="1"/>
      <c r="U3900" s="1"/>
      <c r="V3900" s="1"/>
      <c r="W3900" s="1"/>
      <c r="X3900" s="1"/>
      <c r="Y3900" s="1"/>
      <c r="Z3900" s="1"/>
      <c r="AA3900" s="1"/>
    </row>
    <row r="3901" spans="1:27" x14ac:dyDescent="0.2">
      <c r="B3901" s="14" t="s">
        <v>1068</v>
      </c>
    </row>
    <row r="3902" spans="1:27" x14ac:dyDescent="0.2">
      <c r="B3902" t="s">
        <v>1184</v>
      </c>
      <c r="C3902" t="s">
        <v>1070</v>
      </c>
      <c r="D3902" t="s">
        <v>1185</v>
      </c>
      <c r="E3902" s="20">
        <v>3.2000000000000001E-2</v>
      </c>
      <c r="F3902" t="s">
        <v>1072</v>
      </c>
      <c r="G3902" t="s">
        <v>1073</v>
      </c>
      <c r="H3902" s="21">
        <v>30.41</v>
      </c>
      <c r="I3902" t="s">
        <v>1074</v>
      </c>
      <c r="J3902" s="22">
        <f>ROUND(E3902/I3900* H3902,5)</f>
        <v>0.97311999999999999</v>
      </c>
      <c r="K3902" s="23"/>
    </row>
    <row r="3903" spans="1:27" x14ac:dyDescent="0.2">
      <c r="B3903" t="s">
        <v>2050</v>
      </c>
      <c r="C3903" t="s">
        <v>1070</v>
      </c>
      <c r="D3903" t="s">
        <v>2051</v>
      </c>
      <c r="E3903" s="20">
        <v>3.2000000000000001E-2</v>
      </c>
      <c r="F3903" t="s">
        <v>1072</v>
      </c>
      <c r="G3903" t="s">
        <v>1073</v>
      </c>
      <c r="H3903" s="21">
        <v>26.08</v>
      </c>
      <c r="I3903" t="s">
        <v>1074</v>
      </c>
      <c r="J3903" s="22">
        <f>ROUND(E3903/I3900* H3903,5)</f>
        <v>0.83455999999999997</v>
      </c>
      <c r="K3903" s="23"/>
    </row>
    <row r="3904" spans="1:27" x14ac:dyDescent="0.2">
      <c r="D3904" s="24" t="s">
        <v>1075</v>
      </c>
      <c r="E3904" s="23"/>
      <c r="H3904" s="23"/>
      <c r="K3904" s="21">
        <f>SUM(J3902:J3903)</f>
        <v>1.80768</v>
      </c>
    </row>
    <row r="3905" spans="1:27" x14ac:dyDescent="0.2">
      <c r="B3905" s="14" t="s">
        <v>1080</v>
      </c>
      <c r="E3905" s="23"/>
      <c r="H3905" s="23"/>
      <c r="K3905" s="23"/>
    </row>
    <row r="3906" spans="1:27" x14ac:dyDescent="0.2">
      <c r="B3906" t="s">
        <v>2467</v>
      </c>
      <c r="C3906" t="s">
        <v>36</v>
      </c>
      <c r="D3906" t="s">
        <v>2468</v>
      </c>
      <c r="E3906" s="20">
        <v>1.02</v>
      </c>
      <c r="G3906" t="s">
        <v>1073</v>
      </c>
      <c r="H3906" s="21">
        <v>5.45</v>
      </c>
      <c r="I3906" t="s">
        <v>1074</v>
      </c>
      <c r="J3906" s="22">
        <f>ROUND(E3906* H3906,5)</f>
        <v>5.5590000000000002</v>
      </c>
      <c r="K3906" s="23"/>
    </row>
    <row r="3907" spans="1:27" x14ac:dyDescent="0.2">
      <c r="D3907" s="24" t="s">
        <v>1090</v>
      </c>
      <c r="E3907" s="23"/>
      <c r="H3907" s="23"/>
      <c r="K3907" s="21">
        <f>SUM(J3906:J3906)</f>
        <v>5.5590000000000002</v>
      </c>
    </row>
    <row r="3908" spans="1:27" x14ac:dyDescent="0.2">
      <c r="E3908" s="23"/>
      <c r="H3908" s="23"/>
      <c r="K3908" s="23"/>
    </row>
    <row r="3909" spans="1:27" x14ac:dyDescent="0.2">
      <c r="D3909" s="24" t="s">
        <v>1092</v>
      </c>
      <c r="E3909" s="23"/>
      <c r="H3909" s="23">
        <v>1.5</v>
      </c>
      <c r="I3909" t="s">
        <v>1093</v>
      </c>
      <c r="J3909">
        <f>ROUND(H3909/100*K3904,5)</f>
        <v>2.7119999999999998E-2</v>
      </c>
      <c r="K3909" s="23"/>
    </row>
    <row r="3910" spans="1:27" x14ac:dyDescent="0.2">
      <c r="D3910" s="24" t="s">
        <v>1091</v>
      </c>
      <c r="E3910" s="23"/>
      <c r="H3910" s="23"/>
      <c r="K3910" s="25">
        <f>SUM(J3901:J3909)</f>
        <v>7.3938000000000006</v>
      </c>
    </row>
    <row r="3911" spans="1:27" x14ac:dyDescent="0.2">
      <c r="D3911" s="24" t="s">
        <v>1142</v>
      </c>
      <c r="E3911" s="23"/>
      <c r="H3911" s="23">
        <v>8</v>
      </c>
      <c r="I3911" t="s">
        <v>1093</v>
      </c>
      <c r="K3911" s="21">
        <f>ROUND(H3911/100*K3910,5)</f>
        <v>0.59150000000000003</v>
      </c>
    </row>
    <row r="3912" spans="1:27" x14ac:dyDescent="0.2">
      <c r="D3912" s="24" t="s">
        <v>1094</v>
      </c>
      <c r="E3912" s="23"/>
      <c r="H3912" s="23"/>
      <c r="K3912" s="25">
        <f>SUM(K3910:K3911)</f>
        <v>7.9853000000000005</v>
      </c>
    </row>
    <row r="3914" spans="1:27" ht="45" customHeight="1" x14ac:dyDescent="0.2">
      <c r="A3914" s="17" t="s">
        <v>2529</v>
      </c>
      <c r="B3914" s="17" t="s">
        <v>770</v>
      </c>
      <c r="C3914" s="1" t="s">
        <v>36</v>
      </c>
      <c r="D3914" s="96" t="s">
        <v>771</v>
      </c>
      <c r="E3914" s="97"/>
      <c r="F3914" s="97"/>
      <c r="G3914" s="1"/>
      <c r="H3914" s="18" t="s">
        <v>1066</v>
      </c>
      <c r="I3914" s="98">
        <v>1</v>
      </c>
      <c r="J3914" s="99"/>
      <c r="K3914" s="19">
        <f>ROUND(K3926,2)</f>
        <v>4.04</v>
      </c>
      <c r="L3914" s="2" t="s">
        <v>2470</v>
      </c>
      <c r="M3914" s="1"/>
      <c r="N3914" s="1"/>
      <c r="O3914" s="1"/>
      <c r="P3914" s="1"/>
      <c r="Q3914" s="1"/>
      <c r="R3914" s="1"/>
      <c r="S3914" s="1"/>
      <c r="T3914" s="1"/>
      <c r="U3914" s="1"/>
      <c r="V3914" s="1"/>
      <c r="W3914" s="1"/>
      <c r="X3914" s="1"/>
      <c r="Y3914" s="1"/>
      <c r="Z3914" s="1"/>
      <c r="AA3914" s="1"/>
    </row>
    <row r="3915" spans="1:27" x14ac:dyDescent="0.2">
      <c r="B3915" s="14" t="s">
        <v>1068</v>
      </c>
    </row>
    <row r="3916" spans="1:27" x14ac:dyDescent="0.2">
      <c r="B3916" t="s">
        <v>2050</v>
      </c>
      <c r="C3916" t="s">
        <v>1070</v>
      </c>
      <c r="D3916" t="s">
        <v>2051</v>
      </c>
      <c r="E3916" s="20">
        <v>1.2E-2</v>
      </c>
      <c r="F3916" t="s">
        <v>1072</v>
      </c>
      <c r="G3916" t="s">
        <v>1073</v>
      </c>
      <c r="H3916" s="21">
        <v>26.08</v>
      </c>
      <c r="I3916" t="s">
        <v>1074</v>
      </c>
      <c r="J3916" s="22">
        <f>ROUND(E3916/I3914* H3916,5)</f>
        <v>0.31296000000000002</v>
      </c>
      <c r="K3916" s="23"/>
    </row>
    <row r="3917" spans="1:27" x14ac:dyDescent="0.2">
      <c r="B3917" t="s">
        <v>1184</v>
      </c>
      <c r="C3917" t="s">
        <v>1070</v>
      </c>
      <c r="D3917" t="s">
        <v>1185</v>
      </c>
      <c r="E3917" s="20">
        <v>1.2E-2</v>
      </c>
      <c r="F3917" t="s">
        <v>1072</v>
      </c>
      <c r="G3917" t="s">
        <v>1073</v>
      </c>
      <c r="H3917" s="21">
        <v>30.41</v>
      </c>
      <c r="I3917" t="s">
        <v>1074</v>
      </c>
      <c r="J3917" s="22">
        <f>ROUND(E3917/I3914* H3917,5)</f>
        <v>0.36492000000000002</v>
      </c>
      <c r="K3917" s="23"/>
    </row>
    <row r="3918" spans="1:27" x14ac:dyDescent="0.2">
      <c r="D3918" s="24" t="s">
        <v>1075</v>
      </c>
      <c r="E3918" s="23"/>
      <c r="H3918" s="23"/>
      <c r="K3918" s="21">
        <f>SUM(J3916:J3917)</f>
        <v>0.67788000000000004</v>
      </c>
    </row>
    <row r="3919" spans="1:27" x14ac:dyDescent="0.2">
      <c r="B3919" s="14" t="s">
        <v>1080</v>
      </c>
      <c r="E3919" s="23"/>
      <c r="H3919" s="23"/>
      <c r="K3919" s="23"/>
    </row>
    <row r="3920" spans="1:27" x14ac:dyDescent="0.2">
      <c r="B3920" t="s">
        <v>2471</v>
      </c>
      <c r="C3920" t="s">
        <v>36</v>
      </c>
      <c r="D3920" t="s">
        <v>2472</v>
      </c>
      <c r="E3920" s="20">
        <v>1.02</v>
      </c>
      <c r="G3920" t="s">
        <v>1073</v>
      </c>
      <c r="H3920" s="21">
        <v>2.99</v>
      </c>
      <c r="I3920" t="s">
        <v>1074</v>
      </c>
      <c r="J3920" s="22">
        <f>ROUND(E3920* H3920,5)</f>
        <v>3.0497999999999998</v>
      </c>
      <c r="K3920" s="23"/>
    </row>
    <row r="3921" spans="1:27" x14ac:dyDescent="0.2">
      <c r="D3921" s="24" t="s">
        <v>1090</v>
      </c>
      <c r="E3921" s="23"/>
      <c r="H3921" s="23"/>
      <c r="K3921" s="21">
        <f>SUM(J3920:J3920)</f>
        <v>3.0497999999999998</v>
      </c>
    </row>
    <row r="3922" spans="1:27" x14ac:dyDescent="0.2">
      <c r="E3922" s="23"/>
      <c r="H3922" s="23"/>
      <c r="K3922" s="23"/>
    </row>
    <row r="3923" spans="1:27" x14ac:dyDescent="0.2">
      <c r="D3923" s="24" t="s">
        <v>1092</v>
      </c>
      <c r="E3923" s="23"/>
      <c r="H3923" s="23">
        <v>1.5</v>
      </c>
      <c r="I3923" t="s">
        <v>1093</v>
      </c>
      <c r="J3923">
        <f>ROUND(H3923/100*K3918,5)</f>
        <v>1.017E-2</v>
      </c>
      <c r="K3923" s="23"/>
    </row>
    <row r="3924" spans="1:27" x14ac:dyDescent="0.2">
      <c r="D3924" s="24" t="s">
        <v>1091</v>
      </c>
      <c r="E3924" s="23"/>
      <c r="H3924" s="23"/>
      <c r="K3924" s="25">
        <f>SUM(J3915:J3923)</f>
        <v>3.7378499999999999</v>
      </c>
    </row>
    <row r="3925" spans="1:27" x14ac:dyDescent="0.2">
      <c r="D3925" s="24" t="s">
        <v>1142</v>
      </c>
      <c r="E3925" s="23"/>
      <c r="H3925" s="23">
        <v>8</v>
      </c>
      <c r="I3925" t="s">
        <v>1093</v>
      </c>
      <c r="K3925" s="21">
        <f>ROUND(H3925/100*K3924,5)</f>
        <v>0.29903000000000002</v>
      </c>
    </row>
    <row r="3926" spans="1:27" x14ac:dyDescent="0.2">
      <c r="D3926" s="24" t="s">
        <v>1094</v>
      </c>
      <c r="E3926" s="23"/>
      <c r="H3926" s="23"/>
      <c r="K3926" s="25">
        <f>SUM(K3924:K3925)</f>
        <v>4.03688</v>
      </c>
    </row>
    <row r="3928" spans="1:27" ht="45" customHeight="1" x14ac:dyDescent="0.2">
      <c r="A3928" s="17" t="s">
        <v>2535</v>
      </c>
      <c r="B3928" s="17" t="s">
        <v>869</v>
      </c>
      <c r="C3928" s="1" t="s">
        <v>36</v>
      </c>
      <c r="D3928" s="96" t="s">
        <v>870</v>
      </c>
      <c r="E3928" s="97"/>
      <c r="F3928" s="97"/>
      <c r="G3928" s="1"/>
      <c r="H3928" s="18" t="s">
        <v>1066</v>
      </c>
      <c r="I3928" s="98">
        <v>1</v>
      </c>
      <c r="J3928" s="99"/>
      <c r="K3928" s="19">
        <f>ROUND(K3940,2)</f>
        <v>23.99</v>
      </c>
      <c r="L3928" s="2" t="s">
        <v>2474</v>
      </c>
      <c r="M3928" s="1"/>
      <c r="N3928" s="1"/>
      <c r="O3928" s="1"/>
      <c r="P3928" s="1"/>
      <c r="Q3928" s="1"/>
      <c r="R3928" s="1"/>
      <c r="S3928" s="1"/>
      <c r="T3928" s="1"/>
      <c r="U3928" s="1"/>
      <c r="V3928" s="1"/>
      <c r="W3928" s="1"/>
      <c r="X3928" s="1"/>
      <c r="Y3928" s="1"/>
      <c r="Z3928" s="1"/>
      <c r="AA3928" s="1"/>
    </row>
    <row r="3929" spans="1:27" x14ac:dyDescent="0.2">
      <c r="B3929" s="14" t="s">
        <v>1068</v>
      </c>
    </row>
    <row r="3930" spans="1:27" x14ac:dyDescent="0.2">
      <c r="B3930" t="s">
        <v>2050</v>
      </c>
      <c r="C3930" t="s">
        <v>1070</v>
      </c>
      <c r="D3930" t="s">
        <v>2051</v>
      </c>
      <c r="E3930" s="20">
        <v>0.04</v>
      </c>
      <c r="F3930" t="s">
        <v>1072</v>
      </c>
      <c r="G3930" t="s">
        <v>1073</v>
      </c>
      <c r="H3930" s="21">
        <v>26.08</v>
      </c>
      <c r="I3930" t="s">
        <v>1074</v>
      </c>
      <c r="J3930" s="22">
        <f>ROUND(E3930/I3928* H3930,5)</f>
        <v>1.0431999999999999</v>
      </c>
      <c r="K3930" s="23"/>
    </row>
    <row r="3931" spans="1:27" x14ac:dyDescent="0.2">
      <c r="B3931" t="s">
        <v>1184</v>
      </c>
      <c r="C3931" t="s">
        <v>1070</v>
      </c>
      <c r="D3931" t="s">
        <v>1185</v>
      </c>
      <c r="E3931" s="20">
        <v>0.04</v>
      </c>
      <c r="F3931" t="s">
        <v>1072</v>
      </c>
      <c r="G3931" t="s">
        <v>1073</v>
      </c>
      <c r="H3931" s="21">
        <v>30.41</v>
      </c>
      <c r="I3931" t="s">
        <v>1074</v>
      </c>
      <c r="J3931" s="22">
        <f>ROUND(E3931/I3928* H3931,5)</f>
        <v>1.2163999999999999</v>
      </c>
      <c r="K3931" s="23"/>
    </row>
    <row r="3932" spans="1:27" x14ac:dyDescent="0.2">
      <c r="D3932" s="24" t="s">
        <v>1075</v>
      </c>
      <c r="E3932" s="23"/>
      <c r="H3932" s="23"/>
      <c r="K3932" s="21">
        <f>SUM(J3930:J3931)</f>
        <v>2.2595999999999998</v>
      </c>
    </row>
    <row r="3933" spans="1:27" x14ac:dyDescent="0.2">
      <c r="B3933" s="14" t="s">
        <v>1080</v>
      </c>
      <c r="E3933" s="23"/>
      <c r="H3933" s="23"/>
      <c r="K3933" s="23"/>
    </row>
    <row r="3934" spans="1:27" x14ac:dyDescent="0.2">
      <c r="B3934" t="s">
        <v>2475</v>
      </c>
      <c r="C3934" t="s">
        <v>36</v>
      </c>
      <c r="D3934" t="s">
        <v>2476</v>
      </c>
      <c r="E3934" s="20">
        <v>1.02</v>
      </c>
      <c r="G3934" t="s">
        <v>1073</v>
      </c>
      <c r="H3934" s="21">
        <v>19.53</v>
      </c>
      <c r="I3934" t="s">
        <v>1074</v>
      </c>
      <c r="J3934" s="22">
        <f>ROUND(E3934* H3934,5)</f>
        <v>19.9206</v>
      </c>
      <c r="K3934" s="23"/>
    </row>
    <row r="3935" spans="1:27" x14ac:dyDescent="0.2">
      <c r="D3935" s="24" t="s">
        <v>1090</v>
      </c>
      <c r="E3935" s="23"/>
      <c r="H3935" s="23"/>
      <c r="K3935" s="21">
        <f>SUM(J3934:J3934)</f>
        <v>19.9206</v>
      </c>
    </row>
    <row r="3936" spans="1:27" x14ac:dyDescent="0.2">
      <c r="E3936" s="23"/>
      <c r="H3936" s="23"/>
      <c r="K3936" s="23"/>
    </row>
    <row r="3937" spans="1:27" x14ac:dyDescent="0.2">
      <c r="D3937" s="24" t="s">
        <v>1092</v>
      </c>
      <c r="E3937" s="23"/>
      <c r="H3937" s="23">
        <v>1.5</v>
      </c>
      <c r="I3937" t="s">
        <v>1093</v>
      </c>
      <c r="J3937">
        <f>ROUND(H3937/100*K3932,5)</f>
        <v>3.3890000000000003E-2</v>
      </c>
      <c r="K3937" s="23"/>
    </row>
    <row r="3938" spans="1:27" x14ac:dyDescent="0.2">
      <c r="D3938" s="24" t="s">
        <v>1091</v>
      </c>
      <c r="E3938" s="23"/>
      <c r="H3938" s="23"/>
      <c r="K3938" s="25">
        <f>SUM(J3929:J3937)</f>
        <v>22.214089999999999</v>
      </c>
    </row>
    <row r="3939" spans="1:27" x14ac:dyDescent="0.2">
      <c r="D3939" s="24" t="s">
        <v>1142</v>
      </c>
      <c r="E3939" s="23"/>
      <c r="H3939" s="23">
        <v>8</v>
      </c>
      <c r="I3939" t="s">
        <v>1093</v>
      </c>
      <c r="K3939" s="21">
        <f>ROUND(H3939/100*K3938,5)</f>
        <v>1.7771300000000001</v>
      </c>
    </row>
    <row r="3940" spans="1:27" x14ac:dyDescent="0.2">
      <c r="D3940" s="24" t="s">
        <v>1094</v>
      </c>
      <c r="E3940" s="23"/>
      <c r="H3940" s="23"/>
      <c r="K3940" s="25">
        <f>SUM(K3938:K3939)</f>
        <v>23.991219999999998</v>
      </c>
    </row>
    <row r="3942" spans="1:27" ht="45" customHeight="1" x14ac:dyDescent="0.2">
      <c r="A3942" s="17" t="s">
        <v>2539</v>
      </c>
      <c r="B3942" s="17" t="s">
        <v>867</v>
      </c>
      <c r="C3942" s="1" t="s">
        <v>36</v>
      </c>
      <c r="D3942" s="96" t="s">
        <v>868</v>
      </c>
      <c r="E3942" s="97"/>
      <c r="F3942" s="97"/>
      <c r="G3942" s="1"/>
      <c r="H3942" s="18" t="s">
        <v>1066</v>
      </c>
      <c r="I3942" s="98">
        <v>1</v>
      </c>
      <c r="J3942" s="99"/>
      <c r="K3942" s="19">
        <f>ROUND(K3954,2)</f>
        <v>1.43</v>
      </c>
      <c r="L3942" s="2" t="s">
        <v>2478</v>
      </c>
      <c r="M3942" s="1"/>
      <c r="N3942" s="1"/>
      <c r="O3942" s="1"/>
      <c r="P3942" s="1"/>
      <c r="Q3942" s="1"/>
      <c r="R3942" s="1"/>
      <c r="S3942" s="1"/>
      <c r="T3942" s="1"/>
      <c r="U3942" s="1"/>
      <c r="V3942" s="1"/>
      <c r="W3942" s="1"/>
      <c r="X3942" s="1"/>
      <c r="Y3942" s="1"/>
      <c r="Z3942" s="1"/>
      <c r="AA3942" s="1"/>
    </row>
    <row r="3943" spans="1:27" x14ac:dyDescent="0.2">
      <c r="B3943" s="14" t="s">
        <v>1068</v>
      </c>
    </row>
    <row r="3944" spans="1:27" x14ac:dyDescent="0.2">
      <c r="B3944" t="s">
        <v>1184</v>
      </c>
      <c r="C3944" t="s">
        <v>1070</v>
      </c>
      <c r="D3944" t="s">
        <v>1185</v>
      </c>
      <c r="E3944" s="20">
        <v>1.2E-2</v>
      </c>
      <c r="F3944" t="s">
        <v>1072</v>
      </c>
      <c r="G3944" t="s">
        <v>1073</v>
      </c>
      <c r="H3944" s="21">
        <v>30.41</v>
      </c>
      <c r="I3944" t="s">
        <v>1074</v>
      </c>
      <c r="J3944" s="22">
        <f>ROUND(E3944/I3942* H3944,5)</f>
        <v>0.36492000000000002</v>
      </c>
      <c r="K3944" s="23"/>
    </row>
    <row r="3945" spans="1:27" x14ac:dyDescent="0.2">
      <c r="B3945" t="s">
        <v>2050</v>
      </c>
      <c r="C3945" t="s">
        <v>1070</v>
      </c>
      <c r="D3945" t="s">
        <v>2051</v>
      </c>
      <c r="E3945" s="20">
        <v>1.2E-2</v>
      </c>
      <c r="F3945" t="s">
        <v>1072</v>
      </c>
      <c r="G3945" t="s">
        <v>1073</v>
      </c>
      <c r="H3945" s="21">
        <v>26.08</v>
      </c>
      <c r="I3945" t="s">
        <v>1074</v>
      </c>
      <c r="J3945" s="22">
        <f>ROUND(E3945/I3942* H3945,5)</f>
        <v>0.31296000000000002</v>
      </c>
      <c r="K3945" s="23"/>
    </row>
    <row r="3946" spans="1:27" x14ac:dyDescent="0.2">
      <c r="D3946" s="24" t="s">
        <v>1075</v>
      </c>
      <c r="E3946" s="23"/>
      <c r="H3946" s="23"/>
      <c r="K3946" s="21">
        <f>SUM(J3944:J3945)</f>
        <v>0.67788000000000004</v>
      </c>
    </row>
    <row r="3947" spans="1:27" x14ac:dyDescent="0.2">
      <c r="B3947" s="14" t="s">
        <v>1080</v>
      </c>
      <c r="E3947" s="23"/>
      <c r="H3947" s="23"/>
      <c r="K3947" s="23"/>
    </row>
    <row r="3948" spans="1:27" x14ac:dyDescent="0.2">
      <c r="B3948" t="s">
        <v>2479</v>
      </c>
      <c r="C3948" t="s">
        <v>36</v>
      </c>
      <c r="D3948" t="s">
        <v>2480</v>
      </c>
      <c r="E3948" s="20">
        <v>1.02</v>
      </c>
      <c r="G3948" t="s">
        <v>1073</v>
      </c>
      <c r="H3948" s="21">
        <v>0.62</v>
      </c>
      <c r="I3948" t="s">
        <v>1074</v>
      </c>
      <c r="J3948" s="22">
        <f>ROUND(E3948* H3948,5)</f>
        <v>0.63239999999999996</v>
      </c>
      <c r="K3948" s="23"/>
    </row>
    <row r="3949" spans="1:27" x14ac:dyDescent="0.2">
      <c r="D3949" s="24" t="s">
        <v>1090</v>
      </c>
      <c r="E3949" s="23"/>
      <c r="H3949" s="23"/>
      <c r="K3949" s="21">
        <f>SUM(J3948:J3948)</f>
        <v>0.63239999999999996</v>
      </c>
    </row>
    <row r="3950" spans="1:27" x14ac:dyDescent="0.2">
      <c r="E3950" s="23"/>
      <c r="H3950" s="23"/>
      <c r="K3950" s="23"/>
    </row>
    <row r="3951" spans="1:27" x14ac:dyDescent="0.2">
      <c r="D3951" s="24" t="s">
        <v>1092</v>
      </c>
      <c r="E3951" s="23"/>
      <c r="H3951" s="23">
        <v>1.5</v>
      </c>
      <c r="I3951" t="s">
        <v>1093</v>
      </c>
      <c r="J3951">
        <f>ROUND(H3951/100*K3946,5)</f>
        <v>1.017E-2</v>
      </c>
      <c r="K3951" s="23"/>
    </row>
    <row r="3952" spans="1:27" x14ac:dyDescent="0.2">
      <c r="D3952" s="24" t="s">
        <v>1091</v>
      </c>
      <c r="E3952" s="23"/>
      <c r="H3952" s="23"/>
      <c r="K3952" s="25">
        <f>SUM(J3943:J3951)</f>
        <v>1.3204500000000001</v>
      </c>
    </row>
    <row r="3953" spans="1:27" x14ac:dyDescent="0.2">
      <c r="D3953" s="24" t="s">
        <v>1142</v>
      </c>
      <c r="E3953" s="23"/>
      <c r="H3953" s="23">
        <v>8</v>
      </c>
      <c r="I3953" t="s">
        <v>1093</v>
      </c>
      <c r="K3953" s="21">
        <f>ROUND(H3953/100*K3952,5)</f>
        <v>0.10564</v>
      </c>
    </row>
    <row r="3954" spans="1:27" x14ac:dyDescent="0.2">
      <c r="D3954" s="24" t="s">
        <v>1094</v>
      </c>
      <c r="E3954" s="23"/>
      <c r="H3954" s="23"/>
      <c r="K3954" s="25">
        <f>SUM(K3952:K3953)</f>
        <v>1.4260900000000001</v>
      </c>
    </row>
    <row r="3956" spans="1:27" ht="45" customHeight="1" x14ac:dyDescent="0.2">
      <c r="A3956" s="17" t="s">
        <v>2550</v>
      </c>
      <c r="B3956" s="17" t="s">
        <v>772</v>
      </c>
      <c r="C3956" s="1" t="s">
        <v>36</v>
      </c>
      <c r="D3956" s="96" t="s">
        <v>773</v>
      </c>
      <c r="E3956" s="97"/>
      <c r="F3956" s="97"/>
      <c r="G3956" s="1"/>
      <c r="H3956" s="18" t="s">
        <v>1066</v>
      </c>
      <c r="I3956" s="98">
        <v>1</v>
      </c>
      <c r="J3956" s="99"/>
      <c r="K3956" s="19">
        <f>ROUND(K3968,2)</f>
        <v>16.739999999999998</v>
      </c>
      <c r="L3956" s="2" t="s">
        <v>2482</v>
      </c>
      <c r="M3956" s="1"/>
      <c r="N3956" s="1"/>
      <c r="O3956" s="1"/>
      <c r="P3956" s="1"/>
      <c r="Q3956" s="1"/>
      <c r="R3956" s="1"/>
      <c r="S3956" s="1"/>
      <c r="T3956" s="1"/>
      <c r="U3956" s="1"/>
      <c r="V3956" s="1"/>
      <c r="W3956" s="1"/>
      <c r="X3956" s="1"/>
      <c r="Y3956" s="1"/>
      <c r="Z3956" s="1"/>
      <c r="AA3956" s="1"/>
    </row>
    <row r="3957" spans="1:27" x14ac:dyDescent="0.2">
      <c r="B3957" s="14" t="s">
        <v>1068</v>
      </c>
    </row>
    <row r="3958" spans="1:27" x14ac:dyDescent="0.2">
      <c r="B3958" t="s">
        <v>1184</v>
      </c>
      <c r="C3958" t="s">
        <v>1070</v>
      </c>
      <c r="D3958" t="s">
        <v>1185</v>
      </c>
      <c r="E3958" s="20">
        <v>0.04</v>
      </c>
      <c r="F3958" t="s">
        <v>1072</v>
      </c>
      <c r="G3958" t="s">
        <v>1073</v>
      </c>
      <c r="H3958" s="21">
        <v>30.41</v>
      </c>
      <c r="I3958" t="s">
        <v>1074</v>
      </c>
      <c r="J3958" s="22">
        <f>ROUND(E3958/I3956* H3958,5)</f>
        <v>1.2163999999999999</v>
      </c>
      <c r="K3958" s="23"/>
    </row>
    <row r="3959" spans="1:27" x14ac:dyDescent="0.2">
      <c r="B3959" t="s">
        <v>2050</v>
      </c>
      <c r="C3959" t="s">
        <v>1070</v>
      </c>
      <c r="D3959" t="s">
        <v>2051</v>
      </c>
      <c r="E3959" s="20">
        <v>0.04</v>
      </c>
      <c r="F3959" t="s">
        <v>1072</v>
      </c>
      <c r="G3959" t="s">
        <v>1073</v>
      </c>
      <c r="H3959" s="21">
        <v>26.08</v>
      </c>
      <c r="I3959" t="s">
        <v>1074</v>
      </c>
      <c r="J3959" s="22">
        <f>ROUND(E3959/I3956* H3959,5)</f>
        <v>1.0431999999999999</v>
      </c>
      <c r="K3959" s="23"/>
    </row>
    <row r="3960" spans="1:27" x14ac:dyDescent="0.2">
      <c r="D3960" s="24" t="s">
        <v>1075</v>
      </c>
      <c r="E3960" s="23"/>
      <c r="H3960" s="23"/>
      <c r="K3960" s="21">
        <f>SUM(J3958:J3959)</f>
        <v>2.2595999999999998</v>
      </c>
    </row>
    <row r="3961" spans="1:27" x14ac:dyDescent="0.2">
      <c r="B3961" s="14" t="s">
        <v>1080</v>
      </c>
      <c r="E3961" s="23"/>
      <c r="H3961" s="23"/>
      <c r="K3961" s="23"/>
    </row>
    <row r="3962" spans="1:27" x14ac:dyDescent="0.2">
      <c r="B3962" t="s">
        <v>2483</v>
      </c>
      <c r="C3962" t="s">
        <v>36</v>
      </c>
      <c r="D3962" t="s">
        <v>2484</v>
      </c>
      <c r="E3962" s="20">
        <v>1.02</v>
      </c>
      <c r="G3962" t="s">
        <v>1073</v>
      </c>
      <c r="H3962" s="21">
        <v>12.95</v>
      </c>
      <c r="I3962" t="s">
        <v>1074</v>
      </c>
      <c r="J3962" s="22">
        <f>ROUND(E3962* H3962,5)</f>
        <v>13.209</v>
      </c>
      <c r="K3962" s="23"/>
    </row>
    <row r="3963" spans="1:27" x14ac:dyDescent="0.2">
      <c r="D3963" s="24" t="s">
        <v>1090</v>
      </c>
      <c r="E3963" s="23"/>
      <c r="H3963" s="23"/>
      <c r="K3963" s="21">
        <f>SUM(J3962:J3962)</f>
        <v>13.209</v>
      </c>
    </row>
    <row r="3964" spans="1:27" x14ac:dyDescent="0.2">
      <c r="E3964" s="23"/>
      <c r="H3964" s="23"/>
      <c r="K3964" s="23"/>
    </row>
    <row r="3965" spans="1:27" x14ac:dyDescent="0.2">
      <c r="D3965" s="24" t="s">
        <v>1092</v>
      </c>
      <c r="E3965" s="23"/>
      <c r="H3965" s="23">
        <v>1.5</v>
      </c>
      <c r="I3965" t="s">
        <v>1093</v>
      </c>
      <c r="J3965">
        <f>ROUND(H3965/100*K3960,5)</f>
        <v>3.3890000000000003E-2</v>
      </c>
      <c r="K3965" s="23"/>
    </row>
    <row r="3966" spans="1:27" x14ac:dyDescent="0.2">
      <c r="D3966" s="24" t="s">
        <v>1091</v>
      </c>
      <c r="E3966" s="23"/>
      <c r="H3966" s="23"/>
      <c r="K3966" s="25">
        <f>SUM(J3957:J3965)</f>
        <v>15.502489999999998</v>
      </c>
    </row>
    <row r="3967" spans="1:27" x14ac:dyDescent="0.2">
      <c r="D3967" s="24" t="s">
        <v>1142</v>
      </c>
      <c r="E3967" s="23"/>
      <c r="H3967" s="23">
        <v>8</v>
      </c>
      <c r="I3967" t="s">
        <v>1093</v>
      </c>
      <c r="K3967" s="21">
        <f>ROUND(H3967/100*K3966,5)</f>
        <v>1.2402</v>
      </c>
    </row>
    <row r="3968" spans="1:27" x14ac:dyDescent="0.2">
      <c r="D3968" s="24" t="s">
        <v>1094</v>
      </c>
      <c r="E3968" s="23"/>
      <c r="H3968" s="23"/>
      <c r="K3968" s="25">
        <f>SUM(K3966:K3967)</f>
        <v>16.74269</v>
      </c>
    </row>
    <row r="3970" spans="1:27" ht="45" customHeight="1" x14ac:dyDescent="0.2">
      <c r="A3970" s="17" t="s">
        <v>2556</v>
      </c>
      <c r="B3970" s="17" t="s">
        <v>774</v>
      </c>
      <c r="C3970" s="1" t="s">
        <v>36</v>
      </c>
      <c r="D3970" s="96" t="s">
        <v>775</v>
      </c>
      <c r="E3970" s="97"/>
      <c r="F3970" s="97"/>
      <c r="G3970" s="1"/>
      <c r="H3970" s="18" t="s">
        <v>1066</v>
      </c>
      <c r="I3970" s="98">
        <v>1</v>
      </c>
      <c r="J3970" s="99"/>
      <c r="K3970" s="19">
        <f>ROUND(K3982,2)</f>
        <v>57.56</v>
      </c>
      <c r="L3970" s="2" t="s">
        <v>2486</v>
      </c>
      <c r="M3970" s="1"/>
      <c r="N3970" s="1"/>
      <c r="O3970" s="1"/>
      <c r="P3970" s="1"/>
      <c r="Q3970" s="1"/>
      <c r="R3970" s="1"/>
      <c r="S3970" s="1"/>
      <c r="T3970" s="1"/>
      <c r="U3970" s="1"/>
      <c r="V3970" s="1"/>
      <c r="W3970" s="1"/>
      <c r="X3970" s="1"/>
      <c r="Y3970" s="1"/>
      <c r="Z3970" s="1"/>
      <c r="AA3970" s="1"/>
    </row>
    <row r="3971" spans="1:27" x14ac:dyDescent="0.2">
      <c r="B3971" s="14" t="s">
        <v>1068</v>
      </c>
    </row>
    <row r="3972" spans="1:27" x14ac:dyDescent="0.2">
      <c r="B3972" t="s">
        <v>1184</v>
      </c>
      <c r="C3972" t="s">
        <v>1070</v>
      </c>
      <c r="D3972" t="s">
        <v>1185</v>
      </c>
      <c r="E3972" s="20">
        <v>6.5000000000000002E-2</v>
      </c>
      <c r="F3972" t="s">
        <v>1072</v>
      </c>
      <c r="G3972" t="s">
        <v>1073</v>
      </c>
      <c r="H3972" s="21">
        <v>30.41</v>
      </c>
      <c r="I3972" t="s">
        <v>1074</v>
      </c>
      <c r="J3972" s="22">
        <f>ROUND(E3972/I3970* H3972,5)</f>
        <v>1.97665</v>
      </c>
      <c r="K3972" s="23"/>
    </row>
    <row r="3973" spans="1:27" x14ac:dyDescent="0.2">
      <c r="B3973" t="s">
        <v>2050</v>
      </c>
      <c r="C3973" t="s">
        <v>1070</v>
      </c>
      <c r="D3973" t="s">
        <v>2051</v>
      </c>
      <c r="E3973" s="20">
        <v>6.5000000000000002E-2</v>
      </c>
      <c r="F3973" t="s">
        <v>1072</v>
      </c>
      <c r="G3973" t="s">
        <v>1073</v>
      </c>
      <c r="H3973" s="21">
        <v>26.08</v>
      </c>
      <c r="I3973" t="s">
        <v>1074</v>
      </c>
      <c r="J3973" s="22">
        <f>ROUND(E3973/I3970* H3973,5)</f>
        <v>1.6952</v>
      </c>
      <c r="K3973" s="23"/>
    </row>
    <row r="3974" spans="1:27" x14ac:dyDescent="0.2">
      <c r="D3974" s="24" t="s">
        <v>1075</v>
      </c>
      <c r="E3974" s="23"/>
      <c r="H3974" s="23"/>
      <c r="K3974" s="21">
        <f>SUM(J3972:J3973)</f>
        <v>3.6718500000000001</v>
      </c>
    </row>
    <row r="3975" spans="1:27" x14ac:dyDescent="0.2">
      <c r="B3975" s="14" t="s">
        <v>1080</v>
      </c>
      <c r="E3975" s="23"/>
      <c r="H3975" s="23"/>
      <c r="K3975" s="23"/>
    </row>
    <row r="3976" spans="1:27" x14ac:dyDescent="0.2">
      <c r="B3976" t="s">
        <v>2487</v>
      </c>
      <c r="C3976" t="s">
        <v>36</v>
      </c>
      <c r="D3976" t="s">
        <v>2488</v>
      </c>
      <c r="E3976" s="20">
        <v>1.02</v>
      </c>
      <c r="G3976" t="s">
        <v>1073</v>
      </c>
      <c r="H3976" s="21">
        <v>48.6</v>
      </c>
      <c r="I3976" t="s">
        <v>1074</v>
      </c>
      <c r="J3976" s="22">
        <f>ROUND(E3976* H3976,5)</f>
        <v>49.572000000000003</v>
      </c>
      <c r="K3976" s="23"/>
    </row>
    <row r="3977" spans="1:27" x14ac:dyDescent="0.2">
      <c r="D3977" s="24" t="s">
        <v>1090</v>
      </c>
      <c r="E3977" s="23"/>
      <c r="H3977" s="23"/>
      <c r="K3977" s="21">
        <f>SUM(J3976:J3976)</f>
        <v>49.572000000000003</v>
      </c>
    </row>
    <row r="3978" spans="1:27" x14ac:dyDescent="0.2">
      <c r="E3978" s="23"/>
      <c r="H3978" s="23"/>
      <c r="K3978" s="23"/>
    </row>
    <row r="3979" spans="1:27" x14ac:dyDescent="0.2">
      <c r="D3979" s="24" t="s">
        <v>1092</v>
      </c>
      <c r="E3979" s="23"/>
      <c r="H3979" s="23">
        <v>1.5</v>
      </c>
      <c r="I3979" t="s">
        <v>1093</v>
      </c>
      <c r="J3979">
        <f>ROUND(H3979/100*K3974,5)</f>
        <v>5.5079999999999997E-2</v>
      </c>
      <c r="K3979" s="23"/>
    </row>
    <row r="3980" spans="1:27" x14ac:dyDescent="0.2">
      <c r="D3980" s="24" t="s">
        <v>1091</v>
      </c>
      <c r="E3980" s="23"/>
      <c r="H3980" s="23"/>
      <c r="K3980" s="25">
        <f>SUM(J3971:J3979)</f>
        <v>53.298929999999999</v>
      </c>
    </row>
    <row r="3981" spans="1:27" x14ac:dyDescent="0.2">
      <c r="D3981" s="24" t="s">
        <v>1142</v>
      </c>
      <c r="E3981" s="23"/>
      <c r="H3981" s="23">
        <v>8</v>
      </c>
      <c r="I3981" t="s">
        <v>1093</v>
      </c>
      <c r="K3981" s="21">
        <f>ROUND(H3981/100*K3980,5)</f>
        <v>4.2639100000000001</v>
      </c>
    </row>
    <row r="3982" spans="1:27" x14ac:dyDescent="0.2">
      <c r="D3982" s="24" t="s">
        <v>1094</v>
      </c>
      <c r="E3982" s="23"/>
      <c r="H3982" s="23"/>
      <c r="K3982" s="25">
        <f>SUM(K3980:K3981)</f>
        <v>57.562840000000001</v>
      </c>
    </row>
    <row r="3984" spans="1:27" ht="45" customHeight="1" x14ac:dyDescent="0.2">
      <c r="A3984" s="17"/>
      <c r="B3984" s="17" t="s">
        <v>2489</v>
      </c>
      <c r="C3984" s="1" t="s">
        <v>36</v>
      </c>
      <c r="D3984" s="96" t="s">
        <v>2490</v>
      </c>
      <c r="E3984" s="97"/>
      <c r="F3984" s="97"/>
      <c r="G3984" s="1"/>
      <c r="H3984" s="18" t="s">
        <v>1066</v>
      </c>
      <c r="I3984" s="98">
        <v>1</v>
      </c>
      <c r="J3984" s="99"/>
      <c r="K3984" s="19">
        <f>ROUND(K3996,2)</f>
        <v>1.53</v>
      </c>
      <c r="L3984" s="2" t="s">
        <v>2491</v>
      </c>
      <c r="M3984" s="1"/>
      <c r="N3984" s="1"/>
      <c r="O3984" s="1"/>
      <c r="P3984" s="1"/>
      <c r="Q3984" s="1"/>
      <c r="R3984" s="1"/>
      <c r="S3984" s="1"/>
      <c r="T3984" s="1"/>
      <c r="U3984" s="1"/>
      <c r="V3984" s="1"/>
      <c r="W3984" s="1"/>
      <c r="X3984" s="1"/>
      <c r="Y3984" s="1"/>
      <c r="Z3984" s="1"/>
      <c r="AA3984" s="1"/>
    </row>
    <row r="3985" spans="1:27" x14ac:dyDescent="0.2">
      <c r="B3985" s="14" t="s">
        <v>1068</v>
      </c>
    </row>
    <row r="3986" spans="1:27" x14ac:dyDescent="0.2">
      <c r="B3986" t="s">
        <v>2050</v>
      </c>
      <c r="C3986" t="s">
        <v>1070</v>
      </c>
      <c r="D3986" t="s">
        <v>2051</v>
      </c>
      <c r="E3986" s="20">
        <v>1.4999999999999999E-2</v>
      </c>
      <c r="F3986" t="s">
        <v>1072</v>
      </c>
      <c r="G3986" t="s">
        <v>1073</v>
      </c>
      <c r="H3986" s="21">
        <v>26.08</v>
      </c>
      <c r="I3986" t="s">
        <v>1074</v>
      </c>
      <c r="J3986" s="22">
        <f>ROUND(E3986/I3984* H3986,5)</f>
        <v>0.39119999999999999</v>
      </c>
      <c r="K3986" s="23"/>
    </row>
    <row r="3987" spans="1:27" x14ac:dyDescent="0.2">
      <c r="B3987" t="s">
        <v>1184</v>
      </c>
      <c r="C3987" t="s">
        <v>1070</v>
      </c>
      <c r="D3987" t="s">
        <v>1185</v>
      </c>
      <c r="E3987" s="20">
        <v>1.4999999999999999E-2</v>
      </c>
      <c r="F3987" t="s">
        <v>1072</v>
      </c>
      <c r="G3987" t="s">
        <v>1073</v>
      </c>
      <c r="H3987" s="21">
        <v>30.41</v>
      </c>
      <c r="I3987" t="s">
        <v>1074</v>
      </c>
      <c r="J3987" s="22">
        <f>ROUND(E3987/I3984* H3987,5)</f>
        <v>0.45615</v>
      </c>
      <c r="K3987" s="23"/>
    </row>
    <row r="3988" spans="1:27" x14ac:dyDescent="0.2">
      <c r="D3988" s="24" t="s">
        <v>1075</v>
      </c>
      <c r="E3988" s="23"/>
      <c r="H3988" s="23"/>
      <c r="K3988" s="21">
        <f>SUM(J3986:J3987)</f>
        <v>0.84735000000000005</v>
      </c>
    </row>
    <row r="3989" spans="1:27" x14ac:dyDescent="0.2">
      <c r="B3989" s="14" t="s">
        <v>1080</v>
      </c>
      <c r="E3989" s="23"/>
      <c r="H3989" s="23"/>
      <c r="K3989" s="23"/>
    </row>
    <row r="3990" spans="1:27" x14ac:dyDescent="0.2">
      <c r="B3990" t="s">
        <v>2492</v>
      </c>
      <c r="C3990" t="s">
        <v>36</v>
      </c>
      <c r="D3990" t="s">
        <v>2493</v>
      </c>
      <c r="E3990" s="20">
        <v>1.02</v>
      </c>
      <c r="G3990" t="s">
        <v>1073</v>
      </c>
      <c r="H3990" s="21">
        <v>0.55000000000000004</v>
      </c>
      <c r="I3990" t="s">
        <v>1074</v>
      </c>
      <c r="J3990" s="22">
        <f>ROUND(E3990* H3990,5)</f>
        <v>0.56100000000000005</v>
      </c>
      <c r="K3990" s="23"/>
    </row>
    <row r="3991" spans="1:27" x14ac:dyDescent="0.2">
      <c r="D3991" s="24" t="s">
        <v>1090</v>
      </c>
      <c r="E3991" s="23"/>
      <c r="H3991" s="23"/>
      <c r="K3991" s="21">
        <f>SUM(J3990:J3990)</f>
        <v>0.56100000000000005</v>
      </c>
    </row>
    <row r="3992" spans="1:27" x14ac:dyDescent="0.2">
      <c r="E3992" s="23"/>
      <c r="H3992" s="23"/>
      <c r="K3992" s="23"/>
    </row>
    <row r="3993" spans="1:27" x14ac:dyDescent="0.2">
      <c r="D3993" s="24" t="s">
        <v>1092</v>
      </c>
      <c r="E3993" s="23"/>
      <c r="H3993" s="23">
        <v>1.5</v>
      </c>
      <c r="I3993" t="s">
        <v>1093</v>
      </c>
      <c r="J3993">
        <f>ROUND(H3993/100*K3988,5)</f>
        <v>1.2710000000000001E-2</v>
      </c>
      <c r="K3993" s="23"/>
    </row>
    <row r="3994" spans="1:27" x14ac:dyDescent="0.2">
      <c r="D3994" s="24" t="s">
        <v>1091</v>
      </c>
      <c r="E3994" s="23"/>
      <c r="H3994" s="23"/>
      <c r="K3994" s="25">
        <f>SUM(J3985:J3993)</f>
        <v>1.42106</v>
      </c>
    </row>
    <row r="3995" spans="1:27" x14ac:dyDescent="0.2">
      <c r="D3995" s="24" t="s">
        <v>1142</v>
      </c>
      <c r="E3995" s="23"/>
      <c r="H3995" s="23">
        <v>8</v>
      </c>
      <c r="I3995" t="s">
        <v>1093</v>
      </c>
      <c r="K3995" s="21">
        <f>ROUND(H3995/100*K3994,5)</f>
        <v>0.11368</v>
      </c>
    </row>
    <row r="3996" spans="1:27" x14ac:dyDescent="0.2">
      <c r="D3996" s="24" t="s">
        <v>1094</v>
      </c>
      <c r="E3996" s="23"/>
      <c r="H3996" s="23"/>
      <c r="K3996" s="25">
        <f>SUM(K3994:K3995)</f>
        <v>1.53474</v>
      </c>
    </row>
    <row r="3998" spans="1:27" ht="45" customHeight="1" x14ac:dyDescent="0.2">
      <c r="A3998" s="17" t="s">
        <v>2832</v>
      </c>
      <c r="B3998" s="17" t="s">
        <v>3960</v>
      </c>
      <c r="C3998" s="1" t="s">
        <v>23</v>
      </c>
      <c r="D3998" s="96" t="s">
        <v>3961</v>
      </c>
      <c r="E3998" s="97"/>
      <c r="F3998" s="97"/>
      <c r="G3998" s="1"/>
      <c r="H3998" s="18" t="s">
        <v>1066</v>
      </c>
      <c r="I3998" s="98">
        <v>1</v>
      </c>
      <c r="J3998" s="99"/>
      <c r="K3998" s="19">
        <f>ROUND(K4011,2)</f>
        <v>35.79</v>
      </c>
      <c r="L3998" s="2" t="s">
        <v>3961</v>
      </c>
      <c r="M3998" s="1"/>
      <c r="N3998" s="1"/>
      <c r="O3998" s="1"/>
      <c r="P3998" s="1"/>
      <c r="Q3998" s="1"/>
      <c r="R3998" s="1"/>
      <c r="S3998" s="1"/>
      <c r="T3998" s="1"/>
      <c r="U3998" s="1"/>
      <c r="V3998" s="1"/>
      <c r="W3998" s="1"/>
      <c r="X3998" s="1"/>
      <c r="Y3998" s="1"/>
      <c r="Z3998" s="1"/>
      <c r="AA3998" s="1"/>
    </row>
    <row r="3999" spans="1:27" x14ac:dyDescent="0.2">
      <c r="B3999" s="14" t="s">
        <v>1068</v>
      </c>
    </row>
    <row r="4000" spans="1:27" x14ac:dyDescent="0.2">
      <c r="B4000" t="s">
        <v>1184</v>
      </c>
      <c r="C4000" t="s">
        <v>1070</v>
      </c>
      <c r="D4000" t="s">
        <v>1185</v>
      </c>
      <c r="E4000" s="20">
        <v>0.5</v>
      </c>
      <c r="F4000" t="s">
        <v>1072</v>
      </c>
      <c r="G4000" t="s">
        <v>1073</v>
      </c>
      <c r="H4000" s="21">
        <v>30.41</v>
      </c>
      <c r="I4000" t="s">
        <v>1074</v>
      </c>
      <c r="J4000" s="22">
        <f>ROUND(E4000/I3998* H4000,5)</f>
        <v>15.205</v>
      </c>
      <c r="K4000" s="23"/>
    </row>
    <row r="4001" spans="1:27" x14ac:dyDescent="0.2">
      <c r="B4001" t="s">
        <v>2050</v>
      </c>
      <c r="C4001" t="s">
        <v>1070</v>
      </c>
      <c r="D4001" t="s">
        <v>2051</v>
      </c>
      <c r="E4001" s="20">
        <v>0.5</v>
      </c>
      <c r="F4001" t="s">
        <v>1072</v>
      </c>
      <c r="G4001" t="s">
        <v>1073</v>
      </c>
      <c r="H4001" s="21">
        <v>26.08</v>
      </c>
      <c r="I4001" t="s">
        <v>1074</v>
      </c>
      <c r="J4001" s="22">
        <f>ROUND(E4001/I3998* H4001,5)</f>
        <v>13.04</v>
      </c>
      <c r="K4001" s="23"/>
    </row>
    <row r="4002" spans="1:27" x14ac:dyDescent="0.2">
      <c r="D4002" s="24" t="s">
        <v>1075</v>
      </c>
      <c r="E4002" s="23"/>
      <c r="H4002" s="23"/>
      <c r="K4002" s="21">
        <f>SUM(J4000:J4001)</f>
        <v>28.244999999999997</v>
      </c>
    </row>
    <row r="4003" spans="1:27" x14ac:dyDescent="0.2">
      <c r="B4003" s="14" t="s">
        <v>1080</v>
      </c>
      <c r="E4003" s="23"/>
      <c r="H4003" s="23"/>
      <c r="K4003" s="23"/>
    </row>
    <row r="4004" spans="1:27" x14ac:dyDescent="0.2">
      <c r="B4004" t="s">
        <v>4105</v>
      </c>
      <c r="C4004" t="s">
        <v>36</v>
      </c>
      <c r="D4004" t="s">
        <v>4106</v>
      </c>
      <c r="E4004" s="20">
        <v>7</v>
      </c>
      <c r="G4004" t="s">
        <v>1073</v>
      </c>
      <c r="H4004" s="21">
        <v>0.46</v>
      </c>
      <c r="I4004" t="s">
        <v>1074</v>
      </c>
      <c r="J4004" s="22">
        <f>ROUND(E4004* H4004,5)</f>
        <v>3.22</v>
      </c>
      <c r="K4004" s="23"/>
    </row>
    <row r="4005" spans="1:27" x14ac:dyDescent="0.2">
      <c r="B4005" t="s">
        <v>4107</v>
      </c>
      <c r="C4005" t="s">
        <v>23</v>
      </c>
      <c r="D4005" t="s">
        <v>4108</v>
      </c>
      <c r="E4005" s="20">
        <v>5</v>
      </c>
      <c r="G4005" t="s">
        <v>1073</v>
      </c>
      <c r="H4005" s="21">
        <v>0.25</v>
      </c>
      <c r="I4005" t="s">
        <v>1074</v>
      </c>
      <c r="J4005" s="22">
        <f>ROUND(E4005* H4005,5)</f>
        <v>1.25</v>
      </c>
      <c r="K4005" s="23"/>
    </row>
    <row r="4006" spans="1:27" x14ac:dyDescent="0.2">
      <c r="D4006" s="24" t="s">
        <v>1090</v>
      </c>
      <c r="E4006" s="23"/>
      <c r="H4006" s="23"/>
      <c r="K4006" s="21">
        <f>SUM(J4004:J4005)</f>
        <v>4.4700000000000006</v>
      </c>
    </row>
    <row r="4007" spans="1:27" x14ac:dyDescent="0.2">
      <c r="E4007" s="23"/>
      <c r="H4007" s="23"/>
      <c r="K4007" s="23"/>
    </row>
    <row r="4008" spans="1:27" x14ac:dyDescent="0.2">
      <c r="D4008" s="24" t="s">
        <v>1092</v>
      </c>
      <c r="E4008" s="23"/>
      <c r="H4008" s="23">
        <v>1.5</v>
      </c>
      <c r="I4008" t="s">
        <v>1093</v>
      </c>
      <c r="J4008">
        <f>ROUND(H4008/100*K4002,5)</f>
        <v>0.42368</v>
      </c>
      <c r="K4008" s="23"/>
    </row>
    <row r="4009" spans="1:27" x14ac:dyDescent="0.2">
      <c r="D4009" s="24" t="s">
        <v>1091</v>
      </c>
      <c r="E4009" s="23"/>
      <c r="H4009" s="23"/>
      <c r="K4009" s="25">
        <f>SUM(J3999:J4008)</f>
        <v>33.138679999999994</v>
      </c>
    </row>
    <row r="4010" spans="1:27" x14ac:dyDescent="0.2">
      <c r="D4010" s="24" t="s">
        <v>1142</v>
      </c>
      <c r="E4010" s="23"/>
      <c r="H4010" s="23">
        <v>8</v>
      </c>
      <c r="I4010" t="s">
        <v>1093</v>
      </c>
      <c r="K4010" s="21">
        <f>ROUND(H4010/100*K4009,5)</f>
        <v>2.6510899999999999</v>
      </c>
    </row>
    <row r="4011" spans="1:27" x14ac:dyDescent="0.2">
      <c r="D4011" s="24" t="s">
        <v>1094</v>
      </c>
      <c r="E4011" s="23"/>
      <c r="H4011" s="23"/>
      <c r="K4011" s="25">
        <f>SUM(K4009:K4010)</f>
        <v>35.78976999999999</v>
      </c>
    </row>
    <row r="4013" spans="1:27" ht="45" customHeight="1" x14ac:dyDescent="0.2">
      <c r="A4013" s="17" t="s">
        <v>2575</v>
      </c>
      <c r="B4013" s="17" t="s">
        <v>3978</v>
      </c>
      <c r="C4013" s="1" t="s">
        <v>23</v>
      </c>
      <c r="D4013" s="96" t="s">
        <v>3979</v>
      </c>
      <c r="E4013" s="97"/>
      <c r="F4013" s="97"/>
      <c r="G4013" s="1"/>
      <c r="H4013" s="18" t="s">
        <v>1066</v>
      </c>
      <c r="I4013" s="98">
        <v>1</v>
      </c>
      <c r="J4013" s="99"/>
      <c r="K4013" s="19">
        <f>ROUND(K4026,2)</f>
        <v>54.37</v>
      </c>
      <c r="L4013" s="2" t="s">
        <v>3979</v>
      </c>
      <c r="M4013" s="1"/>
      <c r="N4013" s="1"/>
      <c r="O4013" s="1"/>
      <c r="P4013" s="1"/>
      <c r="Q4013" s="1"/>
      <c r="R4013" s="1"/>
      <c r="S4013" s="1"/>
      <c r="T4013" s="1"/>
      <c r="U4013" s="1"/>
      <c r="V4013" s="1"/>
      <c r="W4013" s="1"/>
      <c r="X4013" s="1"/>
      <c r="Y4013" s="1"/>
      <c r="Z4013" s="1"/>
      <c r="AA4013" s="1"/>
    </row>
    <row r="4014" spans="1:27" x14ac:dyDescent="0.2">
      <c r="B4014" s="14" t="s">
        <v>1068</v>
      </c>
    </row>
    <row r="4015" spans="1:27" x14ac:dyDescent="0.2">
      <c r="B4015" t="s">
        <v>2050</v>
      </c>
      <c r="C4015" t="s">
        <v>1070</v>
      </c>
      <c r="D4015" t="s">
        <v>2051</v>
      </c>
      <c r="E4015" s="20">
        <v>0.8</v>
      </c>
      <c r="F4015" t="s">
        <v>1072</v>
      </c>
      <c r="G4015" t="s">
        <v>1073</v>
      </c>
      <c r="H4015" s="21">
        <v>26.08</v>
      </c>
      <c r="I4015" t="s">
        <v>1074</v>
      </c>
      <c r="J4015" s="22">
        <f>ROUND(E4015/I4013* H4015,5)</f>
        <v>20.864000000000001</v>
      </c>
      <c r="K4015" s="23"/>
    </row>
    <row r="4016" spans="1:27" x14ac:dyDescent="0.2">
      <c r="B4016" t="s">
        <v>1184</v>
      </c>
      <c r="C4016" t="s">
        <v>1070</v>
      </c>
      <c r="D4016" t="s">
        <v>1185</v>
      </c>
      <c r="E4016" s="20">
        <v>0.8</v>
      </c>
      <c r="F4016" t="s">
        <v>1072</v>
      </c>
      <c r="G4016" t="s">
        <v>1073</v>
      </c>
      <c r="H4016" s="21">
        <v>30.41</v>
      </c>
      <c r="I4016" t="s">
        <v>1074</v>
      </c>
      <c r="J4016" s="22">
        <f>ROUND(E4016/I4013* H4016,5)</f>
        <v>24.327999999999999</v>
      </c>
      <c r="K4016" s="23"/>
    </row>
    <row r="4017" spans="1:27" x14ac:dyDescent="0.2">
      <c r="D4017" s="24" t="s">
        <v>1075</v>
      </c>
      <c r="E4017" s="23"/>
      <c r="H4017" s="23"/>
      <c r="K4017" s="21">
        <f>SUM(J4015:J4016)</f>
        <v>45.192</v>
      </c>
    </row>
    <row r="4018" spans="1:27" x14ac:dyDescent="0.2">
      <c r="B4018" s="14" t="s">
        <v>1080</v>
      </c>
      <c r="E4018" s="23"/>
      <c r="H4018" s="23"/>
      <c r="K4018" s="23"/>
    </row>
    <row r="4019" spans="1:27" x14ac:dyDescent="0.2">
      <c r="B4019" t="s">
        <v>4105</v>
      </c>
      <c r="C4019" t="s">
        <v>36</v>
      </c>
      <c r="D4019" t="s">
        <v>4106</v>
      </c>
      <c r="E4019" s="20">
        <v>7</v>
      </c>
      <c r="G4019" t="s">
        <v>1073</v>
      </c>
      <c r="H4019" s="21">
        <v>0.46</v>
      </c>
      <c r="I4019" t="s">
        <v>1074</v>
      </c>
      <c r="J4019" s="22">
        <f>ROUND(E4019* H4019,5)</f>
        <v>3.22</v>
      </c>
      <c r="K4019" s="23"/>
    </row>
    <row r="4020" spans="1:27" x14ac:dyDescent="0.2">
      <c r="B4020" t="s">
        <v>4107</v>
      </c>
      <c r="C4020" t="s">
        <v>23</v>
      </c>
      <c r="D4020" t="s">
        <v>4108</v>
      </c>
      <c r="E4020" s="20">
        <v>5</v>
      </c>
      <c r="G4020" t="s">
        <v>1073</v>
      </c>
      <c r="H4020" s="21">
        <v>0.25</v>
      </c>
      <c r="I4020" t="s">
        <v>1074</v>
      </c>
      <c r="J4020" s="22">
        <f>ROUND(E4020* H4020,5)</f>
        <v>1.25</v>
      </c>
      <c r="K4020" s="23"/>
    </row>
    <row r="4021" spans="1:27" x14ac:dyDescent="0.2">
      <c r="D4021" s="24" t="s">
        <v>1090</v>
      </c>
      <c r="E4021" s="23"/>
      <c r="H4021" s="23"/>
      <c r="K4021" s="21">
        <f>SUM(J4019:J4020)</f>
        <v>4.4700000000000006</v>
      </c>
    </row>
    <row r="4022" spans="1:27" x14ac:dyDescent="0.2">
      <c r="E4022" s="23"/>
      <c r="H4022" s="23"/>
      <c r="K4022" s="23"/>
    </row>
    <row r="4023" spans="1:27" x14ac:dyDescent="0.2">
      <c r="D4023" s="24" t="s">
        <v>1092</v>
      </c>
      <c r="E4023" s="23"/>
      <c r="H4023" s="23">
        <v>1.5</v>
      </c>
      <c r="I4023" t="s">
        <v>1093</v>
      </c>
      <c r="J4023">
        <f>ROUND(H4023/100*K4017,5)</f>
        <v>0.67788000000000004</v>
      </c>
      <c r="K4023" s="23"/>
    </row>
    <row r="4024" spans="1:27" x14ac:dyDescent="0.2">
      <c r="D4024" s="24" t="s">
        <v>1091</v>
      </c>
      <c r="E4024" s="23"/>
      <c r="H4024" s="23"/>
      <c r="K4024" s="25">
        <f>SUM(J4014:J4023)</f>
        <v>50.339880000000001</v>
      </c>
    </row>
    <row r="4025" spans="1:27" x14ac:dyDescent="0.2">
      <c r="D4025" s="24" t="s">
        <v>1142</v>
      </c>
      <c r="E4025" s="23"/>
      <c r="H4025" s="23">
        <v>8</v>
      </c>
      <c r="I4025" t="s">
        <v>1093</v>
      </c>
      <c r="K4025" s="21">
        <f>ROUND(H4025/100*K4024,5)</f>
        <v>4.02719</v>
      </c>
    </row>
    <row r="4026" spans="1:27" x14ac:dyDescent="0.2">
      <c r="D4026" s="24" t="s">
        <v>1094</v>
      </c>
      <c r="E4026" s="23"/>
      <c r="H4026" s="23"/>
      <c r="K4026" s="25">
        <f>SUM(K4024:K4025)</f>
        <v>54.367069999999998</v>
      </c>
    </row>
    <row r="4028" spans="1:27" ht="45" customHeight="1" x14ac:dyDescent="0.2">
      <c r="A4028" s="17" t="s">
        <v>2586</v>
      </c>
      <c r="B4028" s="17" t="s">
        <v>778</v>
      </c>
      <c r="C4028" s="1" t="s">
        <v>36</v>
      </c>
      <c r="D4028" s="96" t="s">
        <v>779</v>
      </c>
      <c r="E4028" s="97"/>
      <c r="F4028" s="97"/>
      <c r="G4028" s="1"/>
      <c r="H4028" s="18" t="s">
        <v>1066</v>
      </c>
      <c r="I4028" s="98">
        <v>1</v>
      </c>
      <c r="J4028" s="99"/>
      <c r="K4028" s="19">
        <f>ROUND(K4041,2)</f>
        <v>6.57</v>
      </c>
      <c r="L4028" s="2" t="s">
        <v>2495</v>
      </c>
      <c r="M4028" s="1"/>
      <c r="N4028" s="1"/>
      <c r="O4028" s="1"/>
      <c r="P4028" s="1"/>
      <c r="Q4028" s="1"/>
      <c r="R4028" s="1"/>
      <c r="S4028" s="1"/>
      <c r="T4028" s="1"/>
      <c r="U4028" s="1"/>
      <c r="V4028" s="1"/>
      <c r="W4028" s="1"/>
      <c r="X4028" s="1"/>
      <c r="Y4028" s="1"/>
      <c r="Z4028" s="1"/>
      <c r="AA4028" s="1"/>
    </row>
    <row r="4029" spans="1:27" x14ac:dyDescent="0.2">
      <c r="B4029" s="14" t="s">
        <v>1068</v>
      </c>
    </row>
    <row r="4030" spans="1:27" x14ac:dyDescent="0.2">
      <c r="B4030" t="s">
        <v>1184</v>
      </c>
      <c r="C4030" t="s">
        <v>1070</v>
      </c>
      <c r="D4030" t="s">
        <v>1185</v>
      </c>
      <c r="E4030" s="20">
        <v>0.06</v>
      </c>
      <c r="F4030" t="s">
        <v>1072</v>
      </c>
      <c r="G4030" t="s">
        <v>1073</v>
      </c>
      <c r="H4030" s="21">
        <v>30.41</v>
      </c>
      <c r="I4030" t="s">
        <v>1074</v>
      </c>
      <c r="J4030" s="22">
        <f>ROUND(E4030/I4028* H4030,5)</f>
        <v>1.8246</v>
      </c>
      <c r="K4030" s="23"/>
    </row>
    <row r="4031" spans="1:27" x14ac:dyDescent="0.2">
      <c r="B4031" t="s">
        <v>2050</v>
      </c>
      <c r="C4031" t="s">
        <v>1070</v>
      </c>
      <c r="D4031" t="s">
        <v>2051</v>
      </c>
      <c r="E4031" s="20">
        <v>0.1</v>
      </c>
      <c r="F4031" t="s">
        <v>1072</v>
      </c>
      <c r="G4031" t="s">
        <v>1073</v>
      </c>
      <c r="H4031" s="21">
        <v>26.08</v>
      </c>
      <c r="I4031" t="s">
        <v>1074</v>
      </c>
      <c r="J4031" s="22">
        <f>ROUND(E4031/I4028* H4031,5)</f>
        <v>2.6080000000000001</v>
      </c>
      <c r="K4031" s="23"/>
    </row>
    <row r="4032" spans="1:27" x14ac:dyDescent="0.2">
      <c r="D4032" s="24" t="s">
        <v>1075</v>
      </c>
      <c r="E4032" s="23"/>
      <c r="H4032" s="23"/>
      <c r="K4032" s="21">
        <f>SUM(J4030:J4031)</f>
        <v>4.4325999999999999</v>
      </c>
    </row>
    <row r="4033" spans="1:27" x14ac:dyDescent="0.2">
      <c r="B4033" s="14" t="s">
        <v>1080</v>
      </c>
      <c r="E4033" s="23"/>
      <c r="H4033" s="23"/>
      <c r="K4033" s="23"/>
    </row>
    <row r="4034" spans="1:27" x14ac:dyDescent="0.2">
      <c r="B4034" t="s">
        <v>2498</v>
      </c>
      <c r="C4034" t="s">
        <v>23</v>
      </c>
      <c r="D4034" t="s">
        <v>2499</v>
      </c>
      <c r="E4034" s="20">
        <v>1</v>
      </c>
      <c r="G4034" t="s">
        <v>1073</v>
      </c>
      <c r="H4034" s="21">
        <v>0.37</v>
      </c>
      <c r="I4034" t="s">
        <v>1074</v>
      </c>
      <c r="J4034" s="22">
        <f>ROUND(E4034* H4034,5)</f>
        <v>0.37</v>
      </c>
      <c r="K4034" s="23"/>
    </row>
    <row r="4035" spans="1:27" x14ac:dyDescent="0.2">
      <c r="B4035" t="s">
        <v>2496</v>
      </c>
      <c r="C4035" t="s">
        <v>36</v>
      </c>
      <c r="D4035" t="s">
        <v>2497</v>
      </c>
      <c r="E4035" s="20">
        <v>1.02</v>
      </c>
      <c r="G4035" t="s">
        <v>1073</v>
      </c>
      <c r="H4035" s="21">
        <v>1.19</v>
      </c>
      <c r="I4035" t="s">
        <v>1074</v>
      </c>
      <c r="J4035" s="22">
        <f>ROUND(E4035* H4035,5)</f>
        <v>1.2138</v>
      </c>
      <c r="K4035" s="23"/>
    </row>
    <row r="4036" spans="1:27" x14ac:dyDescent="0.2">
      <c r="D4036" s="24" t="s">
        <v>1090</v>
      </c>
      <c r="E4036" s="23"/>
      <c r="H4036" s="23"/>
      <c r="K4036" s="21">
        <f>SUM(J4034:J4035)</f>
        <v>1.5838000000000001</v>
      </c>
    </row>
    <row r="4037" spans="1:27" x14ac:dyDescent="0.2">
      <c r="E4037" s="23"/>
      <c r="H4037" s="23"/>
      <c r="K4037" s="23"/>
    </row>
    <row r="4038" spans="1:27" x14ac:dyDescent="0.2">
      <c r="D4038" s="24" t="s">
        <v>1092</v>
      </c>
      <c r="E4038" s="23"/>
      <c r="H4038" s="23">
        <v>1.5</v>
      </c>
      <c r="I4038" t="s">
        <v>1093</v>
      </c>
      <c r="J4038">
        <f>ROUND(H4038/100*K4032,5)</f>
        <v>6.6489999999999994E-2</v>
      </c>
      <c r="K4038" s="23"/>
    </row>
    <row r="4039" spans="1:27" x14ac:dyDescent="0.2">
      <c r="D4039" s="24" t="s">
        <v>1091</v>
      </c>
      <c r="E4039" s="23"/>
      <c r="H4039" s="23"/>
      <c r="K4039" s="25">
        <f>SUM(J4029:J4038)</f>
        <v>6.0828899999999999</v>
      </c>
    </row>
    <row r="4040" spans="1:27" x14ac:dyDescent="0.2">
      <c r="D4040" s="24" t="s">
        <v>1142</v>
      </c>
      <c r="E4040" s="23"/>
      <c r="H4040" s="23">
        <v>8</v>
      </c>
      <c r="I4040" t="s">
        <v>1093</v>
      </c>
      <c r="K4040" s="21">
        <f>ROUND(H4040/100*K4039,5)</f>
        <v>0.48663000000000001</v>
      </c>
    </row>
    <row r="4041" spans="1:27" x14ac:dyDescent="0.2">
      <c r="D4041" s="24" t="s">
        <v>1094</v>
      </c>
      <c r="E4041" s="23"/>
      <c r="H4041" s="23"/>
      <c r="K4041" s="25">
        <f>SUM(K4039:K4040)</f>
        <v>6.5695199999999998</v>
      </c>
    </row>
    <row r="4043" spans="1:27" ht="45" customHeight="1" x14ac:dyDescent="0.2">
      <c r="A4043" s="17" t="s">
        <v>2590</v>
      </c>
      <c r="B4043" s="17" t="s">
        <v>757</v>
      </c>
      <c r="C4043" s="1" t="s">
        <v>36</v>
      </c>
      <c r="D4043" s="96" t="s">
        <v>758</v>
      </c>
      <c r="E4043" s="97"/>
      <c r="F4043" s="97"/>
      <c r="G4043" s="1"/>
      <c r="H4043" s="18" t="s">
        <v>1066</v>
      </c>
      <c r="I4043" s="98">
        <v>1</v>
      </c>
      <c r="J4043" s="99"/>
      <c r="K4043" s="19">
        <f>ROUND(K4056,2)</f>
        <v>15.2</v>
      </c>
      <c r="L4043" s="2" t="s">
        <v>2501</v>
      </c>
      <c r="M4043" s="1"/>
      <c r="N4043" s="1"/>
      <c r="O4043" s="1"/>
      <c r="P4043" s="1"/>
      <c r="Q4043" s="1"/>
      <c r="R4043" s="1"/>
      <c r="S4043" s="1"/>
      <c r="T4043" s="1"/>
      <c r="U4043" s="1"/>
      <c r="V4043" s="1"/>
      <c r="W4043" s="1"/>
      <c r="X4043" s="1"/>
      <c r="Y4043" s="1"/>
      <c r="Z4043" s="1"/>
      <c r="AA4043" s="1"/>
    </row>
    <row r="4044" spans="1:27" x14ac:dyDescent="0.2">
      <c r="B4044" s="14" t="s">
        <v>1068</v>
      </c>
    </row>
    <row r="4045" spans="1:27" x14ac:dyDescent="0.2">
      <c r="B4045" t="s">
        <v>1184</v>
      </c>
      <c r="C4045" t="s">
        <v>1070</v>
      </c>
      <c r="D4045" t="s">
        <v>1185</v>
      </c>
      <c r="E4045" s="20">
        <v>0.15</v>
      </c>
      <c r="F4045" t="s">
        <v>1072</v>
      </c>
      <c r="G4045" t="s">
        <v>1073</v>
      </c>
      <c r="H4045" s="21">
        <v>30.41</v>
      </c>
      <c r="I4045" t="s">
        <v>1074</v>
      </c>
      <c r="J4045" s="22">
        <f>ROUND(E4045/I4043* H4045,5)</f>
        <v>4.5614999999999997</v>
      </c>
      <c r="K4045" s="23"/>
    </row>
    <row r="4046" spans="1:27" x14ac:dyDescent="0.2">
      <c r="B4046" t="s">
        <v>2050</v>
      </c>
      <c r="C4046" t="s">
        <v>1070</v>
      </c>
      <c r="D4046" t="s">
        <v>2051</v>
      </c>
      <c r="E4046" s="20">
        <v>0.2</v>
      </c>
      <c r="F4046" t="s">
        <v>1072</v>
      </c>
      <c r="G4046" t="s">
        <v>1073</v>
      </c>
      <c r="H4046" s="21">
        <v>26.08</v>
      </c>
      <c r="I4046" t="s">
        <v>1074</v>
      </c>
      <c r="J4046" s="22">
        <f>ROUND(E4046/I4043* H4046,5)</f>
        <v>5.2160000000000002</v>
      </c>
      <c r="K4046" s="23"/>
    </row>
    <row r="4047" spans="1:27" x14ac:dyDescent="0.2">
      <c r="D4047" s="24" t="s">
        <v>1075</v>
      </c>
      <c r="E4047" s="23"/>
      <c r="H4047" s="23"/>
      <c r="K4047" s="21">
        <f>SUM(J4045:J4046)</f>
        <v>9.7774999999999999</v>
      </c>
    </row>
    <row r="4048" spans="1:27" x14ac:dyDescent="0.2">
      <c r="B4048" s="14" t="s">
        <v>1080</v>
      </c>
      <c r="E4048" s="23"/>
      <c r="H4048" s="23"/>
      <c r="K4048" s="23"/>
    </row>
    <row r="4049" spans="1:27" x14ac:dyDescent="0.2">
      <c r="B4049" t="s">
        <v>2498</v>
      </c>
      <c r="C4049" t="s">
        <v>23</v>
      </c>
      <c r="D4049" t="s">
        <v>2499</v>
      </c>
      <c r="E4049" s="20">
        <v>1</v>
      </c>
      <c r="G4049" t="s">
        <v>1073</v>
      </c>
      <c r="H4049" s="21">
        <v>0.37</v>
      </c>
      <c r="I4049" t="s">
        <v>1074</v>
      </c>
      <c r="J4049" s="22">
        <f>ROUND(E4049* H4049,5)</f>
        <v>0.37</v>
      </c>
      <c r="K4049" s="23"/>
    </row>
    <row r="4050" spans="1:27" x14ac:dyDescent="0.2">
      <c r="B4050" t="s">
        <v>2502</v>
      </c>
      <c r="C4050" t="s">
        <v>36</v>
      </c>
      <c r="D4050" t="s">
        <v>2503</v>
      </c>
      <c r="E4050" s="20">
        <v>1.02</v>
      </c>
      <c r="G4050" t="s">
        <v>1073</v>
      </c>
      <c r="H4050" s="21">
        <v>3.71</v>
      </c>
      <c r="I4050" t="s">
        <v>1074</v>
      </c>
      <c r="J4050" s="22">
        <f>ROUND(E4050* H4050,5)</f>
        <v>3.7841999999999998</v>
      </c>
      <c r="K4050" s="23"/>
    </row>
    <row r="4051" spans="1:27" x14ac:dyDescent="0.2">
      <c r="D4051" s="24" t="s">
        <v>1090</v>
      </c>
      <c r="E4051" s="23"/>
      <c r="H4051" s="23"/>
      <c r="K4051" s="21">
        <f>SUM(J4049:J4050)</f>
        <v>4.1541999999999994</v>
      </c>
    </row>
    <row r="4052" spans="1:27" x14ac:dyDescent="0.2">
      <c r="E4052" s="23"/>
      <c r="H4052" s="23"/>
      <c r="K4052" s="23"/>
    </row>
    <row r="4053" spans="1:27" x14ac:dyDescent="0.2">
      <c r="D4053" s="24" t="s">
        <v>1092</v>
      </c>
      <c r="E4053" s="23"/>
      <c r="H4053" s="23">
        <v>1.5</v>
      </c>
      <c r="I4053" t="s">
        <v>1093</v>
      </c>
      <c r="J4053">
        <f>ROUND(H4053/100*K4047,5)</f>
        <v>0.14666000000000001</v>
      </c>
      <c r="K4053" s="23"/>
    </row>
    <row r="4054" spans="1:27" x14ac:dyDescent="0.2">
      <c r="D4054" s="24" t="s">
        <v>1091</v>
      </c>
      <c r="E4054" s="23"/>
      <c r="H4054" s="23"/>
      <c r="K4054" s="25">
        <f>SUM(J4044:J4053)</f>
        <v>14.07836</v>
      </c>
    </row>
    <row r="4055" spans="1:27" x14ac:dyDescent="0.2">
      <c r="D4055" s="24" t="s">
        <v>1142</v>
      </c>
      <c r="E4055" s="23"/>
      <c r="H4055" s="23">
        <v>8</v>
      </c>
      <c r="I4055" t="s">
        <v>1093</v>
      </c>
      <c r="K4055" s="21">
        <f>ROUND(H4055/100*K4054,5)</f>
        <v>1.1262700000000001</v>
      </c>
    </row>
    <row r="4056" spans="1:27" x14ac:dyDescent="0.2">
      <c r="D4056" s="24" t="s">
        <v>1094</v>
      </c>
      <c r="E4056" s="23"/>
      <c r="H4056" s="23"/>
      <c r="K4056" s="25">
        <f>SUM(K4054:K4055)</f>
        <v>15.20463</v>
      </c>
    </row>
    <row r="4058" spans="1:27" ht="45" customHeight="1" x14ac:dyDescent="0.2">
      <c r="A4058" s="17"/>
      <c r="B4058" s="17" t="s">
        <v>2504</v>
      </c>
      <c r="C4058" s="1" t="s">
        <v>23</v>
      </c>
      <c r="D4058" s="96" t="s">
        <v>2505</v>
      </c>
      <c r="E4058" s="97"/>
      <c r="F4058" s="97"/>
      <c r="G4058" s="1"/>
      <c r="H4058" s="18" t="s">
        <v>1066</v>
      </c>
      <c r="I4058" s="98">
        <v>1</v>
      </c>
      <c r="J4058" s="99"/>
      <c r="K4058" s="19">
        <f>ROUND(K4071,2)</f>
        <v>40.99</v>
      </c>
      <c r="L4058" s="2" t="s">
        <v>2506</v>
      </c>
      <c r="M4058" s="1"/>
      <c r="N4058" s="1"/>
      <c r="O4058" s="1"/>
      <c r="P4058" s="1"/>
      <c r="Q4058" s="1"/>
      <c r="R4058" s="1"/>
      <c r="S4058" s="1"/>
      <c r="T4058" s="1"/>
      <c r="U4058" s="1"/>
      <c r="V4058" s="1"/>
      <c r="W4058" s="1"/>
      <c r="X4058" s="1"/>
      <c r="Y4058" s="1"/>
      <c r="Z4058" s="1"/>
      <c r="AA4058" s="1"/>
    </row>
    <row r="4059" spans="1:27" x14ac:dyDescent="0.2">
      <c r="B4059" s="14" t="s">
        <v>1068</v>
      </c>
    </row>
    <row r="4060" spans="1:27" x14ac:dyDescent="0.2">
      <c r="B4060" t="s">
        <v>1184</v>
      </c>
      <c r="C4060" t="s">
        <v>1070</v>
      </c>
      <c r="D4060" t="s">
        <v>1185</v>
      </c>
      <c r="E4060" s="20">
        <v>0.2</v>
      </c>
      <c r="F4060" t="s">
        <v>1072</v>
      </c>
      <c r="G4060" t="s">
        <v>1073</v>
      </c>
      <c r="H4060" s="21">
        <v>30.41</v>
      </c>
      <c r="I4060" t="s">
        <v>1074</v>
      </c>
      <c r="J4060" s="22">
        <f>ROUND(E4060/I4058* H4060,5)</f>
        <v>6.0819999999999999</v>
      </c>
      <c r="K4060" s="23"/>
    </row>
    <row r="4061" spans="1:27" x14ac:dyDescent="0.2">
      <c r="B4061" t="s">
        <v>2050</v>
      </c>
      <c r="C4061" t="s">
        <v>1070</v>
      </c>
      <c r="D4061" t="s">
        <v>2051</v>
      </c>
      <c r="E4061" s="20">
        <v>0.2</v>
      </c>
      <c r="F4061" t="s">
        <v>1072</v>
      </c>
      <c r="G4061" t="s">
        <v>1073</v>
      </c>
      <c r="H4061" s="21">
        <v>26.08</v>
      </c>
      <c r="I4061" t="s">
        <v>1074</v>
      </c>
      <c r="J4061" s="22">
        <f>ROUND(E4061/I4058* H4061,5)</f>
        <v>5.2160000000000002</v>
      </c>
      <c r="K4061" s="23"/>
    </row>
    <row r="4062" spans="1:27" x14ac:dyDescent="0.2">
      <c r="D4062" s="24" t="s">
        <v>1075</v>
      </c>
      <c r="E4062" s="23"/>
      <c r="H4062" s="23"/>
      <c r="K4062" s="21">
        <f>SUM(J4060:J4061)</f>
        <v>11.298</v>
      </c>
    </row>
    <row r="4063" spans="1:27" x14ac:dyDescent="0.2">
      <c r="B4063" s="14" t="s">
        <v>1080</v>
      </c>
      <c r="E4063" s="23"/>
      <c r="H4063" s="23"/>
      <c r="K4063" s="23"/>
    </row>
    <row r="4064" spans="1:27" x14ac:dyDescent="0.2">
      <c r="B4064" t="s">
        <v>2507</v>
      </c>
      <c r="C4064" t="s">
        <v>23</v>
      </c>
      <c r="D4064" t="s">
        <v>2508</v>
      </c>
      <c r="E4064" s="20">
        <v>1</v>
      </c>
      <c r="G4064" t="s">
        <v>1073</v>
      </c>
      <c r="H4064" s="21">
        <v>26.02</v>
      </c>
      <c r="I4064" t="s">
        <v>1074</v>
      </c>
      <c r="J4064" s="22">
        <f>ROUND(E4064* H4064,5)</f>
        <v>26.02</v>
      </c>
      <c r="K4064" s="23"/>
    </row>
    <row r="4065" spans="1:27" x14ac:dyDescent="0.2">
      <c r="B4065" t="s">
        <v>2509</v>
      </c>
      <c r="C4065" t="s">
        <v>23</v>
      </c>
      <c r="D4065" t="s">
        <v>2510</v>
      </c>
      <c r="E4065" s="20">
        <v>1</v>
      </c>
      <c r="G4065" t="s">
        <v>1073</v>
      </c>
      <c r="H4065" s="21">
        <v>0.47</v>
      </c>
      <c r="I4065" t="s">
        <v>1074</v>
      </c>
      <c r="J4065" s="22">
        <f>ROUND(E4065* H4065,5)</f>
        <v>0.47</v>
      </c>
      <c r="K4065" s="23"/>
    </row>
    <row r="4066" spans="1:27" x14ac:dyDescent="0.2">
      <c r="D4066" s="24" t="s">
        <v>1090</v>
      </c>
      <c r="E4066" s="23"/>
      <c r="H4066" s="23"/>
      <c r="K4066" s="21">
        <f>SUM(J4064:J4065)</f>
        <v>26.49</v>
      </c>
    </row>
    <row r="4067" spans="1:27" x14ac:dyDescent="0.2">
      <c r="E4067" s="23"/>
      <c r="H4067" s="23"/>
      <c r="K4067" s="23"/>
    </row>
    <row r="4068" spans="1:27" x14ac:dyDescent="0.2">
      <c r="D4068" s="24" t="s">
        <v>1092</v>
      </c>
      <c r="E4068" s="23"/>
      <c r="H4068" s="23">
        <v>1.5</v>
      </c>
      <c r="I4068" t="s">
        <v>1093</v>
      </c>
      <c r="J4068">
        <f>ROUND(H4068/100*K4062,5)</f>
        <v>0.16947000000000001</v>
      </c>
      <c r="K4068" s="23"/>
    </row>
    <row r="4069" spans="1:27" x14ac:dyDescent="0.2">
      <c r="D4069" s="24" t="s">
        <v>1091</v>
      </c>
      <c r="E4069" s="23"/>
      <c r="H4069" s="23"/>
      <c r="K4069" s="25">
        <f>SUM(J4059:J4068)</f>
        <v>37.957469999999994</v>
      </c>
    </row>
    <row r="4070" spans="1:27" x14ac:dyDescent="0.2">
      <c r="D4070" s="24" t="s">
        <v>1142</v>
      </c>
      <c r="E4070" s="23"/>
      <c r="H4070" s="23">
        <v>8</v>
      </c>
      <c r="I4070" t="s">
        <v>1093</v>
      </c>
      <c r="K4070" s="21">
        <f>ROUND(H4070/100*K4069,5)</f>
        <v>3.0366</v>
      </c>
    </row>
    <row r="4071" spans="1:27" x14ac:dyDescent="0.2">
      <c r="D4071" s="24" t="s">
        <v>1094</v>
      </c>
      <c r="E4071" s="23"/>
      <c r="H4071" s="23"/>
      <c r="K4071" s="25">
        <f>SUM(K4069:K4070)</f>
        <v>40.994069999999994</v>
      </c>
    </row>
    <row r="4073" spans="1:27" ht="45" customHeight="1" x14ac:dyDescent="0.2">
      <c r="A4073" s="17" t="s">
        <v>2594</v>
      </c>
      <c r="B4073" s="17" t="s">
        <v>822</v>
      </c>
      <c r="C4073" s="1" t="s">
        <v>23</v>
      </c>
      <c r="D4073" s="96" t="s">
        <v>823</v>
      </c>
      <c r="E4073" s="97"/>
      <c r="F4073" s="97"/>
      <c r="G4073" s="1"/>
      <c r="H4073" s="18" t="s">
        <v>1066</v>
      </c>
      <c r="I4073" s="98">
        <v>1</v>
      </c>
      <c r="J4073" s="99"/>
      <c r="K4073" s="19">
        <f>ROUND(K4087,2)</f>
        <v>27.98</v>
      </c>
      <c r="L4073" s="2" t="s">
        <v>2512</v>
      </c>
      <c r="M4073" s="1"/>
      <c r="N4073" s="1"/>
      <c r="O4073" s="1"/>
      <c r="P4073" s="1"/>
      <c r="Q4073" s="1"/>
      <c r="R4073" s="1"/>
      <c r="S4073" s="1"/>
      <c r="T4073" s="1"/>
      <c r="U4073" s="1"/>
      <c r="V4073" s="1"/>
      <c r="W4073" s="1"/>
      <c r="X4073" s="1"/>
      <c r="Y4073" s="1"/>
      <c r="Z4073" s="1"/>
      <c r="AA4073" s="1"/>
    </row>
    <row r="4074" spans="1:27" x14ac:dyDescent="0.2">
      <c r="B4074" s="14" t="s">
        <v>1068</v>
      </c>
    </row>
    <row r="4075" spans="1:27" x14ac:dyDescent="0.2">
      <c r="B4075" t="s">
        <v>1184</v>
      </c>
      <c r="C4075" t="s">
        <v>1070</v>
      </c>
      <c r="D4075" t="s">
        <v>1185</v>
      </c>
      <c r="E4075" s="20">
        <v>0.216</v>
      </c>
      <c r="F4075" t="s">
        <v>1072</v>
      </c>
      <c r="G4075" t="s">
        <v>1073</v>
      </c>
      <c r="H4075" s="21">
        <v>30.41</v>
      </c>
      <c r="I4075" t="s">
        <v>1074</v>
      </c>
      <c r="J4075" s="22">
        <f>ROUND(E4075/I4073* H4075,5)</f>
        <v>6.5685599999999997</v>
      </c>
      <c r="K4075" s="23"/>
    </row>
    <row r="4076" spans="1:27" x14ac:dyDescent="0.2">
      <c r="B4076" t="s">
        <v>2050</v>
      </c>
      <c r="C4076" t="s">
        <v>1070</v>
      </c>
      <c r="D4076" t="s">
        <v>2051</v>
      </c>
      <c r="E4076" s="20">
        <v>0.1</v>
      </c>
      <c r="F4076" t="s">
        <v>1072</v>
      </c>
      <c r="G4076" t="s">
        <v>1073</v>
      </c>
      <c r="H4076" s="21">
        <v>26.08</v>
      </c>
      <c r="I4076" t="s">
        <v>1074</v>
      </c>
      <c r="J4076" s="22">
        <f>ROUND(E4076/I4073* H4076,5)</f>
        <v>2.6080000000000001</v>
      </c>
      <c r="K4076" s="23"/>
    </row>
    <row r="4077" spans="1:27" x14ac:dyDescent="0.2">
      <c r="D4077" s="24" t="s">
        <v>1075</v>
      </c>
      <c r="E4077" s="23"/>
      <c r="H4077" s="23"/>
      <c r="K4077" s="21">
        <f>SUM(J4075:J4076)</f>
        <v>9.1765600000000003</v>
      </c>
    </row>
    <row r="4078" spans="1:27" x14ac:dyDescent="0.2">
      <c r="B4078" s="14" t="s">
        <v>1080</v>
      </c>
      <c r="E4078" s="23"/>
      <c r="H4078" s="23"/>
      <c r="K4078" s="23"/>
    </row>
    <row r="4079" spans="1:27" x14ac:dyDescent="0.2">
      <c r="B4079" t="s">
        <v>2515</v>
      </c>
      <c r="C4079" t="s">
        <v>23</v>
      </c>
      <c r="D4079" t="s">
        <v>2516</v>
      </c>
      <c r="E4079" s="20">
        <v>1</v>
      </c>
      <c r="G4079" t="s">
        <v>1073</v>
      </c>
      <c r="H4079" s="21">
        <v>0.92</v>
      </c>
      <c r="I4079" t="s">
        <v>1074</v>
      </c>
      <c r="J4079" s="22">
        <f>ROUND(E4079* H4079,5)</f>
        <v>0.92</v>
      </c>
      <c r="K4079" s="23"/>
    </row>
    <row r="4080" spans="1:27" x14ac:dyDescent="0.2">
      <c r="B4080" t="s">
        <v>2513</v>
      </c>
      <c r="C4080" t="s">
        <v>23</v>
      </c>
      <c r="D4080" t="s">
        <v>2514</v>
      </c>
      <c r="E4080" s="20">
        <v>1</v>
      </c>
      <c r="G4080" t="s">
        <v>1073</v>
      </c>
      <c r="H4080" s="21">
        <v>0.28000000000000003</v>
      </c>
      <c r="I4080" t="s">
        <v>1074</v>
      </c>
      <c r="J4080" s="22">
        <f>ROUND(E4080* H4080,5)</f>
        <v>0.28000000000000003</v>
      </c>
      <c r="K4080" s="23"/>
    </row>
    <row r="4081" spans="1:27" x14ac:dyDescent="0.2">
      <c r="B4081" t="s">
        <v>2517</v>
      </c>
      <c r="C4081" t="s">
        <v>23</v>
      </c>
      <c r="D4081" t="s">
        <v>2518</v>
      </c>
      <c r="E4081" s="20">
        <v>1</v>
      </c>
      <c r="G4081" t="s">
        <v>1073</v>
      </c>
      <c r="H4081" s="21">
        <v>15.39</v>
      </c>
      <c r="I4081" t="s">
        <v>1074</v>
      </c>
      <c r="J4081" s="22">
        <f>ROUND(E4081* H4081,5)</f>
        <v>15.39</v>
      </c>
      <c r="K4081" s="23"/>
    </row>
    <row r="4082" spans="1:27" x14ac:dyDescent="0.2">
      <c r="D4082" s="24" t="s">
        <v>1090</v>
      </c>
      <c r="E4082" s="23"/>
      <c r="H4082" s="23"/>
      <c r="K4082" s="21">
        <f>SUM(J4079:J4081)</f>
        <v>16.59</v>
      </c>
    </row>
    <row r="4083" spans="1:27" x14ac:dyDescent="0.2">
      <c r="E4083" s="23"/>
      <c r="H4083" s="23"/>
      <c r="K4083" s="23"/>
    </row>
    <row r="4084" spans="1:27" x14ac:dyDescent="0.2">
      <c r="D4084" s="24" t="s">
        <v>1092</v>
      </c>
      <c r="E4084" s="23"/>
      <c r="H4084" s="23">
        <v>1.5</v>
      </c>
      <c r="I4084" t="s">
        <v>1093</v>
      </c>
      <c r="J4084">
        <f>ROUND(H4084/100*K4077,5)</f>
        <v>0.13764999999999999</v>
      </c>
      <c r="K4084" s="23"/>
    </row>
    <row r="4085" spans="1:27" x14ac:dyDescent="0.2">
      <c r="D4085" s="24" t="s">
        <v>1091</v>
      </c>
      <c r="E4085" s="23"/>
      <c r="H4085" s="23"/>
      <c r="K4085" s="25">
        <f>SUM(J4074:J4084)</f>
        <v>25.904209999999999</v>
      </c>
    </row>
    <row r="4086" spans="1:27" x14ac:dyDescent="0.2">
      <c r="D4086" s="24" t="s">
        <v>1142</v>
      </c>
      <c r="E4086" s="23"/>
      <c r="H4086" s="23">
        <v>8</v>
      </c>
      <c r="I4086" t="s">
        <v>1093</v>
      </c>
      <c r="K4086" s="21">
        <f>ROUND(H4086/100*K4085,5)</f>
        <v>2.0723400000000001</v>
      </c>
    </row>
    <row r="4087" spans="1:27" x14ac:dyDescent="0.2">
      <c r="D4087" s="24" t="s">
        <v>1094</v>
      </c>
      <c r="E4087" s="23"/>
      <c r="H4087" s="23"/>
      <c r="K4087" s="25">
        <f>SUM(K4085:K4086)</f>
        <v>27.97655</v>
      </c>
    </row>
    <row r="4089" spans="1:27" ht="45" customHeight="1" x14ac:dyDescent="0.2">
      <c r="A4089" s="17"/>
      <c r="B4089" s="17" t="s">
        <v>2519</v>
      </c>
      <c r="C4089" s="1" t="s">
        <v>23</v>
      </c>
      <c r="D4089" s="96" t="s">
        <v>2520</v>
      </c>
      <c r="E4089" s="97"/>
      <c r="F4089" s="97"/>
      <c r="G4089" s="1"/>
      <c r="H4089" s="18" t="s">
        <v>1066</v>
      </c>
      <c r="I4089" s="98">
        <v>1</v>
      </c>
      <c r="J4089" s="99"/>
      <c r="K4089" s="19">
        <f>ROUND(K4101,2)</f>
        <v>34.630000000000003</v>
      </c>
      <c r="L4089" s="2" t="s">
        <v>2521</v>
      </c>
      <c r="M4089" s="1"/>
      <c r="N4089" s="1"/>
      <c r="O4089" s="1"/>
      <c r="P4089" s="1"/>
      <c r="Q4089" s="1"/>
      <c r="R4089" s="1"/>
      <c r="S4089" s="1"/>
      <c r="T4089" s="1"/>
      <c r="U4089" s="1"/>
      <c r="V4089" s="1"/>
      <c r="W4089" s="1"/>
      <c r="X4089" s="1"/>
      <c r="Y4089" s="1"/>
      <c r="Z4089" s="1"/>
      <c r="AA4089" s="1"/>
    </row>
    <row r="4090" spans="1:27" x14ac:dyDescent="0.2">
      <c r="B4090" s="14" t="s">
        <v>1068</v>
      </c>
    </row>
    <row r="4091" spans="1:27" x14ac:dyDescent="0.2">
      <c r="B4091" t="s">
        <v>1184</v>
      </c>
      <c r="C4091" t="s">
        <v>1070</v>
      </c>
      <c r="D4091" t="s">
        <v>1185</v>
      </c>
      <c r="E4091" s="20">
        <v>0.3</v>
      </c>
      <c r="F4091" t="s">
        <v>1072</v>
      </c>
      <c r="G4091" t="s">
        <v>1073</v>
      </c>
      <c r="H4091" s="21">
        <v>30.41</v>
      </c>
      <c r="I4091" t="s">
        <v>1074</v>
      </c>
      <c r="J4091" s="22">
        <f>ROUND(E4091/I4089* H4091,5)</f>
        <v>9.1229999999999993</v>
      </c>
      <c r="K4091" s="23"/>
    </row>
    <row r="4092" spans="1:27" x14ac:dyDescent="0.2">
      <c r="B4092" t="s">
        <v>2050</v>
      </c>
      <c r="C4092" t="s">
        <v>1070</v>
      </c>
      <c r="D4092" t="s">
        <v>2051</v>
      </c>
      <c r="E4092" s="20">
        <v>6.6000000000000003E-2</v>
      </c>
      <c r="F4092" t="s">
        <v>1072</v>
      </c>
      <c r="G4092" t="s">
        <v>1073</v>
      </c>
      <c r="H4092" s="21">
        <v>26.08</v>
      </c>
      <c r="I4092" t="s">
        <v>1074</v>
      </c>
      <c r="J4092" s="22">
        <f>ROUND(E4092/I4089* H4092,5)</f>
        <v>1.7212799999999999</v>
      </c>
      <c r="K4092" s="23"/>
    </row>
    <row r="4093" spans="1:27" x14ac:dyDescent="0.2">
      <c r="D4093" s="24" t="s">
        <v>1075</v>
      </c>
      <c r="E4093" s="23"/>
      <c r="H4093" s="23"/>
      <c r="K4093" s="21">
        <f>SUM(J4091:J4092)</f>
        <v>10.844279999999999</v>
      </c>
    </row>
    <row r="4094" spans="1:27" x14ac:dyDescent="0.2">
      <c r="B4094" s="14" t="s">
        <v>1080</v>
      </c>
      <c r="E4094" s="23"/>
      <c r="H4094" s="23"/>
      <c r="K4094" s="23"/>
    </row>
    <row r="4095" spans="1:27" x14ac:dyDescent="0.2">
      <c r="B4095" t="s">
        <v>2522</v>
      </c>
      <c r="C4095" t="s">
        <v>23</v>
      </c>
      <c r="D4095" t="s">
        <v>2523</v>
      </c>
      <c r="E4095" s="20">
        <v>1</v>
      </c>
      <c r="G4095" t="s">
        <v>1073</v>
      </c>
      <c r="H4095" s="21">
        <v>21.06</v>
      </c>
      <c r="I4095" t="s">
        <v>1074</v>
      </c>
      <c r="J4095" s="22">
        <f>ROUND(E4095* H4095,5)</f>
        <v>21.06</v>
      </c>
      <c r="K4095" s="23"/>
    </row>
    <row r="4096" spans="1:27" x14ac:dyDescent="0.2">
      <c r="D4096" s="24" t="s">
        <v>1090</v>
      </c>
      <c r="E4096" s="23"/>
      <c r="H4096" s="23"/>
      <c r="K4096" s="21">
        <f>SUM(J4095:J4095)</f>
        <v>21.06</v>
      </c>
    </row>
    <row r="4097" spans="1:27" x14ac:dyDescent="0.2">
      <c r="E4097" s="23"/>
      <c r="H4097" s="23"/>
      <c r="K4097" s="23"/>
    </row>
    <row r="4098" spans="1:27" x14ac:dyDescent="0.2">
      <c r="D4098" s="24" t="s">
        <v>1092</v>
      </c>
      <c r="E4098" s="23"/>
      <c r="H4098" s="23">
        <v>1.5</v>
      </c>
      <c r="I4098" t="s">
        <v>1093</v>
      </c>
      <c r="J4098">
        <f>ROUND(H4098/100*K4093,5)</f>
        <v>0.16266</v>
      </c>
      <c r="K4098" s="23"/>
    </row>
    <row r="4099" spans="1:27" x14ac:dyDescent="0.2">
      <c r="D4099" s="24" t="s">
        <v>1091</v>
      </c>
      <c r="E4099" s="23"/>
      <c r="H4099" s="23"/>
      <c r="K4099" s="25">
        <f>SUM(J4090:J4098)</f>
        <v>32.066940000000002</v>
      </c>
    </row>
    <row r="4100" spans="1:27" x14ac:dyDescent="0.2">
      <c r="D4100" s="24" t="s">
        <v>1142</v>
      </c>
      <c r="E4100" s="23"/>
      <c r="H4100" s="23">
        <v>8</v>
      </c>
      <c r="I4100" t="s">
        <v>1093</v>
      </c>
      <c r="K4100" s="21">
        <f>ROUND(H4100/100*K4099,5)</f>
        <v>2.5653600000000001</v>
      </c>
    </row>
    <row r="4101" spans="1:27" x14ac:dyDescent="0.2">
      <c r="D4101" s="24" t="s">
        <v>1094</v>
      </c>
      <c r="E4101" s="23"/>
      <c r="H4101" s="23"/>
      <c r="K4101" s="25">
        <f>SUM(K4099:K4100)</f>
        <v>34.632300000000001</v>
      </c>
    </row>
    <row r="4103" spans="1:27" ht="45" customHeight="1" x14ac:dyDescent="0.2">
      <c r="A4103" s="17"/>
      <c r="B4103" s="17" t="s">
        <v>2524</v>
      </c>
      <c r="C4103" s="1" t="s">
        <v>23</v>
      </c>
      <c r="D4103" s="96" t="s">
        <v>2525</v>
      </c>
      <c r="E4103" s="97"/>
      <c r="F4103" s="97"/>
      <c r="G4103" s="1"/>
      <c r="H4103" s="18" t="s">
        <v>1066</v>
      </c>
      <c r="I4103" s="98">
        <v>1</v>
      </c>
      <c r="J4103" s="99"/>
      <c r="K4103" s="19">
        <f>ROUND(K4115,2)</f>
        <v>3.65</v>
      </c>
      <c r="L4103" s="2" t="s">
        <v>2526</v>
      </c>
      <c r="M4103" s="1"/>
      <c r="N4103" s="1"/>
      <c r="O4103" s="1"/>
      <c r="P4103" s="1"/>
      <c r="Q4103" s="1"/>
      <c r="R4103" s="1"/>
      <c r="S4103" s="1"/>
      <c r="T4103" s="1"/>
      <c r="U4103" s="1"/>
      <c r="V4103" s="1"/>
      <c r="W4103" s="1"/>
      <c r="X4103" s="1"/>
      <c r="Y4103" s="1"/>
      <c r="Z4103" s="1"/>
      <c r="AA4103" s="1"/>
    </row>
    <row r="4104" spans="1:27" x14ac:dyDescent="0.2">
      <c r="B4104" s="14" t="s">
        <v>1068</v>
      </c>
    </row>
    <row r="4105" spans="1:27" x14ac:dyDescent="0.2">
      <c r="B4105" t="s">
        <v>1184</v>
      </c>
      <c r="C4105" t="s">
        <v>1070</v>
      </c>
      <c r="D4105" t="s">
        <v>1185</v>
      </c>
      <c r="E4105" s="20">
        <v>0.02</v>
      </c>
      <c r="F4105" t="s">
        <v>1072</v>
      </c>
      <c r="G4105" t="s">
        <v>1073</v>
      </c>
      <c r="H4105" s="21">
        <v>30.41</v>
      </c>
      <c r="I4105" t="s">
        <v>1074</v>
      </c>
      <c r="J4105" s="22">
        <f>ROUND(E4105/I4103* H4105,5)</f>
        <v>0.60819999999999996</v>
      </c>
      <c r="K4105" s="23"/>
    </row>
    <row r="4106" spans="1:27" x14ac:dyDescent="0.2">
      <c r="B4106" t="s">
        <v>2050</v>
      </c>
      <c r="C4106" t="s">
        <v>1070</v>
      </c>
      <c r="D4106" t="s">
        <v>2051</v>
      </c>
      <c r="E4106" s="20">
        <v>0.02</v>
      </c>
      <c r="F4106" t="s">
        <v>1072</v>
      </c>
      <c r="G4106" t="s">
        <v>1073</v>
      </c>
      <c r="H4106" s="21">
        <v>26.08</v>
      </c>
      <c r="I4106" t="s">
        <v>1074</v>
      </c>
      <c r="J4106" s="22">
        <f>ROUND(E4106/I4103* H4106,5)</f>
        <v>0.52159999999999995</v>
      </c>
      <c r="K4106" s="23"/>
    </row>
    <row r="4107" spans="1:27" x14ac:dyDescent="0.2">
      <c r="D4107" s="24" t="s">
        <v>1075</v>
      </c>
      <c r="E4107" s="23"/>
      <c r="H4107" s="23"/>
      <c r="K4107" s="21">
        <f>SUM(J4105:J4106)</f>
        <v>1.1297999999999999</v>
      </c>
    </row>
    <row r="4108" spans="1:27" x14ac:dyDescent="0.2">
      <c r="B4108" s="14" t="s">
        <v>1080</v>
      </c>
      <c r="E4108" s="23"/>
      <c r="H4108" s="23"/>
      <c r="K4108" s="23"/>
    </row>
    <row r="4109" spans="1:27" x14ac:dyDescent="0.2">
      <c r="B4109" t="s">
        <v>2527</v>
      </c>
      <c r="C4109" t="s">
        <v>23</v>
      </c>
      <c r="D4109" t="s">
        <v>2528</v>
      </c>
      <c r="E4109" s="20">
        <v>1</v>
      </c>
      <c r="G4109" t="s">
        <v>1073</v>
      </c>
      <c r="H4109" s="21">
        <v>2.23</v>
      </c>
      <c r="I4109" t="s">
        <v>1074</v>
      </c>
      <c r="J4109" s="22">
        <f>ROUND(E4109* H4109,5)</f>
        <v>2.23</v>
      </c>
      <c r="K4109" s="23"/>
    </row>
    <row r="4110" spans="1:27" x14ac:dyDescent="0.2">
      <c r="D4110" s="24" t="s">
        <v>1090</v>
      </c>
      <c r="E4110" s="23"/>
      <c r="H4110" s="23"/>
      <c r="K4110" s="21">
        <f>SUM(J4109:J4109)</f>
        <v>2.23</v>
      </c>
    </row>
    <row r="4111" spans="1:27" x14ac:dyDescent="0.2">
      <c r="E4111" s="23"/>
      <c r="H4111" s="23"/>
      <c r="K4111" s="23"/>
    </row>
    <row r="4112" spans="1:27" x14ac:dyDescent="0.2">
      <c r="D4112" s="24" t="s">
        <v>1092</v>
      </c>
      <c r="E4112" s="23"/>
      <c r="H4112" s="23">
        <v>1.5</v>
      </c>
      <c r="I4112" t="s">
        <v>1093</v>
      </c>
      <c r="J4112">
        <f>ROUND(H4112/100*K4107,5)</f>
        <v>1.695E-2</v>
      </c>
      <c r="K4112" s="23"/>
    </row>
    <row r="4113" spans="1:27" x14ac:dyDescent="0.2">
      <c r="D4113" s="24" t="s">
        <v>1091</v>
      </c>
      <c r="E4113" s="23"/>
      <c r="H4113" s="23"/>
      <c r="K4113" s="25">
        <f>SUM(J4104:J4112)</f>
        <v>3.3767499999999999</v>
      </c>
    </row>
    <row r="4114" spans="1:27" x14ac:dyDescent="0.2">
      <c r="D4114" s="24" t="s">
        <v>1142</v>
      </c>
      <c r="E4114" s="23"/>
      <c r="H4114" s="23">
        <v>8</v>
      </c>
      <c r="I4114" t="s">
        <v>1093</v>
      </c>
      <c r="K4114" s="21">
        <f>ROUND(H4114/100*K4113,5)</f>
        <v>0.27013999999999999</v>
      </c>
    </row>
    <row r="4115" spans="1:27" x14ac:dyDescent="0.2">
      <c r="D4115" s="24" t="s">
        <v>1094</v>
      </c>
      <c r="E4115" s="23"/>
      <c r="H4115" s="23"/>
      <c r="K4115" s="25">
        <f>SUM(K4113:K4114)</f>
        <v>3.64689</v>
      </c>
    </row>
    <row r="4117" spans="1:27" ht="45" customHeight="1" x14ac:dyDescent="0.2">
      <c r="A4117" s="17" t="s">
        <v>2603</v>
      </c>
      <c r="B4117" s="17" t="s">
        <v>798</v>
      </c>
      <c r="C4117" s="1" t="s">
        <v>23</v>
      </c>
      <c r="D4117" s="96" t="s">
        <v>799</v>
      </c>
      <c r="E4117" s="97"/>
      <c r="F4117" s="97"/>
      <c r="G4117" s="1"/>
      <c r="H4117" s="18" t="s">
        <v>1066</v>
      </c>
      <c r="I4117" s="98">
        <v>1</v>
      </c>
      <c r="J4117" s="99"/>
      <c r="K4117" s="19">
        <f>ROUND(K4130,2)</f>
        <v>14.72</v>
      </c>
      <c r="L4117" s="2" t="s">
        <v>2530</v>
      </c>
      <c r="M4117" s="1"/>
      <c r="N4117" s="1"/>
      <c r="O4117" s="1"/>
      <c r="P4117" s="1"/>
      <c r="Q4117" s="1"/>
      <c r="R4117" s="1"/>
      <c r="S4117" s="1"/>
      <c r="T4117" s="1"/>
      <c r="U4117" s="1"/>
      <c r="V4117" s="1"/>
      <c r="W4117" s="1"/>
      <c r="X4117" s="1"/>
      <c r="Y4117" s="1"/>
      <c r="Z4117" s="1"/>
      <c r="AA4117" s="1"/>
    </row>
    <row r="4118" spans="1:27" x14ac:dyDescent="0.2">
      <c r="B4118" s="14" t="s">
        <v>1068</v>
      </c>
    </row>
    <row r="4119" spans="1:27" x14ac:dyDescent="0.2">
      <c r="B4119" t="s">
        <v>1184</v>
      </c>
      <c r="C4119" t="s">
        <v>1070</v>
      </c>
      <c r="D4119" t="s">
        <v>1185</v>
      </c>
      <c r="E4119" s="20">
        <v>0.15</v>
      </c>
      <c r="F4119" t="s">
        <v>1072</v>
      </c>
      <c r="G4119" t="s">
        <v>1073</v>
      </c>
      <c r="H4119" s="21">
        <v>30.41</v>
      </c>
      <c r="I4119" t="s">
        <v>1074</v>
      </c>
      <c r="J4119" s="22">
        <f>ROUND(E4119/I4117* H4119,5)</f>
        <v>4.5614999999999997</v>
      </c>
      <c r="K4119" s="23"/>
    </row>
    <row r="4120" spans="1:27" x14ac:dyDescent="0.2">
      <c r="B4120" t="s">
        <v>2050</v>
      </c>
      <c r="C4120" t="s">
        <v>1070</v>
      </c>
      <c r="D4120" t="s">
        <v>2051</v>
      </c>
      <c r="E4120" s="20">
        <v>0.183</v>
      </c>
      <c r="F4120" t="s">
        <v>1072</v>
      </c>
      <c r="G4120" t="s">
        <v>1073</v>
      </c>
      <c r="H4120" s="21">
        <v>26.08</v>
      </c>
      <c r="I4120" t="s">
        <v>1074</v>
      </c>
      <c r="J4120" s="22">
        <f>ROUND(E4120/I4117* H4120,5)</f>
        <v>4.77264</v>
      </c>
      <c r="K4120" s="23"/>
    </row>
    <row r="4121" spans="1:27" x14ac:dyDescent="0.2">
      <c r="D4121" s="24" t="s">
        <v>1075</v>
      </c>
      <c r="E4121" s="23"/>
      <c r="H4121" s="23"/>
      <c r="K4121" s="21">
        <f>SUM(J4119:J4120)</f>
        <v>9.3341399999999997</v>
      </c>
    </row>
    <row r="4122" spans="1:27" x14ac:dyDescent="0.2">
      <c r="B4122" s="14" t="s">
        <v>1080</v>
      </c>
      <c r="E4122" s="23"/>
      <c r="H4122" s="23"/>
      <c r="K4122" s="23"/>
    </row>
    <row r="4123" spans="1:27" x14ac:dyDescent="0.2">
      <c r="B4123" t="s">
        <v>2531</v>
      </c>
      <c r="C4123" t="s">
        <v>23</v>
      </c>
      <c r="D4123" t="s">
        <v>2532</v>
      </c>
      <c r="E4123" s="20">
        <v>1</v>
      </c>
      <c r="G4123" t="s">
        <v>1073</v>
      </c>
      <c r="H4123" s="21">
        <v>0.43</v>
      </c>
      <c r="I4123" t="s">
        <v>1074</v>
      </c>
      <c r="J4123" s="22">
        <f>ROUND(E4123* H4123,5)</f>
        <v>0.43</v>
      </c>
      <c r="K4123" s="23"/>
    </row>
    <row r="4124" spans="1:27" x14ac:dyDescent="0.2">
      <c r="B4124" t="s">
        <v>2533</v>
      </c>
      <c r="C4124" t="s">
        <v>23</v>
      </c>
      <c r="D4124" t="s">
        <v>2534</v>
      </c>
      <c r="E4124" s="20">
        <v>1</v>
      </c>
      <c r="G4124" t="s">
        <v>1073</v>
      </c>
      <c r="H4124" s="21">
        <v>3.73</v>
      </c>
      <c r="I4124" t="s">
        <v>1074</v>
      </c>
      <c r="J4124" s="22">
        <f>ROUND(E4124* H4124,5)</f>
        <v>3.73</v>
      </c>
      <c r="K4124" s="23"/>
    </row>
    <row r="4125" spans="1:27" x14ac:dyDescent="0.2">
      <c r="D4125" s="24" t="s">
        <v>1090</v>
      </c>
      <c r="E4125" s="23"/>
      <c r="H4125" s="23"/>
      <c r="K4125" s="21">
        <f>SUM(J4123:J4124)</f>
        <v>4.16</v>
      </c>
    </row>
    <row r="4126" spans="1:27" x14ac:dyDescent="0.2">
      <c r="E4126" s="23"/>
      <c r="H4126" s="23"/>
      <c r="K4126" s="23"/>
    </row>
    <row r="4127" spans="1:27" x14ac:dyDescent="0.2">
      <c r="D4127" s="24" t="s">
        <v>1092</v>
      </c>
      <c r="E4127" s="23"/>
      <c r="H4127" s="23">
        <v>1.5</v>
      </c>
      <c r="I4127" t="s">
        <v>1093</v>
      </c>
      <c r="J4127">
        <f>ROUND(H4127/100*K4121,5)</f>
        <v>0.14001</v>
      </c>
      <c r="K4127" s="23"/>
    </row>
    <row r="4128" spans="1:27" x14ac:dyDescent="0.2">
      <c r="D4128" s="24" t="s">
        <v>1091</v>
      </c>
      <c r="E4128" s="23"/>
      <c r="H4128" s="23"/>
      <c r="K4128" s="25">
        <f>SUM(J4118:J4127)</f>
        <v>13.63415</v>
      </c>
    </row>
    <row r="4129" spans="1:27" x14ac:dyDescent="0.2">
      <c r="D4129" s="24" t="s">
        <v>1142</v>
      </c>
      <c r="E4129" s="23"/>
      <c r="H4129" s="23">
        <v>8</v>
      </c>
      <c r="I4129" t="s">
        <v>1093</v>
      </c>
      <c r="K4129" s="21">
        <f>ROUND(H4129/100*K4128,5)</f>
        <v>1.09073</v>
      </c>
    </row>
    <row r="4130" spans="1:27" x14ac:dyDescent="0.2">
      <c r="D4130" s="24" t="s">
        <v>1094</v>
      </c>
      <c r="E4130" s="23"/>
      <c r="H4130" s="23"/>
      <c r="K4130" s="25">
        <f>SUM(K4128:K4129)</f>
        <v>14.724880000000001</v>
      </c>
    </row>
    <row r="4132" spans="1:27" ht="45" customHeight="1" x14ac:dyDescent="0.2">
      <c r="A4132" s="17" t="s">
        <v>2607</v>
      </c>
      <c r="B4132" s="17" t="s">
        <v>796</v>
      </c>
      <c r="C4132" s="1" t="s">
        <v>23</v>
      </c>
      <c r="D4132" s="96" t="s">
        <v>797</v>
      </c>
      <c r="E4132" s="97"/>
      <c r="F4132" s="97"/>
      <c r="G4132" s="1"/>
      <c r="H4132" s="18" t="s">
        <v>1066</v>
      </c>
      <c r="I4132" s="98">
        <v>1</v>
      </c>
      <c r="J4132" s="99"/>
      <c r="K4132" s="19">
        <f>ROUND(K4145,2)</f>
        <v>18.43</v>
      </c>
      <c r="L4132" s="2" t="s">
        <v>2536</v>
      </c>
      <c r="M4132" s="1"/>
      <c r="N4132" s="1"/>
      <c r="O4132" s="1"/>
      <c r="P4132" s="1"/>
      <c r="Q4132" s="1"/>
      <c r="R4132" s="1"/>
      <c r="S4132" s="1"/>
      <c r="T4132" s="1"/>
      <c r="U4132" s="1"/>
      <c r="V4132" s="1"/>
      <c r="W4132" s="1"/>
      <c r="X4132" s="1"/>
      <c r="Y4132" s="1"/>
      <c r="Z4132" s="1"/>
      <c r="AA4132" s="1"/>
    </row>
    <row r="4133" spans="1:27" x14ac:dyDescent="0.2">
      <c r="B4133" s="14" t="s">
        <v>1068</v>
      </c>
    </row>
    <row r="4134" spans="1:27" x14ac:dyDescent="0.2">
      <c r="B4134" t="s">
        <v>1184</v>
      </c>
      <c r="C4134" t="s">
        <v>1070</v>
      </c>
      <c r="D4134" t="s">
        <v>1185</v>
      </c>
      <c r="E4134" s="20">
        <v>0.15</v>
      </c>
      <c r="F4134" t="s">
        <v>1072</v>
      </c>
      <c r="G4134" t="s">
        <v>1073</v>
      </c>
      <c r="H4134" s="21">
        <v>30.41</v>
      </c>
      <c r="I4134" t="s">
        <v>1074</v>
      </c>
      <c r="J4134" s="22">
        <f>ROUND(E4134/I4132* H4134,5)</f>
        <v>4.5614999999999997</v>
      </c>
      <c r="K4134" s="23"/>
    </row>
    <row r="4135" spans="1:27" x14ac:dyDescent="0.2">
      <c r="B4135" t="s">
        <v>2050</v>
      </c>
      <c r="C4135" t="s">
        <v>1070</v>
      </c>
      <c r="D4135" t="s">
        <v>2051</v>
      </c>
      <c r="E4135" s="20">
        <v>0.183</v>
      </c>
      <c r="F4135" t="s">
        <v>1072</v>
      </c>
      <c r="G4135" t="s">
        <v>1073</v>
      </c>
      <c r="H4135" s="21">
        <v>26.08</v>
      </c>
      <c r="I4135" t="s">
        <v>1074</v>
      </c>
      <c r="J4135" s="22">
        <f>ROUND(E4135/I4132* H4135,5)</f>
        <v>4.77264</v>
      </c>
      <c r="K4135" s="23"/>
    </row>
    <row r="4136" spans="1:27" x14ac:dyDescent="0.2">
      <c r="D4136" s="24" t="s">
        <v>1075</v>
      </c>
      <c r="E4136" s="23"/>
      <c r="H4136" s="23"/>
      <c r="K4136" s="21">
        <f>SUM(J4134:J4135)</f>
        <v>9.3341399999999997</v>
      </c>
    </row>
    <row r="4137" spans="1:27" x14ac:dyDescent="0.2">
      <c r="B4137" s="14" t="s">
        <v>1080</v>
      </c>
      <c r="E4137" s="23"/>
      <c r="H4137" s="23"/>
      <c r="K4137" s="23"/>
    </row>
    <row r="4138" spans="1:27" x14ac:dyDescent="0.2">
      <c r="B4138" t="s">
        <v>2531</v>
      </c>
      <c r="C4138" t="s">
        <v>23</v>
      </c>
      <c r="D4138" t="s">
        <v>2532</v>
      </c>
      <c r="E4138" s="20">
        <v>1</v>
      </c>
      <c r="G4138" t="s">
        <v>1073</v>
      </c>
      <c r="H4138" s="21">
        <v>0.43</v>
      </c>
      <c r="I4138" t="s">
        <v>1074</v>
      </c>
      <c r="J4138" s="22">
        <f>ROUND(E4138* H4138,5)</f>
        <v>0.43</v>
      </c>
      <c r="K4138" s="23"/>
    </row>
    <row r="4139" spans="1:27" x14ac:dyDescent="0.2">
      <c r="B4139" t="s">
        <v>2537</v>
      </c>
      <c r="C4139" t="s">
        <v>23</v>
      </c>
      <c r="D4139" t="s">
        <v>2538</v>
      </c>
      <c r="E4139" s="20">
        <v>1</v>
      </c>
      <c r="G4139" t="s">
        <v>1073</v>
      </c>
      <c r="H4139" s="21">
        <v>7.16</v>
      </c>
      <c r="I4139" t="s">
        <v>1074</v>
      </c>
      <c r="J4139" s="22">
        <f>ROUND(E4139* H4139,5)</f>
        <v>7.16</v>
      </c>
      <c r="K4139" s="23"/>
    </row>
    <row r="4140" spans="1:27" x14ac:dyDescent="0.2">
      <c r="D4140" s="24" t="s">
        <v>1090</v>
      </c>
      <c r="E4140" s="23"/>
      <c r="H4140" s="23"/>
      <c r="K4140" s="21">
        <f>SUM(J4138:J4139)</f>
        <v>7.59</v>
      </c>
    </row>
    <row r="4141" spans="1:27" x14ac:dyDescent="0.2">
      <c r="E4141" s="23"/>
      <c r="H4141" s="23"/>
      <c r="K4141" s="23"/>
    </row>
    <row r="4142" spans="1:27" x14ac:dyDescent="0.2">
      <c r="D4142" s="24" t="s">
        <v>1092</v>
      </c>
      <c r="E4142" s="23"/>
      <c r="H4142" s="23">
        <v>1.5</v>
      </c>
      <c r="I4142" t="s">
        <v>1093</v>
      </c>
      <c r="J4142">
        <f>ROUND(H4142/100*K4136,5)</f>
        <v>0.14001</v>
      </c>
      <c r="K4142" s="23"/>
    </row>
    <row r="4143" spans="1:27" x14ac:dyDescent="0.2">
      <c r="D4143" s="24" t="s">
        <v>1091</v>
      </c>
      <c r="E4143" s="23"/>
      <c r="H4143" s="23"/>
      <c r="K4143" s="25">
        <f>SUM(J4133:J4142)</f>
        <v>17.064150000000001</v>
      </c>
    </row>
    <row r="4144" spans="1:27" x14ac:dyDescent="0.2">
      <c r="D4144" s="24" t="s">
        <v>1142</v>
      </c>
      <c r="E4144" s="23"/>
      <c r="H4144" s="23">
        <v>8</v>
      </c>
      <c r="I4144" t="s">
        <v>1093</v>
      </c>
      <c r="K4144" s="21">
        <f>ROUND(H4144/100*K4143,5)</f>
        <v>1.36513</v>
      </c>
    </row>
    <row r="4145" spans="1:27" x14ac:dyDescent="0.2">
      <c r="D4145" s="24" t="s">
        <v>1094</v>
      </c>
      <c r="E4145" s="23"/>
      <c r="H4145" s="23"/>
      <c r="K4145" s="25">
        <f>SUM(K4143:K4144)</f>
        <v>18.429280000000002</v>
      </c>
    </row>
    <row r="4147" spans="1:27" ht="45" customHeight="1" x14ac:dyDescent="0.2">
      <c r="A4147" s="17" t="s">
        <v>2610</v>
      </c>
      <c r="B4147" s="17" t="s">
        <v>808</v>
      </c>
      <c r="C4147" s="1" t="s">
        <v>23</v>
      </c>
      <c r="D4147" s="96" t="s">
        <v>809</v>
      </c>
      <c r="E4147" s="97"/>
      <c r="F4147" s="97"/>
      <c r="G4147" s="1"/>
      <c r="H4147" s="18" t="s">
        <v>1066</v>
      </c>
      <c r="I4147" s="98">
        <v>1</v>
      </c>
      <c r="J4147" s="99"/>
      <c r="K4147" s="19">
        <f>ROUND(K4159,2)</f>
        <v>451.6</v>
      </c>
      <c r="L4147" s="2" t="s">
        <v>2540</v>
      </c>
      <c r="M4147" s="1"/>
      <c r="N4147" s="1"/>
      <c r="O4147" s="1"/>
      <c r="P4147" s="1"/>
      <c r="Q4147" s="1"/>
      <c r="R4147" s="1"/>
      <c r="S4147" s="1"/>
      <c r="T4147" s="1"/>
      <c r="U4147" s="1"/>
      <c r="V4147" s="1"/>
      <c r="W4147" s="1"/>
      <c r="X4147" s="1"/>
      <c r="Y4147" s="1"/>
      <c r="Z4147" s="1"/>
      <c r="AA4147" s="1"/>
    </row>
    <row r="4148" spans="1:27" x14ac:dyDescent="0.2">
      <c r="B4148" s="14" t="s">
        <v>1068</v>
      </c>
    </row>
    <row r="4149" spans="1:27" x14ac:dyDescent="0.2">
      <c r="B4149" t="s">
        <v>2050</v>
      </c>
      <c r="C4149" t="s">
        <v>1070</v>
      </c>
      <c r="D4149" t="s">
        <v>2051</v>
      </c>
      <c r="E4149" s="20">
        <v>0.13300000000000001</v>
      </c>
      <c r="F4149" t="s">
        <v>1072</v>
      </c>
      <c r="G4149" t="s">
        <v>1073</v>
      </c>
      <c r="H4149" s="21">
        <v>26.08</v>
      </c>
      <c r="I4149" t="s">
        <v>1074</v>
      </c>
      <c r="J4149" s="22">
        <f>ROUND(E4149/I4147* H4149,5)</f>
        <v>3.4686400000000002</v>
      </c>
      <c r="K4149" s="23"/>
    </row>
    <row r="4150" spans="1:27" x14ac:dyDescent="0.2">
      <c r="B4150" t="s">
        <v>1184</v>
      </c>
      <c r="C4150" t="s">
        <v>1070</v>
      </c>
      <c r="D4150" t="s">
        <v>1185</v>
      </c>
      <c r="E4150" s="20">
        <v>0.15</v>
      </c>
      <c r="F4150" t="s">
        <v>1072</v>
      </c>
      <c r="G4150" t="s">
        <v>1073</v>
      </c>
      <c r="H4150" s="21">
        <v>30.41</v>
      </c>
      <c r="I4150" t="s">
        <v>1074</v>
      </c>
      <c r="J4150" s="22">
        <f>ROUND(E4150/I4147* H4150,5)</f>
        <v>4.5614999999999997</v>
      </c>
      <c r="K4150" s="23"/>
    </row>
    <row r="4151" spans="1:27" x14ac:dyDescent="0.2">
      <c r="D4151" s="24" t="s">
        <v>1075</v>
      </c>
      <c r="E4151" s="23"/>
      <c r="H4151" s="23"/>
      <c r="K4151" s="21">
        <f>SUM(J4149:J4150)</f>
        <v>8.0301399999999994</v>
      </c>
    </row>
    <row r="4152" spans="1:27" x14ac:dyDescent="0.2">
      <c r="B4152" s="14" t="s">
        <v>1080</v>
      </c>
      <c r="E4152" s="23"/>
      <c r="H4152" s="23"/>
      <c r="K4152" s="23"/>
    </row>
    <row r="4153" spans="1:27" ht="144" x14ac:dyDescent="0.2">
      <c r="B4153" t="s">
        <v>2541</v>
      </c>
      <c r="C4153" t="s">
        <v>23</v>
      </c>
      <c r="D4153" s="26" t="s">
        <v>2542</v>
      </c>
      <c r="E4153" s="20">
        <v>1</v>
      </c>
      <c r="G4153" t="s">
        <v>1073</v>
      </c>
      <c r="H4153" s="21">
        <v>410</v>
      </c>
      <c r="I4153" t="s">
        <v>1074</v>
      </c>
      <c r="J4153" s="22">
        <f>ROUND(E4153* H4153,5)</f>
        <v>410</v>
      </c>
      <c r="K4153" s="23"/>
    </row>
    <row r="4154" spans="1:27" x14ac:dyDescent="0.2">
      <c r="D4154" s="24" t="s">
        <v>1090</v>
      </c>
      <c r="E4154" s="23"/>
      <c r="H4154" s="23"/>
      <c r="K4154" s="21">
        <f>SUM(J4153:J4153)</f>
        <v>410</v>
      </c>
    </row>
    <row r="4155" spans="1:27" x14ac:dyDescent="0.2">
      <c r="E4155" s="23"/>
      <c r="H4155" s="23"/>
      <c r="K4155" s="23"/>
    </row>
    <row r="4156" spans="1:27" x14ac:dyDescent="0.2">
      <c r="D4156" s="24" t="s">
        <v>1092</v>
      </c>
      <c r="E4156" s="23"/>
      <c r="H4156" s="23">
        <v>1.5</v>
      </c>
      <c r="I4156" t="s">
        <v>1093</v>
      </c>
      <c r="J4156">
        <f>ROUND(H4156/100*K4151,5)</f>
        <v>0.12045</v>
      </c>
      <c r="K4156" s="23"/>
    </row>
    <row r="4157" spans="1:27" x14ac:dyDescent="0.2">
      <c r="D4157" s="24" t="s">
        <v>1091</v>
      </c>
      <c r="E4157" s="23"/>
      <c r="H4157" s="23"/>
      <c r="K4157" s="25">
        <f>SUM(J4148:J4156)</f>
        <v>418.15059000000002</v>
      </c>
    </row>
    <row r="4158" spans="1:27" x14ac:dyDescent="0.2">
      <c r="D4158" s="24" t="s">
        <v>1142</v>
      </c>
      <c r="E4158" s="23"/>
      <c r="H4158" s="23">
        <v>8</v>
      </c>
      <c r="I4158" t="s">
        <v>1093</v>
      </c>
      <c r="K4158" s="21">
        <f>ROUND(H4158/100*K4157,5)</f>
        <v>33.45205</v>
      </c>
    </row>
    <row r="4159" spans="1:27" x14ac:dyDescent="0.2">
      <c r="D4159" s="24" t="s">
        <v>1094</v>
      </c>
      <c r="E4159" s="23"/>
      <c r="H4159" s="23"/>
      <c r="K4159" s="25">
        <f>SUM(K4157:K4158)</f>
        <v>451.60264000000001</v>
      </c>
    </row>
    <row r="4161" spans="1:27" ht="45" customHeight="1" x14ac:dyDescent="0.2">
      <c r="A4161" s="17"/>
      <c r="B4161" s="17" t="s">
        <v>2543</v>
      </c>
      <c r="C4161" s="1" t="s">
        <v>23</v>
      </c>
      <c r="D4161" s="96" t="s">
        <v>2544</v>
      </c>
      <c r="E4161" s="97"/>
      <c r="F4161" s="97"/>
      <c r="G4161" s="1"/>
      <c r="H4161" s="18" t="s">
        <v>1066</v>
      </c>
      <c r="I4161" s="98">
        <v>1</v>
      </c>
      <c r="J4161" s="99"/>
      <c r="K4161" s="19">
        <f>ROUND(K4174,2)</f>
        <v>4.8499999999999996</v>
      </c>
      <c r="L4161" s="2" t="s">
        <v>2545</v>
      </c>
      <c r="M4161" s="1"/>
      <c r="N4161" s="1"/>
      <c r="O4161" s="1"/>
      <c r="P4161" s="1"/>
      <c r="Q4161" s="1"/>
      <c r="R4161" s="1"/>
      <c r="S4161" s="1"/>
      <c r="T4161" s="1"/>
      <c r="U4161" s="1"/>
      <c r="V4161" s="1"/>
      <c r="W4161" s="1"/>
      <c r="X4161" s="1"/>
      <c r="Y4161" s="1"/>
      <c r="Z4161" s="1"/>
      <c r="AA4161" s="1"/>
    </row>
    <row r="4162" spans="1:27" x14ac:dyDescent="0.2">
      <c r="B4162" s="14" t="s">
        <v>1068</v>
      </c>
    </row>
    <row r="4163" spans="1:27" x14ac:dyDescent="0.2">
      <c r="B4163" t="s">
        <v>1184</v>
      </c>
      <c r="C4163" t="s">
        <v>1070</v>
      </c>
      <c r="D4163" t="s">
        <v>1185</v>
      </c>
      <c r="E4163" s="20">
        <v>0.03</v>
      </c>
      <c r="F4163" t="s">
        <v>1072</v>
      </c>
      <c r="G4163" t="s">
        <v>1073</v>
      </c>
      <c r="H4163" s="21">
        <v>30.41</v>
      </c>
      <c r="I4163" t="s">
        <v>1074</v>
      </c>
      <c r="J4163" s="22">
        <f>ROUND(E4163/I4161* H4163,5)</f>
        <v>0.9123</v>
      </c>
      <c r="K4163" s="23"/>
    </row>
    <row r="4164" spans="1:27" x14ac:dyDescent="0.2">
      <c r="B4164" t="s">
        <v>2050</v>
      </c>
      <c r="C4164" t="s">
        <v>1070</v>
      </c>
      <c r="D4164" t="s">
        <v>2051</v>
      </c>
      <c r="E4164" s="20">
        <v>2.5000000000000001E-2</v>
      </c>
      <c r="F4164" t="s">
        <v>1072</v>
      </c>
      <c r="G4164" t="s">
        <v>1073</v>
      </c>
      <c r="H4164" s="21">
        <v>26.08</v>
      </c>
      <c r="I4164" t="s">
        <v>1074</v>
      </c>
      <c r="J4164" s="22">
        <f>ROUND(E4164/I4161* H4164,5)</f>
        <v>0.65200000000000002</v>
      </c>
      <c r="K4164" s="23"/>
    </row>
    <row r="4165" spans="1:27" x14ac:dyDescent="0.2">
      <c r="D4165" s="24" t="s">
        <v>1075</v>
      </c>
      <c r="E4165" s="23"/>
      <c r="H4165" s="23"/>
      <c r="K4165" s="21">
        <f>SUM(J4163:J4164)</f>
        <v>1.5643</v>
      </c>
    </row>
    <row r="4166" spans="1:27" x14ac:dyDescent="0.2">
      <c r="B4166" s="14" t="s">
        <v>1080</v>
      </c>
      <c r="E4166" s="23"/>
      <c r="H4166" s="23"/>
      <c r="K4166" s="23"/>
    </row>
    <row r="4167" spans="1:27" x14ac:dyDescent="0.2">
      <c r="B4167" t="s">
        <v>2548</v>
      </c>
      <c r="C4167" t="s">
        <v>23</v>
      </c>
      <c r="D4167" t="s">
        <v>2549</v>
      </c>
      <c r="E4167" s="20">
        <v>1</v>
      </c>
      <c r="G4167" t="s">
        <v>1073</v>
      </c>
      <c r="H4167" s="21">
        <v>1.89</v>
      </c>
      <c r="I4167" t="s">
        <v>1074</v>
      </c>
      <c r="J4167" s="22">
        <f>ROUND(E4167* H4167,5)</f>
        <v>1.89</v>
      </c>
      <c r="K4167" s="23"/>
    </row>
    <row r="4168" spans="1:27" x14ac:dyDescent="0.2">
      <c r="B4168" t="s">
        <v>2546</v>
      </c>
      <c r="C4168" t="s">
        <v>23</v>
      </c>
      <c r="D4168" t="s">
        <v>2547</v>
      </c>
      <c r="E4168" s="20">
        <v>1</v>
      </c>
      <c r="G4168" t="s">
        <v>1073</v>
      </c>
      <c r="H4168" s="21">
        <v>1.01</v>
      </c>
      <c r="I4168" t="s">
        <v>1074</v>
      </c>
      <c r="J4168" s="22">
        <f>ROUND(E4168* H4168,5)</f>
        <v>1.01</v>
      </c>
      <c r="K4168" s="23"/>
    </row>
    <row r="4169" spans="1:27" x14ac:dyDescent="0.2">
      <c r="D4169" s="24" t="s">
        <v>1090</v>
      </c>
      <c r="E4169" s="23"/>
      <c r="H4169" s="23"/>
      <c r="K4169" s="21">
        <f>SUM(J4167:J4168)</f>
        <v>2.9</v>
      </c>
    </row>
    <row r="4170" spans="1:27" x14ac:dyDescent="0.2">
      <c r="E4170" s="23"/>
      <c r="H4170" s="23"/>
      <c r="K4170" s="23"/>
    </row>
    <row r="4171" spans="1:27" x14ac:dyDescent="0.2">
      <c r="D4171" s="24" t="s">
        <v>1092</v>
      </c>
      <c r="E4171" s="23"/>
      <c r="H4171" s="23">
        <v>1.5</v>
      </c>
      <c r="I4171" t="s">
        <v>1093</v>
      </c>
      <c r="J4171">
        <f>ROUND(H4171/100*K4165,5)</f>
        <v>2.3460000000000002E-2</v>
      </c>
      <c r="K4171" s="23"/>
    </row>
    <row r="4172" spans="1:27" x14ac:dyDescent="0.2">
      <c r="D4172" s="24" t="s">
        <v>1091</v>
      </c>
      <c r="E4172" s="23"/>
      <c r="H4172" s="23"/>
      <c r="K4172" s="25">
        <f>SUM(J4162:J4171)</f>
        <v>4.4877599999999997</v>
      </c>
    </row>
    <row r="4173" spans="1:27" x14ac:dyDescent="0.2">
      <c r="D4173" s="24" t="s">
        <v>1142</v>
      </c>
      <c r="E4173" s="23"/>
      <c r="H4173" s="23">
        <v>8</v>
      </c>
      <c r="I4173" t="s">
        <v>1093</v>
      </c>
      <c r="K4173" s="21">
        <f>ROUND(H4173/100*K4172,5)</f>
        <v>0.35902000000000001</v>
      </c>
    </row>
    <row r="4174" spans="1:27" x14ac:dyDescent="0.2">
      <c r="D4174" s="24" t="s">
        <v>1094</v>
      </c>
      <c r="E4174" s="23"/>
      <c r="H4174" s="23"/>
      <c r="K4174" s="25">
        <f>SUM(K4172:K4173)</f>
        <v>4.8467799999999999</v>
      </c>
    </row>
    <row r="4176" spans="1:27" ht="45" customHeight="1" x14ac:dyDescent="0.2">
      <c r="A4176" s="17" t="s">
        <v>2613</v>
      </c>
      <c r="B4176" s="17" t="s">
        <v>794</v>
      </c>
      <c r="C4176" s="1" t="s">
        <v>23</v>
      </c>
      <c r="D4176" s="96" t="s">
        <v>795</v>
      </c>
      <c r="E4176" s="97"/>
      <c r="F4176" s="97"/>
      <c r="G4176" s="1"/>
      <c r="H4176" s="18" t="s">
        <v>1066</v>
      </c>
      <c r="I4176" s="98">
        <v>1</v>
      </c>
      <c r="J4176" s="99"/>
      <c r="K4176" s="19">
        <f>ROUND(K4189,2)</f>
        <v>14.9</v>
      </c>
      <c r="L4176" s="2" t="s">
        <v>2551</v>
      </c>
      <c r="M4176" s="1"/>
      <c r="N4176" s="1"/>
      <c r="O4176" s="1"/>
      <c r="P4176" s="1"/>
      <c r="Q4176" s="1"/>
      <c r="R4176" s="1"/>
      <c r="S4176" s="1"/>
      <c r="T4176" s="1"/>
      <c r="U4176" s="1"/>
      <c r="V4176" s="1"/>
      <c r="W4176" s="1"/>
      <c r="X4176" s="1"/>
      <c r="Y4176" s="1"/>
      <c r="Z4176" s="1"/>
      <c r="AA4176" s="1"/>
    </row>
    <row r="4177" spans="1:27" x14ac:dyDescent="0.2">
      <c r="B4177" s="14" t="s">
        <v>1068</v>
      </c>
    </row>
    <row r="4178" spans="1:27" x14ac:dyDescent="0.2">
      <c r="B4178" t="s">
        <v>1184</v>
      </c>
      <c r="C4178" t="s">
        <v>1070</v>
      </c>
      <c r="D4178" t="s">
        <v>1185</v>
      </c>
      <c r="E4178" s="20">
        <v>0.15</v>
      </c>
      <c r="F4178" t="s">
        <v>1072</v>
      </c>
      <c r="G4178" t="s">
        <v>1073</v>
      </c>
      <c r="H4178" s="21">
        <v>30.41</v>
      </c>
      <c r="I4178" t="s">
        <v>1074</v>
      </c>
      <c r="J4178" s="22">
        <f>ROUND(E4178/I4176* H4178,5)</f>
        <v>4.5614999999999997</v>
      </c>
      <c r="K4178" s="23"/>
    </row>
    <row r="4179" spans="1:27" x14ac:dyDescent="0.2">
      <c r="B4179" t="s">
        <v>2050</v>
      </c>
      <c r="C4179" t="s">
        <v>1070</v>
      </c>
      <c r="D4179" t="s">
        <v>2051</v>
      </c>
      <c r="E4179" s="20">
        <v>0.183</v>
      </c>
      <c r="F4179" t="s">
        <v>1072</v>
      </c>
      <c r="G4179" t="s">
        <v>1073</v>
      </c>
      <c r="H4179" s="21">
        <v>26.08</v>
      </c>
      <c r="I4179" t="s">
        <v>1074</v>
      </c>
      <c r="J4179" s="22">
        <f>ROUND(E4179/I4176* H4179,5)</f>
        <v>4.77264</v>
      </c>
      <c r="K4179" s="23"/>
    </row>
    <row r="4180" spans="1:27" x14ac:dyDescent="0.2">
      <c r="D4180" s="24" t="s">
        <v>1075</v>
      </c>
      <c r="E4180" s="23"/>
      <c r="H4180" s="23"/>
      <c r="K4180" s="21">
        <f>SUM(J4178:J4179)</f>
        <v>9.3341399999999997</v>
      </c>
    </row>
    <row r="4181" spans="1:27" x14ac:dyDescent="0.2">
      <c r="B4181" s="14" t="s">
        <v>1080</v>
      </c>
      <c r="E4181" s="23"/>
      <c r="H4181" s="23"/>
      <c r="K4181" s="23"/>
    </row>
    <row r="4182" spans="1:27" x14ac:dyDescent="0.2">
      <c r="B4182" t="s">
        <v>2554</v>
      </c>
      <c r="C4182" t="s">
        <v>23</v>
      </c>
      <c r="D4182" t="s">
        <v>2555</v>
      </c>
      <c r="E4182" s="20">
        <v>1</v>
      </c>
      <c r="G4182" t="s">
        <v>1073</v>
      </c>
      <c r="H4182" s="21">
        <v>0.47</v>
      </c>
      <c r="I4182" t="s">
        <v>1074</v>
      </c>
      <c r="J4182" s="22">
        <f>ROUND(E4182* H4182,5)</f>
        <v>0.47</v>
      </c>
      <c r="K4182" s="23"/>
    </row>
    <row r="4183" spans="1:27" x14ac:dyDescent="0.2">
      <c r="B4183" t="s">
        <v>2552</v>
      </c>
      <c r="C4183" t="s">
        <v>23</v>
      </c>
      <c r="D4183" t="s">
        <v>2553</v>
      </c>
      <c r="E4183" s="20">
        <v>1</v>
      </c>
      <c r="G4183" t="s">
        <v>1073</v>
      </c>
      <c r="H4183" s="21">
        <v>3.85</v>
      </c>
      <c r="I4183" t="s">
        <v>1074</v>
      </c>
      <c r="J4183" s="22">
        <f>ROUND(E4183* H4183,5)</f>
        <v>3.85</v>
      </c>
      <c r="K4183" s="23"/>
    </row>
    <row r="4184" spans="1:27" x14ac:dyDescent="0.2">
      <c r="D4184" s="24" t="s">
        <v>1090</v>
      </c>
      <c r="E4184" s="23"/>
      <c r="H4184" s="23"/>
      <c r="K4184" s="21">
        <f>SUM(J4182:J4183)</f>
        <v>4.32</v>
      </c>
    </row>
    <row r="4185" spans="1:27" x14ac:dyDescent="0.2">
      <c r="E4185" s="23"/>
      <c r="H4185" s="23"/>
      <c r="K4185" s="23"/>
    </row>
    <row r="4186" spans="1:27" x14ac:dyDescent="0.2">
      <c r="D4186" s="24" t="s">
        <v>1092</v>
      </c>
      <c r="E4186" s="23"/>
      <c r="H4186" s="23">
        <v>1.5</v>
      </c>
      <c r="I4186" t="s">
        <v>1093</v>
      </c>
      <c r="J4186">
        <f>ROUND(H4186/100*K4180,5)</f>
        <v>0.14001</v>
      </c>
      <c r="K4186" s="23"/>
    </row>
    <row r="4187" spans="1:27" x14ac:dyDescent="0.2">
      <c r="D4187" s="24" t="s">
        <v>1091</v>
      </c>
      <c r="E4187" s="23"/>
      <c r="H4187" s="23"/>
      <c r="K4187" s="25">
        <f>SUM(J4177:J4186)</f>
        <v>13.79415</v>
      </c>
    </row>
    <row r="4188" spans="1:27" x14ac:dyDescent="0.2">
      <c r="D4188" s="24" t="s">
        <v>1142</v>
      </c>
      <c r="E4188" s="23"/>
      <c r="H4188" s="23">
        <v>8</v>
      </c>
      <c r="I4188" t="s">
        <v>1093</v>
      </c>
      <c r="K4188" s="21">
        <f>ROUND(H4188/100*K4187,5)</f>
        <v>1.1035299999999999</v>
      </c>
    </row>
    <row r="4189" spans="1:27" x14ac:dyDescent="0.2">
      <c r="D4189" s="24" t="s">
        <v>1094</v>
      </c>
      <c r="E4189" s="23"/>
      <c r="H4189" s="23"/>
      <c r="K4189" s="25">
        <f>SUM(K4187:K4188)</f>
        <v>14.897679999999999</v>
      </c>
    </row>
    <row r="4191" spans="1:27" ht="45" customHeight="1" x14ac:dyDescent="0.2">
      <c r="A4191" s="17" t="s">
        <v>2616</v>
      </c>
      <c r="B4191" s="17" t="s">
        <v>806</v>
      </c>
      <c r="C4191" s="1" t="s">
        <v>23</v>
      </c>
      <c r="D4191" s="96" t="s">
        <v>807</v>
      </c>
      <c r="E4191" s="97"/>
      <c r="F4191" s="97"/>
      <c r="G4191" s="1"/>
      <c r="H4191" s="18" t="s">
        <v>1066</v>
      </c>
      <c r="I4191" s="98">
        <v>1</v>
      </c>
      <c r="J4191" s="99"/>
      <c r="K4191" s="19">
        <f>ROUND(K4204,2)</f>
        <v>19.89</v>
      </c>
      <c r="L4191" s="2" t="s">
        <v>2557</v>
      </c>
      <c r="M4191" s="1"/>
      <c r="N4191" s="1"/>
      <c r="O4191" s="1"/>
      <c r="P4191" s="1"/>
      <c r="Q4191" s="1"/>
      <c r="R4191" s="1"/>
      <c r="S4191" s="1"/>
      <c r="T4191" s="1"/>
      <c r="U4191" s="1"/>
      <c r="V4191" s="1"/>
      <c r="W4191" s="1"/>
      <c r="X4191" s="1"/>
      <c r="Y4191" s="1"/>
      <c r="Z4191" s="1"/>
      <c r="AA4191" s="1"/>
    </row>
    <row r="4192" spans="1:27" x14ac:dyDescent="0.2">
      <c r="B4192" s="14" t="s">
        <v>1068</v>
      </c>
    </row>
    <row r="4193" spans="1:27" x14ac:dyDescent="0.2">
      <c r="B4193" t="s">
        <v>1184</v>
      </c>
      <c r="C4193" t="s">
        <v>1070</v>
      </c>
      <c r="D4193" t="s">
        <v>1185</v>
      </c>
      <c r="E4193" s="20">
        <v>0.15</v>
      </c>
      <c r="F4193" t="s">
        <v>1072</v>
      </c>
      <c r="G4193" t="s">
        <v>1073</v>
      </c>
      <c r="H4193" s="21">
        <v>30.41</v>
      </c>
      <c r="I4193" t="s">
        <v>1074</v>
      </c>
      <c r="J4193" s="22">
        <f>ROUND(E4193/I4191* H4193,5)</f>
        <v>4.5614999999999997</v>
      </c>
      <c r="K4193" s="23"/>
    </row>
    <row r="4194" spans="1:27" x14ac:dyDescent="0.2">
      <c r="B4194" t="s">
        <v>2050</v>
      </c>
      <c r="C4194" t="s">
        <v>1070</v>
      </c>
      <c r="D4194" t="s">
        <v>2051</v>
      </c>
      <c r="E4194" s="20">
        <v>0.183</v>
      </c>
      <c r="F4194" t="s">
        <v>1072</v>
      </c>
      <c r="G4194" t="s">
        <v>1073</v>
      </c>
      <c r="H4194" s="21">
        <v>26.08</v>
      </c>
      <c r="I4194" t="s">
        <v>1074</v>
      </c>
      <c r="J4194" s="22">
        <f>ROUND(E4194/I4191* H4194,5)</f>
        <v>4.77264</v>
      </c>
      <c r="K4194" s="23"/>
    </row>
    <row r="4195" spans="1:27" x14ac:dyDescent="0.2">
      <c r="D4195" s="24" t="s">
        <v>1075</v>
      </c>
      <c r="E4195" s="23"/>
      <c r="H4195" s="23"/>
      <c r="K4195" s="21">
        <f>SUM(J4193:J4194)</f>
        <v>9.3341399999999997</v>
      </c>
    </row>
    <row r="4196" spans="1:27" x14ac:dyDescent="0.2">
      <c r="B4196" s="14" t="s">
        <v>1080</v>
      </c>
      <c r="E4196" s="23"/>
      <c r="H4196" s="23"/>
      <c r="K4196" s="23"/>
    </row>
    <row r="4197" spans="1:27" x14ac:dyDescent="0.2">
      <c r="B4197" t="s">
        <v>2554</v>
      </c>
      <c r="C4197" t="s">
        <v>23</v>
      </c>
      <c r="D4197" t="s">
        <v>2555</v>
      </c>
      <c r="E4197" s="20">
        <v>1</v>
      </c>
      <c r="G4197" t="s">
        <v>1073</v>
      </c>
      <c r="H4197" s="21">
        <v>0.47</v>
      </c>
      <c r="I4197" t="s">
        <v>1074</v>
      </c>
      <c r="J4197" s="22">
        <f>ROUND(E4197* H4197,5)</f>
        <v>0.47</v>
      </c>
      <c r="K4197" s="23"/>
    </row>
    <row r="4198" spans="1:27" x14ac:dyDescent="0.2">
      <c r="B4198" t="s">
        <v>2558</v>
      </c>
      <c r="C4198" t="s">
        <v>23</v>
      </c>
      <c r="D4198" t="s">
        <v>2559</v>
      </c>
      <c r="E4198" s="20">
        <v>1</v>
      </c>
      <c r="G4198" t="s">
        <v>1073</v>
      </c>
      <c r="H4198" s="21">
        <v>8.4700000000000006</v>
      </c>
      <c r="I4198" t="s">
        <v>1074</v>
      </c>
      <c r="J4198" s="22">
        <f>ROUND(E4198* H4198,5)</f>
        <v>8.4700000000000006</v>
      </c>
      <c r="K4198" s="23"/>
    </row>
    <row r="4199" spans="1:27" x14ac:dyDescent="0.2">
      <c r="D4199" s="24" t="s">
        <v>1090</v>
      </c>
      <c r="E4199" s="23"/>
      <c r="H4199" s="23"/>
      <c r="K4199" s="21">
        <f>SUM(J4197:J4198)</f>
        <v>8.9400000000000013</v>
      </c>
    </row>
    <row r="4200" spans="1:27" x14ac:dyDescent="0.2">
      <c r="E4200" s="23"/>
      <c r="H4200" s="23"/>
      <c r="K4200" s="23"/>
    </row>
    <row r="4201" spans="1:27" x14ac:dyDescent="0.2">
      <c r="D4201" s="24" t="s">
        <v>1092</v>
      </c>
      <c r="E4201" s="23"/>
      <c r="H4201" s="23">
        <v>1.5</v>
      </c>
      <c r="I4201" t="s">
        <v>1093</v>
      </c>
      <c r="J4201">
        <f>ROUND(H4201/100*K4195,5)</f>
        <v>0.14001</v>
      </c>
      <c r="K4201" s="23"/>
    </row>
    <row r="4202" spans="1:27" x14ac:dyDescent="0.2">
      <c r="D4202" s="24" t="s">
        <v>1091</v>
      </c>
      <c r="E4202" s="23"/>
      <c r="H4202" s="23"/>
      <c r="K4202" s="25">
        <f>SUM(J4192:J4201)</f>
        <v>18.414150000000003</v>
      </c>
    </row>
    <row r="4203" spans="1:27" x14ac:dyDescent="0.2">
      <c r="D4203" s="24" t="s">
        <v>1142</v>
      </c>
      <c r="E4203" s="23"/>
      <c r="H4203" s="23">
        <v>8</v>
      </c>
      <c r="I4203" t="s">
        <v>1093</v>
      </c>
      <c r="K4203" s="21">
        <f>ROUND(H4203/100*K4202,5)</f>
        <v>1.4731300000000001</v>
      </c>
    </row>
    <row r="4204" spans="1:27" x14ac:dyDescent="0.2">
      <c r="D4204" s="24" t="s">
        <v>1094</v>
      </c>
      <c r="E4204" s="23"/>
      <c r="H4204" s="23"/>
      <c r="K4204" s="25">
        <f>SUM(K4202:K4203)</f>
        <v>19.887280000000004</v>
      </c>
    </row>
    <row r="4206" spans="1:27" ht="45" customHeight="1" x14ac:dyDescent="0.2">
      <c r="A4206" s="17"/>
      <c r="B4206" s="17" t="s">
        <v>2560</v>
      </c>
      <c r="C4206" s="1" t="s">
        <v>23</v>
      </c>
      <c r="D4206" s="96" t="s">
        <v>2561</v>
      </c>
      <c r="E4206" s="97"/>
      <c r="F4206" s="97"/>
      <c r="G4206" s="1"/>
      <c r="H4206" s="18" t="s">
        <v>1066</v>
      </c>
      <c r="I4206" s="98">
        <v>1</v>
      </c>
      <c r="J4206" s="99"/>
      <c r="K4206" s="19">
        <f>ROUND(K4218,2)</f>
        <v>13.13</v>
      </c>
      <c r="L4206" s="2" t="s">
        <v>2562</v>
      </c>
      <c r="M4206" s="1"/>
      <c r="N4206" s="1"/>
      <c r="O4206" s="1"/>
      <c r="P4206" s="1"/>
      <c r="Q4206" s="1"/>
      <c r="R4206" s="1"/>
      <c r="S4206" s="1"/>
      <c r="T4206" s="1"/>
      <c r="U4206" s="1"/>
      <c r="V4206" s="1"/>
      <c r="W4206" s="1"/>
      <c r="X4206" s="1"/>
      <c r="Y4206" s="1"/>
      <c r="Z4206" s="1"/>
      <c r="AA4206" s="1"/>
    </row>
    <row r="4207" spans="1:27" x14ac:dyDescent="0.2">
      <c r="B4207" s="14" t="s">
        <v>1068</v>
      </c>
    </row>
    <row r="4208" spans="1:27" x14ac:dyDescent="0.2">
      <c r="B4208" t="s">
        <v>1184</v>
      </c>
      <c r="C4208" t="s">
        <v>1070</v>
      </c>
      <c r="D4208" t="s">
        <v>1185</v>
      </c>
      <c r="E4208" s="20">
        <v>0.15</v>
      </c>
      <c r="F4208" t="s">
        <v>1072</v>
      </c>
      <c r="G4208" t="s">
        <v>1073</v>
      </c>
      <c r="H4208" s="21">
        <v>30.41</v>
      </c>
      <c r="I4208" t="s">
        <v>1074</v>
      </c>
      <c r="J4208" s="22">
        <f>ROUND(E4208/I4206* H4208,5)</f>
        <v>4.5614999999999997</v>
      </c>
      <c r="K4208" s="23"/>
    </row>
    <row r="4209" spans="1:27" x14ac:dyDescent="0.2">
      <c r="B4209" t="s">
        <v>2050</v>
      </c>
      <c r="C4209" t="s">
        <v>1070</v>
      </c>
      <c r="D4209" t="s">
        <v>2051</v>
      </c>
      <c r="E4209" s="20">
        <v>0.13300000000000001</v>
      </c>
      <c r="F4209" t="s">
        <v>1072</v>
      </c>
      <c r="G4209" t="s">
        <v>1073</v>
      </c>
      <c r="H4209" s="21">
        <v>26.08</v>
      </c>
      <c r="I4209" t="s">
        <v>1074</v>
      </c>
      <c r="J4209" s="22">
        <f>ROUND(E4209/I4206* H4209,5)</f>
        <v>3.4686400000000002</v>
      </c>
      <c r="K4209" s="23"/>
    </row>
    <row r="4210" spans="1:27" x14ac:dyDescent="0.2">
      <c r="D4210" s="24" t="s">
        <v>1075</v>
      </c>
      <c r="E4210" s="23"/>
      <c r="H4210" s="23"/>
      <c r="K4210" s="21">
        <f>SUM(J4208:J4209)</f>
        <v>8.0301399999999994</v>
      </c>
    </row>
    <row r="4211" spans="1:27" x14ac:dyDescent="0.2">
      <c r="B4211" s="14" t="s">
        <v>1080</v>
      </c>
      <c r="E4211" s="23"/>
      <c r="H4211" s="23"/>
      <c r="K4211" s="23"/>
    </row>
    <row r="4212" spans="1:27" x14ac:dyDescent="0.2">
      <c r="B4212" t="s">
        <v>2563</v>
      </c>
      <c r="C4212" t="s">
        <v>23</v>
      </c>
      <c r="D4212" t="s">
        <v>2564</v>
      </c>
      <c r="E4212" s="20">
        <v>1</v>
      </c>
      <c r="G4212" t="s">
        <v>1073</v>
      </c>
      <c r="H4212" s="21">
        <v>4.01</v>
      </c>
      <c r="I4212" t="s">
        <v>1074</v>
      </c>
      <c r="J4212" s="22">
        <f>ROUND(E4212* H4212,5)</f>
        <v>4.01</v>
      </c>
      <c r="K4212" s="23"/>
    </row>
    <row r="4213" spans="1:27" x14ac:dyDescent="0.2">
      <c r="D4213" s="24" t="s">
        <v>1090</v>
      </c>
      <c r="E4213" s="23"/>
      <c r="H4213" s="23"/>
      <c r="K4213" s="21">
        <f>SUM(J4212:J4212)</f>
        <v>4.01</v>
      </c>
    </row>
    <row r="4214" spans="1:27" x14ac:dyDescent="0.2">
      <c r="E4214" s="23"/>
      <c r="H4214" s="23"/>
      <c r="K4214" s="23"/>
    </row>
    <row r="4215" spans="1:27" x14ac:dyDescent="0.2">
      <c r="D4215" s="24" t="s">
        <v>1092</v>
      </c>
      <c r="E4215" s="23"/>
      <c r="H4215" s="23">
        <v>1.5</v>
      </c>
      <c r="I4215" t="s">
        <v>1093</v>
      </c>
      <c r="J4215">
        <f>ROUND(H4215/100*K4210,5)</f>
        <v>0.12045</v>
      </c>
      <c r="K4215" s="23"/>
    </row>
    <row r="4216" spans="1:27" x14ac:dyDescent="0.2">
      <c r="D4216" s="24" t="s">
        <v>1091</v>
      </c>
      <c r="E4216" s="23"/>
      <c r="H4216" s="23"/>
      <c r="K4216" s="25">
        <f>SUM(J4207:J4215)</f>
        <v>12.160589999999999</v>
      </c>
    </row>
    <row r="4217" spans="1:27" x14ac:dyDescent="0.2">
      <c r="D4217" s="24" t="s">
        <v>1142</v>
      </c>
      <c r="E4217" s="23"/>
      <c r="H4217" s="23">
        <v>8</v>
      </c>
      <c r="I4217" t="s">
        <v>1093</v>
      </c>
      <c r="K4217" s="21">
        <f>ROUND(H4217/100*K4216,5)</f>
        <v>0.97284999999999999</v>
      </c>
    </row>
    <row r="4218" spans="1:27" x14ac:dyDescent="0.2">
      <c r="D4218" s="24" t="s">
        <v>1094</v>
      </c>
      <c r="E4218" s="23"/>
      <c r="H4218" s="23"/>
      <c r="K4218" s="25">
        <f>SUM(K4216:K4217)</f>
        <v>13.133439999999998</v>
      </c>
    </row>
    <row r="4220" spans="1:27" ht="45" customHeight="1" x14ac:dyDescent="0.2">
      <c r="A4220" s="17"/>
      <c r="B4220" s="17" t="s">
        <v>2565</v>
      </c>
      <c r="C4220" s="1" t="s">
        <v>23</v>
      </c>
      <c r="D4220" s="96" t="s">
        <v>2566</v>
      </c>
      <c r="E4220" s="97"/>
      <c r="F4220" s="97"/>
      <c r="G4220" s="1"/>
      <c r="H4220" s="18" t="s">
        <v>1066</v>
      </c>
      <c r="I4220" s="98">
        <v>1</v>
      </c>
      <c r="J4220" s="99"/>
      <c r="K4220" s="19">
        <f>ROUND(K4232,2)</f>
        <v>12.87</v>
      </c>
      <c r="L4220" s="2" t="s">
        <v>2567</v>
      </c>
      <c r="M4220" s="1"/>
      <c r="N4220" s="1"/>
      <c r="O4220" s="1"/>
      <c r="P4220" s="1"/>
      <c r="Q4220" s="1"/>
      <c r="R4220" s="1"/>
      <c r="S4220" s="1"/>
      <c r="T4220" s="1"/>
      <c r="U4220" s="1"/>
      <c r="V4220" s="1"/>
      <c r="W4220" s="1"/>
      <c r="X4220" s="1"/>
      <c r="Y4220" s="1"/>
      <c r="Z4220" s="1"/>
      <c r="AA4220" s="1"/>
    </row>
    <row r="4221" spans="1:27" x14ac:dyDescent="0.2">
      <c r="B4221" s="14" t="s">
        <v>1068</v>
      </c>
    </row>
    <row r="4222" spans="1:27" x14ac:dyDescent="0.2">
      <c r="B4222" t="s">
        <v>1184</v>
      </c>
      <c r="C4222" t="s">
        <v>1070</v>
      </c>
      <c r="D4222" t="s">
        <v>1185</v>
      </c>
      <c r="E4222" s="20">
        <v>0.15</v>
      </c>
      <c r="F4222" t="s">
        <v>1072</v>
      </c>
      <c r="G4222" t="s">
        <v>1073</v>
      </c>
      <c r="H4222" s="21">
        <v>30.41</v>
      </c>
      <c r="I4222" t="s">
        <v>1074</v>
      </c>
      <c r="J4222" s="22">
        <f>ROUND(E4222/I4220* H4222,5)</f>
        <v>4.5614999999999997</v>
      </c>
      <c r="K4222" s="23"/>
    </row>
    <row r="4223" spans="1:27" x14ac:dyDescent="0.2">
      <c r="B4223" t="s">
        <v>2050</v>
      </c>
      <c r="C4223" t="s">
        <v>1070</v>
      </c>
      <c r="D4223" t="s">
        <v>2051</v>
      </c>
      <c r="E4223" s="20">
        <v>0.13300000000000001</v>
      </c>
      <c r="F4223" t="s">
        <v>1072</v>
      </c>
      <c r="G4223" t="s">
        <v>1073</v>
      </c>
      <c r="H4223" s="21">
        <v>26.08</v>
      </c>
      <c r="I4223" t="s">
        <v>1074</v>
      </c>
      <c r="J4223" s="22">
        <f>ROUND(E4223/I4220* H4223,5)</f>
        <v>3.4686400000000002</v>
      </c>
      <c r="K4223" s="23"/>
    </row>
    <row r="4224" spans="1:27" x14ac:dyDescent="0.2">
      <c r="D4224" s="24" t="s">
        <v>1075</v>
      </c>
      <c r="E4224" s="23"/>
      <c r="H4224" s="23"/>
      <c r="K4224" s="21">
        <f>SUM(J4222:J4223)</f>
        <v>8.0301399999999994</v>
      </c>
    </row>
    <row r="4225" spans="1:27" x14ac:dyDescent="0.2">
      <c r="B4225" s="14" t="s">
        <v>1080</v>
      </c>
      <c r="E4225" s="23"/>
      <c r="H4225" s="23"/>
      <c r="K4225" s="23"/>
    </row>
    <row r="4226" spans="1:27" x14ac:dyDescent="0.2">
      <c r="B4226" t="s">
        <v>2568</v>
      </c>
      <c r="C4226" t="s">
        <v>23</v>
      </c>
      <c r="D4226" t="s">
        <v>2569</v>
      </c>
      <c r="E4226" s="20">
        <v>1</v>
      </c>
      <c r="G4226" t="s">
        <v>1073</v>
      </c>
      <c r="H4226" s="21">
        <v>3.77</v>
      </c>
      <c r="I4226" t="s">
        <v>1074</v>
      </c>
      <c r="J4226" s="22">
        <f>ROUND(E4226* H4226,5)</f>
        <v>3.77</v>
      </c>
      <c r="K4226" s="23"/>
    </row>
    <row r="4227" spans="1:27" x14ac:dyDescent="0.2">
      <c r="D4227" s="24" t="s">
        <v>1090</v>
      </c>
      <c r="E4227" s="23"/>
      <c r="H4227" s="23"/>
      <c r="K4227" s="21">
        <f>SUM(J4226:J4226)</f>
        <v>3.77</v>
      </c>
    </row>
    <row r="4228" spans="1:27" x14ac:dyDescent="0.2">
      <c r="E4228" s="23"/>
      <c r="H4228" s="23"/>
      <c r="K4228" s="23"/>
    </row>
    <row r="4229" spans="1:27" x14ac:dyDescent="0.2">
      <c r="D4229" s="24" t="s">
        <v>1092</v>
      </c>
      <c r="E4229" s="23"/>
      <c r="H4229" s="23">
        <v>1.5</v>
      </c>
      <c r="I4229" t="s">
        <v>1093</v>
      </c>
      <c r="J4229">
        <f>ROUND(H4229/100*K4224,5)</f>
        <v>0.12045</v>
      </c>
      <c r="K4229" s="23"/>
    </row>
    <row r="4230" spans="1:27" x14ac:dyDescent="0.2">
      <c r="D4230" s="24" t="s">
        <v>1091</v>
      </c>
      <c r="E4230" s="23"/>
      <c r="H4230" s="23"/>
      <c r="K4230" s="25">
        <f>SUM(J4221:J4229)</f>
        <v>11.920589999999999</v>
      </c>
    </row>
    <row r="4231" spans="1:27" x14ac:dyDescent="0.2">
      <c r="D4231" s="24" t="s">
        <v>1142</v>
      </c>
      <c r="E4231" s="23"/>
      <c r="H4231" s="23">
        <v>8</v>
      </c>
      <c r="I4231" t="s">
        <v>1093</v>
      </c>
      <c r="K4231" s="21">
        <f>ROUND(H4231/100*K4230,5)</f>
        <v>0.95365</v>
      </c>
    </row>
    <row r="4232" spans="1:27" x14ac:dyDescent="0.2">
      <c r="D4232" s="24" t="s">
        <v>1094</v>
      </c>
      <c r="E4232" s="23"/>
      <c r="H4232" s="23"/>
      <c r="K4232" s="25">
        <f>SUM(K4230:K4231)</f>
        <v>12.874239999999999</v>
      </c>
    </row>
    <row r="4234" spans="1:27" ht="45" customHeight="1" x14ac:dyDescent="0.2">
      <c r="A4234" s="17"/>
      <c r="B4234" s="17" t="s">
        <v>2570</v>
      </c>
      <c r="C4234" s="1" t="s">
        <v>23</v>
      </c>
      <c r="D4234" s="96" t="s">
        <v>2571</v>
      </c>
      <c r="E4234" s="97"/>
      <c r="F4234" s="97"/>
      <c r="G4234" s="1"/>
      <c r="H4234" s="18" t="s">
        <v>1066</v>
      </c>
      <c r="I4234" s="98">
        <v>1</v>
      </c>
      <c r="J4234" s="99"/>
      <c r="K4234" s="19">
        <f>ROUND(K4246,2)</f>
        <v>11.84</v>
      </c>
      <c r="L4234" s="2" t="s">
        <v>2572</v>
      </c>
      <c r="M4234" s="1"/>
      <c r="N4234" s="1"/>
      <c r="O4234" s="1"/>
      <c r="P4234" s="1"/>
      <c r="Q4234" s="1"/>
      <c r="R4234" s="1"/>
      <c r="S4234" s="1"/>
      <c r="T4234" s="1"/>
      <c r="U4234" s="1"/>
      <c r="V4234" s="1"/>
      <c r="W4234" s="1"/>
      <c r="X4234" s="1"/>
      <c r="Y4234" s="1"/>
      <c r="Z4234" s="1"/>
      <c r="AA4234" s="1"/>
    </row>
    <row r="4235" spans="1:27" x14ac:dyDescent="0.2">
      <c r="B4235" s="14" t="s">
        <v>1068</v>
      </c>
    </row>
    <row r="4236" spans="1:27" x14ac:dyDescent="0.2">
      <c r="B4236" t="s">
        <v>1184</v>
      </c>
      <c r="C4236" t="s">
        <v>1070</v>
      </c>
      <c r="D4236" t="s">
        <v>1185</v>
      </c>
      <c r="E4236" s="20">
        <v>0.15</v>
      </c>
      <c r="F4236" t="s">
        <v>1072</v>
      </c>
      <c r="G4236" t="s">
        <v>1073</v>
      </c>
      <c r="H4236" s="21">
        <v>30.41</v>
      </c>
      <c r="I4236" t="s">
        <v>1074</v>
      </c>
      <c r="J4236" s="22">
        <f>ROUND(E4236/I4234* H4236,5)</f>
        <v>4.5614999999999997</v>
      </c>
      <c r="K4236" s="23"/>
    </row>
    <row r="4237" spans="1:27" x14ac:dyDescent="0.2">
      <c r="B4237" t="s">
        <v>2050</v>
      </c>
      <c r="C4237" t="s">
        <v>1070</v>
      </c>
      <c r="D4237" t="s">
        <v>2051</v>
      </c>
      <c r="E4237" s="20">
        <v>0.13300000000000001</v>
      </c>
      <c r="F4237" t="s">
        <v>1072</v>
      </c>
      <c r="G4237" t="s">
        <v>1073</v>
      </c>
      <c r="H4237" s="21">
        <v>26.08</v>
      </c>
      <c r="I4237" t="s">
        <v>1074</v>
      </c>
      <c r="J4237" s="22">
        <f>ROUND(E4237/I4234* H4237,5)</f>
        <v>3.4686400000000002</v>
      </c>
      <c r="K4237" s="23"/>
    </row>
    <row r="4238" spans="1:27" x14ac:dyDescent="0.2">
      <c r="D4238" s="24" t="s">
        <v>1075</v>
      </c>
      <c r="E4238" s="23"/>
      <c r="H4238" s="23"/>
      <c r="K4238" s="21">
        <f>SUM(J4236:J4237)</f>
        <v>8.0301399999999994</v>
      </c>
    </row>
    <row r="4239" spans="1:27" x14ac:dyDescent="0.2">
      <c r="B4239" s="14" t="s">
        <v>1080</v>
      </c>
      <c r="E4239" s="23"/>
      <c r="H4239" s="23"/>
      <c r="K4239" s="23"/>
    </row>
    <row r="4240" spans="1:27" x14ac:dyDescent="0.2">
      <c r="B4240" t="s">
        <v>2573</v>
      </c>
      <c r="C4240" t="s">
        <v>23</v>
      </c>
      <c r="D4240" t="s">
        <v>2574</v>
      </c>
      <c r="E4240" s="20">
        <v>1</v>
      </c>
      <c r="G4240" t="s">
        <v>1073</v>
      </c>
      <c r="H4240" s="21">
        <v>2.81</v>
      </c>
      <c r="I4240" t="s">
        <v>1074</v>
      </c>
      <c r="J4240" s="22">
        <f>ROUND(E4240* H4240,5)</f>
        <v>2.81</v>
      </c>
      <c r="K4240" s="23"/>
    </row>
    <row r="4241" spans="1:27" x14ac:dyDescent="0.2">
      <c r="D4241" s="24" t="s">
        <v>1090</v>
      </c>
      <c r="E4241" s="23"/>
      <c r="H4241" s="23"/>
      <c r="K4241" s="21">
        <f>SUM(J4240:J4240)</f>
        <v>2.81</v>
      </c>
    </row>
    <row r="4242" spans="1:27" x14ac:dyDescent="0.2">
      <c r="E4242" s="23"/>
      <c r="H4242" s="23"/>
      <c r="K4242" s="23"/>
    </row>
    <row r="4243" spans="1:27" x14ac:dyDescent="0.2">
      <c r="D4243" s="24" t="s">
        <v>1092</v>
      </c>
      <c r="E4243" s="23"/>
      <c r="H4243" s="23">
        <v>1.5</v>
      </c>
      <c r="I4243" t="s">
        <v>1093</v>
      </c>
      <c r="J4243">
        <f>ROUND(H4243/100*K4238,5)</f>
        <v>0.12045</v>
      </c>
      <c r="K4243" s="23"/>
    </row>
    <row r="4244" spans="1:27" x14ac:dyDescent="0.2">
      <c r="D4244" s="24" t="s">
        <v>1091</v>
      </c>
      <c r="E4244" s="23"/>
      <c r="H4244" s="23"/>
      <c r="K4244" s="25">
        <f>SUM(J4235:J4243)</f>
        <v>10.96059</v>
      </c>
    </row>
    <row r="4245" spans="1:27" x14ac:dyDescent="0.2">
      <c r="D4245" s="24" t="s">
        <v>1142</v>
      </c>
      <c r="E4245" s="23"/>
      <c r="H4245" s="23">
        <v>8</v>
      </c>
      <c r="I4245" t="s">
        <v>1093</v>
      </c>
      <c r="K4245" s="21">
        <f>ROUND(H4245/100*K4244,5)</f>
        <v>0.87685000000000002</v>
      </c>
    </row>
    <row r="4246" spans="1:27" x14ac:dyDescent="0.2">
      <c r="D4246" s="24" t="s">
        <v>1094</v>
      </c>
      <c r="E4246" s="23"/>
      <c r="H4246" s="23"/>
      <c r="K4246" s="25">
        <f>SUM(K4244:K4245)</f>
        <v>11.837439999999999</v>
      </c>
    </row>
    <row r="4248" spans="1:27" ht="45" customHeight="1" x14ac:dyDescent="0.2">
      <c r="A4248" s="17" t="s">
        <v>2623</v>
      </c>
      <c r="B4248" s="17" t="s">
        <v>800</v>
      </c>
      <c r="C4248" s="1" t="s">
        <v>23</v>
      </c>
      <c r="D4248" s="96" t="s">
        <v>801</v>
      </c>
      <c r="E4248" s="97"/>
      <c r="F4248" s="97"/>
      <c r="G4248" s="1"/>
      <c r="H4248" s="18" t="s">
        <v>1066</v>
      </c>
      <c r="I4248" s="98">
        <v>1</v>
      </c>
      <c r="J4248" s="99"/>
      <c r="K4248" s="19">
        <f>ROUND(K4260,2)</f>
        <v>82.74</v>
      </c>
      <c r="L4248" s="2" t="s">
        <v>2576</v>
      </c>
      <c r="M4248" s="1"/>
      <c r="N4248" s="1"/>
      <c r="O4248" s="1"/>
      <c r="P4248" s="1"/>
      <c r="Q4248" s="1"/>
      <c r="R4248" s="1"/>
      <c r="S4248" s="1"/>
      <c r="T4248" s="1"/>
      <c r="U4248" s="1"/>
      <c r="V4248" s="1"/>
      <c r="W4248" s="1"/>
      <c r="X4248" s="1"/>
      <c r="Y4248" s="1"/>
      <c r="Z4248" s="1"/>
      <c r="AA4248" s="1"/>
    </row>
    <row r="4249" spans="1:27" x14ac:dyDescent="0.2">
      <c r="B4249" s="14" t="s">
        <v>1068</v>
      </c>
    </row>
    <row r="4250" spans="1:27" x14ac:dyDescent="0.2">
      <c r="B4250" t="s">
        <v>1138</v>
      </c>
      <c r="C4250" t="s">
        <v>1070</v>
      </c>
      <c r="D4250" t="s">
        <v>1139</v>
      </c>
      <c r="E4250" s="20">
        <v>0.15</v>
      </c>
      <c r="F4250" t="s">
        <v>1072</v>
      </c>
      <c r="G4250" t="s">
        <v>1073</v>
      </c>
      <c r="H4250" s="21">
        <v>26.12</v>
      </c>
      <c r="I4250" t="s">
        <v>1074</v>
      </c>
      <c r="J4250" s="22">
        <f>ROUND(E4250/I4248* H4250,5)</f>
        <v>3.9180000000000001</v>
      </c>
      <c r="K4250" s="23"/>
    </row>
    <row r="4251" spans="1:27" x14ac:dyDescent="0.2">
      <c r="B4251" t="s">
        <v>1136</v>
      </c>
      <c r="C4251" t="s">
        <v>1070</v>
      </c>
      <c r="D4251" t="s">
        <v>1137</v>
      </c>
      <c r="E4251" s="20">
        <v>0.15</v>
      </c>
      <c r="F4251" t="s">
        <v>1072</v>
      </c>
      <c r="G4251" t="s">
        <v>1073</v>
      </c>
      <c r="H4251" s="21">
        <v>30.41</v>
      </c>
      <c r="I4251" t="s">
        <v>1074</v>
      </c>
      <c r="J4251" s="22">
        <f>ROUND(E4251/I4248* H4251,5)</f>
        <v>4.5614999999999997</v>
      </c>
      <c r="K4251" s="23"/>
    </row>
    <row r="4252" spans="1:27" x14ac:dyDescent="0.2">
      <c r="D4252" s="24" t="s">
        <v>1075</v>
      </c>
      <c r="E4252" s="23"/>
      <c r="H4252" s="23"/>
      <c r="K4252" s="21">
        <f>SUM(J4250:J4251)</f>
        <v>8.4794999999999998</v>
      </c>
    </row>
    <row r="4253" spans="1:27" x14ac:dyDescent="0.2">
      <c r="B4253" s="14" t="s">
        <v>1080</v>
      </c>
      <c r="E4253" s="23"/>
      <c r="H4253" s="23"/>
      <c r="K4253" s="23"/>
    </row>
    <row r="4254" spans="1:27" x14ac:dyDescent="0.2">
      <c r="B4254" t="s">
        <v>2577</v>
      </c>
      <c r="C4254" t="s">
        <v>23</v>
      </c>
      <c r="D4254" t="s">
        <v>2578</v>
      </c>
      <c r="E4254" s="20">
        <v>1</v>
      </c>
      <c r="G4254" t="s">
        <v>1073</v>
      </c>
      <c r="H4254" s="21">
        <v>68</v>
      </c>
      <c r="I4254" t="s">
        <v>1074</v>
      </c>
      <c r="J4254" s="22">
        <f>ROUND(E4254* H4254,5)</f>
        <v>68</v>
      </c>
      <c r="K4254" s="23"/>
    </row>
    <row r="4255" spans="1:27" x14ac:dyDescent="0.2">
      <c r="D4255" s="24" t="s">
        <v>1090</v>
      </c>
      <c r="E4255" s="23"/>
      <c r="H4255" s="23"/>
      <c r="K4255" s="21">
        <f>SUM(J4254:J4254)</f>
        <v>68</v>
      </c>
    </row>
    <row r="4256" spans="1:27" x14ac:dyDescent="0.2">
      <c r="E4256" s="23"/>
      <c r="H4256" s="23"/>
      <c r="K4256" s="23"/>
    </row>
    <row r="4257" spans="1:27" x14ac:dyDescent="0.2">
      <c r="D4257" s="24" t="s">
        <v>1092</v>
      </c>
      <c r="E4257" s="23"/>
      <c r="H4257" s="23">
        <v>1.5</v>
      </c>
      <c r="I4257" t="s">
        <v>1093</v>
      </c>
      <c r="J4257">
        <f>ROUND(H4257/100*K4252,5)</f>
        <v>0.12719</v>
      </c>
      <c r="K4257" s="23"/>
    </row>
    <row r="4258" spans="1:27" x14ac:dyDescent="0.2">
      <c r="D4258" s="24" t="s">
        <v>1091</v>
      </c>
      <c r="E4258" s="23"/>
      <c r="H4258" s="23"/>
      <c r="K4258" s="25">
        <f>SUM(J4249:J4257)</f>
        <v>76.60669</v>
      </c>
    </row>
    <row r="4259" spans="1:27" x14ac:dyDescent="0.2">
      <c r="D4259" s="24" t="s">
        <v>1142</v>
      </c>
      <c r="E4259" s="23"/>
      <c r="H4259" s="23">
        <v>8</v>
      </c>
      <c r="I4259" t="s">
        <v>1093</v>
      </c>
      <c r="K4259" s="21">
        <f>ROUND(H4259/100*K4258,5)</f>
        <v>6.1285400000000001</v>
      </c>
    </row>
    <row r="4260" spans="1:27" x14ac:dyDescent="0.2">
      <c r="D4260" s="24" t="s">
        <v>1094</v>
      </c>
      <c r="E4260" s="23"/>
      <c r="H4260" s="23"/>
      <c r="K4260" s="25">
        <f>SUM(K4258:K4259)</f>
        <v>82.735230000000001</v>
      </c>
    </row>
    <row r="4262" spans="1:27" ht="45" customHeight="1" x14ac:dyDescent="0.2">
      <c r="A4262" s="17"/>
      <c r="B4262" s="17" t="s">
        <v>2579</v>
      </c>
      <c r="C4262" s="1" t="s">
        <v>23</v>
      </c>
      <c r="D4262" s="96" t="s">
        <v>2580</v>
      </c>
      <c r="E4262" s="97"/>
      <c r="F4262" s="97"/>
      <c r="G4262" s="1"/>
      <c r="H4262" s="18" t="s">
        <v>1066</v>
      </c>
      <c r="I4262" s="98">
        <v>1</v>
      </c>
      <c r="J4262" s="99"/>
      <c r="K4262" s="19">
        <f>ROUND(K4275,2)</f>
        <v>41.39</v>
      </c>
      <c r="L4262" s="2" t="s">
        <v>2581</v>
      </c>
      <c r="M4262" s="1"/>
      <c r="N4262" s="1"/>
      <c r="O4262" s="1"/>
      <c r="P4262" s="1"/>
      <c r="Q4262" s="1"/>
      <c r="R4262" s="1"/>
      <c r="S4262" s="1"/>
      <c r="T4262" s="1"/>
      <c r="U4262" s="1"/>
      <c r="V4262" s="1"/>
      <c r="W4262" s="1"/>
      <c r="X4262" s="1"/>
      <c r="Y4262" s="1"/>
      <c r="Z4262" s="1"/>
      <c r="AA4262" s="1"/>
    </row>
    <row r="4263" spans="1:27" x14ac:dyDescent="0.2">
      <c r="B4263" s="14" t="s">
        <v>1068</v>
      </c>
    </row>
    <row r="4264" spans="1:27" x14ac:dyDescent="0.2">
      <c r="B4264" t="s">
        <v>1184</v>
      </c>
      <c r="C4264" t="s">
        <v>1070</v>
      </c>
      <c r="D4264" t="s">
        <v>1185</v>
      </c>
      <c r="E4264" s="20">
        <v>0.26600000000000001</v>
      </c>
      <c r="F4264" t="s">
        <v>1072</v>
      </c>
      <c r="G4264" t="s">
        <v>1073</v>
      </c>
      <c r="H4264" s="21">
        <v>30.41</v>
      </c>
      <c r="I4264" t="s">
        <v>1074</v>
      </c>
      <c r="J4264" s="22">
        <f>ROUND(E4264/I4262* H4264,5)</f>
        <v>8.0890599999999999</v>
      </c>
      <c r="K4264" s="23"/>
    </row>
    <row r="4265" spans="1:27" x14ac:dyDescent="0.2">
      <c r="B4265" t="s">
        <v>2050</v>
      </c>
      <c r="C4265" t="s">
        <v>1070</v>
      </c>
      <c r="D4265" t="s">
        <v>2051</v>
      </c>
      <c r="E4265" s="20">
        <v>0.26600000000000001</v>
      </c>
      <c r="F4265" t="s">
        <v>1072</v>
      </c>
      <c r="G4265" t="s">
        <v>1073</v>
      </c>
      <c r="H4265" s="21">
        <v>26.08</v>
      </c>
      <c r="I4265" t="s">
        <v>1074</v>
      </c>
      <c r="J4265" s="22">
        <f>ROUND(E4265/I4262* H4265,5)</f>
        <v>6.9372800000000003</v>
      </c>
      <c r="K4265" s="23"/>
    </row>
    <row r="4266" spans="1:27" x14ac:dyDescent="0.2">
      <c r="D4266" s="24" t="s">
        <v>1075</v>
      </c>
      <c r="E4266" s="23"/>
      <c r="H4266" s="23"/>
      <c r="K4266" s="21">
        <f>SUM(J4264:J4265)</f>
        <v>15.026340000000001</v>
      </c>
    </row>
    <row r="4267" spans="1:27" x14ac:dyDescent="0.2">
      <c r="B4267" s="14" t="s">
        <v>1080</v>
      </c>
      <c r="E4267" s="23"/>
      <c r="H4267" s="23"/>
      <c r="K4267" s="23"/>
    </row>
    <row r="4268" spans="1:27" x14ac:dyDescent="0.2">
      <c r="B4268" t="s">
        <v>2584</v>
      </c>
      <c r="C4268" t="s">
        <v>23</v>
      </c>
      <c r="D4268" t="s">
        <v>2585</v>
      </c>
      <c r="E4268" s="20">
        <v>1</v>
      </c>
      <c r="G4268" t="s">
        <v>1073</v>
      </c>
      <c r="H4268" s="21">
        <v>18</v>
      </c>
      <c r="I4268" t="s">
        <v>1074</v>
      </c>
      <c r="J4268" s="22">
        <f>ROUND(E4268* H4268,5)</f>
        <v>18</v>
      </c>
      <c r="K4268" s="23"/>
    </row>
    <row r="4269" spans="1:27" x14ac:dyDescent="0.2">
      <c r="B4269" t="s">
        <v>2582</v>
      </c>
      <c r="C4269" t="s">
        <v>23</v>
      </c>
      <c r="D4269" t="s">
        <v>2583</v>
      </c>
      <c r="E4269" s="20">
        <v>1</v>
      </c>
      <c r="G4269" t="s">
        <v>1073</v>
      </c>
      <c r="H4269" s="21">
        <v>5.07</v>
      </c>
      <c r="I4269" t="s">
        <v>1074</v>
      </c>
      <c r="J4269" s="22">
        <f>ROUND(E4269* H4269,5)</f>
        <v>5.07</v>
      </c>
      <c r="K4269" s="23"/>
    </row>
    <row r="4270" spans="1:27" x14ac:dyDescent="0.2">
      <c r="D4270" s="24" t="s">
        <v>1090</v>
      </c>
      <c r="E4270" s="23"/>
      <c r="H4270" s="23"/>
      <c r="K4270" s="21">
        <f>SUM(J4268:J4269)</f>
        <v>23.07</v>
      </c>
    </row>
    <row r="4271" spans="1:27" x14ac:dyDescent="0.2">
      <c r="E4271" s="23"/>
      <c r="H4271" s="23"/>
      <c r="K4271" s="23"/>
    </row>
    <row r="4272" spans="1:27" x14ac:dyDescent="0.2">
      <c r="D4272" s="24" t="s">
        <v>1092</v>
      </c>
      <c r="E4272" s="23"/>
      <c r="H4272" s="23">
        <v>1.5</v>
      </c>
      <c r="I4272" t="s">
        <v>1093</v>
      </c>
      <c r="J4272">
        <f>ROUND(H4272/100*K4266,5)</f>
        <v>0.22539999999999999</v>
      </c>
      <c r="K4272" s="23"/>
    </row>
    <row r="4273" spans="1:27" x14ac:dyDescent="0.2">
      <c r="D4273" s="24" t="s">
        <v>1091</v>
      </c>
      <c r="E4273" s="23"/>
      <c r="H4273" s="23"/>
      <c r="K4273" s="25">
        <f>SUM(J4263:J4272)</f>
        <v>38.321740000000005</v>
      </c>
    </row>
    <row r="4274" spans="1:27" x14ac:dyDescent="0.2">
      <c r="D4274" s="24" t="s">
        <v>1142</v>
      </c>
      <c r="E4274" s="23"/>
      <c r="H4274" s="23">
        <v>8</v>
      </c>
      <c r="I4274" t="s">
        <v>1093</v>
      </c>
      <c r="K4274" s="21">
        <f>ROUND(H4274/100*K4273,5)</f>
        <v>3.0657399999999999</v>
      </c>
    </row>
    <row r="4275" spans="1:27" x14ac:dyDescent="0.2">
      <c r="D4275" s="24" t="s">
        <v>1094</v>
      </c>
      <c r="E4275" s="23"/>
      <c r="H4275" s="23"/>
      <c r="K4275" s="25">
        <f>SUM(K4273:K4274)</f>
        <v>41.387480000000004</v>
      </c>
    </row>
    <row r="4277" spans="1:27" ht="45" customHeight="1" x14ac:dyDescent="0.2">
      <c r="A4277" s="17" t="s">
        <v>2627</v>
      </c>
      <c r="B4277" s="17" t="s">
        <v>755</v>
      </c>
      <c r="C4277" s="1" t="s">
        <v>23</v>
      </c>
      <c r="D4277" s="96" t="s">
        <v>756</v>
      </c>
      <c r="E4277" s="97"/>
      <c r="F4277" s="97"/>
      <c r="G4277" s="1"/>
      <c r="H4277" s="18" t="s">
        <v>1066</v>
      </c>
      <c r="I4277" s="98">
        <v>1</v>
      </c>
      <c r="J4277" s="99"/>
      <c r="K4277" s="19">
        <f>ROUND(K4290,2)</f>
        <v>50.96</v>
      </c>
      <c r="L4277" s="2" t="s">
        <v>2587</v>
      </c>
      <c r="M4277" s="1"/>
      <c r="N4277" s="1"/>
      <c r="O4277" s="1"/>
      <c r="P4277" s="1"/>
      <c r="Q4277" s="1"/>
      <c r="R4277" s="1"/>
      <c r="S4277" s="1"/>
      <c r="T4277" s="1"/>
      <c r="U4277" s="1"/>
      <c r="V4277" s="1"/>
      <c r="W4277" s="1"/>
      <c r="X4277" s="1"/>
      <c r="Y4277" s="1"/>
      <c r="Z4277" s="1"/>
      <c r="AA4277" s="1"/>
    </row>
    <row r="4278" spans="1:27" x14ac:dyDescent="0.2">
      <c r="B4278" s="14" t="s">
        <v>1068</v>
      </c>
    </row>
    <row r="4279" spans="1:27" x14ac:dyDescent="0.2">
      <c r="B4279" t="s">
        <v>1184</v>
      </c>
      <c r="C4279" t="s">
        <v>1070</v>
      </c>
      <c r="D4279" t="s">
        <v>1185</v>
      </c>
      <c r="E4279" s="20">
        <v>0.248</v>
      </c>
      <c r="F4279" t="s">
        <v>1072</v>
      </c>
      <c r="G4279" t="s">
        <v>1073</v>
      </c>
      <c r="H4279" s="21">
        <v>30.41</v>
      </c>
      <c r="I4279" t="s">
        <v>1074</v>
      </c>
      <c r="J4279" s="22">
        <f>ROUND(E4279/I4277* H4279,5)</f>
        <v>7.5416800000000004</v>
      </c>
      <c r="K4279" s="23"/>
    </row>
    <row r="4280" spans="1:27" x14ac:dyDescent="0.2">
      <c r="B4280" t="s">
        <v>2050</v>
      </c>
      <c r="C4280" t="s">
        <v>1070</v>
      </c>
      <c r="D4280" t="s">
        <v>2051</v>
      </c>
      <c r="E4280" s="20">
        <v>0.248</v>
      </c>
      <c r="F4280" t="s">
        <v>1072</v>
      </c>
      <c r="G4280" t="s">
        <v>1073</v>
      </c>
      <c r="H4280" s="21">
        <v>26.08</v>
      </c>
      <c r="I4280" t="s">
        <v>1074</v>
      </c>
      <c r="J4280" s="22">
        <f>ROUND(E4280/I4277* H4280,5)</f>
        <v>6.4678399999999998</v>
      </c>
      <c r="K4280" s="23"/>
    </row>
    <row r="4281" spans="1:27" x14ac:dyDescent="0.2">
      <c r="D4281" s="24" t="s">
        <v>1075</v>
      </c>
      <c r="E4281" s="23"/>
      <c r="H4281" s="23"/>
      <c r="K4281" s="21">
        <f>SUM(J4279:J4280)</f>
        <v>14.00952</v>
      </c>
    </row>
    <row r="4282" spans="1:27" x14ac:dyDescent="0.2">
      <c r="B4282" s="14" t="s">
        <v>1080</v>
      </c>
      <c r="E4282" s="23"/>
      <c r="H4282" s="23"/>
      <c r="K4282" s="23"/>
    </row>
    <row r="4283" spans="1:27" x14ac:dyDescent="0.2">
      <c r="B4283" t="s">
        <v>2582</v>
      </c>
      <c r="C4283" t="s">
        <v>23</v>
      </c>
      <c r="D4283" t="s">
        <v>2583</v>
      </c>
      <c r="E4283" s="20">
        <v>1</v>
      </c>
      <c r="G4283" t="s">
        <v>1073</v>
      </c>
      <c r="H4283" s="21">
        <v>5.07</v>
      </c>
      <c r="I4283" t="s">
        <v>1074</v>
      </c>
      <c r="J4283" s="22">
        <f>ROUND(E4283* H4283,5)</f>
        <v>5.07</v>
      </c>
      <c r="K4283" s="23"/>
    </row>
    <row r="4284" spans="1:27" x14ac:dyDescent="0.2">
      <c r="B4284" t="s">
        <v>2588</v>
      </c>
      <c r="C4284" t="s">
        <v>23</v>
      </c>
      <c r="D4284" t="s">
        <v>2589</v>
      </c>
      <c r="E4284" s="20">
        <v>1</v>
      </c>
      <c r="G4284" t="s">
        <v>1073</v>
      </c>
      <c r="H4284" s="21">
        <v>27.9</v>
      </c>
      <c r="I4284" t="s">
        <v>1074</v>
      </c>
      <c r="J4284" s="22">
        <f>ROUND(E4284* H4284,5)</f>
        <v>27.9</v>
      </c>
      <c r="K4284" s="23"/>
    </row>
    <row r="4285" spans="1:27" x14ac:dyDescent="0.2">
      <c r="D4285" s="24" t="s">
        <v>1090</v>
      </c>
      <c r="E4285" s="23"/>
      <c r="H4285" s="23"/>
      <c r="K4285" s="21">
        <f>SUM(J4283:J4284)</f>
        <v>32.97</v>
      </c>
    </row>
    <row r="4286" spans="1:27" x14ac:dyDescent="0.2">
      <c r="E4286" s="23"/>
      <c r="H4286" s="23"/>
      <c r="K4286" s="23"/>
    </row>
    <row r="4287" spans="1:27" x14ac:dyDescent="0.2">
      <c r="D4287" s="24" t="s">
        <v>1092</v>
      </c>
      <c r="E4287" s="23"/>
      <c r="H4287" s="23">
        <v>1.5</v>
      </c>
      <c r="I4287" t="s">
        <v>1093</v>
      </c>
      <c r="J4287">
        <f>ROUND(H4287/100*K4281,5)</f>
        <v>0.21013999999999999</v>
      </c>
      <c r="K4287" s="23"/>
    </row>
    <row r="4288" spans="1:27" x14ac:dyDescent="0.2">
      <c r="D4288" s="24" t="s">
        <v>1091</v>
      </c>
      <c r="E4288" s="23"/>
      <c r="H4288" s="23"/>
      <c r="K4288" s="25">
        <f>SUM(J4278:J4287)</f>
        <v>47.189660000000003</v>
      </c>
    </row>
    <row r="4289" spans="1:27" x14ac:dyDescent="0.2">
      <c r="D4289" s="24" t="s">
        <v>1142</v>
      </c>
      <c r="E4289" s="23"/>
      <c r="H4289" s="23">
        <v>8</v>
      </c>
      <c r="I4289" t="s">
        <v>1093</v>
      </c>
      <c r="K4289" s="21">
        <f>ROUND(H4289/100*K4288,5)</f>
        <v>3.7751700000000001</v>
      </c>
    </row>
    <row r="4290" spans="1:27" x14ac:dyDescent="0.2">
      <c r="D4290" s="24" t="s">
        <v>1094</v>
      </c>
      <c r="E4290" s="23"/>
      <c r="H4290" s="23"/>
      <c r="K4290" s="25">
        <f>SUM(K4288:K4289)</f>
        <v>50.964830000000006</v>
      </c>
    </row>
    <row r="4292" spans="1:27" ht="45" customHeight="1" x14ac:dyDescent="0.2">
      <c r="A4292" s="17" t="s">
        <v>2631</v>
      </c>
      <c r="B4292" s="17" t="s">
        <v>759</v>
      </c>
      <c r="C4292" s="1" t="s">
        <v>23</v>
      </c>
      <c r="D4292" s="96" t="s">
        <v>760</v>
      </c>
      <c r="E4292" s="97"/>
      <c r="F4292" s="97"/>
      <c r="G4292" s="1"/>
      <c r="H4292" s="18" t="s">
        <v>1066</v>
      </c>
      <c r="I4292" s="98">
        <v>1</v>
      </c>
      <c r="J4292" s="99"/>
      <c r="K4292" s="19">
        <f>ROUND(K4304,2)</f>
        <v>60.03</v>
      </c>
      <c r="L4292" s="2" t="s">
        <v>2591</v>
      </c>
      <c r="M4292" s="1"/>
      <c r="N4292" s="1"/>
      <c r="O4292" s="1"/>
      <c r="P4292" s="1"/>
      <c r="Q4292" s="1"/>
      <c r="R4292" s="1"/>
      <c r="S4292" s="1"/>
      <c r="T4292" s="1"/>
      <c r="U4292" s="1"/>
      <c r="V4292" s="1"/>
      <c r="W4292" s="1"/>
      <c r="X4292" s="1"/>
      <c r="Y4292" s="1"/>
      <c r="Z4292" s="1"/>
      <c r="AA4292" s="1"/>
    </row>
    <row r="4293" spans="1:27" x14ac:dyDescent="0.2">
      <c r="B4293" s="14" t="s">
        <v>1068</v>
      </c>
    </row>
    <row r="4294" spans="1:27" x14ac:dyDescent="0.2">
      <c r="B4294" t="s">
        <v>1184</v>
      </c>
      <c r="C4294" t="s">
        <v>1070</v>
      </c>
      <c r="D4294" t="s">
        <v>1185</v>
      </c>
      <c r="E4294" s="20">
        <v>0.25</v>
      </c>
      <c r="F4294" t="s">
        <v>1072</v>
      </c>
      <c r="G4294" t="s">
        <v>1073</v>
      </c>
      <c r="H4294" s="21">
        <v>30.41</v>
      </c>
      <c r="I4294" t="s">
        <v>1074</v>
      </c>
      <c r="J4294" s="22">
        <f>ROUND(E4294/I4292* H4294,5)</f>
        <v>7.6025</v>
      </c>
      <c r="K4294" s="23"/>
    </row>
    <row r="4295" spans="1:27" x14ac:dyDescent="0.2">
      <c r="B4295" t="s">
        <v>2050</v>
      </c>
      <c r="C4295" t="s">
        <v>1070</v>
      </c>
      <c r="D4295" t="s">
        <v>2051</v>
      </c>
      <c r="E4295" s="20">
        <v>0.25</v>
      </c>
      <c r="F4295" t="s">
        <v>1072</v>
      </c>
      <c r="G4295" t="s">
        <v>1073</v>
      </c>
      <c r="H4295" s="21">
        <v>26.08</v>
      </c>
      <c r="I4295" t="s">
        <v>1074</v>
      </c>
      <c r="J4295" s="22">
        <f>ROUND(E4295/I4292* H4295,5)</f>
        <v>6.52</v>
      </c>
      <c r="K4295" s="23"/>
    </row>
    <row r="4296" spans="1:27" x14ac:dyDescent="0.2">
      <c r="D4296" s="24" t="s">
        <v>1075</v>
      </c>
      <c r="E4296" s="23"/>
      <c r="H4296" s="23"/>
      <c r="K4296" s="21">
        <f>SUM(J4294:J4295)</f>
        <v>14.122499999999999</v>
      </c>
    </row>
    <row r="4297" spans="1:27" x14ac:dyDescent="0.2">
      <c r="B4297" s="14" t="s">
        <v>1080</v>
      </c>
      <c r="E4297" s="23"/>
      <c r="H4297" s="23"/>
      <c r="K4297" s="23"/>
    </row>
    <row r="4298" spans="1:27" x14ac:dyDescent="0.2">
      <c r="B4298" t="s">
        <v>2592</v>
      </c>
      <c r="C4298" t="s">
        <v>23</v>
      </c>
      <c r="D4298" t="s">
        <v>2593</v>
      </c>
      <c r="E4298" s="20">
        <v>1</v>
      </c>
      <c r="G4298" t="s">
        <v>1073</v>
      </c>
      <c r="H4298" s="21">
        <v>41.25</v>
      </c>
      <c r="I4298" t="s">
        <v>1074</v>
      </c>
      <c r="J4298" s="22">
        <f>ROUND(E4298* H4298,5)</f>
        <v>41.25</v>
      </c>
      <c r="K4298" s="23"/>
    </row>
    <row r="4299" spans="1:27" x14ac:dyDescent="0.2">
      <c r="D4299" s="24" t="s">
        <v>1090</v>
      </c>
      <c r="E4299" s="23"/>
      <c r="H4299" s="23"/>
      <c r="K4299" s="21">
        <f>SUM(J4298:J4298)</f>
        <v>41.25</v>
      </c>
    </row>
    <row r="4300" spans="1:27" x14ac:dyDescent="0.2">
      <c r="E4300" s="23"/>
      <c r="H4300" s="23"/>
      <c r="K4300" s="23"/>
    </row>
    <row r="4301" spans="1:27" x14ac:dyDescent="0.2">
      <c r="D4301" s="24" t="s">
        <v>1092</v>
      </c>
      <c r="E4301" s="23"/>
      <c r="H4301" s="23">
        <v>1.5</v>
      </c>
      <c r="I4301" t="s">
        <v>1093</v>
      </c>
      <c r="J4301">
        <f>ROUND(H4301/100*K4296,5)</f>
        <v>0.21184</v>
      </c>
      <c r="K4301" s="23"/>
    </row>
    <row r="4302" spans="1:27" x14ac:dyDescent="0.2">
      <c r="D4302" s="24" t="s">
        <v>1091</v>
      </c>
      <c r="E4302" s="23"/>
      <c r="H4302" s="23"/>
      <c r="K4302" s="25">
        <f>SUM(J4293:J4301)</f>
        <v>55.584340000000005</v>
      </c>
    </row>
    <row r="4303" spans="1:27" x14ac:dyDescent="0.2">
      <c r="D4303" s="24" t="s">
        <v>1142</v>
      </c>
      <c r="E4303" s="23"/>
      <c r="H4303" s="23">
        <v>8</v>
      </c>
      <c r="I4303" t="s">
        <v>1093</v>
      </c>
      <c r="K4303" s="21">
        <f>ROUND(H4303/100*K4302,5)</f>
        <v>4.4467499999999998</v>
      </c>
    </row>
    <row r="4304" spans="1:27" x14ac:dyDescent="0.2">
      <c r="D4304" s="24" t="s">
        <v>1094</v>
      </c>
      <c r="E4304" s="23"/>
      <c r="H4304" s="23"/>
      <c r="K4304" s="25">
        <f>SUM(K4302:K4303)</f>
        <v>60.031090000000006</v>
      </c>
    </row>
    <row r="4306" spans="1:27" ht="45" customHeight="1" x14ac:dyDescent="0.2">
      <c r="A4306" s="17" t="s">
        <v>2635</v>
      </c>
      <c r="B4306" s="17" t="s">
        <v>761</v>
      </c>
      <c r="C4306" s="1" t="s">
        <v>625</v>
      </c>
      <c r="D4306" s="96" t="s">
        <v>762</v>
      </c>
      <c r="E4306" s="97"/>
      <c r="F4306" s="97"/>
      <c r="G4306" s="1"/>
      <c r="H4306" s="18" t="s">
        <v>1066</v>
      </c>
      <c r="I4306" s="98">
        <v>1</v>
      </c>
      <c r="J4306" s="99"/>
      <c r="K4306" s="19">
        <v>965.2</v>
      </c>
      <c r="L4306" s="2" t="s">
        <v>2595</v>
      </c>
      <c r="M4306" s="1"/>
      <c r="N4306" s="1"/>
      <c r="O4306" s="1"/>
      <c r="P4306" s="1"/>
      <c r="Q4306" s="1"/>
      <c r="R4306" s="1"/>
      <c r="S4306" s="1"/>
      <c r="T4306" s="1"/>
      <c r="U4306" s="1"/>
      <c r="V4306" s="1"/>
      <c r="W4306" s="1"/>
      <c r="X4306" s="1"/>
      <c r="Y4306" s="1"/>
      <c r="Z4306" s="1"/>
      <c r="AA4306" s="1"/>
    </row>
    <row r="4307" spans="1:27" ht="45" customHeight="1" x14ac:dyDescent="0.2">
      <c r="A4307" s="17" t="s">
        <v>2638</v>
      </c>
      <c r="B4307" s="17" t="s">
        <v>839</v>
      </c>
      <c r="C4307" s="1" t="s">
        <v>625</v>
      </c>
      <c r="D4307" s="96" t="s">
        <v>840</v>
      </c>
      <c r="E4307" s="97"/>
      <c r="F4307" s="97"/>
      <c r="G4307" s="1"/>
      <c r="H4307" s="18" t="s">
        <v>1066</v>
      </c>
      <c r="I4307" s="98">
        <v>1</v>
      </c>
      <c r="J4307" s="99"/>
      <c r="K4307" s="19">
        <f>ROUND(K4317,2)</f>
        <v>85.84</v>
      </c>
      <c r="L4307" s="2" t="s">
        <v>2597</v>
      </c>
      <c r="M4307" s="1"/>
      <c r="N4307" s="1"/>
      <c r="O4307" s="1"/>
      <c r="P4307" s="1"/>
      <c r="Q4307" s="1"/>
      <c r="R4307" s="1"/>
      <c r="S4307" s="1"/>
      <c r="T4307" s="1"/>
      <c r="U4307" s="1"/>
      <c r="V4307" s="1"/>
      <c r="W4307" s="1"/>
      <c r="X4307" s="1"/>
      <c r="Y4307" s="1"/>
      <c r="Z4307" s="1"/>
      <c r="AA4307" s="1"/>
    </row>
    <row r="4308" spans="1:27" x14ac:dyDescent="0.2">
      <c r="B4308" s="14" t="s">
        <v>1068</v>
      </c>
    </row>
    <row r="4309" spans="1:27" x14ac:dyDescent="0.2">
      <c r="B4309" t="s">
        <v>2050</v>
      </c>
      <c r="C4309" t="s">
        <v>1070</v>
      </c>
      <c r="D4309" t="s">
        <v>2051</v>
      </c>
      <c r="E4309" s="20">
        <v>0.3</v>
      </c>
      <c r="F4309" t="s">
        <v>1072</v>
      </c>
      <c r="G4309" t="s">
        <v>1073</v>
      </c>
      <c r="H4309" s="21">
        <v>26.08</v>
      </c>
      <c r="I4309" t="s">
        <v>1074</v>
      </c>
      <c r="J4309" s="22">
        <f>ROUND(E4309/I4307* H4309,5)</f>
        <v>7.8239999999999998</v>
      </c>
      <c r="K4309" s="23"/>
    </row>
    <row r="4310" spans="1:27" x14ac:dyDescent="0.2">
      <c r="B4310" t="s">
        <v>1184</v>
      </c>
      <c r="C4310" t="s">
        <v>1070</v>
      </c>
      <c r="D4310" t="s">
        <v>1185</v>
      </c>
      <c r="E4310" s="20">
        <v>0.3</v>
      </c>
      <c r="F4310" t="s">
        <v>1072</v>
      </c>
      <c r="G4310" t="s">
        <v>1073</v>
      </c>
      <c r="H4310" s="21">
        <v>30.41</v>
      </c>
      <c r="I4310" t="s">
        <v>1074</v>
      </c>
      <c r="J4310" s="22">
        <f>ROUND(E4310/I4307* H4310,5)</f>
        <v>9.1229999999999993</v>
      </c>
      <c r="K4310" s="23"/>
    </row>
    <row r="4311" spans="1:27" x14ac:dyDescent="0.2">
      <c r="D4311" s="24" t="s">
        <v>1075</v>
      </c>
      <c r="E4311" s="23"/>
      <c r="H4311" s="23"/>
      <c r="K4311" s="21">
        <f>SUM(J4309:J4310)</f>
        <v>16.946999999999999</v>
      </c>
    </row>
    <row r="4312" spans="1:27" x14ac:dyDescent="0.2">
      <c r="B4312" s="14" t="s">
        <v>1080</v>
      </c>
      <c r="E4312" s="23"/>
      <c r="H4312" s="23"/>
      <c r="K4312" s="23"/>
    </row>
    <row r="4313" spans="1:27" x14ac:dyDescent="0.2">
      <c r="B4313" t="s">
        <v>2598</v>
      </c>
      <c r="C4313" t="s">
        <v>23</v>
      </c>
      <c r="D4313" t="s">
        <v>2599</v>
      </c>
      <c r="E4313" s="20">
        <v>0.65</v>
      </c>
      <c r="G4313" t="s">
        <v>1073</v>
      </c>
      <c r="H4313" s="21">
        <v>96.2</v>
      </c>
      <c r="I4313" t="s">
        <v>1074</v>
      </c>
      <c r="J4313" s="22">
        <f>ROUND(E4313* H4313,5)</f>
        <v>62.53</v>
      </c>
      <c r="K4313" s="23"/>
    </row>
    <row r="4314" spans="1:27" x14ac:dyDescent="0.2">
      <c r="D4314" s="24" t="s">
        <v>1090</v>
      </c>
      <c r="E4314" s="23"/>
      <c r="H4314" s="23"/>
      <c r="K4314" s="21">
        <f>SUM(J4313:J4313)</f>
        <v>62.53</v>
      </c>
    </row>
    <row r="4315" spans="1:27" x14ac:dyDescent="0.2">
      <c r="D4315" s="24" t="s">
        <v>1091</v>
      </c>
      <c r="E4315" s="23"/>
      <c r="H4315" s="23"/>
      <c r="K4315" s="25">
        <f>SUM(J4308:J4314)</f>
        <v>79.477000000000004</v>
      </c>
    </row>
    <row r="4316" spans="1:27" x14ac:dyDescent="0.2">
      <c r="D4316" s="24" t="s">
        <v>1142</v>
      </c>
      <c r="E4316" s="23"/>
      <c r="H4316" s="23">
        <v>8</v>
      </c>
      <c r="I4316" t="s">
        <v>1093</v>
      </c>
      <c r="K4316" s="21">
        <f>ROUND(H4316/100*K4315,5)</f>
        <v>6.3581599999999998</v>
      </c>
    </row>
    <row r="4317" spans="1:27" x14ac:dyDescent="0.2">
      <c r="D4317" s="24" t="s">
        <v>1094</v>
      </c>
      <c r="E4317" s="23"/>
      <c r="H4317" s="23"/>
      <c r="K4317" s="25">
        <f>SUM(K4315:K4316)</f>
        <v>85.835160000000002</v>
      </c>
    </row>
    <row r="4319" spans="1:27" ht="45" customHeight="1" x14ac:dyDescent="0.2">
      <c r="A4319" s="17" t="s">
        <v>2642</v>
      </c>
      <c r="B4319" s="17" t="s">
        <v>841</v>
      </c>
      <c r="C4319" s="1" t="s">
        <v>625</v>
      </c>
      <c r="D4319" s="96" t="s">
        <v>842</v>
      </c>
      <c r="E4319" s="97"/>
      <c r="F4319" s="97"/>
      <c r="G4319" s="1"/>
      <c r="H4319" s="18" t="s">
        <v>1066</v>
      </c>
      <c r="I4319" s="98">
        <v>1</v>
      </c>
      <c r="J4319" s="99"/>
      <c r="K4319" s="19">
        <f>ROUND(K4329,2)</f>
        <v>102.54</v>
      </c>
      <c r="L4319" s="2" t="s">
        <v>2601</v>
      </c>
      <c r="M4319" s="1"/>
      <c r="N4319" s="1"/>
      <c r="O4319" s="1"/>
      <c r="P4319" s="1"/>
      <c r="Q4319" s="1"/>
      <c r="R4319" s="1"/>
      <c r="S4319" s="1"/>
      <c r="T4319" s="1"/>
      <c r="U4319" s="1"/>
      <c r="V4319" s="1"/>
      <c r="W4319" s="1"/>
      <c r="X4319" s="1"/>
      <c r="Y4319" s="1"/>
      <c r="Z4319" s="1"/>
      <c r="AA4319" s="1"/>
    </row>
    <row r="4320" spans="1:27" x14ac:dyDescent="0.2">
      <c r="B4320" s="14" t="s">
        <v>1068</v>
      </c>
    </row>
    <row r="4321" spans="1:27" x14ac:dyDescent="0.2">
      <c r="B4321" t="s">
        <v>2050</v>
      </c>
      <c r="C4321" t="s">
        <v>1070</v>
      </c>
      <c r="D4321" t="s">
        <v>2051</v>
      </c>
      <c r="E4321" s="20">
        <v>0.3</v>
      </c>
      <c r="F4321" t="s">
        <v>1072</v>
      </c>
      <c r="G4321" t="s">
        <v>1073</v>
      </c>
      <c r="H4321" s="21">
        <v>26.08</v>
      </c>
      <c r="I4321" t="s">
        <v>1074</v>
      </c>
      <c r="J4321" s="22">
        <f>ROUND(E4321/I4319* H4321,5)</f>
        <v>7.8239999999999998</v>
      </c>
      <c r="K4321" s="23"/>
    </row>
    <row r="4322" spans="1:27" x14ac:dyDescent="0.2">
      <c r="B4322" t="s">
        <v>1184</v>
      </c>
      <c r="C4322" t="s">
        <v>1070</v>
      </c>
      <c r="D4322" t="s">
        <v>1185</v>
      </c>
      <c r="E4322" s="20">
        <v>0.3</v>
      </c>
      <c r="F4322" t="s">
        <v>1072</v>
      </c>
      <c r="G4322" t="s">
        <v>1073</v>
      </c>
      <c r="H4322" s="21">
        <v>30.41</v>
      </c>
      <c r="I4322" t="s">
        <v>1074</v>
      </c>
      <c r="J4322" s="22">
        <f>ROUND(E4322/I4319* H4322,5)</f>
        <v>9.1229999999999993</v>
      </c>
      <c r="K4322" s="23"/>
    </row>
    <row r="4323" spans="1:27" x14ac:dyDescent="0.2">
      <c r="D4323" s="24" t="s">
        <v>1075</v>
      </c>
      <c r="E4323" s="23"/>
      <c r="H4323" s="23"/>
      <c r="K4323" s="21">
        <f>SUM(J4321:J4322)</f>
        <v>16.946999999999999</v>
      </c>
    </row>
    <row r="4324" spans="1:27" x14ac:dyDescent="0.2">
      <c r="B4324" s="14" t="s">
        <v>1080</v>
      </c>
      <c r="E4324" s="23"/>
      <c r="H4324" s="23"/>
      <c r="K4324" s="23"/>
    </row>
    <row r="4325" spans="1:27" x14ac:dyDescent="0.2">
      <c r="B4325" t="s">
        <v>2602</v>
      </c>
      <c r="C4325" t="s">
        <v>23</v>
      </c>
      <c r="D4325" t="s">
        <v>2601</v>
      </c>
      <c r="E4325" s="20">
        <v>0.6</v>
      </c>
      <c r="G4325" t="s">
        <v>1073</v>
      </c>
      <c r="H4325" s="21">
        <v>130</v>
      </c>
      <c r="I4325" t="s">
        <v>1074</v>
      </c>
      <c r="J4325" s="22">
        <f>ROUND(E4325* H4325,5)</f>
        <v>78</v>
      </c>
      <c r="K4325" s="23"/>
    </row>
    <row r="4326" spans="1:27" x14ac:dyDescent="0.2">
      <c r="D4326" s="24" t="s">
        <v>1090</v>
      </c>
      <c r="E4326" s="23"/>
      <c r="H4326" s="23"/>
      <c r="K4326" s="21">
        <f>SUM(J4325:J4325)</f>
        <v>78</v>
      </c>
    </row>
    <row r="4327" spans="1:27" x14ac:dyDescent="0.2">
      <c r="D4327" s="24" t="s">
        <v>1091</v>
      </c>
      <c r="E4327" s="23"/>
      <c r="H4327" s="23"/>
      <c r="K4327" s="25">
        <f>SUM(J4320:J4326)</f>
        <v>94.947000000000003</v>
      </c>
    </row>
    <row r="4328" spans="1:27" x14ac:dyDescent="0.2">
      <c r="D4328" s="24" t="s">
        <v>1142</v>
      </c>
      <c r="E4328" s="23"/>
      <c r="H4328" s="23">
        <v>8</v>
      </c>
      <c r="I4328" t="s">
        <v>1093</v>
      </c>
      <c r="K4328" s="21">
        <f>ROUND(H4328/100*K4327,5)</f>
        <v>7.5957600000000003</v>
      </c>
    </row>
    <row r="4329" spans="1:27" x14ac:dyDescent="0.2">
      <c r="D4329" s="24" t="s">
        <v>1094</v>
      </c>
      <c r="E4329" s="23"/>
      <c r="H4329" s="23"/>
      <c r="K4329" s="25">
        <f>SUM(K4327:K4328)</f>
        <v>102.54276</v>
      </c>
    </row>
    <row r="4331" spans="1:27" ht="45" customHeight="1" x14ac:dyDescent="0.2">
      <c r="A4331" s="17" t="s">
        <v>2646</v>
      </c>
      <c r="B4331" s="17" t="s">
        <v>833</v>
      </c>
      <c r="C4331" s="1" t="s">
        <v>625</v>
      </c>
      <c r="D4331" s="96" t="s">
        <v>834</v>
      </c>
      <c r="E4331" s="97"/>
      <c r="F4331" s="97"/>
      <c r="G4331" s="1"/>
      <c r="H4331" s="18" t="s">
        <v>1066</v>
      </c>
      <c r="I4331" s="98">
        <v>1</v>
      </c>
      <c r="J4331" s="99"/>
      <c r="K4331" s="19">
        <f>ROUND(K4341,2)</f>
        <v>748.7</v>
      </c>
      <c r="L4331" s="2" t="s">
        <v>2604</v>
      </c>
      <c r="M4331" s="1"/>
      <c r="N4331" s="1"/>
      <c r="O4331" s="1"/>
      <c r="P4331" s="1"/>
      <c r="Q4331" s="1"/>
      <c r="R4331" s="1"/>
      <c r="S4331" s="1"/>
      <c r="T4331" s="1"/>
      <c r="U4331" s="1"/>
      <c r="V4331" s="1"/>
      <c r="W4331" s="1"/>
      <c r="X4331" s="1"/>
      <c r="Y4331" s="1"/>
      <c r="Z4331" s="1"/>
      <c r="AA4331" s="1"/>
    </row>
    <row r="4332" spans="1:27" x14ac:dyDescent="0.2">
      <c r="B4332" s="14" t="s">
        <v>1068</v>
      </c>
    </row>
    <row r="4333" spans="1:27" x14ac:dyDescent="0.2">
      <c r="B4333" t="s">
        <v>2050</v>
      </c>
      <c r="C4333" t="s">
        <v>1070</v>
      </c>
      <c r="D4333" t="s">
        <v>2051</v>
      </c>
      <c r="E4333" s="20">
        <v>0.5</v>
      </c>
      <c r="F4333" t="s">
        <v>1072</v>
      </c>
      <c r="G4333" t="s">
        <v>1073</v>
      </c>
      <c r="H4333" s="21">
        <v>26.08</v>
      </c>
      <c r="I4333" t="s">
        <v>1074</v>
      </c>
      <c r="J4333" s="22">
        <f>ROUND(E4333/I4331* H4333,5)</f>
        <v>13.04</v>
      </c>
      <c r="K4333" s="23"/>
    </row>
    <row r="4334" spans="1:27" x14ac:dyDescent="0.2">
      <c r="B4334" t="s">
        <v>1184</v>
      </c>
      <c r="C4334" t="s">
        <v>1070</v>
      </c>
      <c r="D4334" t="s">
        <v>1185</v>
      </c>
      <c r="E4334" s="20">
        <v>0.5</v>
      </c>
      <c r="F4334" t="s">
        <v>1072</v>
      </c>
      <c r="G4334" t="s">
        <v>1073</v>
      </c>
      <c r="H4334" s="21">
        <v>30.41</v>
      </c>
      <c r="I4334" t="s">
        <v>1074</v>
      </c>
      <c r="J4334" s="22">
        <f>ROUND(E4334/I4331* H4334,5)</f>
        <v>15.205</v>
      </c>
      <c r="K4334" s="23"/>
    </row>
    <row r="4335" spans="1:27" x14ac:dyDescent="0.2">
      <c r="D4335" s="24" t="s">
        <v>1075</v>
      </c>
      <c r="E4335" s="23"/>
      <c r="H4335" s="23"/>
      <c r="K4335" s="21">
        <f>SUM(J4333:J4334)</f>
        <v>28.244999999999997</v>
      </c>
    </row>
    <row r="4336" spans="1:27" x14ac:dyDescent="0.2">
      <c r="B4336" s="14" t="s">
        <v>1080</v>
      </c>
      <c r="E4336" s="23"/>
      <c r="H4336" s="23"/>
      <c r="K4336" s="23"/>
    </row>
    <row r="4337" spans="1:27" ht="304" x14ac:dyDescent="0.2">
      <c r="B4337" t="s">
        <v>2605</v>
      </c>
      <c r="C4337" t="s">
        <v>625</v>
      </c>
      <c r="D4337" s="26" t="s">
        <v>2606</v>
      </c>
      <c r="E4337" s="20">
        <v>1</v>
      </c>
      <c r="G4337" t="s">
        <v>1073</v>
      </c>
      <c r="H4337" s="21">
        <v>665</v>
      </c>
      <c r="I4337" t="s">
        <v>1074</v>
      </c>
      <c r="J4337" s="22">
        <f>ROUND(E4337* H4337,5)</f>
        <v>665</v>
      </c>
      <c r="K4337" s="23"/>
    </row>
    <row r="4338" spans="1:27" x14ac:dyDescent="0.2">
      <c r="D4338" s="24" t="s">
        <v>1090</v>
      </c>
      <c r="E4338" s="23"/>
      <c r="H4338" s="23"/>
      <c r="K4338" s="21">
        <f>SUM(J4337:J4337)</f>
        <v>665</v>
      </c>
    </row>
    <row r="4339" spans="1:27" x14ac:dyDescent="0.2">
      <c r="D4339" s="24" t="s">
        <v>1091</v>
      </c>
      <c r="E4339" s="23"/>
      <c r="H4339" s="23"/>
      <c r="K4339" s="25">
        <f>SUM(J4332:J4338)</f>
        <v>693.245</v>
      </c>
    </row>
    <row r="4340" spans="1:27" x14ac:dyDescent="0.2">
      <c r="D4340" s="24" t="s">
        <v>1142</v>
      </c>
      <c r="E4340" s="23"/>
      <c r="H4340" s="23">
        <v>8</v>
      </c>
      <c r="I4340" t="s">
        <v>1093</v>
      </c>
      <c r="K4340" s="21">
        <f>ROUND(H4340/100*K4339,5)</f>
        <v>55.459600000000002</v>
      </c>
    </row>
    <row r="4341" spans="1:27" x14ac:dyDescent="0.2">
      <c r="D4341" s="24" t="s">
        <v>1094</v>
      </c>
      <c r="E4341" s="23"/>
      <c r="H4341" s="23"/>
      <c r="K4341" s="25">
        <f>SUM(K4339:K4340)</f>
        <v>748.70460000000003</v>
      </c>
    </row>
    <row r="4343" spans="1:27" ht="45" customHeight="1" x14ac:dyDescent="0.2">
      <c r="A4343" s="17" t="s">
        <v>2654</v>
      </c>
      <c r="B4343" s="17" t="s">
        <v>843</v>
      </c>
      <c r="C4343" s="1" t="s">
        <v>625</v>
      </c>
      <c r="D4343" s="96" t="s">
        <v>844</v>
      </c>
      <c r="E4343" s="97"/>
      <c r="F4343" s="97"/>
      <c r="G4343" s="1"/>
      <c r="H4343" s="18" t="s">
        <v>1066</v>
      </c>
      <c r="I4343" s="98">
        <v>1</v>
      </c>
      <c r="J4343" s="99"/>
      <c r="K4343" s="19">
        <f>ROUND(K4355,2)</f>
        <v>171.56</v>
      </c>
      <c r="L4343" s="2" t="s">
        <v>2608</v>
      </c>
      <c r="M4343" s="1"/>
      <c r="N4343" s="1"/>
      <c r="O4343" s="1"/>
      <c r="P4343" s="1"/>
      <c r="Q4343" s="1"/>
      <c r="R4343" s="1"/>
      <c r="S4343" s="1"/>
      <c r="T4343" s="1"/>
      <c r="U4343" s="1"/>
      <c r="V4343" s="1"/>
      <c r="W4343" s="1"/>
      <c r="X4343" s="1"/>
      <c r="Y4343" s="1"/>
      <c r="Z4343" s="1"/>
      <c r="AA4343" s="1"/>
    </row>
    <row r="4344" spans="1:27" x14ac:dyDescent="0.2">
      <c r="B4344" s="14" t="s">
        <v>1068</v>
      </c>
    </row>
    <row r="4345" spans="1:27" x14ac:dyDescent="0.2">
      <c r="B4345" t="s">
        <v>2050</v>
      </c>
      <c r="C4345" t="s">
        <v>1070</v>
      </c>
      <c r="D4345" t="s">
        <v>2051</v>
      </c>
      <c r="E4345" s="20">
        <v>0.3</v>
      </c>
      <c r="F4345" t="s">
        <v>1072</v>
      </c>
      <c r="G4345" t="s">
        <v>1073</v>
      </c>
      <c r="H4345" s="21">
        <v>26.08</v>
      </c>
      <c r="I4345" t="s">
        <v>1074</v>
      </c>
      <c r="J4345" s="22">
        <f>ROUND(E4345/I4343* H4345,5)</f>
        <v>7.8239999999999998</v>
      </c>
      <c r="K4345" s="23"/>
    </row>
    <row r="4346" spans="1:27" x14ac:dyDescent="0.2">
      <c r="B4346" t="s">
        <v>1184</v>
      </c>
      <c r="C4346" t="s">
        <v>1070</v>
      </c>
      <c r="D4346" t="s">
        <v>1185</v>
      </c>
      <c r="E4346" s="20">
        <v>0.3</v>
      </c>
      <c r="F4346" t="s">
        <v>1072</v>
      </c>
      <c r="G4346" t="s">
        <v>1073</v>
      </c>
      <c r="H4346" s="21">
        <v>30.41</v>
      </c>
      <c r="I4346" t="s">
        <v>1074</v>
      </c>
      <c r="J4346" s="22">
        <f>ROUND(E4346/I4343* H4346,5)</f>
        <v>9.1229999999999993</v>
      </c>
      <c r="K4346" s="23"/>
    </row>
    <row r="4347" spans="1:27" x14ac:dyDescent="0.2">
      <c r="D4347" s="24" t="s">
        <v>1075</v>
      </c>
      <c r="E4347" s="23"/>
      <c r="H4347" s="23"/>
      <c r="K4347" s="21">
        <f>SUM(J4345:J4346)</f>
        <v>16.946999999999999</v>
      </c>
    </row>
    <row r="4348" spans="1:27" x14ac:dyDescent="0.2">
      <c r="B4348" s="14" t="s">
        <v>1080</v>
      </c>
      <c r="E4348" s="23"/>
      <c r="H4348" s="23"/>
      <c r="K4348" s="23"/>
    </row>
    <row r="4349" spans="1:27" x14ac:dyDescent="0.2">
      <c r="B4349" t="s">
        <v>2609</v>
      </c>
      <c r="C4349" t="s">
        <v>23</v>
      </c>
      <c r="D4349" t="s">
        <v>2608</v>
      </c>
      <c r="E4349" s="20">
        <v>0.65</v>
      </c>
      <c r="G4349" t="s">
        <v>1073</v>
      </c>
      <c r="H4349" s="21">
        <v>217.92</v>
      </c>
      <c r="I4349" t="s">
        <v>1074</v>
      </c>
      <c r="J4349" s="22">
        <f>ROUND(E4349* H4349,5)</f>
        <v>141.648</v>
      </c>
      <c r="K4349" s="23"/>
    </row>
    <row r="4350" spans="1:27" x14ac:dyDescent="0.2">
      <c r="D4350" s="24" t="s">
        <v>1090</v>
      </c>
      <c r="E4350" s="23"/>
      <c r="H4350" s="23"/>
      <c r="K4350" s="21">
        <f>SUM(J4349:J4349)</f>
        <v>141.648</v>
      </c>
    </row>
    <row r="4351" spans="1:27" x14ac:dyDescent="0.2">
      <c r="E4351" s="23"/>
      <c r="H4351" s="23"/>
      <c r="K4351" s="23"/>
    </row>
    <row r="4352" spans="1:27" x14ac:dyDescent="0.2">
      <c r="D4352" s="24" t="s">
        <v>1092</v>
      </c>
      <c r="E4352" s="23"/>
      <c r="H4352" s="23">
        <v>1.5</v>
      </c>
      <c r="I4352" t="s">
        <v>1093</v>
      </c>
      <c r="J4352">
        <f>ROUND(H4352/100*K4347,5)</f>
        <v>0.25420999999999999</v>
      </c>
      <c r="K4352" s="23"/>
    </row>
    <row r="4353" spans="1:27" x14ac:dyDescent="0.2">
      <c r="D4353" s="24" t="s">
        <v>1091</v>
      </c>
      <c r="E4353" s="23"/>
      <c r="H4353" s="23"/>
      <c r="K4353" s="25">
        <f>SUM(J4344:J4352)</f>
        <v>158.84921</v>
      </c>
    </row>
    <row r="4354" spans="1:27" x14ac:dyDescent="0.2">
      <c r="D4354" s="24" t="s">
        <v>1142</v>
      </c>
      <c r="E4354" s="23"/>
      <c r="H4354" s="23">
        <v>8</v>
      </c>
      <c r="I4354" t="s">
        <v>1093</v>
      </c>
      <c r="K4354" s="21">
        <f>ROUND(H4354/100*K4353,5)</f>
        <v>12.707940000000001</v>
      </c>
    </row>
    <row r="4355" spans="1:27" x14ac:dyDescent="0.2">
      <c r="D4355" s="24" t="s">
        <v>1094</v>
      </c>
      <c r="E4355" s="23"/>
      <c r="H4355" s="23"/>
      <c r="K4355" s="25">
        <f>SUM(K4353:K4354)</f>
        <v>171.55715000000001</v>
      </c>
    </row>
    <row r="4357" spans="1:27" ht="45" customHeight="1" x14ac:dyDescent="0.2">
      <c r="A4357" s="17" t="s">
        <v>2658</v>
      </c>
      <c r="B4357" s="17" t="s">
        <v>845</v>
      </c>
      <c r="C4357" s="1" t="s">
        <v>625</v>
      </c>
      <c r="D4357" s="96" t="s">
        <v>846</v>
      </c>
      <c r="E4357" s="97"/>
      <c r="F4357" s="97"/>
      <c r="G4357" s="1"/>
      <c r="H4357" s="18" t="s">
        <v>1066</v>
      </c>
      <c r="I4357" s="98">
        <v>1</v>
      </c>
      <c r="J4357" s="99"/>
      <c r="K4357" s="19">
        <f>ROUND(K4369,2)</f>
        <v>153.56</v>
      </c>
      <c r="L4357" s="2" t="s">
        <v>2611</v>
      </c>
      <c r="M4357" s="1"/>
      <c r="N4357" s="1"/>
      <c r="O4357" s="1"/>
      <c r="P4357" s="1"/>
      <c r="Q4357" s="1"/>
      <c r="R4357" s="1"/>
      <c r="S4357" s="1"/>
      <c r="T4357" s="1"/>
      <c r="U4357" s="1"/>
      <c r="V4357" s="1"/>
      <c r="W4357" s="1"/>
      <c r="X4357" s="1"/>
      <c r="Y4357" s="1"/>
      <c r="Z4357" s="1"/>
      <c r="AA4357" s="1"/>
    </row>
    <row r="4358" spans="1:27" x14ac:dyDescent="0.2">
      <c r="B4358" s="14" t="s">
        <v>1068</v>
      </c>
    </row>
    <row r="4359" spans="1:27" x14ac:dyDescent="0.2">
      <c r="B4359" t="s">
        <v>2050</v>
      </c>
      <c r="C4359" t="s">
        <v>1070</v>
      </c>
      <c r="D4359" t="s">
        <v>2051</v>
      </c>
      <c r="E4359" s="20">
        <v>0.3</v>
      </c>
      <c r="F4359" t="s">
        <v>1072</v>
      </c>
      <c r="G4359" t="s">
        <v>1073</v>
      </c>
      <c r="H4359" s="21">
        <v>26.08</v>
      </c>
      <c r="I4359" t="s">
        <v>1074</v>
      </c>
      <c r="J4359" s="22">
        <f>ROUND(E4359/I4357* H4359,5)</f>
        <v>7.8239999999999998</v>
      </c>
      <c r="K4359" s="23"/>
    </row>
    <row r="4360" spans="1:27" x14ac:dyDescent="0.2">
      <c r="B4360" t="s">
        <v>1184</v>
      </c>
      <c r="C4360" t="s">
        <v>1070</v>
      </c>
      <c r="D4360" t="s">
        <v>1185</v>
      </c>
      <c r="E4360" s="20">
        <v>0.3</v>
      </c>
      <c r="F4360" t="s">
        <v>1072</v>
      </c>
      <c r="G4360" t="s">
        <v>1073</v>
      </c>
      <c r="H4360" s="21">
        <v>30.41</v>
      </c>
      <c r="I4360" t="s">
        <v>1074</v>
      </c>
      <c r="J4360" s="22">
        <f>ROUND(E4360/I4357* H4360,5)</f>
        <v>9.1229999999999993</v>
      </c>
      <c r="K4360" s="23"/>
    </row>
    <row r="4361" spans="1:27" x14ac:dyDescent="0.2">
      <c r="D4361" s="24" t="s">
        <v>1075</v>
      </c>
      <c r="E4361" s="23"/>
      <c r="H4361" s="23"/>
      <c r="K4361" s="21">
        <f>SUM(J4359:J4360)</f>
        <v>16.946999999999999</v>
      </c>
    </row>
    <row r="4362" spans="1:27" x14ac:dyDescent="0.2">
      <c r="B4362" s="14" t="s">
        <v>2262</v>
      </c>
      <c r="E4362" s="23"/>
      <c r="H4362" s="23"/>
      <c r="K4362" s="23"/>
    </row>
    <row r="4363" spans="1:27" x14ac:dyDescent="0.2">
      <c r="B4363" t="s">
        <v>2612</v>
      </c>
      <c r="C4363" t="s">
        <v>625</v>
      </c>
      <c r="D4363" t="s">
        <v>2611</v>
      </c>
      <c r="E4363" s="20">
        <v>0.65</v>
      </c>
      <c r="G4363" t="s">
        <v>1073</v>
      </c>
      <c r="H4363" s="21">
        <v>192.29</v>
      </c>
      <c r="I4363" t="s">
        <v>1074</v>
      </c>
      <c r="J4363" s="22">
        <f>ROUND(E4363* H4363,5)</f>
        <v>124.9885</v>
      </c>
      <c r="K4363" s="23"/>
    </row>
    <row r="4364" spans="1:27" x14ac:dyDescent="0.2">
      <c r="D4364" s="24" t="s">
        <v>2265</v>
      </c>
      <c r="E4364" s="23"/>
      <c r="H4364" s="23"/>
      <c r="K4364" s="21">
        <f>SUM(J4363:J4363)</f>
        <v>124.9885</v>
      </c>
    </row>
    <row r="4365" spans="1:27" x14ac:dyDescent="0.2">
      <c r="E4365" s="23"/>
      <c r="H4365" s="23"/>
      <c r="K4365" s="23"/>
    </row>
    <row r="4366" spans="1:27" x14ac:dyDescent="0.2">
      <c r="D4366" s="24" t="s">
        <v>1092</v>
      </c>
      <c r="E4366" s="23"/>
      <c r="H4366" s="23">
        <v>1.5</v>
      </c>
      <c r="I4366" t="s">
        <v>1093</v>
      </c>
      <c r="J4366">
        <f>ROUND(H4366/100*K4361,5)</f>
        <v>0.25420999999999999</v>
      </c>
      <c r="K4366" s="23"/>
    </row>
    <row r="4367" spans="1:27" x14ac:dyDescent="0.2">
      <c r="D4367" s="24" t="s">
        <v>1091</v>
      </c>
      <c r="E4367" s="23"/>
      <c r="H4367" s="23"/>
      <c r="K4367" s="25">
        <f>SUM(J4358:J4366)</f>
        <v>142.18970999999999</v>
      </c>
    </row>
    <row r="4368" spans="1:27" x14ac:dyDescent="0.2">
      <c r="D4368" s="24" t="s">
        <v>1142</v>
      </c>
      <c r="E4368" s="23"/>
      <c r="H4368" s="23">
        <v>8</v>
      </c>
      <c r="I4368" t="s">
        <v>1093</v>
      </c>
      <c r="K4368" s="21">
        <f>ROUND(H4368/100*K4367,5)</f>
        <v>11.37518</v>
      </c>
    </row>
    <row r="4369" spans="1:27" x14ac:dyDescent="0.2">
      <c r="D4369" s="24" t="s">
        <v>1094</v>
      </c>
      <c r="E4369" s="23"/>
      <c r="H4369" s="23"/>
      <c r="K4369" s="25">
        <f>SUM(K4367:K4368)</f>
        <v>153.56488999999999</v>
      </c>
    </row>
    <row r="4371" spans="1:27" ht="45" customHeight="1" x14ac:dyDescent="0.2">
      <c r="A4371" s="17" t="s">
        <v>2661</v>
      </c>
      <c r="B4371" s="17" t="s">
        <v>847</v>
      </c>
      <c r="C4371" s="1" t="s">
        <v>625</v>
      </c>
      <c r="D4371" s="96" t="s">
        <v>848</v>
      </c>
      <c r="E4371" s="97"/>
      <c r="F4371" s="97"/>
      <c r="G4371" s="1"/>
      <c r="H4371" s="18" t="s">
        <v>1066</v>
      </c>
      <c r="I4371" s="98">
        <v>1</v>
      </c>
      <c r="J4371" s="99"/>
      <c r="K4371" s="19">
        <f>ROUND(K4383,2)</f>
        <v>72.75</v>
      </c>
      <c r="L4371" s="2" t="s">
        <v>2614</v>
      </c>
      <c r="M4371" s="1"/>
      <c r="N4371" s="1"/>
      <c r="O4371" s="1"/>
      <c r="P4371" s="1"/>
      <c r="Q4371" s="1"/>
      <c r="R4371" s="1"/>
      <c r="S4371" s="1"/>
      <c r="T4371" s="1"/>
      <c r="U4371" s="1"/>
      <c r="V4371" s="1"/>
      <c r="W4371" s="1"/>
      <c r="X4371" s="1"/>
      <c r="Y4371" s="1"/>
      <c r="Z4371" s="1"/>
      <c r="AA4371" s="1"/>
    </row>
    <row r="4372" spans="1:27" x14ac:dyDescent="0.2">
      <c r="B4372" s="14" t="s">
        <v>1068</v>
      </c>
    </row>
    <row r="4373" spans="1:27" x14ac:dyDescent="0.2">
      <c r="B4373" t="s">
        <v>1184</v>
      </c>
      <c r="C4373" t="s">
        <v>1070</v>
      </c>
      <c r="D4373" t="s">
        <v>1185</v>
      </c>
      <c r="E4373" s="20">
        <v>0.3</v>
      </c>
      <c r="F4373" t="s">
        <v>1072</v>
      </c>
      <c r="G4373" t="s">
        <v>1073</v>
      </c>
      <c r="H4373" s="21">
        <v>30.41</v>
      </c>
      <c r="I4373" t="s">
        <v>1074</v>
      </c>
      <c r="J4373" s="22">
        <f>ROUND(E4373/I4371* H4373,5)</f>
        <v>9.1229999999999993</v>
      </c>
      <c r="K4373" s="23"/>
    </row>
    <row r="4374" spans="1:27" x14ac:dyDescent="0.2">
      <c r="B4374" t="s">
        <v>2050</v>
      </c>
      <c r="C4374" t="s">
        <v>1070</v>
      </c>
      <c r="D4374" t="s">
        <v>2051</v>
      </c>
      <c r="E4374" s="20">
        <v>0.3</v>
      </c>
      <c r="F4374" t="s">
        <v>1072</v>
      </c>
      <c r="G4374" t="s">
        <v>1073</v>
      </c>
      <c r="H4374" s="21">
        <v>26.08</v>
      </c>
      <c r="I4374" t="s">
        <v>1074</v>
      </c>
      <c r="J4374" s="22">
        <f>ROUND(E4374/I4371* H4374,5)</f>
        <v>7.8239999999999998</v>
      </c>
      <c r="K4374" s="23"/>
    </row>
    <row r="4375" spans="1:27" x14ac:dyDescent="0.2">
      <c r="D4375" s="24" t="s">
        <v>1075</v>
      </c>
      <c r="E4375" s="23"/>
      <c r="H4375" s="23"/>
      <c r="K4375" s="21">
        <f>SUM(J4373:J4374)</f>
        <v>16.946999999999999</v>
      </c>
    </row>
    <row r="4376" spans="1:27" x14ac:dyDescent="0.2">
      <c r="B4376" s="14" t="s">
        <v>2262</v>
      </c>
      <c r="E4376" s="23"/>
      <c r="H4376" s="23"/>
      <c r="K4376" s="23"/>
    </row>
    <row r="4377" spans="1:27" x14ac:dyDescent="0.2">
      <c r="B4377" t="s">
        <v>2615</v>
      </c>
      <c r="C4377" t="s">
        <v>625</v>
      </c>
      <c r="D4377" t="s">
        <v>2614</v>
      </c>
      <c r="E4377" s="20">
        <v>0.6</v>
      </c>
      <c r="G4377" t="s">
        <v>1073</v>
      </c>
      <c r="H4377" s="21">
        <v>83.6</v>
      </c>
      <c r="I4377" t="s">
        <v>1074</v>
      </c>
      <c r="J4377" s="22">
        <f>ROUND(E4377* H4377,5)</f>
        <v>50.16</v>
      </c>
      <c r="K4377" s="23"/>
    </row>
    <row r="4378" spans="1:27" x14ac:dyDescent="0.2">
      <c r="D4378" s="24" t="s">
        <v>2265</v>
      </c>
      <c r="E4378" s="23"/>
      <c r="H4378" s="23"/>
      <c r="K4378" s="21">
        <f>SUM(J4377:J4377)</f>
        <v>50.16</v>
      </c>
    </row>
    <row r="4379" spans="1:27" x14ac:dyDescent="0.2">
      <c r="E4379" s="23"/>
      <c r="H4379" s="23"/>
      <c r="K4379" s="23"/>
    </row>
    <row r="4380" spans="1:27" x14ac:dyDescent="0.2">
      <c r="D4380" s="24" t="s">
        <v>1092</v>
      </c>
      <c r="E4380" s="23"/>
      <c r="H4380" s="23">
        <v>1.5</v>
      </c>
      <c r="I4380" t="s">
        <v>1093</v>
      </c>
      <c r="J4380">
        <f>ROUND(H4380/100*K4375,5)</f>
        <v>0.25420999999999999</v>
      </c>
      <c r="K4380" s="23"/>
    </row>
    <row r="4381" spans="1:27" x14ac:dyDescent="0.2">
      <c r="D4381" s="24" t="s">
        <v>1091</v>
      </c>
      <c r="E4381" s="23"/>
      <c r="H4381" s="23"/>
      <c r="K4381" s="25">
        <f>SUM(J4372:J4380)</f>
        <v>67.36121</v>
      </c>
    </row>
    <row r="4382" spans="1:27" x14ac:dyDescent="0.2">
      <c r="D4382" s="24" t="s">
        <v>1142</v>
      </c>
      <c r="E4382" s="23"/>
      <c r="H4382" s="23">
        <v>8</v>
      </c>
      <c r="I4382" t="s">
        <v>1093</v>
      </c>
      <c r="K4382" s="21">
        <f>ROUND(H4382/100*K4381,5)</f>
        <v>5.3888999999999996</v>
      </c>
    </row>
    <row r="4383" spans="1:27" x14ac:dyDescent="0.2">
      <c r="D4383" s="24" t="s">
        <v>1094</v>
      </c>
      <c r="E4383" s="23"/>
      <c r="H4383" s="23"/>
      <c r="K4383" s="25">
        <f>SUM(K4381:K4382)</f>
        <v>72.750110000000006</v>
      </c>
    </row>
    <row r="4385" spans="1:27" ht="45" customHeight="1" x14ac:dyDescent="0.2">
      <c r="A4385" s="17" t="s">
        <v>2667</v>
      </c>
      <c r="B4385" s="17" t="s">
        <v>849</v>
      </c>
      <c r="C4385" s="1" t="s">
        <v>36</v>
      </c>
      <c r="D4385" s="96" t="s">
        <v>850</v>
      </c>
      <c r="E4385" s="97"/>
      <c r="F4385" s="97"/>
      <c r="G4385" s="1"/>
      <c r="H4385" s="18" t="s">
        <v>1066</v>
      </c>
      <c r="I4385" s="98">
        <v>1</v>
      </c>
      <c r="J4385" s="99"/>
      <c r="K4385" s="19">
        <f>ROUND(K4397,2)</f>
        <v>53.12</v>
      </c>
      <c r="L4385" s="2" t="s">
        <v>2617</v>
      </c>
      <c r="M4385" s="1"/>
      <c r="N4385" s="1"/>
      <c r="O4385" s="1"/>
      <c r="P4385" s="1"/>
      <c r="Q4385" s="1"/>
      <c r="R4385" s="1"/>
      <c r="S4385" s="1"/>
      <c r="T4385" s="1"/>
      <c r="U4385" s="1"/>
      <c r="V4385" s="1"/>
      <c r="W4385" s="1"/>
      <c r="X4385" s="1"/>
      <c r="Y4385" s="1"/>
      <c r="Z4385" s="1"/>
      <c r="AA4385" s="1"/>
    </row>
    <row r="4386" spans="1:27" x14ac:dyDescent="0.2">
      <c r="B4386" s="14" t="s">
        <v>1068</v>
      </c>
    </row>
    <row r="4387" spans="1:27" x14ac:dyDescent="0.2">
      <c r="B4387" t="s">
        <v>1184</v>
      </c>
      <c r="C4387" t="s">
        <v>1070</v>
      </c>
      <c r="D4387" t="s">
        <v>1185</v>
      </c>
      <c r="E4387" s="20">
        <v>0.3</v>
      </c>
      <c r="F4387" t="s">
        <v>1072</v>
      </c>
      <c r="G4387" t="s">
        <v>1073</v>
      </c>
      <c r="H4387" s="21">
        <v>30.41</v>
      </c>
      <c r="I4387" t="s">
        <v>1074</v>
      </c>
      <c r="J4387" s="22">
        <f>ROUND(E4387/I4385* H4387,5)</f>
        <v>9.1229999999999993</v>
      </c>
      <c r="K4387" s="23"/>
    </row>
    <row r="4388" spans="1:27" x14ac:dyDescent="0.2">
      <c r="B4388" t="s">
        <v>2050</v>
      </c>
      <c r="C4388" t="s">
        <v>1070</v>
      </c>
      <c r="D4388" t="s">
        <v>2051</v>
      </c>
      <c r="E4388" s="20">
        <v>0.3</v>
      </c>
      <c r="F4388" t="s">
        <v>1072</v>
      </c>
      <c r="G4388" t="s">
        <v>1073</v>
      </c>
      <c r="H4388" s="21">
        <v>26.08</v>
      </c>
      <c r="I4388" t="s">
        <v>1074</v>
      </c>
      <c r="J4388" s="22">
        <f>ROUND(E4388/I4385* H4388,5)</f>
        <v>7.8239999999999998</v>
      </c>
      <c r="K4388" s="23"/>
    </row>
    <row r="4389" spans="1:27" x14ac:dyDescent="0.2">
      <c r="D4389" s="24" t="s">
        <v>1075</v>
      </c>
      <c r="E4389" s="23"/>
      <c r="H4389" s="23"/>
      <c r="K4389" s="21">
        <f>SUM(J4387:J4388)</f>
        <v>16.946999999999999</v>
      </c>
    </row>
    <row r="4390" spans="1:27" x14ac:dyDescent="0.2">
      <c r="B4390" s="14" t="s">
        <v>2262</v>
      </c>
      <c r="E4390" s="23"/>
      <c r="H4390" s="23"/>
      <c r="K4390" s="23"/>
    </row>
    <row r="4391" spans="1:27" x14ac:dyDescent="0.2">
      <c r="B4391" t="s">
        <v>2618</v>
      </c>
      <c r="C4391" t="s">
        <v>625</v>
      </c>
      <c r="D4391" t="s">
        <v>2619</v>
      </c>
      <c r="E4391" s="20">
        <v>1</v>
      </c>
      <c r="G4391" t="s">
        <v>1073</v>
      </c>
      <c r="H4391" s="21">
        <v>31.98</v>
      </c>
      <c r="I4391" t="s">
        <v>1074</v>
      </c>
      <c r="J4391" s="22">
        <f>ROUND(E4391* H4391,5)</f>
        <v>31.98</v>
      </c>
      <c r="K4391" s="23"/>
    </row>
    <row r="4392" spans="1:27" x14ac:dyDescent="0.2">
      <c r="D4392" s="24" t="s">
        <v>2265</v>
      </c>
      <c r="E4392" s="23"/>
      <c r="H4392" s="23"/>
      <c r="K4392" s="21">
        <f>SUM(J4391:J4391)</f>
        <v>31.98</v>
      </c>
    </row>
    <row r="4393" spans="1:27" x14ac:dyDescent="0.2">
      <c r="E4393" s="23"/>
      <c r="H4393" s="23"/>
      <c r="K4393" s="23"/>
    </row>
    <row r="4394" spans="1:27" x14ac:dyDescent="0.2">
      <c r="D4394" s="24" t="s">
        <v>1092</v>
      </c>
      <c r="E4394" s="23"/>
      <c r="H4394" s="23">
        <v>1.5</v>
      </c>
      <c r="I4394" t="s">
        <v>1093</v>
      </c>
      <c r="J4394">
        <f>ROUND(H4394/100*K4389,5)</f>
        <v>0.25420999999999999</v>
      </c>
      <c r="K4394" s="23"/>
    </row>
    <row r="4395" spans="1:27" x14ac:dyDescent="0.2">
      <c r="D4395" s="24" t="s">
        <v>1091</v>
      </c>
      <c r="E4395" s="23"/>
      <c r="H4395" s="23"/>
      <c r="K4395" s="25">
        <f>SUM(J4386:J4394)</f>
        <v>49.18121</v>
      </c>
    </row>
    <row r="4396" spans="1:27" x14ac:dyDescent="0.2">
      <c r="D4396" s="24" t="s">
        <v>1142</v>
      </c>
      <c r="E4396" s="23"/>
      <c r="H4396" s="23">
        <v>8</v>
      </c>
      <c r="I4396" t="s">
        <v>1093</v>
      </c>
      <c r="K4396" s="21">
        <f>ROUND(H4396/100*K4395,5)</f>
        <v>3.9344999999999999</v>
      </c>
    </row>
    <row r="4397" spans="1:27" x14ac:dyDescent="0.2">
      <c r="D4397" s="24" t="s">
        <v>1094</v>
      </c>
      <c r="E4397" s="23"/>
      <c r="H4397" s="23"/>
      <c r="K4397" s="25">
        <f>SUM(K4395:K4396)</f>
        <v>53.11571</v>
      </c>
    </row>
    <row r="4399" spans="1:27" ht="45" customHeight="1" x14ac:dyDescent="0.2">
      <c r="A4399" s="17" t="s">
        <v>2673</v>
      </c>
      <c r="B4399" s="17" t="s">
        <v>835</v>
      </c>
      <c r="C4399" s="1" t="s">
        <v>36</v>
      </c>
      <c r="D4399" s="96" t="s">
        <v>836</v>
      </c>
      <c r="E4399" s="97"/>
      <c r="F4399" s="97"/>
      <c r="G4399" s="1"/>
      <c r="H4399" s="18" t="s">
        <v>1066</v>
      </c>
      <c r="I4399" s="98">
        <v>1</v>
      </c>
      <c r="J4399" s="99"/>
      <c r="K4399" s="19">
        <f>ROUND(K4411,2)</f>
        <v>58.42</v>
      </c>
      <c r="L4399" s="2" t="s">
        <v>2621</v>
      </c>
      <c r="M4399" s="1"/>
      <c r="N4399" s="1"/>
      <c r="O4399" s="1"/>
      <c r="P4399" s="1"/>
      <c r="Q4399" s="1"/>
      <c r="R4399" s="1"/>
      <c r="S4399" s="1"/>
      <c r="T4399" s="1"/>
      <c r="U4399" s="1"/>
      <c r="V4399" s="1"/>
      <c r="W4399" s="1"/>
      <c r="X4399" s="1"/>
      <c r="Y4399" s="1"/>
      <c r="Z4399" s="1"/>
      <c r="AA4399" s="1"/>
    </row>
    <row r="4400" spans="1:27" x14ac:dyDescent="0.2">
      <c r="B4400" s="14" t="s">
        <v>1068</v>
      </c>
    </row>
    <row r="4401" spans="1:27" x14ac:dyDescent="0.2">
      <c r="B4401" t="s">
        <v>1184</v>
      </c>
      <c r="C4401" t="s">
        <v>1070</v>
      </c>
      <c r="D4401" t="s">
        <v>1185</v>
      </c>
      <c r="E4401" s="20">
        <v>0.12</v>
      </c>
      <c r="F4401" t="s">
        <v>1072</v>
      </c>
      <c r="G4401" t="s">
        <v>1073</v>
      </c>
      <c r="H4401" s="21">
        <v>30.41</v>
      </c>
      <c r="I4401" t="s">
        <v>1074</v>
      </c>
      <c r="J4401" s="22">
        <f>ROUND(E4401/I4399* H4401,5)</f>
        <v>3.6492</v>
      </c>
      <c r="K4401" s="23"/>
    </row>
    <row r="4402" spans="1:27" x14ac:dyDescent="0.2">
      <c r="B4402" t="s">
        <v>2050</v>
      </c>
      <c r="C4402" t="s">
        <v>1070</v>
      </c>
      <c r="D4402" t="s">
        <v>2051</v>
      </c>
      <c r="E4402" s="20">
        <v>0.12</v>
      </c>
      <c r="F4402" t="s">
        <v>1072</v>
      </c>
      <c r="G4402" t="s">
        <v>1073</v>
      </c>
      <c r="H4402" s="21">
        <v>26.08</v>
      </c>
      <c r="I4402" t="s">
        <v>1074</v>
      </c>
      <c r="J4402" s="22">
        <f>ROUND(E4402/I4399* H4402,5)</f>
        <v>3.1295999999999999</v>
      </c>
      <c r="K4402" s="23"/>
    </row>
    <row r="4403" spans="1:27" x14ac:dyDescent="0.2">
      <c r="D4403" s="24" t="s">
        <v>1075</v>
      </c>
      <c r="E4403" s="23"/>
      <c r="H4403" s="23"/>
      <c r="K4403" s="21">
        <f>SUM(J4401:J4402)</f>
        <v>6.7788000000000004</v>
      </c>
    </row>
    <row r="4404" spans="1:27" x14ac:dyDescent="0.2">
      <c r="B4404" s="14" t="s">
        <v>2262</v>
      </c>
      <c r="E4404" s="23"/>
      <c r="H4404" s="23"/>
      <c r="K4404" s="23"/>
    </row>
    <row r="4405" spans="1:27" x14ac:dyDescent="0.2">
      <c r="B4405" t="s">
        <v>2622</v>
      </c>
      <c r="C4405" t="s">
        <v>625</v>
      </c>
      <c r="D4405" t="s">
        <v>2621</v>
      </c>
      <c r="E4405" s="20">
        <v>0.65</v>
      </c>
      <c r="G4405" t="s">
        <v>1073</v>
      </c>
      <c r="H4405" s="21">
        <v>72.64</v>
      </c>
      <c r="I4405" t="s">
        <v>1074</v>
      </c>
      <c r="J4405" s="22">
        <f>ROUND(E4405* H4405,5)</f>
        <v>47.216000000000001</v>
      </c>
      <c r="K4405" s="23"/>
    </row>
    <row r="4406" spans="1:27" x14ac:dyDescent="0.2">
      <c r="D4406" s="24" t="s">
        <v>2265</v>
      </c>
      <c r="E4406" s="23"/>
      <c r="H4406" s="23"/>
      <c r="K4406" s="21">
        <f>SUM(J4405:J4405)</f>
        <v>47.216000000000001</v>
      </c>
    </row>
    <row r="4407" spans="1:27" x14ac:dyDescent="0.2">
      <c r="E4407" s="23"/>
      <c r="H4407" s="23"/>
      <c r="K4407" s="23"/>
    </row>
    <row r="4408" spans="1:27" x14ac:dyDescent="0.2">
      <c r="D4408" s="24" t="s">
        <v>1092</v>
      </c>
      <c r="E4408" s="23"/>
      <c r="H4408" s="23">
        <v>1.5</v>
      </c>
      <c r="I4408" t="s">
        <v>1093</v>
      </c>
      <c r="J4408">
        <f>ROUND(H4408/100*K4403,5)</f>
        <v>0.10168000000000001</v>
      </c>
      <c r="K4408" s="23"/>
    </row>
    <row r="4409" spans="1:27" x14ac:dyDescent="0.2">
      <c r="D4409" s="24" t="s">
        <v>1091</v>
      </c>
      <c r="E4409" s="23"/>
      <c r="H4409" s="23"/>
      <c r="K4409" s="25">
        <f>SUM(J4400:J4408)</f>
        <v>54.09648</v>
      </c>
    </row>
    <row r="4410" spans="1:27" x14ac:dyDescent="0.2">
      <c r="D4410" s="24" t="s">
        <v>1142</v>
      </c>
      <c r="E4410" s="23"/>
      <c r="H4410" s="23">
        <v>8</v>
      </c>
      <c r="I4410" t="s">
        <v>1093</v>
      </c>
      <c r="K4410" s="21">
        <f>ROUND(H4410/100*K4409,5)</f>
        <v>4.3277200000000002</v>
      </c>
    </row>
    <row r="4411" spans="1:27" x14ac:dyDescent="0.2">
      <c r="D4411" s="24" t="s">
        <v>1094</v>
      </c>
      <c r="E4411" s="23"/>
      <c r="H4411" s="23"/>
      <c r="K4411" s="25">
        <f>SUM(K4409:K4410)</f>
        <v>58.424199999999999</v>
      </c>
    </row>
    <row r="4413" spans="1:27" ht="45" customHeight="1" x14ac:dyDescent="0.2">
      <c r="A4413" s="17" t="s">
        <v>2679</v>
      </c>
      <c r="B4413" s="17" t="s">
        <v>837</v>
      </c>
      <c r="C4413" s="1" t="s">
        <v>625</v>
      </c>
      <c r="D4413" s="96" t="s">
        <v>838</v>
      </c>
      <c r="E4413" s="97"/>
      <c r="F4413" s="97"/>
      <c r="G4413" s="1"/>
      <c r="H4413" s="18" t="s">
        <v>1066</v>
      </c>
      <c r="I4413" s="98">
        <v>1</v>
      </c>
      <c r="J4413" s="99"/>
      <c r="K4413" s="19">
        <f>ROUND(K4425,2)</f>
        <v>104.51</v>
      </c>
      <c r="L4413" s="2" t="s">
        <v>2624</v>
      </c>
      <c r="M4413" s="1"/>
      <c r="N4413" s="1"/>
      <c r="O4413" s="1"/>
      <c r="P4413" s="1"/>
      <c r="Q4413" s="1"/>
      <c r="R4413" s="1"/>
      <c r="S4413" s="1"/>
      <c r="T4413" s="1"/>
      <c r="U4413" s="1"/>
      <c r="V4413" s="1"/>
      <c r="W4413" s="1"/>
      <c r="X4413" s="1"/>
      <c r="Y4413" s="1"/>
      <c r="Z4413" s="1"/>
      <c r="AA4413" s="1"/>
    </row>
    <row r="4414" spans="1:27" x14ac:dyDescent="0.2">
      <c r="B4414" s="14" t="s">
        <v>1068</v>
      </c>
    </row>
    <row r="4415" spans="1:27" x14ac:dyDescent="0.2">
      <c r="B4415" t="s">
        <v>2050</v>
      </c>
      <c r="C4415" t="s">
        <v>1070</v>
      </c>
      <c r="D4415" t="s">
        <v>2051</v>
      </c>
      <c r="E4415" s="20">
        <v>0.2</v>
      </c>
      <c r="F4415" t="s">
        <v>1072</v>
      </c>
      <c r="G4415" t="s">
        <v>1073</v>
      </c>
      <c r="H4415" s="21">
        <v>26.08</v>
      </c>
      <c r="I4415" t="s">
        <v>1074</v>
      </c>
      <c r="J4415" s="22">
        <f>ROUND(E4415/I4413* H4415,5)</f>
        <v>5.2160000000000002</v>
      </c>
      <c r="K4415" s="23"/>
    </row>
    <row r="4416" spans="1:27" x14ac:dyDescent="0.2">
      <c r="B4416" t="s">
        <v>1184</v>
      </c>
      <c r="C4416" t="s">
        <v>1070</v>
      </c>
      <c r="D4416" t="s">
        <v>1185</v>
      </c>
      <c r="E4416" s="20">
        <v>0.2</v>
      </c>
      <c r="F4416" t="s">
        <v>1072</v>
      </c>
      <c r="G4416" t="s">
        <v>1073</v>
      </c>
      <c r="H4416" s="21">
        <v>30.41</v>
      </c>
      <c r="I4416" t="s">
        <v>1074</v>
      </c>
      <c r="J4416" s="22">
        <f>ROUND(E4416/I4413* H4416,5)</f>
        <v>6.0819999999999999</v>
      </c>
      <c r="K4416" s="23"/>
    </row>
    <row r="4417" spans="1:27" x14ac:dyDescent="0.2">
      <c r="D4417" s="24" t="s">
        <v>1075</v>
      </c>
      <c r="E4417" s="23"/>
      <c r="H4417" s="23"/>
      <c r="K4417" s="21">
        <f>SUM(J4415:J4416)</f>
        <v>11.298</v>
      </c>
    </row>
    <row r="4418" spans="1:27" x14ac:dyDescent="0.2">
      <c r="B4418" s="14" t="s">
        <v>2262</v>
      </c>
      <c r="E4418" s="23"/>
      <c r="H4418" s="23"/>
      <c r="K4418" s="23"/>
    </row>
    <row r="4419" spans="1:27" x14ac:dyDescent="0.2">
      <c r="B4419" t="s">
        <v>2625</v>
      </c>
      <c r="C4419" t="s">
        <v>625</v>
      </c>
      <c r="D4419" t="s">
        <v>2626</v>
      </c>
      <c r="E4419" s="20">
        <v>0.65</v>
      </c>
      <c r="G4419" t="s">
        <v>1073</v>
      </c>
      <c r="H4419" s="21">
        <v>131.22999999999999</v>
      </c>
      <c r="I4419" t="s">
        <v>1074</v>
      </c>
      <c r="J4419" s="22">
        <f>ROUND(E4419* H4419,5)</f>
        <v>85.299499999999995</v>
      </c>
      <c r="K4419" s="23"/>
    </row>
    <row r="4420" spans="1:27" x14ac:dyDescent="0.2">
      <c r="D4420" s="24" t="s">
        <v>2265</v>
      </c>
      <c r="E4420" s="23"/>
      <c r="H4420" s="23"/>
      <c r="K4420" s="21">
        <f>SUM(J4419:J4419)</f>
        <v>85.299499999999995</v>
      </c>
    </row>
    <row r="4421" spans="1:27" x14ac:dyDescent="0.2">
      <c r="E4421" s="23"/>
      <c r="H4421" s="23"/>
      <c r="K4421" s="23"/>
    </row>
    <row r="4422" spans="1:27" x14ac:dyDescent="0.2">
      <c r="D4422" s="24" t="s">
        <v>1092</v>
      </c>
      <c r="E4422" s="23"/>
      <c r="H4422" s="23">
        <v>1.5</v>
      </c>
      <c r="I4422" t="s">
        <v>1093</v>
      </c>
      <c r="J4422">
        <f>ROUND(H4422/100*K4417,5)</f>
        <v>0.16947000000000001</v>
      </c>
      <c r="K4422" s="23"/>
    </row>
    <row r="4423" spans="1:27" x14ac:dyDescent="0.2">
      <c r="D4423" s="24" t="s">
        <v>1091</v>
      </c>
      <c r="E4423" s="23"/>
      <c r="H4423" s="23"/>
      <c r="K4423" s="25">
        <f>SUM(J4414:J4422)</f>
        <v>96.766970000000001</v>
      </c>
    </row>
    <row r="4424" spans="1:27" x14ac:dyDescent="0.2">
      <c r="D4424" s="24" t="s">
        <v>1142</v>
      </c>
      <c r="E4424" s="23"/>
      <c r="H4424" s="23">
        <v>8</v>
      </c>
      <c r="I4424" t="s">
        <v>1093</v>
      </c>
      <c r="K4424" s="21">
        <f>ROUND(H4424/100*K4423,5)</f>
        <v>7.7413600000000002</v>
      </c>
    </row>
    <row r="4425" spans="1:27" x14ac:dyDescent="0.2">
      <c r="D4425" s="24" t="s">
        <v>1094</v>
      </c>
      <c r="E4425" s="23"/>
      <c r="H4425" s="23"/>
      <c r="K4425" s="25">
        <f>SUM(K4423:K4424)</f>
        <v>104.50833</v>
      </c>
    </row>
    <row r="4427" spans="1:27" ht="45" customHeight="1" x14ac:dyDescent="0.2">
      <c r="A4427" s="17" t="s">
        <v>2682</v>
      </c>
      <c r="B4427" s="17" t="s">
        <v>915</v>
      </c>
      <c r="C4427" s="1" t="s">
        <v>23</v>
      </c>
      <c r="D4427" s="96" t="s">
        <v>916</v>
      </c>
      <c r="E4427" s="97"/>
      <c r="F4427" s="97"/>
      <c r="G4427" s="1"/>
      <c r="H4427" s="18" t="s">
        <v>1066</v>
      </c>
      <c r="I4427" s="98">
        <v>1</v>
      </c>
      <c r="J4427" s="99"/>
      <c r="K4427" s="19">
        <f>ROUND(K4439,2)</f>
        <v>127.39</v>
      </c>
      <c r="L4427" s="2" t="s">
        <v>2628</v>
      </c>
      <c r="M4427" s="1"/>
      <c r="N4427" s="1"/>
      <c r="O4427" s="1"/>
      <c r="P4427" s="1"/>
      <c r="Q4427" s="1"/>
      <c r="R4427" s="1"/>
      <c r="S4427" s="1"/>
      <c r="T4427" s="1"/>
      <c r="U4427" s="1"/>
      <c r="V4427" s="1"/>
      <c r="W4427" s="1"/>
      <c r="X4427" s="1"/>
      <c r="Y4427" s="1"/>
      <c r="Z4427" s="1"/>
      <c r="AA4427" s="1"/>
    </row>
    <row r="4428" spans="1:27" x14ac:dyDescent="0.2">
      <c r="B4428" s="14" t="s">
        <v>1068</v>
      </c>
    </row>
    <row r="4429" spans="1:27" x14ac:dyDescent="0.2">
      <c r="B4429" t="s">
        <v>1184</v>
      </c>
      <c r="C4429" t="s">
        <v>1070</v>
      </c>
      <c r="D4429" t="s">
        <v>1185</v>
      </c>
      <c r="E4429" s="20">
        <v>0.15</v>
      </c>
      <c r="F4429" t="s">
        <v>1072</v>
      </c>
      <c r="G4429" t="s">
        <v>1073</v>
      </c>
      <c r="H4429" s="21">
        <v>30.41</v>
      </c>
      <c r="I4429" t="s">
        <v>1074</v>
      </c>
      <c r="J4429" s="22">
        <f>ROUND(E4429/I4427* H4429,5)</f>
        <v>4.5614999999999997</v>
      </c>
      <c r="K4429" s="23"/>
    </row>
    <row r="4430" spans="1:27" x14ac:dyDescent="0.2">
      <c r="B4430" t="s">
        <v>2050</v>
      </c>
      <c r="C4430" t="s">
        <v>1070</v>
      </c>
      <c r="D4430" t="s">
        <v>2051</v>
      </c>
      <c r="E4430" s="20">
        <v>0.15</v>
      </c>
      <c r="F4430" t="s">
        <v>1072</v>
      </c>
      <c r="G4430" t="s">
        <v>1073</v>
      </c>
      <c r="H4430" s="21">
        <v>26.08</v>
      </c>
      <c r="I4430" t="s">
        <v>1074</v>
      </c>
      <c r="J4430" s="22">
        <f>ROUND(E4430/I4427* H4430,5)</f>
        <v>3.9119999999999999</v>
      </c>
      <c r="K4430" s="23"/>
    </row>
    <row r="4431" spans="1:27" x14ac:dyDescent="0.2">
      <c r="D4431" s="24" t="s">
        <v>1075</v>
      </c>
      <c r="E4431" s="23"/>
      <c r="H4431" s="23"/>
      <c r="K4431" s="21">
        <f>SUM(J4429:J4430)</f>
        <v>8.4734999999999996</v>
      </c>
    </row>
    <row r="4432" spans="1:27" x14ac:dyDescent="0.2">
      <c r="B4432" s="14" t="s">
        <v>1080</v>
      </c>
      <c r="E4432" s="23"/>
      <c r="H4432" s="23"/>
      <c r="K4432" s="23"/>
    </row>
    <row r="4433" spans="1:27" x14ac:dyDescent="0.2">
      <c r="B4433" t="s">
        <v>2629</v>
      </c>
      <c r="C4433" t="s">
        <v>23</v>
      </c>
      <c r="D4433" t="s">
        <v>2630</v>
      </c>
      <c r="E4433" s="20">
        <v>1</v>
      </c>
      <c r="G4433" t="s">
        <v>1073</v>
      </c>
      <c r="H4433" s="21">
        <v>109.35</v>
      </c>
      <c r="I4433" t="s">
        <v>1074</v>
      </c>
      <c r="J4433" s="22">
        <f>ROUND(E4433* H4433,5)</f>
        <v>109.35</v>
      </c>
      <c r="K4433" s="23"/>
    </row>
    <row r="4434" spans="1:27" x14ac:dyDescent="0.2">
      <c r="D4434" s="24" t="s">
        <v>1090</v>
      </c>
      <c r="E4434" s="23"/>
      <c r="H4434" s="23"/>
      <c r="K4434" s="21">
        <f>SUM(J4433:J4433)</f>
        <v>109.35</v>
      </c>
    </row>
    <row r="4435" spans="1:27" x14ac:dyDescent="0.2">
      <c r="E4435" s="23"/>
      <c r="H4435" s="23"/>
      <c r="K4435" s="23"/>
    </row>
    <row r="4436" spans="1:27" x14ac:dyDescent="0.2">
      <c r="D4436" s="24" t="s">
        <v>1092</v>
      </c>
      <c r="E4436" s="23"/>
      <c r="H4436" s="23">
        <v>1.5</v>
      </c>
      <c r="I4436" t="s">
        <v>1093</v>
      </c>
      <c r="J4436">
        <f>ROUND(H4436/100*K4431,5)</f>
        <v>0.12709999999999999</v>
      </c>
      <c r="K4436" s="23"/>
    </row>
    <row r="4437" spans="1:27" x14ac:dyDescent="0.2">
      <c r="D4437" s="24" t="s">
        <v>1091</v>
      </c>
      <c r="E4437" s="23"/>
      <c r="H4437" s="23"/>
      <c r="K4437" s="25">
        <f>SUM(J4428:J4436)</f>
        <v>117.95059999999999</v>
      </c>
    </row>
    <row r="4438" spans="1:27" x14ac:dyDescent="0.2">
      <c r="D4438" s="24" t="s">
        <v>1142</v>
      </c>
      <c r="E4438" s="23"/>
      <c r="H4438" s="23">
        <v>8</v>
      </c>
      <c r="I4438" t="s">
        <v>1093</v>
      </c>
      <c r="K4438" s="21">
        <f>ROUND(H4438/100*K4437,5)</f>
        <v>9.4360499999999998</v>
      </c>
    </row>
    <row r="4439" spans="1:27" x14ac:dyDescent="0.2">
      <c r="D4439" s="24" t="s">
        <v>1094</v>
      </c>
      <c r="E4439" s="23"/>
      <c r="H4439" s="23"/>
      <c r="K4439" s="25">
        <f>SUM(K4437:K4438)</f>
        <v>127.38664999999999</v>
      </c>
    </row>
    <row r="4441" spans="1:27" ht="45" customHeight="1" x14ac:dyDescent="0.2">
      <c r="A4441" s="17" t="s">
        <v>2834</v>
      </c>
      <c r="B4441" s="17" t="s">
        <v>913</v>
      </c>
      <c r="C4441" s="1" t="s">
        <v>23</v>
      </c>
      <c r="D4441" s="96" t="s">
        <v>914</v>
      </c>
      <c r="E4441" s="97"/>
      <c r="F4441" s="97"/>
      <c r="G4441" s="1"/>
      <c r="H4441" s="18" t="s">
        <v>1066</v>
      </c>
      <c r="I4441" s="98">
        <v>1</v>
      </c>
      <c r="J4441" s="99"/>
      <c r="K4441" s="19">
        <f>ROUND(K4453,2)</f>
        <v>101.59</v>
      </c>
      <c r="L4441" s="2" t="s">
        <v>2632</v>
      </c>
      <c r="M4441" s="1"/>
      <c r="N4441" s="1"/>
      <c r="O4441" s="1"/>
      <c r="P4441" s="1"/>
      <c r="Q4441" s="1"/>
      <c r="R4441" s="1"/>
      <c r="S4441" s="1"/>
      <c r="T4441" s="1"/>
      <c r="U4441" s="1"/>
      <c r="V4441" s="1"/>
      <c r="W4441" s="1"/>
      <c r="X4441" s="1"/>
      <c r="Y4441" s="1"/>
      <c r="Z4441" s="1"/>
      <c r="AA4441" s="1"/>
    </row>
    <row r="4442" spans="1:27" x14ac:dyDescent="0.2">
      <c r="B4442" s="14" t="s">
        <v>1068</v>
      </c>
    </row>
    <row r="4443" spans="1:27" x14ac:dyDescent="0.2">
      <c r="B4443" t="s">
        <v>2050</v>
      </c>
      <c r="C4443" t="s">
        <v>1070</v>
      </c>
      <c r="D4443" t="s">
        <v>2051</v>
      </c>
      <c r="E4443" s="20">
        <v>0.15</v>
      </c>
      <c r="F4443" t="s">
        <v>1072</v>
      </c>
      <c r="G4443" t="s">
        <v>1073</v>
      </c>
      <c r="H4443" s="21">
        <v>26.08</v>
      </c>
      <c r="I4443" t="s">
        <v>1074</v>
      </c>
      <c r="J4443" s="22">
        <f>ROUND(E4443/I4441* H4443,5)</f>
        <v>3.9119999999999999</v>
      </c>
      <c r="K4443" s="23"/>
    </row>
    <row r="4444" spans="1:27" x14ac:dyDescent="0.2">
      <c r="B4444" t="s">
        <v>1184</v>
      </c>
      <c r="C4444" t="s">
        <v>1070</v>
      </c>
      <c r="D4444" t="s">
        <v>1185</v>
      </c>
      <c r="E4444" s="20">
        <v>0.15</v>
      </c>
      <c r="F4444" t="s">
        <v>1072</v>
      </c>
      <c r="G4444" t="s">
        <v>1073</v>
      </c>
      <c r="H4444" s="21">
        <v>30.41</v>
      </c>
      <c r="I4444" t="s">
        <v>1074</v>
      </c>
      <c r="J4444" s="22">
        <f>ROUND(E4444/I4441* H4444,5)</f>
        <v>4.5614999999999997</v>
      </c>
      <c r="K4444" s="23"/>
    </row>
    <row r="4445" spans="1:27" x14ac:dyDescent="0.2">
      <c r="D4445" s="24" t="s">
        <v>1075</v>
      </c>
      <c r="E4445" s="23"/>
      <c r="H4445" s="23"/>
      <c r="K4445" s="21">
        <f>SUM(J4443:J4444)</f>
        <v>8.4734999999999996</v>
      </c>
    </row>
    <row r="4446" spans="1:27" x14ac:dyDescent="0.2">
      <c r="B4446" s="14" t="s">
        <v>1080</v>
      </c>
      <c r="E4446" s="23"/>
      <c r="H4446" s="23"/>
      <c r="K4446" s="23"/>
    </row>
    <row r="4447" spans="1:27" x14ac:dyDescent="0.2">
      <c r="B4447" t="s">
        <v>2633</v>
      </c>
      <c r="C4447" t="s">
        <v>23</v>
      </c>
      <c r="D4447" t="s">
        <v>2634</v>
      </c>
      <c r="E4447" s="20">
        <v>1</v>
      </c>
      <c r="G4447" t="s">
        <v>1073</v>
      </c>
      <c r="H4447" s="21">
        <v>85.46</v>
      </c>
      <c r="I4447" t="s">
        <v>1074</v>
      </c>
      <c r="J4447" s="22">
        <f>ROUND(E4447* H4447,5)</f>
        <v>85.46</v>
      </c>
      <c r="K4447" s="23"/>
    </row>
    <row r="4448" spans="1:27" x14ac:dyDescent="0.2">
      <c r="D4448" s="24" t="s">
        <v>1090</v>
      </c>
      <c r="E4448" s="23"/>
      <c r="H4448" s="23"/>
      <c r="K4448" s="21">
        <f>SUM(J4447:J4447)</f>
        <v>85.46</v>
      </c>
    </row>
    <row r="4449" spans="1:27" x14ac:dyDescent="0.2">
      <c r="E4449" s="23"/>
      <c r="H4449" s="23"/>
      <c r="K4449" s="23"/>
    </row>
    <row r="4450" spans="1:27" x14ac:dyDescent="0.2">
      <c r="D4450" s="24" t="s">
        <v>1092</v>
      </c>
      <c r="E4450" s="23"/>
      <c r="H4450" s="23">
        <v>1.5</v>
      </c>
      <c r="I4450" t="s">
        <v>1093</v>
      </c>
      <c r="J4450">
        <f>ROUND(H4450/100*K4445,5)</f>
        <v>0.12709999999999999</v>
      </c>
      <c r="K4450" s="23"/>
    </row>
    <row r="4451" spans="1:27" x14ac:dyDescent="0.2">
      <c r="D4451" s="24" t="s">
        <v>1091</v>
      </c>
      <c r="E4451" s="23"/>
      <c r="H4451" s="23"/>
      <c r="K4451" s="25">
        <f>SUM(J4442:J4450)</f>
        <v>94.060599999999994</v>
      </c>
    </row>
    <row r="4452" spans="1:27" x14ac:dyDescent="0.2">
      <c r="D4452" s="24" t="s">
        <v>1142</v>
      </c>
      <c r="E4452" s="23"/>
      <c r="H4452" s="23">
        <v>8</v>
      </c>
      <c r="I4452" t="s">
        <v>1093</v>
      </c>
      <c r="K4452" s="21">
        <f>ROUND(H4452/100*K4451,5)</f>
        <v>7.5248499999999998</v>
      </c>
    </row>
    <row r="4453" spans="1:27" x14ac:dyDescent="0.2">
      <c r="D4453" s="24" t="s">
        <v>1094</v>
      </c>
      <c r="E4453" s="23"/>
      <c r="H4453" s="23"/>
      <c r="K4453" s="25">
        <f>SUM(K4451:K4452)</f>
        <v>101.58544999999999</v>
      </c>
    </row>
    <row r="4455" spans="1:27" ht="45" customHeight="1" x14ac:dyDescent="0.2">
      <c r="A4455" s="17" t="s">
        <v>2698</v>
      </c>
      <c r="B4455" s="17" t="s">
        <v>957</v>
      </c>
      <c r="C4455" s="1" t="s">
        <v>23</v>
      </c>
      <c r="D4455" s="96" t="s">
        <v>958</v>
      </c>
      <c r="E4455" s="97"/>
      <c r="F4455" s="97"/>
      <c r="G4455" s="1"/>
      <c r="H4455" s="18" t="s">
        <v>1066</v>
      </c>
      <c r="I4455" s="98">
        <v>1</v>
      </c>
      <c r="J4455" s="99"/>
      <c r="K4455" s="19">
        <f>ROUND(K4467,2)</f>
        <v>181.81</v>
      </c>
      <c r="L4455" s="2" t="s">
        <v>2636</v>
      </c>
      <c r="M4455" s="1"/>
      <c r="N4455" s="1"/>
      <c r="O4455" s="1"/>
      <c r="P4455" s="1"/>
      <c r="Q4455" s="1"/>
      <c r="R4455" s="1"/>
      <c r="S4455" s="1"/>
      <c r="T4455" s="1"/>
      <c r="U4455" s="1"/>
      <c r="V4455" s="1"/>
      <c r="W4455" s="1"/>
      <c r="X4455" s="1"/>
      <c r="Y4455" s="1"/>
      <c r="Z4455" s="1"/>
      <c r="AA4455" s="1"/>
    </row>
    <row r="4456" spans="1:27" x14ac:dyDescent="0.2">
      <c r="B4456" s="14" t="s">
        <v>1068</v>
      </c>
    </row>
    <row r="4457" spans="1:27" x14ac:dyDescent="0.2">
      <c r="B4457" t="s">
        <v>1136</v>
      </c>
      <c r="C4457" t="s">
        <v>1070</v>
      </c>
      <c r="D4457" t="s">
        <v>1137</v>
      </c>
      <c r="E4457" s="20">
        <v>0.25</v>
      </c>
      <c r="F4457" t="s">
        <v>1072</v>
      </c>
      <c r="G4457" t="s">
        <v>1073</v>
      </c>
      <c r="H4457" s="21">
        <v>30.41</v>
      </c>
      <c r="I4457" t="s">
        <v>1074</v>
      </c>
      <c r="J4457" s="22">
        <f>ROUND(E4457/I4455* H4457,5)</f>
        <v>7.6025</v>
      </c>
      <c r="K4457" s="23"/>
    </row>
    <row r="4458" spans="1:27" x14ac:dyDescent="0.2">
      <c r="B4458" t="s">
        <v>1138</v>
      </c>
      <c r="C4458" t="s">
        <v>1070</v>
      </c>
      <c r="D4458" t="s">
        <v>1139</v>
      </c>
      <c r="E4458" s="20">
        <v>0.25</v>
      </c>
      <c r="F4458" t="s">
        <v>1072</v>
      </c>
      <c r="G4458" t="s">
        <v>1073</v>
      </c>
      <c r="H4458" s="21">
        <v>26.12</v>
      </c>
      <c r="I4458" t="s">
        <v>1074</v>
      </c>
      <c r="J4458" s="22">
        <f>ROUND(E4458/I4455* H4458,5)</f>
        <v>6.53</v>
      </c>
      <c r="K4458" s="23"/>
    </row>
    <row r="4459" spans="1:27" x14ac:dyDescent="0.2">
      <c r="D4459" s="24" t="s">
        <v>1075</v>
      </c>
      <c r="E4459" s="23"/>
      <c r="H4459" s="23"/>
      <c r="K4459" s="21">
        <f>SUM(J4457:J4458)</f>
        <v>14.1325</v>
      </c>
    </row>
    <row r="4460" spans="1:27" x14ac:dyDescent="0.2">
      <c r="B4460" s="14" t="s">
        <v>2262</v>
      </c>
      <c r="E4460" s="23"/>
      <c r="H4460" s="23"/>
      <c r="K4460" s="23"/>
    </row>
    <row r="4461" spans="1:27" x14ac:dyDescent="0.2">
      <c r="B4461" t="s">
        <v>2637</v>
      </c>
      <c r="C4461" t="s">
        <v>625</v>
      </c>
      <c r="D4461" t="s">
        <v>2636</v>
      </c>
      <c r="E4461" s="20">
        <v>1</v>
      </c>
      <c r="G4461" t="s">
        <v>1073</v>
      </c>
      <c r="H4461" s="21">
        <v>154</v>
      </c>
      <c r="I4461" t="s">
        <v>1074</v>
      </c>
      <c r="J4461" s="22">
        <f>ROUND(E4461* H4461,5)</f>
        <v>154</v>
      </c>
      <c r="K4461" s="23"/>
    </row>
    <row r="4462" spans="1:27" x14ac:dyDescent="0.2">
      <c r="D4462" s="24" t="s">
        <v>2265</v>
      </c>
      <c r="E4462" s="23"/>
      <c r="H4462" s="23"/>
      <c r="K4462" s="21">
        <f>SUM(J4461:J4461)</f>
        <v>154</v>
      </c>
    </row>
    <row r="4463" spans="1:27" x14ac:dyDescent="0.2">
      <c r="E4463" s="23"/>
      <c r="H4463" s="23"/>
      <c r="K4463" s="23"/>
    </row>
    <row r="4464" spans="1:27" x14ac:dyDescent="0.2">
      <c r="D4464" s="24" t="s">
        <v>1092</v>
      </c>
      <c r="E4464" s="23"/>
      <c r="H4464" s="23">
        <v>1.5</v>
      </c>
      <c r="I4464" t="s">
        <v>1093</v>
      </c>
      <c r="J4464">
        <f>ROUND(H4464/100*K4459,5)</f>
        <v>0.21199000000000001</v>
      </c>
      <c r="K4464" s="23"/>
    </row>
    <row r="4465" spans="1:27" x14ac:dyDescent="0.2">
      <c r="D4465" s="24" t="s">
        <v>1091</v>
      </c>
      <c r="E4465" s="23"/>
      <c r="H4465" s="23"/>
      <c r="K4465" s="25">
        <f>SUM(J4456:J4464)</f>
        <v>168.34448999999998</v>
      </c>
    </row>
    <row r="4466" spans="1:27" x14ac:dyDescent="0.2">
      <c r="D4466" s="24" t="s">
        <v>1142</v>
      </c>
      <c r="E4466" s="23"/>
      <c r="H4466" s="23">
        <v>8</v>
      </c>
      <c r="I4466" t="s">
        <v>1093</v>
      </c>
      <c r="K4466" s="21">
        <f>ROUND(H4466/100*K4465,5)</f>
        <v>13.467560000000001</v>
      </c>
    </row>
    <row r="4467" spans="1:27" x14ac:dyDescent="0.2">
      <c r="D4467" s="24" t="s">
        <v>1094</v>
      </c>
      <c r="E4467" s="23"/>
      <c r="H4467" s="23"/>
      <c r="K4467" s="25">
        <f>SUM(K4465:K4466)</f>
        <v>181.81204999999997</v>
      </c>
    </row>
    <row r="4469" spans="1:27" ht="45" customHeight="1" x14ac:dyDescent="0.2">
      <c r="A4469" s="17" t="s">
        <v>2702</v>
      </c>
      <c r="B4469" s="17" t="s">
        <v>955</v>
      </c>
      <c r="C4469" s="1" t="s">
        <v>23</v>
      </c>
      <c r="D4469" s="96" t="s">
        <v>956</v>
      </c>
      <c r="E4469" s="97"/>
      <c r="F4469" s="97"/>
      <c r="G4469" s="1"/>
      <c r="H4469" s="18" t="s">
        <v>1066</v>
      </c>
      <c r="I4469" s="98">
        <v>1</v>
      </c>
      <c r="J4469" s="99"/>
      <c r="K4469" s="19">
        <f>ROUND(K4481,2)</f>
        <v>105.88</v>
      </c>
      <c r="L4469" s="2" t="s">
        <v>2639</v>
      </c>
      <c r="M4469" s="1"/>
      <c r="N4469" s="1"/>
      <c r="O4469" s="1"/>
      <c r="P4469" s="1"/>
      <c r="Q4469" s="1"/>
      <c r="R4469" s="1"/>
      <c r="S4469" s="1"/>
      <c r="T4469" s="1"/>
      <c r="U4469" s="1"/>
      <c r="V4469" s="1"/>
      <c r="W4469" s="1"/>
      <c r="X4469" s="1"/>
      <c r="Y4469" s="1"/>
      <c r="Z4469" s="1"/>
      <c r="AA4469" s="1"/>
    </row>
    <row r="4470" spans="1:27" x14ac:dyDescent="0.2">
      <c r="B4470" s="14" t="s">
        <v>1068</v>
      </c>
    </row>
    <row r="4471" spans="1:27" x14ac:dyDescent="0.2">
      <c r="B4471" t="s">
        <v>1138</v>
      </c>
      <c r="C4471" t="s">
        <v>1070</v>
      </c>
      <c r="D4471" t="s">
        <v>1139</v>
      </c>
      <c r="E4471" s="20">
        <v>0.25</v>
      </c>
      <c r="F4471" t="s">
        <v>1072</v>
      </c>
      <c r="G4471" t="s">
        <v>1073</v>
      </c>
      <c r="H4471" s="21">
        <v>26.12</v>
      </c>
      <c r="I4471" t="s">
        <v>1074</v>
      </c>
      <c r="J4471" s="22">
        <f>ROUND(E4471/I4469* H4471,5)</f>
        <v>6.53</v>
      </c>
      <c r="K4471" s="23"/>
    </row>
    <row r="4472" spans="1:27" x14ac:dyDescent="0.2">
      <c r="B4472" t="s">
        <v>1136</v>
      </c>
      <c r="C4472" t="s">
        <v>1070</v>
      </c>
      <c r="D4472" t="s">
        <v>1137</v>
      </c>
      <c r="E4472" s="20">
        <v>0.25</v>
      </c>
      <c r="F4472" t="s">
        <v>1072</v>
      </c>
      <c r="G4472" t="s">
        <v>1073</v>
      </c>
      <c r="H4472" s="21">
        <v>30.41</v>
      </c>
      <c r="I4472" t="s">
        <v>1074</v>
      </c>
      <c r="J4472" s="22">
        <f>ROUND(E4472/I4469* H4472,5)</f>
        <v>7.6025</v>
      </c>
      <c r="K4472" s="23"/>
    </row>
    <row r="4473" spans="1:27" x14ac:dyDescent="0.2">
      <c r="D4473" s="24" t="s">
        <v>1075</v>
      </c>
      <c r="E4473" s="23"/>
      <c r="H4473" s="23"/>
      <c r="K4473" s="21">
        <f>SUM(J4471:J4472)</f>
        <v>14.1325</v>
      </c>
    </row>
    <row r="4474" spans="1:27" x14ac:dyDescent="0.2">
      <c r="B4474" s="14" t="s">
        <v>1080</v>
      </c>
      <c r="E4474" s="23"/>
      <c r="H4474" s="23"/>
      <c r="K4474" s="23"/>
    </row>
    <row r="4475" spans="1:27" x14ac:dyDescent="0.2">
      <c r="B4475" t="s">
        <v>2640</v>
      </c>
      <c r="C4475" t="s">
        <v>23</v>
      </c>
      <c r="D4475" t="s">
        <v>2641</v>
      </c>
      <c r="E4475" s="20">
        <v>1</v>
      </c>
      <c r="G4475" t="s">
        <v>1073</v>
      </c>
      <c r="H4475" s="21">
        <v>83.69</v>
      </c>
      <c r="I4475" t="s">
        <v>1074</v>
      </c>
      <c r="J4475" s="22">
        <f>ROUND(E4475* H4475,5)</f>
        <v>83.69</v>
      </c>
      <c r="K4475" s="23"/>
    </row>
    <row r="4476" spans="1:27" x14ac:dyDescent="0.2">
      <c r="D4476" s="24" t="s">
        <v>1090</v>
      </c>
      <c r="E4476" s="23"/>
      <c r="H4476" s="23"/>
      <c r="K4476" s="21">
        <f>SUM(J4475:J4475)</f>
        <v>83.69</v>
      </c>
    </row>
    <row r="4477" spans="1:27" x14ac:dyDescent="0.2">
      <c r="E4477" s="23"/>
      <c r="H4477" s="23"/>
      <c r="K4477" s="23"/>
    </row>
    <row r="4478" spans="1:27" x14ac:dyDescent="0.2">
      <c r="D4478" s="24" t="s">
        <v>1092</v>
      </c>
      <c r="E4478" s="23"/>
      <c r="H4478" s="23">
        <v>1.5</v>
      </c>
      <c r="I4478" t="s">
        <v>1093</v>
      </c>
      <c r="J4478">
        <f>ROUND(H4478/100*K4473,5)</f>
        <v>0.21199000000000001</v>
      </c>
      <c r="K4478" s="23"/>
    </row>
    <row r="4479" spans="1:27" x14ac:dyDescent="0.2">
      <c r="D4479" s="24" t="s">
        <v>1091</v>
      </c>
      <c r="E4479" s="23"/>
      <c r="H4479" s="23"/>
      <c r="K4479" s="25">
        <f>SUM(J4470:J4478)</f>
        <v>98.034489999999991</v>
      </c>
    </row>
    <row r="4480" spans="1:27" x14ac:dyDescent="0.2">
      <c r="D4480" s="24" t="s">
        <v>1142</v>
      </c>
      <c r="E4480" s="23"/>
      <c r="H4480" s="23">
        <v>8</v>
      </c>
      <c r="I4480" t="s">
        <v>1093</v>
      </c>
      <c r="K4480" s="21">
        <f>ROUND(H4480/100*K4479,5)</f>
        <v>7.8427600000000002</v>
      </c>
    </row>
    <row r="4481" spans="1:27" x14ac:dyDescent="0.2">
      <c r="D4481" s="24" t="s">
        <v>1094</v>
      </c>
      <c r="E4481" s="23"/>
      <c r="H4481" s="23"/>
      <c r="K4481" s="25">
        <f>SUM(K4479:K4480)</f>
        <v>105.87724999999999</v>
      </c>
    </row>
    <row r="4483" spans="1:27" ht="45" customHeight="1" x14ac:dyDescent="0.2">
      <c r="A4483" s="17" t="s">
        <v>2706</v>
      </c>
      <c r="B4483" s="17" t="s">
        <v>932</v>
      </c>
      <c r="C4483" s="1" t="s">
        <v>36</v>
      </c>
      <c r="D4483" s="96" t="s">
        <v>933</v>
      </c>
      <c r="E4483" s="97"/>
      <c r="F4483" s="97"/>
      <c r="G4483" s="1"/>
      <c r="H4483" s="18" t="s">
        <v>1066</v>
      </c>
      <c r="I4483" s="98">
        <v>1</v>
      </c>
      <c r="J4483" s="99"/>
      <c r="K4483" s="19">
        <f>ROUND(K4495,2)</f>
        <v>1.71</v>
      </c>
      <c r="L4483" s="2" t="s">
        <v>2643</v>
      </c>
      <c r="M4483" s="1"/>
      <c r="N4483" s="1"/>
      <c r="O4483" s="1"/>
      <c r="P4483" s="1"/>
      <c r="Q4483" s="1"/>
      <c r="R4483" s="1"/>
      <c r="S4483" s="1"/>
      <c r="T4483" s="1"/>
      <c r="U4483" s="1"/>
      <c r="V4483" s="1"/>
      <c r="W4483" s="1"/>
      <c r="X4483" s="1"/>
      <c r="Y4483" s="1"/>
      <c r="Z4483" s="1"/>
      <c r="AA4483" s="1"/>
    </row>
    <row r="4484" spans="1:27" x14ac:dyDescent="0.2">
      <c r="B4484" s="14" t="s">
        <v>1068</v>
      </c>
    </row>
    <row r="4485" spans="1:27" x14ac:dyDescent="0.2">
      <c r="B4485" t="s">
        <v>1138</v>
      </c>
      <c r="C4485" t="s">
        <v>1070</v>
      </c>
      <c r="D4485" t="s">
        <v>1139</v>
      </c>
      <c r="E4485" s="20">
        <v>0.01</v>
      </c>
      <c r="F4485" t="s">
        <v>1072</v>
      </c>
      <c r="G4485" t="s">
        <v>1073</v>
      </c>
      <c r="H4485" s="21">
        <v>26.12</v>
      </c>
      <c r="I4485" t="s">
        <v>1074</v>
      </c>
      <c r="J4485" s="22">
        <f>ROUND(E4485/I4483* H4485,5)</f>
        <v>0.26119999999999999</v>
      </c>
      <c r="K4485" s="23"/>
    </row>
    <row r="4486" spans="1:27" x14ac:dyDescent="0.2">
      <c r="B4486" t="s">
        <v>1136</v>
      </c>
      <c r="C4486" t="s">
        <v>1070</v>
      </c>
      <c r="D4486" t="s">
        <v>1137</v>
      </c>
      <c r="E4486" s="20">
        <v>0.01</v>
      </c>
      <c r="F4486" t="s">
        <v>1072</v>
      </c>
      <c r="G4486" t="s">
        <v>1073</v>
      </c>
      <c r="H4486" s="21">
        <v>30.41</v>
      </c>
      <c r="I4486" t="s">
        <v>1074</v>
      </c>
      <c r="J4486" s="22">
        <f>ROUND(E4486/I4483* H4486,5)</f>
        <v>0.30409999999999998</v>
      </c>
      <c r="K4486" s="23"/>
    </row>
    <row r="4487" spans="1:27" x14ac:dyDescent="0.2">
      <c r="D4487" s="24" t="s">
        <v>1075</v>
      </c>
      <c r="E4487" s="23"/>
      <c r="H4487" s="23"/>
      <c r="K4487" s="21">
        <f>SUM(J4485:J4486)</f>
        <v>0.56529999999999991</v>
      </c>
    </row>
    <row r="4488" spans="1:27" x14ac:dyDescent="0.2">
      <c r="B4488" s="14" t="s">
        <v>1080</v>
      </c>
      <c r="E4488" s="23"/>
      <c r="H4488" s="23"/>
      <c r="K4488" s="23"/>
    </row>
    <row r="4489" spans="1:27" x14ac:dyDescent="0.2">
      <c r="B4489" t="s">
        <v>2644</v>
      </c>
      <c r="C4489" t="s">
        <v>36</v>
      </c>
      <c r="D4489" t="s">
        <v>2645</v>
      </c>
      <c r="E4489" s="20">
        <v>1.05</v>
      </c>
      <c r="G4489" t="s">
        <v>1073</v>
      </c>
      <c r="H4489" s="21">
        <v>0.96</v>
      </c>
      <c r="I4489" t="s">
        <v>1074</v>
      </c>
      <c r="J4489" s="22">
        <f>ROUND(E4489* H4489,5)</f>
        <v>1.008</v>
      </c>
      <c r="K4489" s="23"/>
    </row>
    <row r="4490" spans="1:27" x14ac:dyDescent="0.2">
      <c r="D4490" s="24" t="s">
        <v>1090</v>
      </c>
      <c r="E4490" s="23"/>
      <c r="H4490" s="23"/>
      <c r="K4490" s="21">
        <f>SUM(J4489:J4489)</f>
        <v>1.008</v>
      </c>
    </row>
    <row r="4491" spans="1:27" x14ac:dyDescent="0.2">
      <c r="E4491" s="23"/>
      <c r="H4491" s="23"/>
      <c r="K4491" s="23"/>
    </row>
    <row r="4492" spans="1:27" x14ac:dyDescent="0.2">
      <c r="D4492" s="24" t="s">
        <v>1092</v>
      </c>
      <c r="E4492" s="23"/>
      <c r="H4492" s="23">
        <v>1.5</v>
      </c>
      <c r="I4492" t="s">
        <v>1093</v>
      </c>
      <c r="J4492">
        <f>ROUND(H4492/100*K4487,5)</f>
        <v>8.4799999999999997E-3</v>
      </c>
      <c r="K4492" s="23"/>
    </row>
    <row r="4493" spans="1:27" x14ac:dyDescent="0.2">
      <c r="D4493" s="24" t="s">
        <v>1091</v>
      </c>
      <c r="E4493" s="23"/>
      <c r="H4493" s="23"/>
      <c r="K4493" s="25">
        <f>SUM(J4484:J4492)</f>
        <v>1.58178</v>
      </c>
    </row>
    <row r="4494" spans="1:27" x14ac:dyDescent="0.2">
      <c r="D4494" s="24" t="s">
        <v>1142</v>
      </c>
      <c r="E4494" s="23"/>
      <c r="H4494" s="23">
        <v>8</v>
      </c>
      <c r="I4494" t="s">
        <v>1093</v>
      </c>
      <c r="K4494" s="21">
        <f>ROUND(H4494/100*K4493,5)</f>
        <v>0.12654000000000001</v>
      </c>
    </row>
    <row r="4495" spans="1:27" x14ac:dyDescent="0.2">
      <c r="D4495" s="24" t="s">
        <v>1094</v>
      </c>
      <c r="E4495" s="23"/>
      <c r="H4495" s="23"/>
      <c r="K4495" s="25">
        <f>SUM(K4493:K4494)</f>
        <v>1.7083200000000001</v>
      </c>
    </row>
    <row r="4497" spans="1:27" ht="45" customHeight="1" x14ac:dyDescent="0.2">
      <c r="A4497" s="17" t="s">
        <v>2710</v>
      </c>
      <c r="B4497" s="17" t="s">
        <v>3902</v>
      </c>
      <c r="C4497" s="1" t="s">
        <v>23</v>
      </c>
      <c r="D4497" s="96" t="s">
        <v>3903</v>
      </c>
      <c r="E4497" s="97"/>
      <c r="F4497" s="97"/>
      <c r="G4497" s="1"/>
      <c r="H4497" s="18" t="s">
        <v>1066</v>
      </c>
      <c r="I4497" s="98">
        <v>1</v>
      </c>
      <c r="J4497" s="99"/>
      <c r="K4497" s="19">
        <f>ROUND(K4510,2)</f>
        <v>151.15</v>
      </c>
      <c r="L4497" s="2" t="s">
        <v>4109</v>
      </c>
      <c r="M4497" s="1"/>
      <c r="N4497" s="1"/>
      <c r="O4497" s="1"/>
      <c r="P4497" s="1"/>
      <c r="Q4497" s="1"/>
      <c r="R4497" s="1"/>
      <c r="S4497" s="1"/>
      <c r="T4497" s="1"/>
      <c r="U4497" s="1"/>
      <c r="V4497" s="1"/>
      <c r="W4497" s="1"/>
      <c r="X4497" s="1"/>
      <c r="Y4497" s="1"/>
      <c r="Z4497" s="1"/>
      <c r="AA4497" s="1"/>
    </row>
    <row r="4498" spans="1:27" x14ac:dyDescent="0.2">
      <c r="B4498" s="14" t="s">
        <v>1068</v>
      </c>
    </row>
    <row r="4499" spans="1:27" x14ac:dyDescent="0.2">
      <c r="B4499" t="s">
        <v>1283</v>
      </c>
      <c r="C4499" t="s">
        <v>1070</v>
      </c>
      <c r="D4499" t="s">
        <v>1284</v>
      </c>
      <c r="E4499" s="20">
        <v>0.3</v>
      </c>
      <c r="F4499" t="s">
        <v>1072</v>
      </c>
      <c r="G4499" t="s">
        <v>1073</v>
      </c>
      <c r="H4499" s="21">
        <v>30.41</v>
      </c>
      <c r="I4499" t="s">
        <v>1074</v>
      </c>
      <c r="J4499" s="22">
        <f>ROUND(E4499/I4497* H4499,5)</f>
        <v>9.1229999999999993</v>
      </c>
      <c r="K4499" s="23"/>
    </row>
    <row r="4500" spans="1:27" x14ac:dyDescent="0.2">
      <c r="B4500" t="s">
        <v>2089</v>
      </c>
      <c r="C4500" t="s">
        <v>1070</v>
      </c>
      <c r="D4500" t="s">
        <v>2090</v>
      </c>
      <c r="E4500" s="20">
        <v>7.4999999999999997E-2</v>
      </c>
      <c r="F4500" t="s">
        <v>1072</v>
      </c>
      <c r="G4500" t="s">
        <v>1073</v>
      </c>
      <c r="H4500" s="21">
        <v>26.08</v>
      </c>
      <c r="I4500" t="s">
        <v>1074</v>
      </c>
      <c r="J4500" s="22">
        <f>ROUND(E4500/I4497* H4500,5)</f>
        <v>1.956</v>
      </c>
      <c r="K4500" s="23"/>
    </row>
    <row r="4501" spans="1:27" x14ac:dyDescent="0.2">
      <c r="D4501" s="24" t="s">
        <v>1075</v>
      </c>
      <c r="E4501" s="23"/>
      <c r="H4501" s="23"/>
      <c r="K4501" s="21">
        <f>SUM(J4499:J4500)</f>
        <v>11.078999999999999</v>
      </c>
    </row>
    <row r="4502" spans="1:27" x14ac:dyDescent="0.2">
      <c r="B4502" s="14" t="s">
        <v>1080</v>
      </c>
      <c r="E4502" s="23"/>
      <c r="H4502" s="23"/>
      <c r="K4502" s="23"/>
    </row>
    <row r="4503" spans="1:27" x14ac:dyDescent="0.2">
      <c r="B4503" t="s">
        <v>4110</v>
      </c>
      <c r="C4503" t="s">
        <v>4111</v>
      </c>
      <c r="D4503" t="s">
        <v>4112</v>
      </c>
      <c r="E4503" s="20">
        <v>2.5000000000000001E-2</v>
      </c>
      <c r="G4503" t="s">
        <v>1073</v>
      </c>
      <c r="H4503" s="21">
        <v>24.03</v>
      </c>
      <c r="I4503" t="s">
        <v>1074</v>
      </c>
      <c r="J4503" s="22">
        <f>ROUND(E4503* H4503,5)</f>
        <v>0.60075000000000001</v>
      </c>
      <c r="K4503" s="23"/>
    </row>
    <row r="4504" spans="1:27" x14ac:dyDescent="0.2">
      <c r="B4504" t="s">
        <v>4113</v>
      </c>
      <c r="C4504" t="s">
        <v>23</v>
      </c>
      <c r="D4504" t="s">
        <v>3903</v>
      </c>
      <c r="E4504" s="20">
        <v>1</v>
      </c>
      <c r="G4504" t="s">
        <v>1073</v>
      </c>
      <c r="H4504" s="21">
        <v>128</v>
      </c>
      <c r="I4504" t="s">
        <v>1074</v>
      </c>
      <c r="J4504" s="22">
        <f>ROUND(E4504* H4504,5)</f>
        <v>128</v>
      </c>
      <c r="K4504" s="23"/>
    </row>
    <row r="4505" spans="1:27" x14ac:dyDescent="0.2">
      <c r="D4505" s="24" t="s">
        <v>1090</v>
      </c>
      <c r="E4505" s="23"/>
      <c r="H4505" s="23"/>
      <c r="K4505" s="21">
        <f>SUM(J4503:J4504)</f>
        <v>128.60075000000001</v>
      </c>
    </row>
    <row r="4506" spans="1:27" x14ac:dyDescent="0.2">
      <c r="E4506" s="23"/>
      <c r="H4506" s="23"/>
      <c r="K4506" s="23"/>
    </row>
    <row r="4507" spans="1:27" x14ac:dyDescent="0.2">
      <c r="D4507" s="24" t="s">
        <v>1092</v>
      </c>
      <c r="E4507" s="23"/>
      <c r="H4507" s="23">
        <v>2.5</v>
      </c>
      <c r="I4507" t="s">
        <v>1093</v>
      </c>
      <c r="J4507">
        <f>ROUND(H4507/100*K4501,5)</f>
        <v>0.27698</v>
      </c>
      <c r="K4507" s="23"/>
    </row>
    <row r="4508" spans="1:27" x14ac:dyDescent="0.2">
      <c r="D4508" s="24" t="s">
        <v>1091</v>
      </c>
      <c r="E4508" s="23"/>
      <c r="H4508" s="23"/>
      <c r="K4508" s="25">
        <f>SUM(J4498:J4507)</f>
        <v>139.95673000000002</v>
      </c>
    </row>
    <row r="4509" spans="1:27" x14ac:dyDescent="0.2">
      <c r="D4509" s="24" t="s">
        <v>1142</v>
      </c>
      <c r="E4509" s="23"/>
      <c r="H4509" s="23">
        <v>8</v>
      </c>
      <c r="I4509" t="s">
        <v>1093</v>
      </c>
      <c r="K4509" s="21">
        <f>ROUND(H4509/100*K4508,5)</f>
        <v>11.196540000000001</v>
      </c>
    </row>
    <row r="4510" spans="1:27" x14ac:dyDescent="0.2">
      <c r="D4510" s="24" t="s">
        <v>1094</v>
      </c>
      <c r="E4510" s="23"/>
      <c r="H4510" s="23"/>
      <c r="K4510" s="25">
        <f>SUM(K4508:K4509)</f>
        <v>151.15327000000002</v>
      </c>
    </row>
    <row r="4512" spans="1:27" ht="45" customHeight="1" x14ac:dyDescent="0.2">
      <c r="A4512" s="17" t="s">
        <v>2714</v>
      </c>
      <c r="B4512" s="17" t="s">
        <v>3916</v>
      </c>
      <c r="C4512" s="1" t="s">
        <v>23</v>
      </c>
      <c r="D4512" s="96" t="s">
        <v>3917</v>
      </c>
      <c r="E4512" s="97"/>
      <c r="F4512" s="97"/>
      <c r="G4512" s="1"/>
      <c r="H4512" s="18" t="s">
        <v>1066</v>
      </c>
      <c r="I4512" s="98">
        <v>1</v>
      </c>
      <c r="J4512" s="99"/>
      <c r="K4512" s="19">
        <f>ROUND(K4527,2)</f>
        <v>331.1</v>
      </c>
      <c r="L4512" s="2" t="s">
        <v>4114</v>
      </c>
      <c r="M4512" s="1"/>
      <c r="N4512" s="1"/>
      <c r="O4512" s="1"/>
      <c r="P4512" s="1"/>
      <c r="Q4512" s="1"/>
      <c r="R4512" s="1"/>
      <c r="S4512" s="1"/>
      <c r="T4512" s="1"/>
      <c r="U4512" s="1"/>
      <c r="V4512" s="1"/>
      <c r="W4512" s="1"/>
      <c r="X4512" s="1"/>
      <c r="Y4512" s="1"/>
      <c r="Z4512" s="1"/>
      <c r="AA4512" s="1"/>
    </row>
    <row r="4513" spans="2:11" x14ac:dyDescent="0.2">
      <c r="B4513" s="14" t="s">
        <v>1068</v>
      </c>
    </row>
    <row r="4514" spans="2:11" x14ac:dyDescent="0.2">
      <c r="B4514" t="s">
        <v>1205</v>
      </c>
      <c r="C4514" t="s">
        <v>1070</v>
      </c>
      <c r="D4514" t="s">
        <v>1206</v>
      </c>
      <c r="E4514" s="20">
        <v>0.25</v>
      </c>
      <c r="F4514" t="s">
        <v>1072</v>
      </c>
      <c r="G4514" t="s">
        <v>1073</v>
      </c>
      <c r="H4514" s="21">
        <v>24.55</v>
      </c>
      <c r="I4514" t="s">
        <v>1074</v>
      </c>
      <c r="J4514" s="22">
        <f>ROUND(E4514/I4512* H4514,5)</f>
        <v>6.1375000000000002</v>
      </c>
      <c r="K4514" s="23"/>
    </row>
    <row r="4515" spans="2:11" x14ac:dyDescent="0.2">
      <c r="B4515" t="s">
        <v>1364</v>
      </c>
      <c r="C4515" t="s">
        <v>1070</v>
      </c>
      <c r="D4515" t="s">
        <v>1365</v>
      </c>
      <c r="E4515" s="20">
        <v>0.5</v>
      </c>
      <c r="F4515" t="s">
        <v>1072</v>
      </c>
      <c r="G4515" t="s">
        <v>1073</v>
      </c>
      <c r="H4515" s="21">
        <v>29.42</v>
      </c>
      <c r="I4515" t="s">
        <v>1074</v>
      </c>
      <c r="J4515" s="22">
        <f>ROUND(E4515/I4512* H4515,5)</f>
        <v>14.71</v>
      </c>
      <c r="K4515" s="23"/>
    </row>
    <row r="4516" spans="2:11" x14ac:dyDescent="0.2">
      <c r="D4516" s="24" t="s">
        <v>1075</v>
      </c>
      <c r="E4516" s="23"/>
      <c r="H4516" s="23"/>
      <c r="K4516" s="21">
        <f>SUM(J4514:J4515)</f>
        <v>20.8475</v>
      </c>
    </row>
    <row r="4517" spans="2:11" x14ac:dyDescent="0.2">
      <c r="B4517" s="14" t="s">
        <v>1080</v>
      </c>
      <c r="E4517" s="23"/>
      <c r="H4517" s="23"/>
      <c r="K4517" s="23"/>
    </row>
    <row r="4518" spans="2:11" x14ac:dyDescent="0.2">
      <c r="B4518" t="s">
        <v>4115</v>
      </c>
      <c r="C4518" t="s">
        <v>23</v>
      </c>
      <c r="D4518" t="s">
        <v>3917</v>
      </c>
      <c r="E4518" s="20">
        <v>1</v>
      </c>
      <c r="G4518" t="s">
        <v>1073</v>
      </c>
      <c r="H4518" s="21">
        <v>285</v>
      </c>
      <c r="I4518" t="s">
        <v>1074</v>
      </c>
      <c r="J4518" s="22">
        <f>ROUND(E4518* H4518,5)</f>
        <v>285</v>
      </c>
      <c r="K4518" s="23"/>
    </row>
    <row r="4519" spans="2:11" x14ac:dyDescent="0.2">
      <c r="D4519" s="24" t="s">
        <v>1090</v>
      </c>
      <c r="E4519" s="23"/>
      <c r="H4519" s="23"/>
      <c r="K4519" s="21">
        <f>SUM(J4518:J4518)</f>
        <v>285</v>
      </c>
    </row>
    <row r="4520" spans="2:11" x14ac:dyDescent="0.2">
      <c r="B4520" s="14" t="s">
        <v>1063</v>
      </c>
      <c r="E4520" s="23"/>
      <c r="H4520" s="23"/>
      <c r="K4520" s="23"/>
    </row>
    <row r="4521" spans="2:11" x14ac:dyDescent="0.2">
      <c r="B4521" t="s">
        <v>1095</v>
      </c>
      <c r="C4521" t="s">
        <v>15</v>
      </c>
      <c r="D4521" t="s">
        <v>1096</v>
      </c>
      <c r="E4521" s="20">
        <v>2.0999999999999999E-3</v>
      </c>
      <c r="G4521" t="s">
        <v>1073</v>
      </c>
      <c r="H4521" s="21">
        <v>98.629000000000005</v>
      </c>
      <c r="I4521" t="s">
        <v>1074</v>
      </c>
      <c r="J4521" s="22">
        <f>ROUND(E4521* H4521,5)</f>
        <v>0.20712</v>
      </c>
      <c r="K4521" s="23"/>
    </row>
    <row r="4522" spans="2:11" x14ac:dyDescent="0.2">
      <c r="D4522" s="24" t="s">
        <v>1361</v>
      </c>
      <c r="E4522" s="23"/>
      <c r="H4522" s="23"/>
      <c r="K4522" s="21">
        <f>SUM(J4521:J4521)</f>
        <v>0.20712</v>
      </c>
    </row>
    <row r="4523" spans="2:11" x14ac:dyDescent="0.2">
      <c r="E4523" s="23"/>
      <c r="H4523" s="23"/>
      <c r="K4523" s="23"/>
    </row>
    <row r="4524" spans="2:11" x14ac:dyDescent="0.2">
      <c r="D4524" s="24" t="s">
        <v>1092</v>
      </c>
      <c r="E4524" s="23"/>
      <c r="H4524" s="23">
        <v>2.5</v>
      </c>
      <c r="I4524" t="s">
        <v>1093</v>
      </c>
      <c r="J4524">
        <f>ROUND(H4524/100*K4516,5)</f>
        <v>0.52119000000000004</v>
      </c>
      <c r="K4524" s="23"/>
    </row>
    <row r="4525" spans="2:11" x14ac:dyDescent="0.2">
      <c r="D4525" s="24" t="s">
        <v>1091</v>
      </c>
      <c r="E4525" s="23"/>
      <c r="H4525" s="23"/>
      <c r="K4525" s="25">
        <f>SUM(J4513:J4524)</f>
        <v>306.57580999999999</v>
      </c>
    </row>
    <row r="4526" spans="2:11" x14ac:dyDescent="0.2">
      <c r="D4526" s="24" t="s">
        <v>1142</v>
      </c>
      <c r="E4526" s="23"/>
      <c r="H4526" s="23">
        <v>8</v>
      </c>
      <c r="I4526" t="s">
        <v>1093</v>
      </c>
      <c r="K4526" s="21">
        <f>ROUND(H4526/100*K4525,5)</f>
        <v>24.526060000000001</v>
      </c>
    </row>
    <row r="4527" spans="2:11" x14ac:dyDescent="0.2">
      <c r="D4527" s="24" t="s">
        <v>1094</v>
      </c>
      <c r="E4527" s="23"/>
      <c r="H4527" s="23"/>
      <c r="K4527" s="25">
        <f>SUM(K4525:K4526)</f>
        <v>331.10186999999996</v>
      </c>
    </row>
    <row r="4529" spans="1:27" ht="45" customHeight="1" x14ac:dyDescent="0.2">
      <c r="A4529" s="17" t="s">
        <v>2715</v>
      </c>
      <c r="B4529" s="17" t="s">
        <v>3910</v>
      </c>
      <c r="C4529" s="1" t="s">
        <v>23</v>
      </c>
      <c r="D4529" s="96" t="s">
        <v>3911</v>
      </c>
      <c r="E4529" s="97"/>
      <c r="F4529" s="97"/>
      <c r="G4529" s="1"/>
      <c r="H4529" s="18" t="s">
        <v>1066</v>
      </c>
      <c r="I4529" s="98">
        <v>1</v>
      </c>
      <c r="J4529" s="99"/>
      <c r="K4529" s="19">
        <f>ROUND(K4547,2)</f>
        <v>448.76</v>
      </c>
      <c r="L4529" s="2" t="s">
        <v>4116</v>
      </c>
      <c r="M4529" s="1"/>
      <c r="N4529" s="1"/>
      <c r="O4529" s="1"/>
      <c r="P4529" s="1"/>
      <c r="Q4529" s="1"/>
      <c r="R4529" s="1"/>
      <c r="S4529" s="1"/>
      <c r="T4529" s="1"/>
      <c r="U4529" s="1"/>
      <c r="V4529" s="1"/>
      <c r="W4529" s="1"/>
      <c r="X4529" s="1"/>
      <c r="Y4529" s="1"/>
      <c r="Z4529" s="1"/>
      <c r="AA4529" s="1"/>
    </row>
    <row r="4530" spans="1:27" x14ac:dyDescent="0.2">
      <c r="B4530" s="14" t="s">
        <v>1068</v>
      </c>
    </row>
    <row r="4531" spans="1:27" x14ac:dyDescent="0.2">
      <c r="B4531" t="s">
        <v>1205</v>
      </c>
      <c r="C4531" t="s">
        <v>1070</v>
      </c>
      <c r="D4531" t="s">
        <v>1206</v>
      </c>
      <c r="E4531" s="20">
        <v>0.25</v>
      </c>
      <c r="F4531" t="s">
        <v>1072</v>
      </c>
      <c r="G4531" t="s">
        <v>1073</v>
      </c>
      <c r="H4531" s="21">
        <v>24.55</v>
      </c>
      <c r="I4531" t="s">
        <v>1074</v>
      </c>
      <c r="J4531" s="22">
        <f>ROUND(E4531/I4529* H4531,5)</f>
        <v>6.1375000000000002</v>
      </c>
      <c r="K4531" s="23"/>
    </row>
    <row r="4532" spans="1:27" x14ac:dyDescent="0.2">
      <c r="B4532" t="s">
        <v>2089</v>
      </c>
      <c r="C4532" t="s">
        <v>1070</v>
      </c>
      <c r="D4532" t="s">
        <v>2090</v>
      </c>
      <c r="E4532" s="20">
        <v>0.34</v>
      </c>
      <c r="F4532" t="s">
        <v>1072</v>
      </c>
      <c r="G4532" t="s">
        <v>1073</v>
      </c>
      <c r="H4532" s="21">
        <v>26.08</v>
      </c>
      <c r="I4532" t="s">
        <v>1074</v>
      </c>
      <c r="J4532" s="22">
        <f>ROUND(E4532/I4529* H4532,5)</f>
        <v>8.8672000000000004</v>
      </c>
      <c r="K4532" s="23"/>
    </row>
    <row r="4533" spans="1:27" x14ac:dyDescent="0.2">
      <c r="B4533" t="s">
        <v>1364</v>
      </c>
      <c r="C4533" t="s">
        <v>1070</v>
      </c>
      <c r="D4533" t="s">
        <v>1365</v>
      </c>
      <c r="E4533" s="20">
        <v>0.5</v>
      </c>
      <c r="F4533" t="s">
        <v>1072</v>
      </c>
      <c r="G4533" t="s">
        <v>1073</v>
      </c>
      <c r="H4533" s="21">
        <v>29.42</v>
      </c>
      <c r="I4533" t="s">
        <v>1074</v>
      </c>
      <c r="J4533" s="22">
        <f>ROUND(E4533/I4529* H4533,5)</f>
        <v>14.71</v>
      </c>
      <c r="K4533" s="23"/>
    </row>
    <row r="4534" spans="1:27" x14ac:dyDescent="0.2">
      <c r="B4534" t="s">
        <v>1283</v>
      </c>
      <c r="C4534" t="s">
        <v>1070</v>
      </c>
      <c r="D4534" t="s">
        <v>1284</v>
      </c>
      <c r="E4534" s="20">
        <v>1.25</v>
      </c>
      <c r="F4534" t="s">
        <v>1072</v>
      </c>
      <c r="G4534" t="s">
        <v>1073</v>
      </c>
      <c r="H4534" s="21">
        <v>30.41</v>
      </c>
      <c r="I4534" t="s">
        <v>1074</v>
      </c>
      <c r="J4534" s="22">
        <f>ROUND(E4534/I4529* H4534,5)</f>
        <v>38.012500000000003</v>
      </c>
      <c r="K4534" s="23"/>
    </row>
    <row r="4535" spans="1:27" x14ac:dyDescent="0.2">
      <c r="D4535" s="24" t="s">
        <v>1075</v>
      </c>
      <c r="E4535" s="23"/>
      <c r="H4535" s="23"/>
      <c r="K4535" s="21">
        <f>SUM(J4531:J4534)</f>
        <v>67.727200000000011</v>
      </c>
    </row>
    <row r="4536" spans="1:27" x14ac:dyDescent="0.2">
      <c r="B4536" s="14" t="s">
        <v>1080</v>
      </c>
      <c r="E4536" s="23"/>
      <c r="H4536" s="23"/>
      <c r="K4536" s="23"/>
    </row>
    <row r="4537" spans="1:27" x14ac:dyDescent="0.2">
      <c r="B4537" t="s">
        <v>4117</v>
      </c>
      <c r="C4537" t="s">
        <v>103</v>
      </c>
      <c r="D4537" t="s">
        <v>4118</v>
      </c>
      <c r="E4537" s="20">
        <v>0.245</v>
      </c>
      <c r="G4537" t="s">
        <v>1073</v>
      </c>
      <c r="H4537" s="21">
        <v>4.46</v>
      </c>
      <c r="I4537" t="s">
        <v>1074</v>
      </c>
      <c r="J4537" s="22">
        <f>ROUND(E4537* H4537,5)</f>
        <v>1.0927</v>
      </c>
      <c r="K4537" s="23"/>
    </row>
    <row r="4538" spans="1:27" x14ac:dyDescent="0.2">
      <c r="B4538" t="s">
        <v>4119</v>
      </c>
      <c r="C4538" t="s">
        <v>23</v>
      </c>
      <c r="D4538" t="s">
        <v>3911</v>
      </c>
      <c r="E4538" s="20">
        <v>1</v>
      </c>
      <c r="G4538" t="s">
        <v>1073</v>
      </c>
      <c r="H4538" s="21">
        <v>344.8</v>
      </c>
      <c r="I4538" t="s">
        <v>1074</v>
      </c>
      <c r="J4538" s="22">
        <f>ROUND(E4538* H4538,5)</f>
        <v>344.8</v>
      </c>
      <c r="K4538" s="23"/>
    </row>
    <row r="4539" spans="1:27" x14ac:dyDescent="0.2">
      <c r="D4539" s="24" t="s">
        <v>1090</v>
      </c>
      <c r="E4539" s="23"/>
      <c r="H4539" s="23"/>
      <c r="K4539" s="21">
        <f>SUM(J4537:J4538)</f>
        <v>345.89269999999999</v>
      </c>
    </row>
    <row r="4540" spans="1:27" x14ac:dyDescent="0.2">
      <c r="B4540" s="14" t="s">
        <v>1063</v>
      </c>
      <c r="E4540" s="23"/>
      <c r="H4540" s="23"/>
      <c r="K4540" s="23"/>
    </row>
    <row r="4541" spans="1:27" x14ac:dyDescent="0.2">
      <c r="B4541" t="s">
        <v>1095</v>
      </c>
      <c r="C4541" t="s">
        <v>15</v>
      </c>
      <c r="D4541" t="s">
        <v>1096</v>
      </c>
      <c r="E4541" s="20">
        <v>2.0999999999999999E-3</v>
      </c>
      <c r="G4541" t="s">
        <v>1073</v>
      </c>
      <c r="H4541" s="21">
        <v>98.629000000000005</v>
      </c>
      <c r="I4541" t="s">
        <v>1074</v>
      </c>
      <c r="J4541" s="22">
        <f>ROUND(E4541* H4541,5)</f>
        <v>0.20712</v>
      </c>
      <c r="K4541" s="23"/>
    </row>
    <row r="4542" spans="1:27" x14ac:dyDescent="0.2">
      <c r="D4542" s="24" t="s">
        <v>1361</v>
      </c>
      <c r="E4542" s="23"/>
      <c r="H4542" s="23"/>
      <c r="K4542" s="21">
        <f>SUM(J4541:J4541)</f>
        <v>0.20712</v>
      </c>
    </row>
    <row r="4543" spans="1:27" x14ac:dyDescent="0.2">
      <c r="E4543" s="23"/>
      <c r="H4543" s="23"/>
      <c r="K4543" s="23"/>
    </row>
    <row r="4544" spans="1:27" x14ac:dyDescent="0.2">
      <c r="D4544" s="24" t="s">
        <v>1092</v>
      </c>
      <c r="E4544" s="23"/>
      <c r="H4544" s="23">
        <v>2.5</v>
      </c>
      <c r="I4544" t="s">
        <v>1093</v>
      </c>
      <c r="J4544">
        <f>ROUND(H4544/100*K4535,5)</f>
        <v>1.6931799999999999</v>
      </c>
      <c r="K4544" s="23"/>
    </row>
    <row r="4545" spans="1:27" x14ac:dyDescent="0.2">
      <c r="D4545" s="24" t="s">
        <v>1091</v>
      </c>
      <c r="E4545" s="23"/>
      <c r="H4545" s="23"/>
      <c r="K4545" s="25">
        <f>SUM(J4530:J4544)</f>
        <v>415.52019999999999</v>
      </c>
    </row>
    <row r="4546" spans="1:27" x14ac:dyDescent="0.2">
      <c r="D4546" s="24" t="s">
        <v>1142</v>
      </c>
      <c r="E4546" s="23"/>
      <c r="H4546" s="23">
        <v>8</v>
      </c>
      <c r="I4546" t="s">
        <v>1093</v>
      </c>
      <c r="K4546" s="21">
        <f>ROUND(H4546/100*K4545,5)</f>
        <v>33.241619999999998</v>
      </c>
    </row>
    <row r="4547" spans="1:27" x14ac:dyDescent="0.2">
      <c r="D4547" s="24" t="s">
        <v>1094</v>
      </c>
      <c r="E4547" s="23"/>
      <c r="H4547" s="23"/>
      <c r="K4547" s="25">
        <f>SUM(K4545:K4546)</f>
        <v>448.76182</v>
      </c>
    </row>
    <row r="4549" spans="1:27" ht="45" customHeight="1" x14ac:dyDescent="0.2">
      <c r="A4549" s="17" t="s">
        <v>2718</v>
      </c>
      <c r="B4549" s="17" t="s">
        <v>3912</v>
      </c>
      <c r="C4549" s="1" t="s">
        <v>23</v>
      </c>
      <c r="D4549" s="96" t="s">
        <v>3913</v>
      </c>
      <c r="E4549" s="97"/>
      <c r="F4549" s="97"/>
      <c r="G4549" s="1"/>
      <c r="H4549" s="18" t="s">
        <v>1066</v>
      </c>
      <c r="I4549" s="98">
        <v>1</v>
      </c>
      <c r="J4549" s="99"/>
      <c r="K4549" s="19">
        <f>ROUND(K4567,2)</f>
        <v>487.86</v>
      </c>
      <c r="L4549" s="2" t="s">
        <v>4120</v>
      </c>
      <c r="M4549" s="1"/>
      <c r="N4549" s="1"/>
      <c r="O4549" s="1"/>
      <c r="P4549" s="1"/>
      <c r="Q4549" s="1"/>
      <c r="R4549" s="1"/>
      <c r="S4549" s="1"/>
      <c r="T4549" s="1"/>
      <c r="U4549" s="1"/>
      <c r="V4549" s="1"/>
      <c r="W4549" s="1"/>
      <c r="X4549" s="1"/>
      <c r="Y4549" s="1"/>
      <c r="Z4549" s="1"/>
      <c r="AA4549" s="1"/>
    </row>
    <row r="4550" spans="1:27" x14ac:dyDescent="0.2">
      <c r="B4550" s="14" t="s">
        <v>1068</v>
      </c>
    </row>
    <row r="4551" spans="1:27" x14ac:dyDescent="0.2">
      <c r="B4551" t="s">
        <v>1283</v>
      </c>
      <c r="C4551" t="s">
        <v>1070</v>
      </c>
      <c r="D4551" t="s">
        <v>1284</v>
      </c>
      <c r="E4551" s="20">
        <v>1.25</v>
      </c>
      <c r="F4551" t="s">
        <v>1072</v>
      </c>
      <c r="G4551" t="s">
        <v>1073</v>
      </c>
      <c r="H4551" s="21">
        <v>30.41</v>
      </c>
      <c r="I4551" t="s">
        <v>1074</v>
      </c>
      <c r="J4551" s="22">
        <f>ROUND(E4551/I4549* H4551,5)</f>
        <v>38.012500000000003</v>
      </c>
      <c r="K4551" s="23"/>
    </row>
    <row r="4552" spans="1:27" x14ac:dyDescent="0.2">
      <c r="B4552" t="s">
        <v>1205</v>
      </c>
      <c r="C4552" t="s">
        <v>1070</v>
      </c>
      <c r="D4552" t="s">
        <v>1206</v>
      </c>
      <c r="E4552" s="20">
        <v>0.25</v>
      </c>
      <c r="F4552" t="s">
        <v>1072</v>
      </c>
      <c r="G4552" t="s">
        <v>1073</v>
      </c>
      <c r="H4552" s="21">
        <v>24.55</v>
      </c>
      <c r="I4552" t="s">
        <v>1074</v>
      </c>
      <c r="J4552" s="22">
        <f>ROUND(E4552/I4549* H4552,5)</f>
        <v>6.1375000000000002</v>
      </c>
      <c r="K4552" s="23"/>
    </row>
    <row r="4553" spans="1:27" x14ac:dyDescent="0.2">
      <c r="B4553" t="s">
        <v>1364</v>
      </c>
      <c r="C4553" t="s">
        <v>1070</v>
      </c>
      <c r="D4553" t="s">
        <v>1365</v>
      </c>
      <c r="E4553" s="20">
        <v>0.5</v>
      </c>
      <c r="F4553" t="s">
        <v>1072</v>
      </c>
      <c r="G4553" t="s">
        <v>1073</v>
      </c>
      <c r="H4553" s="21">
        <v>29.42</v>
      </c>
      <c r="I4553" t="s">
        <v>1074</v>
      </c>
      <c r="J4553" s="22">
        <f>ROUND(E4553/I4549* H4553,5)</f>
        <v>14.71</v>
      </c>
      <c r="K4553" s="23"/>
    </row>
    <row r="4554" spans="1:27" x14ac:dyDescent="0.2">
      <c r="B4554" t="s">
        <v>2089</v>
      </c>
      <c r="C4554" t="s">
        <v>1070</v>
      </c>
      <c r="D4554" t="s">
        <v>2090</v>
      </c>
      <c r="E4554" s="20">
        <v>0.34</v>
      </c>
      <c r="F4554" t="s">
        <v>1072</v>
      </c>
      <c r="G4554" t="s">
        <v>1073</v>
      </c>
      <c r="H4554" s="21">
        <v>26.08</v>
      </c>
      <c r="I4554" t="s">
        <v>1074</v>
      </c>
      <c r="J4554" s="22">
        <f>ROUND(E4554/I4549* H4554,5)</f>
        <v>8.8672000000000004</v>
      </c>
      <c r="K4554" s="23"/>
    </row>
    <row r="4555" spans="1:27" x14ac:dyDescent="0.2">
      <c r="D4555" s="24" t="s">
        <v>1075</v>
      </c>
      <c r="E4555" s="23"/>
      <c r="H4555" s="23"/>
      <c r="K4555" s="21">
        <f>SUM(J4551:J4554)</f>
        <v>67.727200000000011</v>
      </c>
    </row>
    <row r="4556" spans="1:27" x14ac:dyDescent="0.2">
      <c r="B4556" s="14" t="s">
        <v>1080</v>
      </c>
      <c r="E4556" s="23"/>
      <c r="H4556" s="23"/>
      <c r="K4556" s="23"/>
    </row>
    <row r="4557" spans="1:27" x14ac:dyDescent="0.2">
      <c r="B4557" t="s">
        <v>4117</v>
      </c>
      <c r="C4557" t="s">
        <v>103</v>
      </c>
      <c r="D4557" t="s">
        <v>4118</v>
      </c>
      <c r="E4557" s="20">
        <v>0.245</v>
      </c>
      <c r="G4557" t="s">
        <v>1073</v>
      </c>
      <c r="H4557" s="21">
        <v>4.46</v>
      </c>
      <c r="I4557" t="s">
        <v>1074</v>
      </c>
      <c r="J4557" s="22">
        <f>ROUND(E4557* H4557,5)</f>
        <v>1.0927</v>
      </c>
      <c r="K4557" s="23"/>
    </row>
    <row r="4558" spans="1:27" x14ac:dyDescent="0.2">
      <c r="B4558" t="s">
        <v>4121</v>
      </c>
      <c r="C4558" t="s">
        <v>23</v>
      </c>
      <c r="D4558" t="s">
        <v>3913</v>
      </c>
      <c r="E4558" s="20">
        <v>1</v>
      </c>
      <c r="G4558" t="s">
        <v>1073</v>
      </c>
      <c r="H4558" s="21">
        <v>381</v>
      </c>
      <c r="I4558" t="s">
        <v>1074</v>
      </c>
      <c r="J4558" s="22">
        <f>ROUND(E4558* H4558,5)</f>
        <v>381</v>
      </c>
      <c r="K4558" s="23"/>
    </row>
    <row r="4559" spans="1:27" x14ac:dyDescent="0.2">
      <c r="D4559" s="24" t="s">
        <v>1090</v>
      </c>
      <c r="E4559" s="23"/>
      <c r="H4559" s="23"/>
      <c r="K4559" s="21">
        <f>SUM(J4557:J4558)</f>
        <v>382.09269999999998</v>
      </c>
    </row>
    <row r="4560" spans="1:27" x14ac:dyDescent="0.2">
      <c r="B4560" s="14" t="s">
        <v>1063</v>
      </c>
      <c r="E4560" s="23"/>
      <c r="H4560" s="23"/>
      <c r="K4560" s="23"/>
    </row>
    <row r="4561" spans="1:27" x14ac:dyDescent="0.2">
      <c r="B4561" t="s">
        <v>1095</v>
      </c>
      <c r="C4561" t="s">
        <v>15</v>
      </c>
      <c r="D4561" t="s">
        <v>1096</v>
      </c>
      <c r="E4561" s="20">
        <v>2.0999999999999999E-3</v>
      </c>
      <c r="G4561" t="s">
        <v>1073</v>
      </c>
      <c r="H4561" s="21">
        <v>98.629000000000005</v>
      </c>
      <c r="I4561" t="s">
        <v>1074</v>
      </c>
      <c r="J4561" s="22">
        <f>ROUND(E4561* H4561,5)</f>
        <v>0.20712</v>
      </c>
      <c r="K4561" s="23"/>
    </row>
    <row r="4562" spans="1:27" x14ac:dyDescent="0.2">
      <c r="D4562" s="24" t="s">
        <v>1361</v>
      </c>
      <c r="E4562" s="23"/>
      <c r="H4562" s="23"/>
      <c r="K4562" s="21">
        <f>SUM(J4561:J4561)</f>
        <v>0.20712</v>
      </c>
    </row>
    <row r="4563" spans="1:27" x14ac:dyDescent="0.2">
      <c r="E4563" s="23"/>
      <c r="H4563" s="23"/>
      <c r="K4563" s="23"/>
    </row>
    <row r="4564" spans="1:27" x14ac:dyDescent="0.2">
      <c r="D4564" s="24" t="s">
        <v>1092</v>
      </c>
      <c r="E4564" s="23"/>
      <c r="H4564" s="23">
        <v>2.5</v>
      </c>
      <c r="I4564" t="s">
        <v>1093</v>
      </c>
      <c r="J4564">
        <f>ROUND(H4564/100*K4555,5)</f>
        <v>1.6931799999999999</v>
      </c>
      <c r="K4564" s="23"/>
    </row>
    <row r="4565" spans="1:27" x14ac:dyDescent="0.2">
      <c r="D4565" s="24" t="s">
        <v>1091</v>
      </c>
      <c r="E4565" s="23"/>
      <c r="H4565" s="23"/>
      <c r="K4565" s="25">
        <f>SUM(J4550:J4564)</f>
        <v>451.72019999999998</v>
      </c>
    </row>
    <row r="4566" spans="1:27" x14ac:dyDescent="0.2">
      <c r="D4566" s="24" t="s">
        <v>1142</v>
      </c>
      <c r="E4566" s="23"/>
      <c r="H4566" s="23">
        <v>8</v>
      </c>
      <c r="I4566" t="s">
        <v>1093</v>
      </c>
      <c r="K4566" s="21">
        <f>ROUND(H4566/100*K4565,5)</f>
        <v>36.137619999999998</v>
      </c>
    </row>
    <row r="4567" spans="1:27" x14ac:dyDescent="0.2">
      <c r="D4567" s="24" t="s">
        <v>1094</v>
      </c>
      <c r="E4567" s="23"/>
      <c r="H4567" s="23"/>
      <c r="K4567" s="25">
        <f>SUM(K4565:K4566)</f>
        <v>487.85781999999995</v>
      </c>
    </row>
    <row r="4569" spans="1:27" ht="45" customHeight="1" x14ac:dyDescent="0.2">
      <c r="A4569" s="17" t="s">
        <v>2719</v>
      </c>
      <c r="B4569" s="17" t="s">
        <v>3914</v>
      </c>
      <c r="C4569" s="1" t="s">
        <v>23</v>
      </c>
      <c r="D4569" s="96" t="s">
        <v>3915</v>
      </c>
      <c r="E4569" s="97"/>
      <c r="F4569" s="97"/>
      <c r="G4569" s="1"/>
      <c r="H4569" s="18" t="s">
        <v>1066</v>
      </c>
      <c r="I4569" s="98">
        <v>1</v>
      </c>
      <c r="J4569" s="99"/>
      <c r="K4569" s="19">
        <f>ROUND(K4582,2)</f>
        <v>468.74</v>
      </c>
      <c r="L4569" s="2" t="s">
        <v>4122</v>
      </c>
      <c r="M4569" s="1"/>
      <c r="N4569" s="1"/>
      <c r="O4569" s="1"/>
      <c r="P4569" s="1"/>
      <c r="Q4569" s="1"/>
      <c r="R4569" s="1"/>
      <c r="S4569" s="1"/>
      <c r="T4569" s="1"/>
      <c r="U4569" s="1"/>
      <c r="V4569" s="1"/>
      <c r="W4569" s="1"/>
      <c r="X4569" s="1"/>
      <c r="Y4569" s="1"/>
      <c r="Z4569" s="1"/>
      <c r="AA4569" s="1"/>
    </row>
    <row r="4570" spans="1:27" x14ac:dyDescent="0.2">
      <c r="B4570" s="14" t="s">
        <v>1068</v>
      </c>
    </row>
    <row r="4571" spans="1:27" x14ac:dyDescent="0.2">
      <c r="B4571" t="s">
        <v>1283</v>
      </c>
      <c r="C4571" t="s">
        <v>1070</v>
      </c>
      <c r="D4571" t="s">
        <v>1284</v>
      </c>
      <c r="E4571" s="20">
        <v>0.45</v>
      </c>
      <c r="F4571" t="s">
        <v>1072</v>
      </c>
      <c r="G4571" t="s">
        <v>1073</v>
      </c>
      <c r="H4571" s="21">
        <v>30.41</v>
      </c>
      <c r="I4571" t="s">
        <v>1074</v>
      </c>
      <c r="J4571" s="22">
        <f>ROUND(E4571/I4569* H4571,5)</f>
        <v>13.6845</v>
      </c>
      <c r="K4571" s="23"/>
    </row>
    <row r="4572" spans="1:27" x14ac:dyDescent="0.2">
      <c r="B4572" t="s">
        <v>2089</v>
      </c>
      <c r="C4572" t="s">
        <v>1070</v>
      </c>
      <c r="D4572" t="s">
        <v>2090</v>
      </c>
      <c r="E4572" s="20">
        <v>0.112</v>
      </c>
      <c r="F4572" t="s">
        <v>1072</v>
      </c>
      <c r="G4572" t="s">
        <v>1073</v>
      </c>
      <c r="H4572" s="21">
        <v>26.08</v>
      </c>
      <c r="I4572" t="s">
        <v>1074</v>
      </c>
      <c r="J4572" s="22">
        <f>ROUND(E4572/I4569* H4572,5)</f>
        <v>2.92096</v>
      </c>
      <c r="K4572" s="23"/>
    </row>
    <row r="4573" spans="1:27" x14ac:dyDescent="0.2">
      <c r="D4573" s="24" t="s">
        <v>1075</v>
      </c>
      <c r="E4573" s="23"/>
      <c r="H4573" s="23"/>
      <c r="K4573" s="21">
        <f>SUM(J4571:J4572)</f>
        <v>16.605460000000001</v>
      </c>
    </row>
    <row r="4574" spans="1:27" x14ac:dyDescent="0.2">
      <c r="B4574" s="14" t="s">
        <v>1080</v>
      </c>
      <c r="E4574" s="23"/>
      <c r="H4574" s="23"/>
      <c r="K4574" s="23"/>
    </row>
    <row r="4575" spans="1:27" x14ac:dyDescent="0.2">
      <c r="B4575" t="s">
        <v>4123</v>
      </c>
      <c r="C4575" t="s">
        <v>23</v>
      </c>
      <c r="D4575" t="s">
        <v>4124</v>
      </c>
      <c r="E4575" s="20">
        <v>1</v>
      </c>
      <c r="G4575" t="s">
        <v>1073</v>
      </c>
      <c r="H4575" s="21">
        <v>107</v>
      </c>
      <c r="I4575" t="s">
        <v>1074</v>
      </c>
      <c r="J4575" s="22">
        <f>ROUND(E4575* H4575,5)</f>
        <v>107</v>
      </c>
      <c r="K4575" s="23"/>
    </row>
    <row r="4576" spans="1:27" x14ac:dyDescent="0.2">
      <c r="B4576" t="s">
        <v>4125</v>
      </c>
      <c r="C4576" t="s">
        <v>23</v>
      </c>
      <c r="D4576" t="s">
        <v>3915</v>
      </c>
      <c r="E4576" s="20">
        <v>1</v>
      </c>
      <c r="G4576" t="s">
        <v>1073</v>
      </c>
      <c r="H4576" s="21">
        <v>310</v>
      </c>
      <c r="I4576" t="s">
        <v>1074</v>
      </c>
      <c r="J4576" s="22">
        <f>ROUND(E4576* H4576,5)</f>
        <v>310</v>
      </c>
      <c r="K4576" s="23"/>
    </row>
    <row r="4577" spans="1:27" x14ac:dyDescent="0.2">
      <c r="D4577" s="24" t="s">
        <v>1090</v>
      </c>
      <c r="E4577" s="23"/>
      <c r="H4577" s="23"/>
      <c r="K4577" s="21">
        <f>SUM(J4575:J4576)</f>
        <v>417</v>
      </c>
    </row>
    <row r="4578" spans="1:27" x14ac:dyDescent="0.2">
      <c r="E4578" s="23"/>
      <c r="H4578" s="23"/>
      <c r="K4578" s="23"/>
    </row>
    <row r="4579" spans="1:27" x14ac:dyDescent="0.2">
      <c r="D4579" s="24" t="s">
        <v>1092</v>
      </c>
      <c r="E4579" s="23"/>
      <c r="H4579" s="23">
        <v>2.5</v>
      </c>
      <c r="I4579" t="s">
        <v>1093</v>
      </c>
      <c r="J4579">
        <f>ROUND(H4579/100*K4573,5)</f>
        <v>0.41514000000000001</v>
      </c>
      <c r="K4579" s="23"/>
    </row>
    <row r="4580" spans="1:27" x14ac:dyDescent="0.2">
      <c r="D4580" s="24" t="s">
        <v>1091</v>
      </c>
      <c r="E4580" s="23"/>
      <c r="H4580" s="23"/>
      <c r="K4580" s="25">
        <f>SUM(J4570:J4579)</f>
        <v>434.0206</v>
      </c>
    </row>
    <row r="4581" spans="1:27" x14ac:dyDescent="0.2">
      <c r="D4581" s="24" t="s">
        <v>1142</v>
      </c>
      <c r="E4581" s="23"/>
      <c r="H4581" s="23">
        <v>8</v>
      </c>
      <c r="I4581" t="s">
        <v>1093</v>
      </c>
      <c r="K4581" s="21">
        <f>ROUND(H4581/100*K4580,5)</f>
        <v>34.721649999999997</v>
      </c>
    </row>
    <row r="4582" spans="1:27" x14ac:dyDescent="0.2">
      <c r="D4582" s="24" t="s">
        <v>1094</v>
      </c>
      <c r="E4582" s="23"/>
      <c r="H4582" s="23"/>
      <c r="K4582" s="25">
        <f>SUM(K4580:K4581)</f>
        <v>468.74225000000001</v>
      </c>
    </row>
    <row r="4584" spans="1:27" ht="45" customHeight="1" x14ac:dyDescent="0.2">
      <c r="A4584" s="17" t="s">
        <v>2723</v>
      </c>
      <c r="B4584" s="17" t="s">
        <v>3926</v>
      </c>
      <c r="C4584" s="1" t="s">
        <v>23</v>
      </c>
      <c r="D4584" s="96" t="s">
        <v>3927</v>
      </c>
      <c r="E4584" s="97"/>
      <c r="F4584" s="97"/>
      <c r="G4584" s="1"/>
      <c r="H4584" s="18" t="s">
        <v>1066</v>
      </c>
      <c r="I4584" s="98">
        <v>1</v>
      </c>
      <c r="J4584" s="99"/>
      <c r="K4584" s="19">
        <f>ROUND(K4597,2)</f>
        <v>158.71</v>
      </c>
      <c r="L4584" s="2" t="s">
        <v>4126</v>
      </c>
      <c r="M4584" s="1"/>
      <c r="N4584" s="1"/>
      <c r="O4584" s="1"/>
      <c r="P4584" s="1"/>
      <c r="Q4584" s="1"/>
      <c r="R4584" s="1"/>
      <c r="S4584" s="1"/>
      <c r="T4584" s="1"/>
      <c r="U4584" s="1"/>
      <c r="V4584" s="1"/>
      <c r="W4584" s="1"/>
      <c r="X4584" s="1"/>
      <c r="Y4584" s="1"/>
      <c r="Z4584" s="1"/>
      <c r="AA4584" s="1"/>
    </row>
    <row r="4585" spans="1:27" x14ac:dyDescent="0.2">
      <c r="B4585" s="14" t="s">
        <v>1068</v>
      </c>
    </row>
    <row r="4586" spans="1:27" x14ac:dyDescent="0.2">
      <c r="B4586" t="s">
        <v>1283</v>
      </c>
      <c r="C4586" t="s">
        <v>1070</v>
      </c>
      <c r="D4586" t="s">
        <v>1284</v>
      </c>
      <c r="E4586" s="20">
        <v>0.3</v>
      </c>
      <c r="F4586" t="s">
        <v>1072</v>
      </c>
      <c r="G4586" t="s">
        <v>1073</v>
      </c>
      <c r="H4586" s="21">
        <v>30.41</v>
      </c>
      <c r="I4586" t="s">
        <v>1074</v>
      </c>
      <c r="J4586" s="22">
        <f>ROUND(E4586/I4584* H4586,5)</f>
        <v>9.1229999999999993</v>
      </c>
      <c r="K4586" s="23"/>
    </row>
    <row r="4587" spans="1:27" x14ac:dyDescent="0.2">
      <c r="B4587" t="s">
        <v>2089</v>
      </c>
      <c r="C4587" t="s">
        <v>1070</v>
      </c>
      <c r="D4587" t="s">
        <v>2090</v>
      </c>
      <c r="E4587" s="20">
        <v>7.4999999999999997E-2</v>
      </c>
      <c r="F4587" t="s">
        <v>1072</v>
      </c>
      <c r="G4587" t="s">
        <v>1073</v>
      </c>
      <c r="H4587" s="21">
        <v>26.08</v>
      </c>
      <c r="I4587" t="s">
        <v>1074</v>
      </c>
      <c r="J4587" s="22">
        <f>ROUND(E4587/I4584* H4587,5)</f>
        <v>1.956</v>
      </c>
      <c r="K4587" s="23"/>
    </row>
    <row r="4588" spans="1:27" x14ac:dyDescent="0.2">
      <c r="D4588" s="24" t="s">
        <v>1075</v>
      </c>
      <c r="E4588" s="23"/>
      <c r="H4588" s="23"/>
      <c r="K4588" s="21">
        <f>SUM(J4586:J4587)</f>
        <v>11.078999999999999</v>
      </c>
    </row>
    <row r="4589" spans="1:27" x14ac:dyDescent="0.2">
      <c r="B4589" s="14" t="s">
        <v>1080</v>
      </c>
      <c r="E4589" s="23"/>
      <c r="H4589" s="23"/>
      <c r="K4589" s="23"/>
    </row>
    <row r="4590" spans="1:27" x14ac:dyDescent="0.2">
      <c r="B4590" t="s">
        <v>4127</v>
      </c>
      <c r="C4590" t="s">
        <v>23</v>
      </c>
      <c r="D4590" t="s">
        <v>3927</v>
      </c>
      <c r="E4590" s="20">
        <v>1</v>
      </c>
      <c r="G4590" t="s">
        <v>1073</v>
      </c>
      <c r="H4590" s="21">
        <v>135</v>
      </c>
      <c r="I4590" t="s">
        <v>1074</v>
      </c>
      <c r="J4590" s="22">
        <f>ROUND(E4590* H4590,5)</f>
        <v>135</v>
      </c>
      <c r="K4590" s="23"/>
    </row>
    <row r="4591" spans="1:27" x14ac:dyDescent="0.2">
      <c r="B4591" t="s">
        <v>4110</v>
      </c>
      <c r="C4591" t="s">
        <v>4111</v>
      </c>
      <c r="D4591" t="s">
        <v>4112</v>
      </c>
      <c r="E4591" s="20">
        <v>2.5000000000000001E-2</v>
      </c>
      <c r="G4591" t="s">
        <v>1073</v>
      </c>
      <c r="H4591" s="21">
        <v>24.03</v>
      </c>
      <c r="I4591" t="s">
        <v>1074</v>
      </c>
      <c r="J4591" s="22">
        <f>ROUND(E4591* H4591,5)</f>
        <v>0.60075000000000001</v>
      </c>
      <c r="K4591" s="23"/>
    </row>
    <row r="4592" spans="1:27" x14ac:dyDescent="0.2">
      <c r="D4592" s="24" t="s">
        <v>1090</v>
      </c>
      <c r="E4592" s="23"/>
      <c r="H4592" s="23"/>
      <c r="K4592" s="21">
        <f>SUM(J4590:J4591)</f>
        <v>135.60075000000001</v>
      </c>
    </row>
    <row r="4593" spans="1:27" x14ac:dyDescent="0.2">
      <c r="E4593" s="23"/>
      <c r="H4593" s="23"/>
      <c r="K4593" s="23"/>
    </row>
    <row r="4594" spans="1:27" x14ac:dyDescent="0.2">
      <c r="D4594" s="24" t="s">
        <v>1092</v>
      </c>
      <c r="E4594" s="23"/>
      <c r="H4594" s="23">
        <v>2.5</v>
      </c>
      <c r="I4594" t="s">
        <v>1093</v>
      </c>
      <c r="J4594">
        <f>ROUND(H4594/100*K4588,5)</f>
        <v>0.27698</v>
      </c>
      <c r="K4594" s="23"/>
    </row>
    <row r="4595" spans="1:27" x14ac:dyDescent="0.2">
      <c r="D4595" s="24" t="s">
        <v>1091</v>
      </c>
      <c r="E4595" s="23"/>
      <c r="H4595" s="23"/>
      <c r="K4595" s="25">
        <f>SUM(J4585:J4594)</f>
        <v>146.95673000000002</v>
      </c>
    </row>
    <row r="4596" spans="1:27" x14ac:dyDescent="0.2">
      <c r="D4596" s="24" t="s">
        <v>1142</v>
      </c>
      <c r="E4596" s="23"/>
      <c r="H4596" s="23">
        <v>8</v>
      </c>
      <c r="I4596" t="s">
        <v>1093</v>
      </c>
      <c r="K4596" s="21">
        <f>ROUND(H4596/100*K4595,5)</f>
        <v>11.756539999999999</v>
      </c>
    </row>
    <row r="4597" spans="1:27" x14ac:dyDescent="0.2">
      <c r="D4597" s="24" t="s">
        <v>1094</v>
      </c>
      <c r="E4597" s="23"/>
      <c r="H4597" s="23"/>
      <c r="K4597" s="25">
        <f>SUM(K4595:K4596)</f>
        <v>158.71327000000002</v>
      </c>
    </row>
    <row r="4599" spans="1:27" ht="45" customHeight="1" x14ac:dyDescent="0.2">
      <c r="A4599" s="17" t="s">
        <v>2727</v>
      </c>
      <c r="B4599" s="17" t="s">
        <v>3930</v>
      </c>
      <c r="C4599" s="1" t="s">
        <v>23</v>
      </c>
      <c r="D4599" s="96" t="s">
        <v>3931</v>
      </c>
      <c r="E4599" s="97"/>
      <c r="F4599" s="97"/>
      <c r="G4599" s="1"/>
      <c r="H4599" s="18" t="s">
        <v>1066</v>
      </c>
      <c r="I4599" s="98">
        <v>1</v>
      </c>
      <c r="J4599" s="99"/>
      <c r="K4599" s="19">
        <f>ROUND(K4612,2)</f>
        <v>260.13</v>
      </c>
      <c r="L4599" s="2" t="s">
        <v>4128</v>
      </c>
      <c r="M4599" s="1"/>
      <c r="N4599" s="1"/>
      <c r="O4599" s="1"/>
      <c r="P4599" s="1"/>
      <c r="Q4599" s="1"/>
      <c r="R4599" s="1"/>
      <c r="S4599" s="1"/>
      <c r="T4599" s="1"/>
      <c r="U4599" s="1"/>
      <c r="V4599" s="1"/>
      <c r="W4599" s="1"/>
      <c r="X4599" s="1"/>
      <c r="Y4599" s="1"/>
      <c r="Z4599" s="1"/>
      <c r="AA4599" s="1"/>
    </row>
    <row r="4600" spans="1:27" x14ac:dyDescent="0.2">
      <c r="B4600" s="14" t="s">
        <v>1068</v>
      </c>
    </row>
    <row r="4601" spans="1:27" x14ac:dyDescent="0.2">
      <c r="B4601" t="s">
        <v>2089</v>
      </c>
      <c r="C4601" t="s">
        <v>1070</v>
      </c>
      <c r="D4601" t="s">
        <v>2090</v>
      </c>
      <c r="E4601" s="20">
        <v>0.112</v>
      </c>
      <c r="F4601" t="s">
        <v>1072</v>
      </c>
      <c r="G4601" t="s">
        <v>1073</v>
      </c>
      <c r="H4601" s="21">
        <v>26.08</v>
      </c>
      <c r="I4601" t="s">
        <v>1074</v>
      </c>
      <c r="J4601" s="22">
        <f>ROUND(E4601/I4599* H4601,5)</f>
        <v>2.92096</v>
      </c>
      <c r="K4601" s="23"/>
    </row>
    <row r="4602" spans="1:27" x14ac:dyDescent="0.2">
      <c r="B4602" t="s">
        <v>1283</v>
      </c>
      <c r="C4602" t="s">
        <v>1070</v>
      </c>
      <c r="D4602" t="s">
        <v>1284</v>
      </c>
      <c r="E4602" s="20">
        <v>0.45</v>
      </c>
      <c r="F4602" t="s">
        <v>1072</v>
      </c>
      <c r="G4602" t="s">
        <v>1073</v>
      </c>
      <c r="H4602" s="21">
        <v>30.41</v>
      </c>
      <c r="I4602" t="s">
        <v>1074</v>
      </c>
      <c r="J4602" s="22">
        <f>ROUND(E4602/I4599* H4602,5)</f>
        <v>13.6845</v>
      </c>
      <c r="K4602" s="23"/>
    </row>
    <row r="4603" spans="1:27" x14ac:dyDescent="0.2">
      <c r="D4603" s="24" t="s">
        <v>1075</v>
      </c>
      <c r="E4603" s="23"/>
      <c r="H4603" s="23"/>
      <c r="K4603" s="21">
        <f>SUM(J4601:J4602)</f>
        <v>16.605460000000001</v>
      </c>
    </row>
    <row r="4604" spans="1:27" x14ac:dyDescent="0.2">
      <c r="B4604" s="14" t="s">
        <v>1080</v>
      </c>
      <c r="E4604" s="23"/>
      <c r="H4604" s="23"/>
      <c r="K4604" s="23"/>
    </row>
    <row r="4605" spans="1:27" x14ac:dyDescent="0.2">
      <c r="B4605" t="s">
        <v>4129</v>
      </c>
      <c r="C4605" t="s">
        <v>23</v>
      </c>
      <c r="D4605" t="s">
        <v>3931</v>
      </c>
      <c r="E4605" s="20">
        <v>1</v>
      </c>
      <c r="G4605" t="s">
        <v>1073</v>
      </c>
      <c r="H4605" s="21">
        <v>223</v>
      </c>
      <c r="I4605" t="s">
        <v>1074</v>
      </c>
      <c r="J4605" s="22">
        <f>ROUND(E4605* H4605,5)</f>
        <v>223</v>
      </c>
      <c r="K4605" s="23"/>
    </row>
    <row r="4606" spans="1:27" x14ac:dyDescent="0.2">
      <c r="B4606" t="s">
        <v>4110</v>
      </c>
      <c r="C4606" t="s">
        <v>4111</v>
      </c>
      <c r="D4606" t="s">
        <v>4112</v>
      </c>
      <c r="E4606" s="20">
        <v>3.5000000000000003E-2</v>
      </c>
      <c r="G4606" t="s">
        <v>1073</v>
      </c>
      <c r="H4606" s="21">
        <v>24.03</v>
      </c>
      <c r="I4606" t="s">
        <v>1074</v>
      </c>
      <c r="J4606" s="22">
        <f>ROUND(E4606* H4606,5)</f>
        <v>0.84104999999999996</v>
      </c>
      <c r="K4606" s="23"/>
    </row>
    <row r="4607" spans="1:27" x14ac:dyDescent="0.2">
      <c r="D4607" s="24" t="s">
        <v>1090</v>
      </c>
      <c r="E4607" s="23"/>
      <c r="H4607" s="23"/>
      <c r="K4607" s="21">
        <f>SUM(J4605:J4606)</f>
        <v>223.84105</v>
      </c>
    </row>
    <row r="4608" spans="1:27" x14ac:dyDescent="0.2">
      <c r="E4608" s="23"/>
      <c r="H4608" s="23"/>
      <c r="K4608" s="23"/>
    </row>
    <row r="4609" spans="1:27" x14ac:dyDescent="0.2">
      <c r="D4609" s="24" t="s">
        <v>1092</v>
      </c>
      <c r="E4609" s="23"/>
      <c r="H4609" s="23">
        <v>2.5</v>
      </c>
      <c r="I4609" t="s">
        <v>1093</v>
      </c>
      <c r="J4609">
        <f>ROUND(H4609/100*K4603,5)</f>
        <v>0.41514000000000001</v>
      </c>
      <c r="K4609" s="23"/>
    </row>
    <row r="4610" spans="1:27" x14ac:dyDescent="0.2">
      <c r="D4610" s="24" t="s">
        <v>1091</v>
      </c>
      <c r="E4610" s="23"/>
      <c r="H4610" s="23"/>
      <c r="K4610" s="25">
        <f>SUM(J4600:J4609)</f>
        <v>240.86165</v>
      </c>
    </row>
    <row r="4611" spans="1:27" x14ac:dyDescent="0.2">
      <c r="D4611" s="24" t="s">
        <v>1142</v>
      </c>
      <c r="E4611" s="23"/>
      <c r="H4611" s="23">
        <v>8</v>
      </c>
      <c r="I4611" t="s">
        <v>1093</v>
      </c>
      <c r="K4611" s="21">
        <f>ROUND(H4611/100*K4610,5)</f>
        <v>19.268930000000001</v>
      </c>
    </row>
    <row r="4612" spans="1:27" x14ac:dyDescent="0.2">
      <c r="D4612" s="24" t="s">
        <v>1094</v>
      </c>
      <c r="E4612" s="23"/>
      <c r="H4612" s="23"/>
      <c r="K4612" s="25">
        <f>SUM(K4610:K4611)</f>
        <v>260.13058000000001</v>
      </c>
    </row>
    <row r="4614" spans="1:27" ht="45" customHeight="1" x14ac:dyDescent="0.2">
      <c r="A4614" s="17" t="s">
        <v>2731</v>
      </c>
      <c r="B4614" s="17" t="s">
        <v>3920</v>
      </c>
      <c r="C4614" s="1" t="s">
        <v>23</v>
      </c>
      <c r="D4614" s="96" t="s">
        <v>3921</v>
      </c>
      <c r="E4614" s="97"/>
      <c r="F4614" s="97"/>
      <c r="G4614" s="1"/>
      <c r="H4614" s="18" t="s">
        <v>1066</v>
      </c>
      <c r="I4614" s="98">
        <v>1</v>
      </c>
      <c r="J4614" s="99"/>
      <c r="K4614" s="19">
        <f>ROUND(K4628,2)</f>
        <v>204.3</v>
      </c>
      <c r="L4614" s="2" t="s">
        <v>4130</v>
      </c>
      <c r="M4614" s="1"/>
      <c r="N4614" s="1"/>
      <c r="O4614" s="1"/>
      <c r="P4614" s="1"/>
      <c r="Q4614" s="1"/>
      <c r="R4614" s="1"/>
      <c r="S4614" s="1"/>
      <c r="T4614" s="1"/>
      <c r="U4614" s="1"/>
      <c r="V4614" s="1"/>
      <c r="W4614" s="1"/>
      <c r="X4614" s="1"/>
      <c r="Y4614" s="1"/>
      <c r="Z4614" s="1"/>
      <c r="AA4614" s="1"/>
    </row>
    <row r="4615" spans="1:27" x14ac:dyDescent="0.2">
      <c r="B4615" s="14" t="s">
        <v>1068</v>
      </c>
    </row>
    <row r="4616" spans="1:27" x14ac:dyDescent="0.2">
      <c r="B4616" t="s">
        <v>1283</v>
      </c>
      <c r="C4616" t="s">
        <v>1070</v>
      </c>
      <c r="D4616" t="s">
        <v>1284</v>
      </c>
      <c r="E4616" s="20">
        <v>0.6</v>
      </c>
      <c r="F4616" t="s">
        <v>1072</v>
      </c>
      <c r="G4616" t="s">
        <v>1073</v>
      </c>
      <c r="H4616" s="21">
        <v>30.41</v>
      </c>
      <c r="I4616" t="s">
        <v>1074</v>
      </c>
      <c r="J4616" s="22">
        <f>ROUND(E4616/I4614* H4616,5)</f>
        <v>18.245999999999999</v>
      </c>
      <c r="K4616" s="23"/>
    </row>
    <row r="4617" spans="1:27" x14ac:dyDescent="0.2">
      <c r="B4617" t="s">
        <v>2089</v>
      </c>
      <c r="C4617" t="s">
        <v>1070</v>
      </c>
      <c r="D4617" t="s">
        <v>2090</v>
      </c>
      <c r="E4617" s="20">
        <v>0.15</v>
      </c>
      <c r="F4617" t="s">
        <v>1072</v>
      </c>
      <c r="G4617" t="s">
        <v>1073</v>
      </c>
      <c r="H4617" s="21">
        <v>26.08</v>
      </c>
      <c r="I4617" t="s">
        <v>1074</v>
      </c>
      <c r="J4617" s="22">
        <f>ROUND(E4617/I4614* H4617,5)</f>
        <v>3.9119999999999999</v>
      </c>
      <c r="K4617" s="23"/>
    </row>
    <row r="4618" spans="1:27" x14ac:dyDescent="0.2">
      <c r="D4618" s="24" t="s">
        <v>1075</v>
      </c>
      <c r="E4618" s="23"/>
      <c r="H4618" s="23"/>
      <c r="K4618" s="21">
        <f>SUM(J4616:J4617)</f>
        <v>22.157999999999998</v>
      </c>
    </row>
    <row r="4619" spans="1:27" x14ac:dyDescent="0.2">
      <c r="B4619" s="14" t="s">
        <v>1080</v>
      </c>
      <c r="E4619" s="23"/>
      <c r="H4619" s="23"/>
      <c r="K4619" s="23"/>
    </row>
    <row r="4620" spans="1:27" x14ac:dyDescent="0.2">
      <c r="B4620" t="s">
        <v>4131</v>
      </c>
      <c r="C4620" t="s">
        <v>23</v>
      </c>
      <c r="D4620" t="s">
        <v>3921</v>
      </c>
      <c r="E4620" s="20">
        <v>1</v>
      </c>
      <c r="G4620" t="s">
        <v>1073</v>
      </c>
      <c r="H4620" s="21">
        <v>165</v>
      </c>
      <c r="I4620" t="s">
        <v>1074</v>
      </c>
      <c r="J4620" s="22">
        <f>ROUND(E4620* H4620,5)</f>
        <v>165</v>
      </c>
      <c r="K4620" s="23"/>
    </row>
    <row r="4621" spans="1:27" x14ac:dyDescent="0.2">
      <c r="B4621" t="s">
        <v>4117</v>
      </c>
      <c r="C4621" t="s">
        <v>103</v>
      </c>
      <c r="D4621" t="s">
        <v>4118</v>
      </c>
      <c r="E4621" s="20">
        <v>0.245</v>
      </c>
      <c r="G4621" t="s">
        <v>1073</v>
      </c>
      <c r="H4621" s="21">
        <v>4.46</v>
      </c>
      <c r="I4621" t="s">
        <v>1074</v>
      </c>
      <c r="J4621" s="22">
        <f>ROUND(E4621* H4621,5)</f>
        <v>1.0927</v>
      </c>
      <c r="K4621" s="23"/>
    </row>
    <row r="4622" spans="1:27" x14ac:dyDescent="0.2">
      <c r="B4622" t="s">
        <v>4110</v>
      </c>
      <c r="C4622" t="s">
        <v>4111</v>
      </c>
      <c r="D4622" t="s">
        <v>4112</v>
      </c>
      <c r="E4622" s="20">
        <v>1.4999999999999999E-2</v>
      </c>
      <c r="G4622" t="s">
        <v>1073</v>
      </c>
      <c r="H4622" s="21">
        <v>24.03</v>
      </c>
      <c r="I4622" t="s">
        <v>1074</v>
      </c>
      <c r="J4622" s="22">
        <f>ROUND(E4622* H4622,5)</f>
        <v>0.36044999999999999</v>
      </c>
      <c r="K4622" s="23"/>
    </row>
    <row r="4623" spans="1:27" x14ac:dyDescent="0.2">
      <c r="D4623" s="24" t="s">
        <v>1090</v>
      </c>
      <c r="E4623" s="23"/>
      <c r="H4623" s="23"/>
      <c r="K4623" s="21">
        <f>SUM(J4620:J4622)</f>
        <v>166.45314999999999</v>
      </c>
    </row>
    <row r="4624" spans="1:27" x14ac:dyDescent="0.2">
      <c r="E4624" s="23"/>
      <c r="H4624" s="23"/>
      <c r="K4624" s="23"/>
    </row>
    <row r="4625" spans="1:27" x14ac:dyDescent="0.2">
      <c r="D4625" s="24" t="s">
        <v>1092</v>
      </c>
      <c r="E4625" s="23"/>
      <c r="H4625" s="23">
        <v>2.5</v>
      </c>
      <c r="I4625" t="s">
        <v>1093</v>
      </c>
      <c r="J4625">
        <f>ROUND(H4625/100*K4618,5)</f>
        <v>0.55395000000000005</v>
      </c>
      <c r="K4625" s="23"/>
    </row>
    <row r="4626" spans="1:27" x14ac:dyDescent="0.2">
      <c r="D4626" s="24" t="s">
        <v>1091</v>
      </c>
      <c r="E4626" s="23"/>
      <c r="H4626" s="23"/>
      <c r="K4626" s="25">
        <f>SUM(J4615:J4625)</f>
        <v>189.16509999999997</v>
      </c>
    </row>
    <row r="4627" spans="1:27" x14ac:dyDescent="0.2">
      <c r="D4627" s="24" t="s">
        <v>1142</v>
      </c>
      <c r="E4627" s="23"/>
      <c r="H4627" s="23">
        <v>8</v>
      </c>
      <c r="I4627" t="s">
        <v>1093</v>
      </c>
      <c r="K4627" s="21">
        <f>ROUND(H4627/100*K4626,5)</f>
        <v>15.13321</v>
      </c>
    </row>
    <row r="4628" spans="1:27" x14ac:dyDescent="0.2">
      <c r="D4628" s="24" t="s">
        <v>1094</v>
      </c>
      <c r="E4628" s="23"/>
      <c r="H4628" s="23"/>
      <c r="K4628" s="25">
        <f>SUM(K4626:K4627)</f>
        <v>204.29830999999996</v>
      </c>
    </row>
    <row r="4630" spans="1:27" ht="45" customHeight="1" x14ac:dyDescent="0.2">
      <c r="A4630" s="17" t="s">
        <v>2735</v>
      </c>
      <c r="B4630" s="17" t="s">
        <v>3922</v>
      </c>
      <c r="C4630" s="1" t="s">
        <v>23</v>
      </c>
      <c r="D4630" s="96" t="s">
        <v>3923</v>
      </c>
      <c r="E4630" s="97"/>
      <c r="F4630" s="97"/>
      <c r="G4630" s="1"/>
      <c r="H4630" s="18" t="s">
        <v>1066</v>
      </c>
      <c r="I4630" s="98">
        <v>1</v>
      </c>
      <c r="J4630" s="99"/>
      <c r="K4630" s="19">
        <f>ROUND(K4642,2)</f>
        <v>74.58</v>
      </c>
      <c r="L4630" s="2" t="s">
        <v>4132</v>
      </c>
      <c r="M4630" s="1"/>
      <c r="N4630" s="1"/>
      <c r="O4630" s="1"/>
      <c r="P4630" s="1"/>
      <c r="Q4630" s="1"/>
      <c r="R4630" s="1"/>
      <c r="S4630" s="1"/>
      <c r="T4630" s="1"/>
      <c r="U4630" s="1"/>
      <c r="V4630" s="1"/>
      <c r="W4630" s="1"/>
      <c r="X4630" s="1"/>
      <c r="Y4630" s="1"/>
      <c r="Z4630" s="1"/>
      <c r="AA4630" s="1"/>
    </row>
    <row r="4631" spans="1:27" x14ac:dyDescent="0.2">
      <c r="B4631" s="14" t="s">
        <v>1068</v>
      </c>
    </row>
    <row r="4632" spans="1:27" x14ac:dyDescent="0.2">
      <c r="B4632" t="s">
        <v>1283</v>
      </c>
      <c r="C4632" t="s">
        <v>1070</v>
      </c>
      <c r="D4632" t="s">
        <v>1284</v>
      </c>
      <c r="E4632" s="20">
        <v>0.15</v>
      </c>
      <c r="F4632" t="s">
        <v>1072</v>
      </c>
      <c r="G4632" t="s">
        <v>1073</v>
      </c>
      <c r="H4632" s="21">
        <v>30.41</v>
      </c>
      <c r="I4632" t="s">
        <v>1074</v>
      </c>
      <c r="J4632" s="22">
        <f>ROUND(E4632/I4630* H4632,5)</f>
        <v>4.5614999999999997</v>
      </c>
      <c r="K4632" s="23"/>
    </row>
    <row r="4633" spans="1:27" x14ac:dyDescent="0.2">
      <c r="B4633" t="s">
        <v>2089</v>
      </c>
      <c r="C4633" t="s">
        <v>1070</v>
      </c>
      <c r="D4633" t="s">
        <v>2090</v>
      </c>
      <c r="E4633" s="20">
        <v>0.04</v>
      </c>
      <c r="F4633" t="s">
        <v>1072</v>
      </c>
      <c r="G4633" t="s">
        <v>1073</v>
      </c>
      <c r="H4633" s="21">
        <v>26.08</v>
      </c>
      <c r="I4633" t="s">
        <v>1074</v>
      </c>
      <c r="J4633" s="22">
        <f>ROUND(E4633/I4630* H4633,5)</f>
        <v>1.0431999999999999</v>
      </c>
      <c r="K4633" s="23"/>
    </row>
    <row r="4634" spans="1:27" x14ac:dyDescent="0.2">
      <c r="D4634" s="24" t="s">
        <v>1075</v>
      </c>
      <c r="E4634" s="23"/>
      <c r="H4634" s="23"/>
      <c r="K4634" s="21">
        <f>SUM(J4632:J4633)</f>
        <v>5.6046999999999993</v>
      </c>
    </row>
    <row r="4635" spans="1:27" x14ac:dyDescent="0.2">
      <c r="B4635" s="14" t="s">
        <v>1080</v>
      </c>
      <c r="E4635" s="23"/>
      <c r="H4635" s="23"/>
      <c r="K4635" s="23"/>
    </row>
    <row r="4636" spans="1:27" x14ac:dyDescent="0.2">
      <c r="B4636" t="s">
        <v>4133</v>
      </c>
      <c r="C4636" t="s">
        <v>23</v>
      </c>
      <c r="D4636" t="s">
        <v>4134</v>
      </c>
      <c r="E4636" s="20">
        <v>1</v>
      </c>
      <c r="G4636" t="s">
        <v>1073</v>
      </c>
      <c r="H4636" s="21">
        <v>63.37</v>
      </c>
      <c r="I4636" t="s">
        <v>1074</v>
      </c>
      <c r="J4636" s="22">
        <f>ROUND(E4636* H4636,5)</f>
        <v>63.37</v>
      </c>
      <c r="K4636" s="23"/>
    </row>
    <row r="4637" spans="1:27" x14ac:dyDescent="0.2">
      <c r="D4637" s="24" t="s">
        <v>1090</v>
      </c>
      <c r="E4637" s="23"/>
      <c r="H4637" s="23"/>
      <c r="K4637" s="21">
        <f>SUM(J4636:J4636)</f>
        <v>63.37</v>
      </c>
    </row>
    <row r="4638" spans="1:27" x14ac:dyDescent="0.2">
      <c r="E4638" s="23"/>
      <c r="H4638" s="23"/>
      <c r="K4638" s="23"/>
    </row>
    <row r="4639" spans="1:27" x14ac:dyDescent="0.2">
      <c r="D4639" s="24" t="s">
        <v>1092</v>
      </c>
      <c r="E4639" s="23"/>
      <c r="H4639" s="23">
        <v>1.5</v>
      </c>
      <c r="I4639" t="s">
        <v>1093</v>
      </c>
      <c r="J4639">
        <f>ROUND(H4639/100*K4634,5)</f>
        <v>8.4070000000000006E-2</v>
      </c>
      <c r="K4639" s="23"/>
    </row>
    <row r="4640" spans="1:27" x14ac:dyDescent="0.2">
      <c r="D4640" s="24" t="s">
        <v>1091</v>
      </c>
      <c r="E4640" s="23"/>
      <c r="H4640" s="23"/>
      <c r="K4640" s="25">
        <f>SUM(J4631:J4639)</f>
        <v>69.058769999999996</v>
      </c>
    </row>
    <row r="4641" spans="1:27" x14ac:dyDescent="0.2">
      <c r="D4641" s="24" t="s">
        <v>1142</v>
      </c>
      <c r="E4641" s="23"/>
      <c r="H4641" s="23">
        <v>8</v>
      </c>
      <c r="I4641" t="s">
        <v>1093</v>
      </c>
      <c r="K4641" s="21">
        <f>ROUND(H4641/100*K4640,5)</f>
        <v>5.5247000000000002</v>
      </c>
    </row>
    <row r="4642" spans="1:27" x14ac:dyDescent="0.2">
      <c r="D4642" s="24" t="s">
        <v>1094</v>
      </c>
      <c r="E4642" s="23"/>
      <c r="H4642" s="23"/>
      <c r="K4642" s="25">
        <f>SUM(K4640:K4641)</f>
        <v>74.583469999999991</v>
      </c>
    </row>
    <row r="4644" spans="1:27" ht="45" customHeight="1" x14ac:dyDescent="0.2">
      <c r="A4644" s="17" t="s">
        <v>2739</v>
      </c>
      <c r="B4644" s="17" t="s">
        <v>3904</v>
      </c>
      <c r="C4644" s="1" t="s">
        <v>23</v>
      </c>
      <c r="D4644" s="96" t="s">
        <v>3905</v>
      </c>
      <c r="E4644" s="97"/>
      <c r="F4644" s="97"/>
      <c r="G4644" s="1"/>
      <c r="H4644" s="18" t="s">
        <v>1066</v>
      </c>
      <c r="I4644" s="98">
        <v>1</v>
      </c>
      <c r="J4644" s="99"/>
      <c r="K4644" s="19">
        <f>ROUND(K4656,2)</f>
        <v>145.24</v>
      </c>
      <c r="L4644" s="2" t="s">
        <v>4135</v>
      </c>
      <c r="M4644" s="1"/>
      <c r="N4644" s="1"/>
      <c r="O4644" s="1"/>
      <c r="P4644" s="1"/>
      <c r="Q4644" s="1"/>
      <c r="R4644" s="1"/>
      <c r="S4644" s="1"/>
      <c r="T4644" s="1"/>
      <c r="U4644" s="1"/>
      <c r="V4644" s="1"/>
      <c r="W4644" s="1"/>
      <c r="X4644" s="1"/>
      <c r="Y4644" s="1"/>
      <c r="Z4644" s="1"/>
      <c r="AA4644" s="1"/>
    </row>
    <row r="4645" spans="1:27" x14ac:dyDescent="0.2">
      <c r="B4645" s="14" t="s">
        <v>1068</v>
      </c>
    </row>
    <row r="4646" spans="1:27" x14ac:dyDescent="0.2">
      <c r="B4646" t="s">
        <v>2089</v>
      </c>
      <c r="C4646" t="s">
        <v>1070</v>
      </c>
      <c r="D4646" t="s">
        <v>2090</v>
      </c>
      <c r="E4646" s="20">
        <v>8.3000000000000004E-2</v>
      </c>
      <c r="F4646" t="s">
        <v>1072</v>
      </c>
      <c r="G4646" t="s">
        <v>1073</v>
      </c>
      <c r="H4646" s="21">
        <v>26.08</v>
      </c>
      <c r="I4646" t="s">
        <v>1074</v>
      </c>
      <c r="J4646" s="22">
        <f>ROUND(E4646/I4644* H4646,5)</f>
        <v>2.1646399999999999</v>
      </c>
      <c r="K4646" s="23"/>
    </row>
    <row r="4647" spans="1:27" x14ac:dyDescent="0.2">
      <c r="B4647" t="s">
        <v>1283</v>
      </c>
      <c r="C4647" t="s">
        <v>1070</v>
      </c>
      <c r="D4647" t="s">
        <v>1284</v>
      </c>
      <c r="E4647" s="20">
        <v>0.33</v>
      </c>
      <c r="F4647" t="s">
        <v>1072</v>
      </c>
      <c r="G4647" t="s">
        <v>1073</v>
      </c>
      <c r="H4647" s="21">
        <v>30.41</v>
      </c>
      <c r="I4647" t="s">
        <v>1074</v>
      </c>
      <c r="J4647" s="22">
        <f>ROUND(E4647/I4644* H4647,5)</f>
        <v>10.035299999999999</v>
      </c>
      <c r="K4647" s="23"/>
    </row>
    <row r="4648" spans="1:27" x14ac:dyDescent="0.2">
      <c r="D4648" s="24" t="s">
        <v>1075</v>
      </c>
      <c r="E4648" s="23"/>
      <c r="H4648" s="23"/>
      <c r="K4648" s="21">
        <f>SUM(J4646:J4647)</f>
        <v>12.19994</v>
      </c>
    </row>
    <row r="4649" spans="1:27" x14ac:dyDescent="0.2">
      <c r="B4649" s="14" t="s">
        <v>1080</v>
      </c>
      <c r="E4649" s="23"/>
      <c r="H4649" s="23"/>
      <c r="K4649" s="23"/>
    </row>
    <row r="4650" spans="1:27" x14ac:dyDescent="0.2">
      <c r="B4650" t="s">
        <v>4136</v>
      </c>
      <c r="C4650" t="s">
        <v>23</v>
      </c>
      <c r="D4650" t="s">
        <v>4137</v>
      </c>
      <c r="E4650" s="20">
        <v>1</v>
      </c>
      <c r="G4650" t="s">
        <v>1073</v>
      </c>
      <c r="H4650" s="21">
        <v>121.98</v>
      </c>
      <c r="I4650" t="s">
        <v>1074</v>
      </c>
      <c r="J4650" s="22">
        <f>ROUND(E4650* H4650,5)</f>
        <v>121.98</v>
      </c>
      <c r="K4650" s="23"/>
    </row>
    <row r="4651" spans="1:27" x14ac:dyDescent="0.2">
      <c r="D4651" s="24" t="s">
        <v>1090</v>
      </c>
      <c r="E4651" s="23"/>
      <c r="H4651" s="23"/>
      <c r="K4651" s="21">
        <f>SUM(J4650:J4650)</f>
        <v>121.98</v>
      </c>
    </row>
    <row r="4652" spans="1:27" x14ac:dyDescent="0.2">
      <c r="E4652" s="23"/>
      <c r="H4652" s="23"/>
      <c r="K4652" s="23"/>
    </row>
    <row r="4653" spans="1:27" x14ac:dyDescent="0.2">
      <c r="D4653" s="24" t="s">
        <v>1092</v>
      </c>
      <c r="E4653" s="23"/>
      <c r="H4653" s="23">
        <v>2.5</v>
      </c>
      <c r="I4653" t="s">
        <v>1093</v>
      </c>
      <c r="J4653">
        <f>ROUND(H4653/100*K4648,5)</f>
        <v>0.30499999999999999</v>
      </c>
      <c r="K4653" s="23"/>
    </row>
    <row r="4654" spans="1:27" x14ac:dyDescent="0.2">
      <c r="D4654" s="24" t="s">
        <v>1091</v>
      </c>
      <c r="E4654" s="23"/>
      <c r="H4654" s="23"/>
      <c r="K4654" s="25">
        <f>SUM(J4645:J4653)</f>
        <v>134.48494000000002</v>
      </c>
    </row>
    <row r="4655" spans="1:27" x14ac:dyDescent="0.2">
      <c r="D4655" s="24" t="s">
        <v>1142</v>
      </c>
      <c r="E4655" s="23"/>
      <c r="H4655" s="23">
        <v>8</v>
      </c>
      <c r="I4655" t="s">
        <v>1093</v>
      </c>
      <c r="K4655" s="21">
        <f>ROUND(H4655/100*K4654,5)</f>
        <v>10.758800000000001</v>
      </c>
    </row>
    <row r="4656" spans="1:27" x14ac:dyDescent="0.2">
      <c r="D4656" s="24" t="s">
        <v>1094</v>
      </c>
      <c r="E4656" s="23"/>
      <c r="H4656" s="23"/>
      <c r="K4656" s="25">
        <f>SUM(K4654:K4655)</f>
        <v>145.24374000000003</v>
      </c>
    </row>
    <row r="4658" spans="1:27" ht="45" customHeight="1" x14ac:dyDescent="0.2">
      <c r="A4658" s="17" t="s">
        <v>2743</v>
      </c>
      <c r="B4658" s="17" t="s">
        <v>3934</v>
      </c>
      <c r="C4658" s="1" t="s">
        <v>23</v>
      </c>
      <c r="D4658" s="96" t="s">
        <v>3935</v>
      </c>
      <c r="E4658" s="97"/>
      <c r="F4658" s="97"/>
      <c r="G4658" s="1"/>
      <c r="H4658" s="18" t="s">
        <v>1066</v>
      </c>
      <c r="I4658" s="98">
        <v>1</v>
      </c>
      <c r="J4658" s="99"/>
      <c r="K4658" s="19">
        <f>ROUND(K4670,2)</f>
        <v>250.01</v>
      </c>
      <c r="L4658" s="2" t="s">
        <v>4138</v>
      </c>
      <c r="M4658" s="1"/>
      <c r="N4658" s="1"/>
      <c r="O4658" s="1"/>
      <c r="P4658" s="1"/>
      <c r="Q4658" s="1"/>
      <c r="R4658" s="1"/>
      <c r="S4658" s="1"/>
      <c r="T4658" s="1"/>
      <c r="U4658" s="1"/>
      <c r="V4658" s="1"/>
      <c r="W4658" s="1"/>
      <c r="X4658" s="1"/>
      <c r="Y4658" s="1"/>
      <c r="Z4658" s="1"/>
      <c r="AA4658" s="1"/>
    </row>
    <row r="4659" spans="1:27" x14ac:dyDescent="0.2">
      <c r="B4659" s="14" t="s">
        <v>1068</v>
      </c>
    </row>
    <row r="4660" spans="1:27" x14ac:dyDescent="0.2">
      <c r="B4660" t="s">
        <v>1283</v>
      </c>
      <c r="C4660" t="s">
        <v>1070</v>
      </c>
      <c r="D4660" t="s">
        <v>1284</v>
      </c>
      <c r="E4660" s="20">
        <v>0.6</v>
      </c>
      <c r="F4660" t="s">
        <v>1072</v>
      </c>
      <c r="G4660" t="s">
        <v>1073</v>
      </c>
      <c r="H4660" s="21">
        <v>30.41</v>
      </c>
      <c r="I4660" t="s">
        <v>1074</v>
      </c>
      <c r="J4660" s="22">
        <f>ROUND(E4660/I4658* H4660,5)</f>
        <v>18.245999999999999</v>
      </c>
      <c r="K4660" s="23"/>
    </row>
    <row r="4661" spans="1:27" x14ac:dyDescent="0.2">
      <c r="B4661" t="s">
        <v>2089</v>
      </c>
      <c r="C4661" t="s">
        <v>1070</v>
      </c>
      <c r="D4661" t="s">
        <v>2090</v>
      </c>
      <c r="E4661" s="20">
        <v>0.15</v>
      </c>
      <c r="F4661" t="s">
        <v>1072</v>
      </c>
      <c r="G4661" t="s">
        <v>1073</v>
      </c>
      <c r="H4661" s="21">
        <v>26.08</v>
      </c>
      <c r="I4661" t="s">
        <v>1074</v>
      </c>
      <c r="J4661" s="22">
        <f>ROUND(E4661/I4658* H4661,5)</f>
        <v>3.9119999999999999</v>
      </c>
      <c r="K4661" s="23"/>
    </row>
    <row r="4662" spans="1:27" x14ac:dyDescent="0.2">
      <c r="D4662" s="24" t="s">
        <v>1075</v>
      </c>
      <c r="E4662" s="23"/>
      <c r="H4662" s="23"/>
      <c r="K4662" s="21">
        <f>SUM(J4660:J4661)</f>
        <v>22.157999999999998</v>
      </c>
    </row>
    <row r="4663" spans="1:27" x14ac:dyDescent="0.2">
      <c r="B4663" s="14" t="s">
        <v>1080</v>
      </c>
      <c r="E4663" s="23"/>
      <c r="H4663" s="23"/>
      <c r="K4663" s="23"/>
    </row>
    <row r="4664" spans="1:27" x14ac:dyDescent="0.2">
      <c r="B4664" t="s">
        <v>4139</v>
      </c>
      <c r="C4664" t="s">
        <v>23</v>
      </c>
      <c r="D4664" t="s">
        <v>3935</v>
      </c>
      <c r="E4664" s="20">
        <v>1</v>
      </c>
      <c r="G4664" t="s">
        <v>1073</v>
      </c>
      <c r="H4664" s="21">
        <v>209</v>
      </c>
      <c r="I4664" t="s">
        <v>1074</v>
      </c>
      <c r="J4664" s="22">
        <f>ROUND(E4664* H4664,5)</f>
        <v>209</v>
      </c>
      <c r="K4664" s="23"/>
    </row>
    <row r="4665" spans="1:27" x14ac:dyDescent="0.2">
      <c r="D4665" s="24" t="s">
        <v>1090</v>
      </c>
      <c r="E4665" s="23"/>
      <c r="H4665" s="23"/>
      <c r="K4665" s="21">
        <f>SUM(J4664:J4664)</f>
        <v>209</v>
      </c>
    </row>
    <row r="4666" spans="1:27" x14ac:dyDescent="0.2">
      <c r="E4666" s="23"/>
      <c r="H4666" s="23"/>
      <c r="K4666" s="23"/>
    </row>
    <row r="4667" spans="1:27" x14ac:dyDescent="0.2">
      <c r="D4667" s="24" t="s">
        <v>1092</v>
      </c>
      <c r="E4667" s="23"/>
      <c r="H4667" s="23">
        <v>1.5</v>
      </c>
      <c r="I4667" t="s">
        <v>1093</v>
      </c>
      <c r="J4667">
        <f>ROUND(H4667/100*K4662,5)</f>
        <v>0.33237</v>
      </c>
      <c r="K4667" s="23"/>
    </row>
    <row r="4668" spans="1:27" x14ac:dyDescent="0.2">
      <c r="D4668" s="24" t="s">
        <v>1091</v>
      </c>
      <c r="E4668" s="23"/>
      <c r="H4668" s="23"/>
      <c r="K4668" s="25">
        <f>SUM(J4659:J4667)</f>
        <v>231.49036999999998</v>
      </c>
    </row>
    <row r="4669" spans="1:27" x14ac:dyDescent="0.2">
      <c r="D4669" s="24" t="s">
        <v>1142</v>
      </c>
      <c r="E4669" s="23"/>
      <c r="H4669" s="23">
        <v>8</v>
      </c>
      <c r="I4669" t="s">
        <v>1093</v>
      </c>
      <c r="K4669" s="21">
        <f>ROUND(H4669/100*K4668,5)</f>
        <v>18.51923</v>
      </c>
    </row>
    <row r="4670" spans="1:27" x14ac:dyDescent="0.2">
      <c r="D4670" s="24" t="s">
        <v>1094</v>
      </c>
      <c r="E4670" s="23"/>
      <c r="H4670" s="23"/>
      <c r="K4670" s="25">
        <f>SUM(K4668:K4669)</f>
        <v>250.00959999999998</v>
      </c>
    </row>
    <row r="4672" spans="1:27" ht="45" customHeight="1" x14ac:dyDescent="0.2">
      <c r="A4672" s="17" t="s">
        <v>2747</v>
      </c>
      <c r="B4672" s="17" t="s">
        <v>3918</v>
      </c>
      <c r="C4672" s="1" t="s">
        <v>23</v>
      </c>
      <c r="D4672" s="96" t="s">
        <v>3919</v>
      </c>
      <c r="E4672" s="97"/>
      <c r="F4672" s="97"/>
      <c r="G4672" s="1"/>
      <c r="H4672" s="18" t="s">
        <v>1066</v>
      </c>
      <c r="I4672" s="98">
        <v>1</v>
      </c>
      <c r="J4672" s="99"/>
      <c r="K4672" s="19">
        <f>ROUND(K4684,2)</f>
        <v>678.23</v>
      </c>
      <c r="L4672" s="2" t="s">
        <v>4140</v>
      </c>
      <c r="M4672" s="1"/>
      <c r="N4672" s="1"/>
      <c r="O4672" s="1"/>
      <c r="P4672" s="1"/>
      <c r="Q4672" s="1"/>
      <c r="R4672" s="1"/>
      <c r="S4672" s="1"/>
      <c r="T4672" s="1"/>
      <c r="U4672" s="1"/>
      <c r="V4672" s="1"/>
      <c r="W4672" s="1"/>
      <c r="X4672" s="1"/>
      <c r="Y4672" s="1"/>
      <c r="Z4672" s="1"/>
      <c r="AA4672" s="1"/>
    </row>
    <row r="4673" spans="1:27" x14ac:dyDescent="0.2">
      <c r="B4673" s="14" t="s">
        <v>1068</v>
      </c>
    </row>
    <row r="4674" spans="1:27" x14ac:dyDescent="0.2">
      <c r="B4674" t="s">
        <v>2089</v>
      </c>
      <c r="C4674" t="s">
        <v>1070</v>
      </c>
      <c r="D4674" t="s">
        <v>2090</v>
      </c>
      <c r="E4674" s="20">
        <v>0.1</v>
      </c>
      <c r="F4674" t="s">
        <v>1072</v>
      </c>
      <c r="G4674" t="s">
        <v>1073</v>
      </c>
      <c r="H4674" s="21">
        <v>26.08</v>
      </c>
      <c r="I4674" t="s">
        <v>1074</v>
      </c>
      <c r="J4674" s="22">
        <f>ROUND(E4674/I4672* H4674,5)</f>
        <v>2.6080000000000001</v>
      </c>
      <c r="K4674" s="23"/>
    </row>
    <row r="4675" spans="1:27" x14ac:dyDescent="0.2">
      <c r="B4675" t="s">
        <v>1283</v>
      </c>
      <c r="C4675" t="s">
        <v>1070</v>
      </c>
      <c r="D4675" t="s">
        <v>1284</v>
      </c>
      <c r="E4675" s="20">
        <v>0.4</v>
      </c>
      <c r="F4675" t="s">
        <v>1072</v>
      </c>
      <c r="G4675" t="s">
        <v>1073</v>
      </c>
      <c r="H4675" s="21">
        <v>30.41</v>
      </c>
      <c r="I4675" t="s">
        <v>1074</v>
      </c>
      <c r="J4675" s="22">
        <f>ROUND(E4675/I4672* H4675,5)</f>
        <v>12.164</v>
      </c>
      <c r="K4675" s="23"/>
    </row>
    <row r="4676" spans="1:27" x14ac:dyDescent="0.2">
      <c r="D4676" s="24" t="s">
        <v>1075</v>
      </c>
      <c r="E4676" s="23"/>
      <c r="H4676" s="23"/>
      <c r="K4676" s="21">
        <f>SUM(J4674:J4675)</f>
        <v>14.772</v>
      </c>
    </row>
    <row r="4677" spans="1:27" x14ac:dyDescent="0.2">
      <c r="B4677" s="14" t="s">
        <v>1080</v>
      </c>
      <c r="E4677" s="23"/>
      <c r="H4677" s="23"/>
      <c r="K4677" s="23"/>
    </row>
    <row r="4678" spans="1:27" x14ac:dyDescent="0.2">
      <c r="B4678" t="s">
        <v>4141</v>
      </c>
      <c r="C4678" t="s">
        <v>23</v>
      </c>
      <c r="D4678" t="s">
        <v>3919</v>
      </c>
      <c r="E4678" s="20">
        <v>1</v>
      </c>
      <c r="G4678" t="s">
        <v>1073</v>
      </c>
      <c r="H4678" s="21">
        <v>613</v>
      </c>
      <c r="I4678" t="s">
        <v>1074</v>
      </c>
      <c r="J4678" s="22">
        <f>ROUND(E4678* H4678,5)</f>
        <v>613</v>
      </c>
      <c r="K4678" s="23"/>
    </row>
    <row r="4679" spans="1:27" x14ac:dyDescent="0.2">
      <c r="D4679" s="24" t="s">
        <v>1090</v>
      </c>
      <c r="E4679" s="23"/>
      <c r="H4679" s="23"/>
      <c r="K4679" s="21">
        <f>SUM(J4678:J4678)</f>
        <v>613</v>
      </c>
    </row>
    <row r="4680" spans="1:27" x14ac:dyDescent="0.2">
      <c r="E4680" s="23"/>
      <c r="H4680" s="23"/>
      <c r="K4680" s="23"/>
    </row>
    <row r="4681" spans="1:27" x14ac:dyDescent="0.2">
      <c r="D4681" s="24" t="s">
        <v>1092</v>
      </c>
      <c r="E4681" s="23"/>
      <c r="H4681" s="23">
        <v>1.5</v>
      </c>
      <c r="I4681" t="s">
        <v>1093</v>
      </c>
      <c r="J4681">
        <f>ROUND(H4681/100*K4676,5)</f>
        <v>0.22158</v>
      </c>
      <c r="K4681" s="23"/>
    </row>
    <row r="4682" spans="1:27" x14ac:dyDescent="0.2">
      <c r="D4682" s="24" t="s">
        <v>1091</v>
      </c>
      <c r="E4682" s="23"/>
      <c r="H4682" s="23"/>
      <c r="K4682" s="25">
        <f>SUM(J4673:J4681)</f>
        <v>627.99358000000007</v>
      </c>
    </row>
    <row r="4683" spans="1:27" x14ac:dyDescent="0.2">
      <c r="D4683" s="24" t="s">
        <v>1142</v>
      </c>
      <c r="E4683" s="23"/>
      <c r="H4683" s="23">
        <v>8</v>
      </c>
      <c r="I4683" t="s">
        <v>1093</v>
      </c>
      <c r="K4683" s="21">
        <f>ROUND(H4683/100*K4682,5)</f>
        <v>50.239490000000004</v>
      </c>
    </row>
    <row r="4684" spans="1:27" x14ac:dyDescent="0.2">
      <c r="D4684" s="24" t="s">
        <v>1094</v>
      </c>
      <c r="E4684" s="23"/>
      <c r="H4684" s="23"/>
      <c r="K4684" s="25">
        <f>SUM(K4682:K4683)</f>
        <v>678.23307000000011</v>
      </c>
    </row>
    <row r="4686" spans="1:27" ht="45" customHeight="1" x14ac:dyDescent="0.2">
      <c r="A4686" s="17" t="s">
        <v>2751</v>
      </c>
      <c r="B4686" s="17" t="s">
        <v>3906</v>
      </c>
      <c r="C4686" s="1" t="s">
        <v>23</v>
      </c>
      <c r="D4686" s="96" t="s">
        <v>3907</v>
      </c>
      <c r="E4686" s="97"/>
      <c r="F4686" s="97"/>
      <c r="G4686" s="1"/>
      <c r="H4686" s="18" t="s">
        <v>1066</v>
      </c>
      <c r="I4686" s="98">
        <v>1</v>
      </c>
      <c r="J4686" s="99"/>
      <c r="K4686" s="19">
        <f>ROUND(K4698,2)</f>
        <v>327.77</v>
      </c>
      <c r="L4686" s="2" t="s">
        <v>4142</v>
      </c>
      <c r="M4686" s="1"/>
      <c r="N4686" s="1"/>
      <c r="O4686" s="1"/>
      <c r="P4686" s="1"/>
      <c r="Q4686" s="1"/>
      <c r="R4686" s="1"/>
      <c r="S4686" s="1"/>
      <c r="T4686" s="1"/>
      <c r="U4686" s="1"/>
      <c r="V4686" s="1"/>
      <c r="W4686" s="1"/>
      <c r="X4686" s="1"/>
      <c r="Y4686" s="1"/>
      <c r="Z4686" s="1"/>
      <c r="AA4686" s="1"/>
    </row>
    <row r="4687" spans="1:27" x14ac:dyDescent="0.2">
      <c r="B4687" s="14" t="s">
        <v>1068</v>
      </c>
    </row>
    <row r="4688" spans="1:27" x14ac:dyDescent="0.2">
      <c r="B4688" t="s">
        <v>2089</v>
      </c>
      <c r="C4688" t="s">
        <v>1070</v>
      </c>
      <c r="D4688" t="s">
        <v>2090</v>
      </c>
      <c r="E4688" s="20">
        <v>0.15</v>
      </c>
      <c r="F4688" t="s">
        <v>1072</v>
      </c>
      <c r="G4688" t="s">
        <v>1073</v>
      </c>
      <c r="H4688" s="21">
        <v>26.08</v>
      </c>
      <c r="I4688" t="s">
        <v>1074</v>
      </c>
      <c r="J4688" s="22">
        <f>ROUND(E4688/I4686* H4688,5)</f>
        <v>3.9119999999999999</v>
      </c>
      <c r="K4688" s="23"/>
    </row>
    <row r="4689" spans="1:27" x14ac:dyDescent="0.2">
      <c r="B4689" t="s">
        <v>1283</v>
      </c>
      <c r="C4689" t="s">
        <v>1070</v>
      </c>
      <c r="D4689" t="s">
        <v>1284</v>
      </c>
      <c r="E4689" s="20">
        <v>0.6</v>
      </c>
      <c r="F4689" t="s">
        <v>1072</v>
      </c>
      <c r="G4689" t="s">
        <v>1073</v>
      </c>
      <c r="H4689" s="21">
        <v>30.41</v>
      </c>
      <c r="I4689" t="s">
        <v>1074</v>
      </c>
      <c r="J4689" s="22">
        <f>ROUND(E4689/I4686* H4689,5)</f>
        <v>18.245999999999999</v>
      </c>
      <c r="K4689" s="23"/>
    </row>
    <row r="4690" spans="1:27" x14ac:dyDescent="0.2">
      <c r="D4690" s="24" t="s">
        <v>1075</v>
      </c>
      <c r="E4690" s="23"/>
      <c r="H4690" s="23"/>
      <c r="K4690" s="21">
        <f>SUM(J4688:J4689)</f>
        <v>22.157999999999998</v>
      </c>
    </row>
    <row r="4691" spans="1:27" x14ac:dyDescent="0.2">
      <c r="B4691" s="14" t="s">
        <v>1080</v>
      </c>
      <c r="E4691" s="23"/>
      <c r="H4691" s="23"/>
      <c r="K4691" s="23"/>
    </row>
    <row r="4692" spans="1:27" x14ac:dyDescent="0.2">
      <c r="B4692" t="s">
        <v>4143</v>
      </c>
      <c r="C4692" t="s">
        <v>23</v>
      </c>
      <c r="D4692" t="s">
        <v>4144</v>
      </c>
      <c r="E4692" s="20">
        <v>1</v>
      </c>
      <c r="G4692" t="s">
        <v>1073</v>
      </c>
      <c r="H4692" s="21">
        <v>281</v>
      </c>
      <c r="I4692" t="s">
        <v>1074</v>
      </c>
      <c r="J4692" s="22">
        <f>ROUND(E4692* H4692,5)</f>
        <v>281</v>
      </c>
      <c r="K4692" s="23"/>
    </row>
    <row r="4693" spans="1:27" x14ac:dyDescent="0.2">
      <c r="D4693" s="24" t="s">
        <v>1090</v>
      </c>
      <c r="E4693" s="23"/>
      <c r="H4693" s="23"/>
      <c r="K4693" s="21">
        <f>SUM(J4692:J4692)</f>
        <v>281</v>
      </c>
    </row>
    <row r="4694" spans="1:27" x14ac:dyDescent="0.2">
      <c r="E4694" s="23"/>
      <c r="H4694" s="23"/>
      <c r="K4694" s="23"/>
    </row>
    <row r="4695" spans="1:27" x14ac:dyDescent="0.2">
      <c r="D4695" s="24" t="s">
        <v>1092</v>
      </c>
      <c r="E4695" s="23"/>
      <c r="H4695" s="23">
        <v>1.5</v>
      </c>
      <c r="I4695" t="s">
        <v>1093</v>
      </c>
      <c r="J4695">
        <f>ROUND(H4695/100*K4690,5)</f>
        <v>0.33237</v>
      </c>
      <c r="K4695" s="23"/>
    </row>
    <row r="4696" spans="1:27" x14ac:dyDescent="0.2">
      <c r="D4696" s="24" t="s">
        <v>1091</v>
      </c>
      <c r="E4696" s="23"/>
      <c r="H4696" s="23"/>
      <c r="K4696" s="25">
        <f>SUM(J4687:J4695)</f>
        <v>303.49037000000004</v>
      </c>
    </row>
    <row r="4697" spans="1:27" x14ac:dyDescent="0.2">
      <c r="D4697" s="24" t="s">
        <v>1142</v>
      </c>
      <c r="E4697" s="23"/>
      <c r="H4697" s="23">
        <v>8</v>
      </c>
      <c r="I4697" t="s">
        <v>1093</v>
      </c>
      <c r="K4697" s="21">
        <f>ROUND(H4697/100*K4696,5)</f>
        <v>24.279229999999998</v>
      </c>
    </row>
    <row r="4698" spans="1:27" x14ac:dyDescent="0.2">
      <c r="D4698" s="24" t="s">
        <v>1094</v>
      </c>
      <c r="E4698" s="23"/>
      <c r="H4698" s="23"/>
      <c r="K4698" s="25">
        <f>SUM(K4696:K4697)</f>
        <v>327.76960000000003</v>
      </c>
    </row>
    <row r="4700" spans="1:27" ht="45" customHeight="1" x14ac:dyDescent="0.2">
      <c r="A4700" s="17" t="s">
        <v>2755</v>
      </c>
      <c r="B4700" s="17" t="s">
        <v>3924</v>
      </c>
      <c r="C4700" s="1" t="s">
        <v>23</v>
      </c>
      <c r="D4700" s="96" t="s">
        <v>3925</v>
      </c>
      <c r="E4700" s="97"/>
      <c r="F4700" s="97"/>
      <c r="G4700" s="1"/>
      <c r="H4700" s="18" t="s">
        <v>1066</v>
      </c>
      <c r="I4700" s="98">
        <v>1</v>
      </c>
      <c r="J4700" s="99"/>
      <c r="K4700" s="19">
        <f>ROUND(K4712,2)</f>
        <v>90.01</v>
      </c>
      <c r="L4700" s="2" t="s">
        <v>4145</v>
      </c>
      <c r="M4700" s="1"/>
      <c r="N4700" s="1"/>
      <c r="O4700" s="1"/>
      <c r="P4700" s="1"/>
      <c r="Q4700" s="1"/>
      <c r="R4700" s="1"/>
      <c r="S4700" s="1"/>
      <c r="T4700" s="1"/>
      <c r="U4700" s="1"/>
      <c r="V4700" s="1"/>
      <c r="W4700" s="1"/>
      <c r="X4700" s="1"/>
      <c r="Y4700" s="1"/>
      <c r="Z4700" s="1"/>
      <c r="AA4700" s="1"/>
    </row>
    <row r="4701" spans="1:27" x14ac:dyDescent="0.2">
      <c r="B4701" s="14" t="s">
        <v>1068</v>
      </c>
    </row>
    <row r="4702" spans="1:27" x14ac:dyDescent="0.2">
      <c r="B4702" t="s">
        <v>1283</v>
      </c>
      <c r="C4702" t="s">
        <v>1070</v>
      </c>
      <c r="D4702" t="s">
        <v>1284</v>
      </c>
      <c r="E4702" s="20">
        <v>0.3</v>
      </c>
      <c r="F4702" t="s">
        <v>1072</v>
      </c>
      <c r="G4702" t="s">
        <v>1073</v>
      </c>
      <c r="H4702" s="21">
        <v>30.41</v>
      </c>
      <c r="I4702" t="s">
        <v>1074</v>
      </c>
      <c r="J4702" s="22">
        <f>ROUND(E4702/I4700* H4702,5)</f>
        <v>9.1229999999999993</v>
      </c>
      <c r="K4702" s="23"/>
    </row>
    <row r="4703" spans="1:27" x14ac:dyDescent="0.2">
      <c r="B4703" t="s">
        <v>2089</v>
      </c>
      <c r="C4703" t="s">
        <v>1070</v>
      </c>
      <c r="D4703" t="s">
        <v>2090</v>
      </c>
      <c r="E4703" s="20">
        <v>7.4999999999999997E-2</v>
      </c>
      <c r="F4703" t="s">
        <v>1072</v>
      </c>
      <c r="G4703" t="s">
        <v>1073</v>
      </c>
      <c r="H4703" s="21">
        <v>26.08</v>
      </c>
      <c r="I4703" t="s">
        <v>1074</v>
      </c>
      <c r="J4703" s="22">
        <f>ROUND(E4703/I4700* H4703,5)</f>
        <v>1.956</v>
      </c>
      <c r="K4703" s="23"/>
    </row>
    <row r="4704" spans="1:27" x14ac:dyDescent="0.2">
      <c r="D4704" s="24" t="s">
        <v>1075</v>
      </c>
      <c r="E4704" s="23"/>
      <c r="H4704" s="23"/>
      <c r="K4704" s="21">
        <f>SUM(J4702:J4703)</f>
        <v>11.078999999999999</v>
      </c>
    </row>
    <row r="4705" spans="1:27" x14ac:dyDescent="0.2">
      <c r="B4705" s="14" t="s">
        <v>1080</v>
      </c>
      <c r="E4705" s="23"/>
      <c r="H4705" s="23"/>
      <c r="K4705" s="23"/>
    </row>
    <row r="4706" spans="1:27" x14ac:dyDescent="0.2">
      <c r="B4706" t="s">
        <v>4146</v>
      </c>
      <c r="C4706" t="s">
        <v>23</v>
      </c>
      <c r="D4706" t="s">
        <v>3925</v>
      </c>
      <c r="E4706" s="20">
        <v>1</v>
      </c>
      <c r="G4706" t="s">
        <v>1073</v>
      </c>
      <c r="H4706" s="21">
        <v>72.099999999999994</v>
      </c>
      <c r="I4706" t="s">
        <v>1074</v>
      </c>
      <c r="J4706" s="22">
        <f>ROUND(E4706* H4706,5)</f>
        <v>72.099999999999994</v>
      </c>
      <c r="K4706" s="23"/>
    </row>
    <row r="4707" spans="1:27" x14ac:dyDescent="0.2">
      <c r="D4707" s="24" t="s">
        <v>1090</v>
      </c>
      <c r="E4707" s="23"/>
      <c r="H4707" s="23"/>
      <c r="K4707" s="21">
        <f>SUM(J4706:J4706)</f>
        <v>72.099999999999994</v>
      </c>
    </row>
    <row r="4708" spans="1:27" x14ac:dyDescent="0.2">
      <c r="E4708" s="23"/>
      <c r="H4708" s="23"/>
      <c r="K4708" s="23"/>
    </row>
    <row r="4709" spans="1:27" x14ac:dyDescent="0.2">
      <c r="D4709" s="24" t="s">
        <v>1092</v>
      </c>
      <c r="E4709" s="23"/>
      <c r="H4709" s="23">
        <v>1.5</v>
      </c>
      <c r="I4709" t="s">
        <v>1093</v>
      </c>
      <c r="J4709">
        <f>ROUND(H4709/100*K4704,5)</f>
        <v>0.16619</v>
      </c>
      <c r="K4709" s="23"/>
    </row>
    <row r="4710" spans="1:27" x14ac:dyDescent="0.2">
      <c r="D4710" s="24" t="s">
        <v>1091</v>
      </c>
      <c r="E4710" s="23"/>
      <c r="H4710" s="23"/>
      <c r="K4710" s="25">
        <f>SUM(J4701:J4709)</f>
        <v>83.345189999999988</v>
      </c>
    </row>
    <row r="4711" spans="1:27" x14ac:dyDescent="0.2">
      <c r="D4711" s="24" t="s">
        <v>1142</v>
      </c>
      <c r="E4711" s="23"/>
      <c r="H4711" s="23">
        <v>8</v>
      </c>
      <c r="I4711" t="s">
        <v>1093</v>
      </c>
      <c r="K4711" s="21">
        <f>ROUND(H4711/100*K4710,5)</f>
        <v>6.6676200000000003</v>
      </c>
    </row>
    <row r="4712" spans="1:27" x14ac:dyDescent="0.2">
      <c r="D4712" s="24" t="s">
        <v>1094</v>
      </c>
      <c r="E4712" s="23"/>
      <c r="H4712" s="23"/>
      <c r="K4712" s="25">
        <f>SUM(K4710:K4711)</f>
        <v>90.012809999999988</v>
      </c>
    </row>
    <row r="4714" spans="1:27" ht="45" customHeight="1" x14ac:dyDescent="0.2">
      <c r="A4714" s="17" t="s">
        <v>2759</v>
      </c>
      <c r="B4714" s="17" t="s">
        <v>3908</v>
      </c>
      <c r="C4714" s="1" t="s">
        <v>23</v>
      </c>
      <c r="D4714" s="96" t="s">
        <v>3909</v>
      </c>
      <c r="E4714" s="97"/>
      <c r="F4714" s="97"/>
      <c r="G4714" s="1"/>
      <c r="H4714" s="18" t="s">
        <v>1066</v>
      </c>
      <c r="I4714" s="98">
        <v>1</v>
      </c>
      <c r="J4714" s="99"/>
      <c r="K4714" s="19">
        <f>ROUND(K4726,2)</f>
        <v>124.74</v>
      </c>
      <c r="L4714" s="2" t="s">
        <v>4147</v>
      </c>
      <c r="M4714" s="1"/>
      <c r="N4714" s="1"/>
      <c r="O4714" s="1"/>
      <c r="P4714" s="1"/>
      <c r="Q4714" s="1"/>
      <c r="R4714" s="1"/>
      <c r="S4714" s="1"/>
      <c r="T4714" s="1"/>
      <c r="U4714" s="1"/>
      <c r="V4714" s="1"/>
      <c r="W4714" s="1"/>
      <c r="X4714" s="1"/>
      <c r="Y4714" s="1"/>
      <c r="Z4714" s="1"/>
      <c r="AA4714" s="1"/>
    </row>
    <row r="4715" spans="1:27" x14ac:dyDescent="0.2">
      <c r="B4715" s="14" t="s">
        <v>1068</v>
      </c>
    </row>
    <row r="4716" spans="1:27" x14ac:dyDescent="0.2">
      <c r="B4716" t="s">
        <v>2089</v>
      </c>
      <c r="C4716" t="s">
        <v>1070</v>
      </c>
      <c r="D4716" t="s">
        <v>2090</v>
      </c>
      <c r="E4716" s="20">
        <v>0.05</v>
      </c>
      <c r="F4716" t="s">
        <v>1072</v>
      </c>
      <c r="G4716" t="s">
        <v>1073</v>
      </c>
      <c r="H4716" s="21">
        <v>26.08</v>
      </c>
      <c r="I4716" t="s">
        <v>1074</v>
      </c>
      <c r="J4716" s="22">
        <f>ROUND(E4716/I4714* H4716,5)</f>
        <v>1.304</v>
      </c>
      <c r="K4716" s="23"/>
    </row>
    <row r="4717" spans="1:27" x14ac:dyDescent="0.2">
      <c r="B4717" t="s">
        <v>1283</v>
      </c>
      <c r="C4717" t="s">
        <v>1070</v>
      </c>
      <c r="D4717" t="s">
        <v>1284</v>
      </c>
      <c r="E4717" s="20">
        <v>0.2</v>
      </c>
      <c r="F4717" t="s">
        <v>1072</v>
      </c>
      <c r="G4717" t="s">
        <v>1073</v>
      </c>
      <c r="H4717" s="21">
        <v>30.41</v>
      </c>
      <c r="I4717" t="s">
        <v>1074</v>
      </c>
      <c r="J4717" s="22">
        <f>ROUND(E4717/I4714* H4717,5)</f>
        <v>6.0819999999999999</v>
      </c>
      <c r="K4717" s="23"/>
    </row>
    <row r="4718" spans="1:27" x14ac:dyDescent="0.2">
      <c r="D4718" s="24" t="s">
        <v>1075</v>
      </c>
      <c r="E4718" s="23"/>
      <c r="H4718" s="23"/>
      <c r="K4718" s="21">
        <f>SUM(J4716:J4717)</f>
        <v>7.3860000000000001</v>
      </c>
    </row>
    <row r="4719" spans="1:27" x14ac:dyDescent="0.2">
      <c r="B4719" s="14" t="s">
        <v>1080</v>
      </c>
      <c r="E4719" s="23"/>
      <c r="H4719" s="23"/>
      <c r="K4719" s="23"/>
    </row>
    <row r="4720" spans="1:27" x14ac:dyDescent="0.2">
      <c r="B4720" t="s">
        <v>4148</v>
      </c>
      <c r="C4720" t="s">
        <v>23</v>
      </c>
      <c r="D4720" t="s">
        <v>3909</v>
      </c>
      <c r="E4720" s="20">
        <v>1</v>
      </c>
      <c r="G4720" t="s">
        <v>1073</v>
      </c>
      <c r="H4720" s="21">
        <v>108</v>
      </c>
      <c r="I4720" t="s">
        <v>1074</v>
      </c>
      <c r="J4720" s="22">
        <f>ROUND(E4720* H4720,5)</f>
        <v>108</v>
      </c>
      <c r="K4720" s="23"/>
    </row>
    <row r="4721" spans="1:27" x14ac:dyDescent="0.2">
      <c r="D4721" s="24" t="s">
        <v>1090</v>
      </c>
      <c r="E4721" s="23"/>
      <c r="H4721" s="23"/>
      <c r="K4721" s="21">
        <f>SUM(J4720:J4720)</f>
        <v>108</v>
      </c>
    </row>
    <row r="4722" spans="1:27" x14ac:dyDescent="0.2">
      <c r="E4722" s="23"/>
      <c r="H4722" s="23"/>
      <c r="K4722" s="23"/>
    </row>
    <row r="4723" spans="1:27" x14ac:dyDescent="0.2">
      <c r="D4723" s="24" t="s">
        <v>1092</v>
      </c>
      <c r="E4723" s="23"/>
      <c r="H4723" s="23">
        <v>1.5</v>
      </c>
      <c r="I4723" t="s">
        <v>1093</v>
      </c>
      <c r="J4723">
        <f>ROUND(H4723/100*K4718,5)</f>
        <v>0.11079</v>
      </c>
      <c r="K4723" s="23"/>
    </row>
    <row r="4724" spans="1:27" x14ac:dyDescent="0.2">
      <c r="D4724" s="24" t="s">
        <v>1091</v>
      </c>
      <c r="E4724" s="23"/>
      <c r="H4724" s="23"/>
      <c r="K4724" s="25">
        <f>SUM(J4715:J4723)</f>
        <v>115.49678999999999</v>
      </c>
    </row>
    <row r="4725" spans="1:27" x14ac:dyDescent="0.2">
      <c r="D4725" s="24" t="s">
        <v>1142</v>
      </c>
      <c r="E4725" s="23"/>
      <c r="H4725" s="23">
        <v>8</v>
      </c>
      <c r="I4725" t="s">
        <v>1093</v>
      </c>
      <c r="K4725" s="21">
        <f>ROUND(H4725/100*K4724,5)</f>
        <v>9.2397399999999994</v>
      </c>
    </row>
    <row r="4726" spans="1:27" x14ac:dyDescent="0.2">
      <c r="D4726" s="24" t="s">
        <v>1094</v>
      </c>
      <c r="E4726" s="23"/>
      <c r="H4726" s="23"/>
      <c r="K4726" s="25">
        <f>SUM(K4724:K4725)</f>
        <v>124.73652999999999</v>
      </c>
    </row>
    <row r="4728" spans="1:27" ht="45" customHeight="1" x14ac:dyDescent="0.2">
      <c r="A4728" s="17" t="s">
        <v>2768</v>
      </c>
      <c r="B4728" s="17" t="s">
        <v>3932</v>
      </c>
      <c r="C4728" s="1" t="s">
        <v>23</v>
      </c>
      <c r="D4728" s="96" t="s">
        <v>3933</v>
      </c>
      <c r="E4728" s="97"/>
      <c r="F4728" s="97"/>
      <c r="G4728" s="1"/>
      <c r="H4728" s="18" t="s">
        <v>1066</v>
      </c>
      <c r="I4728" s="98">
        <v>1</v>
      </c>
      <c r="J4728" s="99"/>
      <c r="K4728" s="19">
        <f>ROUND(K4740,2)</f>
        <v>33.47</v>
      </c>
      <c r="L4728" s="2" t="s">
        <v>4149</v>
      </c>
      <c r="M4728" s="1"/>
      <c r="N4728" s="1"/>
      <c r="O4728" s="1"/>
      <c r="P4728" s="1"/>
      <c r="Q4728" s="1"/>
      <c r="R4728" s="1"/>
      <c r="S4728" s="1"/>
      <c r="T4728" s="1"/>
      <c r="U4728" s="1"/>
      <c r="V4728" s="1"/>
      <c r="W4728" s="1"/>
      <c r="X4728" s="1"/>
      <c r="Y4728" s="1"/>
      <c r="Z4728" s="1"/>
      <c r="AA4728" s="1"/>
    </row>
    <row r="4729" spans="1:27" x14ac:dyDescent="0.2">
      <c r="B4729" s="14" t="s">
        <v>1068</v>
      </c>
    </row>
    <row r="4730" spans="1:27" x14ac:dyDescent="0.2">
      <c r="B4730" t="s">
        <v>2089</v>
      </c>
      <c r="C4730" t="s">
        <v>1070</v>
      </c>
      <c r="D4730" t="s">
        <v>2090</v>
      </c>
      <c r="E4730" s="20">
        <v>0.1</v>
      </c>
      <c r="F4730" t="s">
        <v>1072</v>
      </c>
      <c r="G4730" t="s">
        <v>1073</v>
      </c>
      <c r="H4730" s="21">
        <v>26.08</v>
      </c>
      <c r="I4730" t="s">
        <v>1074</v>
      </c>
      <c r="J4730" s="22">
        <f>ROUND(E4730/I4728* H4730,5)</f>
        <v>2.6080000000000001</v>
      </c>
      <c r="K4730" s="23"/>
    </row>
    <row r="4731" spans="1:27" x14ac:dyDescent="0.2">
      <c r="B4731" t="s">
        <v>1283</v>
      </c>
      <c r="C4731" t="s">
        <v>1070</v>
      </c>
      <c r="D4731" t="s">
        <v>1284</v>
      </c>
      <c r="E4731" s="20">
        <v>0.4</v>
      </c>
      <c r="F4731" t="s">
        <v>1072</v>
      </c>
      <c r="G4731" t="s">
        <v>1073</v>
      </c>
      <c r="H4731" s="21">
        <v>30.41</v>
      </c>
      <c r="I4731" t="s">
        <v>1074</v>
      </c>
      <c r="J4731" s="22">
        <f>ROUND(E4731/I4728* H4731,5)</f>
        <v>12.164</v>
      </c>
      <c r="K4731" s="23"/>
    </row>
    <row r="4732" spans="1:27" x14ac:dyDescent="0.2">
      <c r="D4732" s="24" t="s">
        <v>1075</v>
      </c>
      <c r="E4732" s="23"/>
      <c r="H4732" s="23"/>
      <c r="K4732" s="21">
        <f>SUM(J4730:J4731)</f>
        <v>14.772</v>
      </c>
    </row>
    <row r="4733" spans="1:27" x14ac:dyDescent="0.2">
      <c r="B4733" s="14" t="s">
        <v>1080</v>
      </c>
      <c r="E4733" s="23"/>
      <c r="H4733" s="23"/>
      <c r="K4733" s="23"/>
    </row>
    <row r="4734" spans="1:27" x14ac:dyDescent="0.2">
      <c r="B4734" t="s">
        <v>4150</v>
      </c>
      <c r="C4734" t="s">
        <v>23</v>
      </c>
      <c r="D4734" t="s">
        <v>3933</v>
      </c>
      <c r="E4734" s="20">
        <v>1</v>
      </c>
      <c r="G4734" t="s">
        <v>1073</v>
      </c>
      <c r="H4734" s="21">
        <v>16</v>
      </c>
      <c r="I4734" t="s">
        <v>1074</v>
      </c>
      <c r="J4734" s="22">
        <f>ROUND(E4734* H4734,5)</f>
        <v>16</v>
      </c>
      <c r="K4734" s="23"/>
    </row>
    <row r="4735" spans="1:27" x14ac:dyDescent="0.2">
      <c r="D4735" s="24" t="s">
        <v>1090</v>
      </c>
      <c r="E4735" s="23"/>
      <c r="H4735" s="23"/>
      <c r="K4735" s="21">
        <f>SUM(J4734:J4734)</f>
        <v>16</v>
      </c>
    </row>
    <row r="4736" spans="1:27" x14ac:dyDescent="0.2">
      <c r="E4736" s="23"/>
      <c r="H4736" s="23"/>
      <c r="K4736" s="23"/>
    </row>
    <row r="4737" spans="1:27" x14ac:dyDescent="0.2">
      <c r="D4737" s="24" t="s">
        <v>1092</v>
      </c>
      <c r="E4737" s="23"/>
      <c r="H4737" s="23">
        <v>1.5</v>
      </c>
      <c r="I4737" t="s">
        <v>1093</v>
      </c>
      <c r="J4737">
        <f>ROUND(H4737/100*K4732,5)</f>
        <v>0.22158</v>
      </c>
      <c r="K4737" s="23"/>
    </row>
    <row r="4738" spans="1:27" x14ac:dyDescent="0.2">
      <c r="D4738" s="24" t="s">
        <v>1091</v>
      </c>
      <c r="E4738" s="23"/>
      <c r="H4738" s="23"/>
      <c r="K4738" s="25">
        <f>SUM(J4729:J4737)</f>
        <v>30.993579999999998</v>
      </c>
    </row>
    <row r="4739" spans="1:27" x14ac:dyDescent="0.2">
      <c r="D4739" s="24" t="s">
        <v>1142</v>
      </c>
      <c r="E4739" s="23"/>
      <c r="H4739" s="23">
        <v>8</v>
      </c>
      <c r="I4739" t="s">
        <v>1093</v>
      </c>
      <c r="K4739" s="21">
        <f>ROUND(H4739/100*K4738,5)</f>
        <v>2.4794900000000002</v>
      </c>
    </row>
    <row r="4740" spans="1:27" x14ac:dyDescent="0.2">
      <c r="D4740" s="24" t="s">
        <v>1094</v>
      </c>
      <c r="E4740" s="23"/>
      <c r="H4740" s="23"/>
      <c r="K4740" s="25">
        <f>SUM(K4738:K4739)</f>
        <v>33.47307</v>
      </c>
    </row>
    <row r="4742" spans="1:27" ht="45" customHeight="1" x14ac:dyDescent="0.2">
      <c r="A4742" s="17" t="s">
        <v>2772</v>
      </c>
      <c r="B4742" s="17" t="s">
        <v>3928</v>
      </c>
      <c r="C4742" s="1" t="s">
        <v>23</v>
      </c>
      <c r="D4742" s="96" t="s">
        <v>3929</v>
      </c>
      <c r="E4742" s="97"/>
      <c r="F4742" s="97"/>
      <c r="G4742" s="1"/>
      <c r="H4742" s="18" t="s">
        <v>1066</v>
      </c>
      <c r="I4742" s="98">
        <v>1</v>
      </c>
      <c r="J4742" s="99"/>
      <c r="K4742" s="19">
        <f>ROUND(K4754,2)</f>
        <v>15.8</v>
      </c>
      <c r="L4742" s="2" t="s">
        <v>4151</v>
      </c>
      <c r="M4742" s="1"/>
      <c r="N4742" s="1"/>
      <c r="O4742" s="1"/>
      <c r="P4742" s="1"/>
      <c r="Q4742" s="1"/>
      <c r="R4742" s="1"/>
      <c r="S4742" s="1"/>
      <c r="T4742" s="1"/>
      <c r="U4742" s="1"/>
      <c r="V4742" s="1"/>
      <c r="W4742" s="1"/>
      <c r="X4742" s="1"/>
      <c r="Y4742" s="1"/>
      <c r="Z4742" s="1"/>
      <c r="AA4742" s="1"/>
    </row>
    <row r="4743" spans="1:27" x14ac:dyDescent="0.2">
      <c r="B4743" s="14" t="s">
        <v>1068</v>
      </c>
    </row>
    <row r="4744" spans="1:27" x14ac:dyDescent="0.2">
      <c r="B4744" t="s">
        <v>2089</v>
      </c>
      <c r="C4744" t="s">
        <v>1070</v>
      </c>
      <c r="D4744" t="s">
        <v>2090</v>
      </c>
      <c r="E4744" s="20">
        <v>0.05</v>
      </c>
      <c r="F4744" t="s">
        <v>1072</v>
      </c>
      <c r="G4744" t="s">
        <v>1073</v>
      </c>
      <c r="H4744" s="21">
        <v>26.08</v>
      </c>
      <c r="I4744" t="s">
        <v>1074</v>
      </c>
      <c r="J4744" s="22">
        <f>ROUND(E4744/I4742* H4744,5)</f>
        <v>1.304</v>
      </c>
      <c r="K4744" s="23"/>
    </row>
    <row r="4745" spans="1:27" x14ac:dyDescent="0.2">
      <c r="B4745" t="s">
        <v>1283</v>
      </c>
      <c r="C4745" t="s">
        <v>1070</v>
      </c>
      <c r="D4745" t="s">
        <v>1284</v>
      </c>
      <c r="E4745" s="20">
        <v>0.2</v>
      </c>
      <c r="F4745" t="s">
        <v>1072</v>
      </c>
      <c r="G4745" t="s">
        <v>1073</v>
      </c>
      <c r="H4745" s="21">
        <v>30.41</v>
      </c>
      <c r="I4745" t="s">
        <v>1074</v>
      </c>
      <c r="J4745" s="22">
        <f>ROUND(E4745/I4742* H4745,5)</f>
        <v>6.0819999999999999</v>
      </c>
      <c r="K4745" s="23"/>
    </row>
    <row r="4746" spans="1:27" x14ac:dyDescent="0.2">
      <c r="D4746" s="24" t="s">
        <v>1075</v>
      </c>
      <c r="E4746" s="23"/>
      <c r="H4746" s="23"/>
      <c r="K4746" s="21">
        <f>SUM(J4744:J4745)</f>
        <v>7.3860000000000001</v>
      </c>
    </row>
    <row r="4747" spans="1:27" x14ac:dyDescent="0.2">
      <c r="B4747" s="14" t="s">
        <v>1080</v>
      </c>
      <c r="E4747" s="23"/>
      <c r="H4747" s="23"/>
      <c r="K4747" s="23"/>
    </row>
    <row r="4748" spans="1:27" x14ac:dyDescent="0.2">
      <c r="B4748" t="s">
        <v>4152</v>
      </c>
      <c r="C4748" t="s">
        <v>23</v>
      </c>
      <c r="D4748" t="s">
        <v>3929</v>
      </c>
      <c r="E4748" s="20">
        <v>1</v>
      </c>
      <c r="G4748" t="s">
        <v>1073</v>
      </c>
      <c r="H4748" s="21">
        <v>7.13</v>
      </c>
      <c r="I4748" t="s">
        <v>1074</v>
      </c>
      <c r="J4748" s="22">
        <f>ROUND(E4748* H4748,5)</f>
        <v>7.13</v>
      </c>
      <c r="K4748" s="23"/>
    </row>
    <row r="4749" spans="1:27" x14ac:dyDescent="0.2">
      <c r="D4749" s="24" t="s">
        <v>1090</v>
      </c>
      <c r="E4749" s="23"/>
      <c r="H4749" s="23"/>
      <c r="K4749" s="21">
        <f>SUM(J4748:J4748)</f>
        <v>7.13</v>
      </c>
    </row>
    <row r="4750" spans="1:27" x14ac:dyDescent="0.2">
      <c r="E4750" s="23"/>
      <c r="H4750" s="23"/>
      <c r="K4750" s="23"/>
    </row>
    <row r="4751" spans="1:27" x14ac:dyDescent="0.2">
      <c r="D4751" s="24" t="s">
        <v>1092</v>
      </c>
      <c r="E4751" s="23"/>
      <c r="H4751" s="23">
        <v>1.5</v>
      </c>
      <c r="I4751" t="s">
        <v>1093</v>
      </c>
      <c r="J4751">
        <f>ROUND(H4751/100*K4746,5)</f>
        <v>0.11079</v>
      </c>
      <c r="K4751" s="23"/>
    </row>
    <row r="4752" spans="1:27" x14ac:dyDescent="0.2">
      <c r="D4752" s="24" t="s">
        <v>1091</v>
      </c>
      <c r="E4752" s="23"/>
      <c r="H4752" s="23"/>
      <c r="K4752" s="25">
        <f>SUM(J4743:J4751)</f>
        <v>14.62679</v>
      </c>
    </row>
    <row r="4753" spans="1:27" x14ac:dyDescent="0.2">
      <c r="D4753" s="24" t="s">
        <v>1142</v>
      </c>
      <c r="E4753" s="23"/>
      <c r="H4753" s="23">
        <v>8</v>
      </c>
      <c r="I4753" t="s">
        <v>1093</v>
      </c>
      <c r="K4753" s="21">
        <f>ROUND(H4753/100*K4752,5)</f>
        <v>1.17014</v>
      </c>
    </row>
    <row r="4754" spans="1:27" x14ac:dyDescent="0.2">
      <c r="D4754" s="24" t="s">
        <v>1094</v>
      </c>
      <c r="E4754" s="23"/>
      <c r="H4754" s="23"/>
      <c r="K4754" s="25">
        <f>SUM(K4752:K4753)</f>
        <v>15.79693</v>
      </c>
    </row>
    <row r="4756" spans="1:27" ht="45" customHeight="1" x14ac:dyDescent="0.2">
      <c r="A4756" s="17" t="s">
        <v>2776</v>
      </c>
      <c r="B4756" s="17" t="s">
        <v>3956</v>
      </c>
      <c r="C4756" s="1" t="s">
        <v>23</v>
      </c>
      <c r="D4756" s="96" t="s">
        <v>3957</v>
      </c>
      <c r="E4756" s="97"/>
      <c r="F4756" s="97"/>
      <c r="G4756" s="1"/>
      <c r="H4756" s="18" t="s">
        <v>1066</v>
      </c>
      <c r="I4756" s="98">
        <v>1</v>
      </c>
      <c r="J4756" s="99"/>
      <c r="K4756" s="19">
        <f>ROUND(K4767,2)</f>
        <v>44.25</v>
      </c>
      <c r="L4756" s="2" t="s">
        <v>4153</v>
      </c>
      <c r="M4756" s="1"/>
      <c r="N4756" s="1"/>
      <c r="O4756" s="1"/>
      <c r="P4756" s="1"/>
      <c r="Q4756" s="1"/>
      <c r="R4756" s="1"/>
      <c r="S4756" s="1"/>
      <c r="T4756" s="1"/>
      <c r="U4756" s="1"/>
      <c r="V4756" s="1"/>
      <c r="W4756" s="1"/>
      <c r="X4756" s="1"/>
      <c r="Y4756" s="1"/>
      <c r="Z4756" s="1"/>
      <c r="AA4756" s="1"/>
    </row>
    <row r="4757" spans="1:27" x14ac:dyDescent="0.2">
      <c r="B4757" s="14" t="s">
        <v>1068</v>
      </c>
    </row>
    <row r="4758" spans="1:27" x14ac:dyDescent="0.2">
      <c r="B4758" t="s">
        <v>1512</v>
      </c>
      <c r="C4758" t="s">
        <v>1070</v>
      </c>
      <c r="D4758" t="s">
        <v>1513</v>
      </c>
      <c r="E4758" s="20">
        <v>0.25</v>
      </c>
      <c r="F4758" t="s">
        <v>1072</v>
      </c>
      <c r="G4758" t="s">
        <v>1073</v>
      </c>
      <c r="H4758" s="21">
        <v>29.42</v>
      </c>
      <c r="I4758" t="s">
        <v>1074</v>
      </c>
      <c r="J4758" s="22">
        <f>ROUND(E4758/I4756* H4758,5)</f>
        <v>7.3550000000000004</v>
      </c>
      <c r="K4758" s="23"/>
    </row>
    <row r="4759" spans="1:27" x14ac:dyDescent="0.2">
      <c r="D4759" s="24" t="s">
        <v>1075</v>
      </c>
      <c r="E4759" s="23"/>
      <c r="H4759" s="23"/>
      <c r="K4759" s="21">
        <f>SUM(J4758:J4758)</f>
        <v>7.3550000000000004</v>
      </c>
    </row>
    <row r="4760" spans="1:27" x14ac:dyDescent="0.2">
      <c r="B4760" s="14" t="s">
        <v>1080</v>
      </c>
      <c r="E4760" s="23"/>
      <c r="H4760" s="23"/>
      <c r="K4760" s="23"/>
    </row>
    <row r="4761" spans="1:27" x14ac:dyDescent="0.2">
      <c r="B4761" t="s">
        <v>4154</v>
      </c>
      <c r="C4761" t="s">
        <v>23</v>
      </c>
      <c r="D4761" t="s">
        <v>3957</v>
      </c>
      <c r="E4761" s="20">
        <v>1</v>
      </c>
      <c r="G4761" t="s">
        <v>1073</v>
      </c>
      <c r="H4761" s="21">
        <v>33.51</v>
      </c>
      <c r="I4761" t="s">
        <v>1074</v>
      </c>
      <c r="J4761" s="22">
        <f>ROUND(E4761* H4761,5)</f>
        <v>33.51</v>
      </c>
      <c r="K4761" s="23"/>
    </row>
    <row r="4762" spans="1:27" x14ac:dyDescent="0.2">
      <c r="D4762" s="24" t="s">
        <v>1090</v>
      </c>
      <c r="E4762" s="23"/>
      <c r="H4762" s="23"/>
      <c r="K4762" s="21">
        <f>SUM(J4761:J4761)</f>
        <v>33.51</v>
      </c>
    </row>
    <row r="4763" spans="1:27" x14ac:dyDescent="0.2">
      <c r="E4763" s="23"/>
      <c r="H4763" s="23"/>
      <c r="K4763" s="23"/>
    </row>
    <row r="4764" spans="1:27" x14ac:dyDescent="0.2">
      <c r="D4764" s="24" t="s">
        <v>1092</v>
      </c>
      <c r="E4764" s="23"/>
      <c r="H4764" s="23">
        <v>1.5</v>
      </c>
      <c r="I4764" t="s">
        <v>1093</v>
      </c>
      <c r="J4764">
        <f>ROUND(H4764/100*K4759,5)</f>
        <v>0.11033</v>
      </c>
      <c r="K4764" s="23"/>
    </row>
    <row r="4765" spans="1:27" x14ac:dyDescent="0.2">
      <c r="D4765" s="24" t="s">
        <v>1091</v>
      </c>
      <c r="E4765" s="23"/>
      <c r="H4765" s="23"/>
      <c r="K4765" s="25">
        <f>SUM(J4757:J4764)</f>
        <v>40.975329999999992</v>
      </c>
    </row>
    <row r="4766" spans="1:27" x14ac:dyDescent="0.2">
      <c r="D4766" s="24" t="s">
        <v>1142</v>
      </c>
      <c r="E4766" s="23"/>
      <c r="H4766" s="23">
        <v>8</v>
      </c>
      <c r="I4766" t="s">
        <v>1093</v>
      </c>
      <c r="K4766" s="21">
        <f>ROUND(H4766/100*K4765,5)</f>
        <v>3.2780300000000002</v>
      </c>
    </row>
    <row r="4767" spans="1:27" x14ac:dyDescent="0.2">
      <c r="D4767" s="24" t="s">
        <v>1094</v>
      </c>
      <c r="E4767" s="23"/>
      <c r="H4767" s="23"/>
      <c r="K4767" s="25">
        <f>SUM(K4765:K4766)</f>
        <v>44.253359999999994</v>
      </c>
    </row>
    <row r="4769" spans="1:27" ht="45" customHeight="1" x14ac:dyDescent="0.2">
      <c r="A4769" s="17" t="s">
        <v>2778</v>
      </c>
      <c r="B4769" s="17" t="s">
        <v>3962</v>
      </c>
      <c r="C4769" s="1" t="s">
        <v>23</v>
      </c>
      <c r="D4769" s="96" t="s">
        <v>3963</v>
      </c>
      <c r="E4769" s="97"/>
      <c r="F4769" s="97"/>
      <c r="G4769" s="1"/>
      <c r="H4769" s="18" t="s">
        <v>1066</v>
      </c>
      <c r="I4769" s="98">
        <v>1</v>
      </c>
      <c r="J4769" s="99"/>
      <c r="K4769" s="19">
        <f>ROUND(K4780,2)</f>
        <v>86.36</v>
      </c>
      <c r="L4769" s="2" t="s">
        <v>4155</v>
      </c>
      <c r="M4769" s="1"/>
      <c r="N4769" s="1"/>
      <c r="O4769" s="1"/>
      <c r="P4769" s="1"/>
      <c r="Q4769" s="1"/>
      <c r="R4769" s="1"/>
      <c r="S4769" s="1"/>
      <c r="T4769" s="1"/>
      <c r="U4769" s="1"/>
      <c r="V4769" s="1"/>
      <c r="W4769" s="1"/>
      <c r="X4769" s="1"/>
      <c r="Y4769" s="1"/>
      <c r="Z4769" s="1"/>
      <c r="AA4769" s="1"/>
    </row>
    <row r="4770" spans="1:27" x14ac:dyDescent="0.2">
      <c r="B4770" s="14" t="s">
        <v>1068</v>
      </c>
    </row>
    <row r="4771" spans="1:27" x14ac:dyDescent="0.2">
      <c r="B4771" t="s">
        <v>1512</v>
      </c>
      <c r="C4771" t="s">
        <v>1070</v>
      </c>
      <c r="D4771" t="s">
        <v>1513</v>
      </c>
      <c r="E4771" s="20">
        <v>0.25</v>
      </c>
      <c r="F4771" t="s">
        <v>1072</v>
      </c>
      <c r="G4771" t="s">
        <v>1073</v>
      </c>
      <c r="H4771" s="21">
        <v>29.42</v>
      </c>
      <c r="I4771" t="s">
        <v>1074</v>
      </c>
      <c r="J4771" s="22">
        <f>ROUND(E4771/I4769* H4771,5)</f>
        <v>7.3550000000000004</v>
      </c>
      <c r="K4771" s="23"/>
    </row>
    <row r="4772" spans="1:27" x14ac:dyDescent="0.2">
      <c r="D4772" s="24" t="s">
        <v>1075</v>
      </c>
      <c r="E4772" s="23"/>
      <c r="H4772" s="23"/>
      <c r="K4772" s="21">
        <f>SUM(J4771:J4771)</f>
        <v>7.3550000000000004</v>
      </c>
    </row>
    <row r="4773" spans="1:27" x14ac:dyDescent="0.2">
      <c r="B4773" s="14" t="s">
        <v>1080</v>
      </c>
      <c r="E4773" s="23"/>
      <c r="H4773" s="23"/>
      <c r="K4773" s="23"/>
    </row>
    <row r="4774" spans="1:27" x14ac:dyDescent="0.2">
      <c r="B4774" t="s">
        <v>4156</v>
      </c>
      <c r="C4774" t="s">
        <v>23</v>
      </c>
      <c r="D4774" t="s">
        <v>3963</v>
      </c>
      <c r="E4774" s="20">
        <v>1</v>
      </c>
      <c r="G4774" t="s">
        <v>1073</v>
      </c>
      <c r="H4774" s="21">
        <v>72.5</v>
      </c>
      <c r="I4774" t="s">
        <v>1074</v>
      </c>
      <c r="J4774" s="22">
        <f>ROUND(E4774* H4774,5)</f>
        <v>72.5</v>
      </c>
      <c r="K4774" s="23"/>
    </row>
    <row r="4775" spans="1:27" x14ac:dyDescent="0.2">
      <c r="D4775" s="24" t="s">
        <v>1090</v>
      </c>
      <c r="E4775" s="23"/>
      <c r="H4775" s="23"/>
      <c r="K4775" s="21">
        <f>SUM(J4774:J4774)</f>
        <v>72.5</v>
      </c>
    </row>
    <row r="4776" spans="1:27" x14ac:dyDescent="0.2">
      <c r="E4776" s="23"/>
      <c r="H4776" s="23"/>
      <c r="K4776" s="23"/>
    </row>
    <row r="4777" spans="1:27" x14ac:dyDescent="0.2">
      <c r="D4777" s="24" t="s">
        <v>1092</v>
      </c>
      <c r="E4777" s="23"/>
      <c r="H4777" s="23">
        <v>1.5</v>
      </c>
      <c r="I4777" t="s">
        <v>1093</v>
      </c>
      <c r="J4777">
        <f>ROUND(H4777/100*K4772,5)</f>
        <v>0.11033</v>
      </c>
      <c r="K4777" s="23"/>
    </row>
    <row r="4778" spans="1:27" x14ac:dyDescent="0.2">
      <c r="D4778" s="24" t="s">
        <v>1091</v>
      </c>
      <c r="E4778" s="23"/>
      <c r="H4778" s="23"/>
      <c r="K4778" s="25">
        <f>SUM(J4770:J4777)</f>
        <v>79.965330000000009</v>
      </c>
    </row>
    <row r="4779" spans="1:27" x14ac:dyDescent="0.2">
      <c r="D4779" s="24" t="s">
        <v>1142</v>
      </c>
      <c r="E4779" s="23"/>
      <c r="H4779" s="23">
        <v>8</v>
      </c>
      <c r="I4779" t="s">
        <v>1093</v>
      </c>
      <c r="K4779" s="21">
        <f>ROUND(H4779/100*K4778,5)</f>
        <v>6.3972300000000004</v>
      </c>
    </row>
    <row r="4780" spans="1:27" x14ac:dyDescent="0.2">
      <c r="D4780" s="24" t="s">
        <v>1094</v>
      </c>
      <c r="E4780" s="23"/>
      <c r="H4780" s="23"/>
      <c r="K4780" s="25">
        <f>SUM(K4778:K4779)</f>
        <v>86.362560000000002</v>
      </c>
    </row>
    <row r="4782" spans="1:27" ht="45" customHeight="1" x14ac:dyDescent="0.2">
      <c r="A4782" s="17" t="s">
        <v>2780</v>
      </c>
      <c r="B4782" s="17" t="s">
        <v>3972</v>
      </c>
      <c r="C4782" s="1" t="s">
        <v>23</v>
      </c>
      <c r="D4782" s="96" t="s">
        <v>3973</v>
      </c>
      <c r="E4782" s="97"/>
      <c r="F4782" s="97"/>
      <c r="G4782" s="1"/>
      <c r="H4782" s="18" t="s">
        <v>1066</v>
      </c>
      <c r="I4782" s="98">
        <v>1</v>
      </c>
      <c r="J4782" s="99"/>
      <c r="K4782" s="19">
        <f>ROUND(K4793,2)</f>
        <v>401.61</v>
      </c>
      <c r="L4782" s="2" t="s">
        <v>4157</v>
      </c>
      <c r="M4782" s="1"/>
      <c r="N4782" s="1"/>
      <c r="O4782" s="1"/>
      <c r="P4782" s="1"/>
      <c r="Q4782" s="1"/>
      <c r="R4782" s="1"/>
      <c r="S4782" s="1"/>
      <c r="T4782" s="1"/>
      <c r="U4782" s="1"/>
      <c r="V4782" s="1"/>
      <c r="W4782" s="1"/>
      <c r="X4782" s="1"/>
      <c r="Y4782" s="1"/>
      <c r="Z4782" s="1"/>
      <c r="AA4782" s="1"/>
    </row>
    <row r="4783" spans="1:27" x14ac:dyDescent="0.2">
      <c r="B4783" s="14" t="s">
        <v>1068</v>
      </c>
    </row>
    <row r="4784" spans="1:27" x14ac:dyDescent="0.2">
      <c r="B4784" t="s">
        <v>1512</v>
      </c>
      <c r="C4784" t="s">
        <v>1070</v>
      </c>
      <c r="D4784" t="s">
        <v>1513</v>
      </c>
      <c r="E4784" s="20">
        <v>1</v>
      </c>
      <c r="F4784" t="s">
        <v>1072</v>
      </c>
      <c r="G4784" t="s">
        <v>1073</v>
      </c>
      <c r="H4784" s="21">
        <v>29.42</v>
      </c>
      <c r="I4784" t="s">
        <v>1074</v>
      </c>
      <c r="J4784" s="22">
        <f>ROUND(E4784/I4782* H4784,5)</f>
        <v>29.42</v>
      </c>
      <c r="K4784" s="23"/>
    </row>
    <row r="4785" spans="1:27" x14ac:dyDescent="0.2">
      <c r="D4785" s="24" t="s">
        <v>1075</v>
      </c>
      <c r="E4785" s="23"/>
      <c r="H4785" s="23"/>
      <c r="K4785" s="21">
        <f>SUM(J4784:J4784)</f>
        <v>29.42</v>
      </c>
    </row>
    <row r="4786" spans="1:27" x14ac:dyDescent="0.2">
      <c r="B4786" s="14" t="s">
        <v>1080</v>
      </c>
      <c r="E4786" s="23"/>
      <c r="H4786" s="23"/>
      <c r="K4786" s="23"/>
    </row>
    <row r="4787" spans="1:27" x14ac:dyDescent="0.2">
      <c r="B4787" t="s">
        <v>4158</v>
      </c>
      <c r="C4787" t="s">
        <v>23</v>
      </c>
      <c r="D4787" t="s">
        <v>3973</v>
      </c>
      <c r="E4787" s="20">
        <v>1</v>
      </c>
      <c r="G4787" t="s">
        <v>1073</v>
      </c>
      <c r="H4787" s="21">
        <v>342</v>
      </c>
      <c r="I4787" t="s">
        <v>1074</v>
      </c>
      <c r="J4787" s="22">
        <f>ROUND(E4787* H4787,5)</f>
        <v>342</v>
      </c>
      <c r="K4787" s="23"/>
    </row>
    <row r="4788" spans="1:27" x14ac:dyDescent="0.2">
      <c r="D4788" s="24" t="s">
        <v>1090</v>
      </c>
      <c r="E4788" s="23"/>
      <c r="H4788" s="23"/>
      <c r="K4788" s="21">
        <f>SUM(J4787:J4787)</f>
        <v>342</v>
      </c>
    </row>
    <row r="4789" spans="1:27" x14ac:dyDescent="0.2">
      <c r="E4789" s="23"/>
      <c r="H4789" s="23"/>
      <c r="K4789" s="23"/>
    </row>
    <row r="4790" spans="1:27" x14ac:dyDescent="0.2">
      <c r="D4790" s="24" t="s">
        <v>1092</v>
      </c>
      <c r="E4790" s="23"/>
      <c r="H4790" s="23">
        <v>1.5</v>
      </c>
      <c r="I4790" t="s">
        <v>1093</v>
      </c>
      <c r="J4790">
        <f>ROUND(H4790/100*K4785,5)</f>
        <v>0.44130000000000003</v>
      </c>
      <c r="K4790" s="23"/>
    </row>
    <row r="4791" spans="1:27" x14ac:dyDescent="0.2">
      <c r="D4791" s="24" t="s">
        <v>1091</v>
      </c>
      <c r="E4791" s="23"/>
      <c r="H4791" s="23"/>
      <c r="K4791" s="25">
        <f>SUM(J4783:J4790)</f>
        <v>371.86130000000003</v>
      </c>
    </row>
    <row r="4792" spans="1:27" x14ac:dyDescent="0.2">
      <c r="D4792" s="24" t="s">
        <v>1142</v>
      </c>
      <c r="E4792" s="23"/>
      <c r="H4792" s="23">
        <v>8</v>
      </c>
      <c r="I4792" t="s">
        <v>1093</v>
      </c>
      <c r="K4792" s="21">
        <f>ROUND(H4792/100*K4791,5)</f>
        <v>29.748899999999999</v>
      </c>
    </row>
    <row r="4793" spans="1:27" x14ac:dyDescent="0.2">
      <c r="D4793" s="24" t="s">
        <v>1094</v>
      </c>
      <c r="E4793" s="23"/>
      <c r="H4793" s="23"/>
      <c r="K4793" s="25">
        <f>SUM(K4791:K4792)</f>
        <v>401.61020000000002</v>
      </c>
    </row>
    <row r="4795" spans="1:27" ht="45" customHeight="1" x14ac:dyDescent="0.2">
      <c r="A4795" s="17" t="s">
        <v>2782</v>
      </c>
      <c r="B4795" s="17" t="s">
        <v>3968</v>
      </c>
      <c r="C4795" s="1" t="s">
        <v>23</v>
      </c>
      <c r="D4795" s="96" t="s">
        <v>3969</v>
      </c>
      <c r="E4795" s="97"/>
      <c r="F4795" s="97"/>
      <c r="G4795" s="1"/>
      <c r="H4795" s="18" t="s">
        <v>1066</v>
      </c>
      <c r="I4795" s="98">
        <v>1</v>
      </c>
      <c r="J4795" s="99"/>
      <c r="K4795" s="19">
        <f>ROUND(K4806,2)</f>
        <v>72.540000000000006</v>
      </c>
      <c r="L4795" s="2" t="s">
        <v>4159</v>
      </c>
      <c r="M4795" s="1"/>
      <c r="N4795" s="1"/>
      <c r="O4795" s="1"/>
      <c r="P4795" s="1"/>
      <c r="Q4795" s="1"/>
      <c r="R4795" s="1"/>
      <c r="S4795" s="1"/>
      <c r="T4795" s="1"/>
      <c r="U4795" s="1"/>
      <c r="V4795" s="1"/>
      <c r="W4795" s="1"/>
      <c r="X4795" s="1"/>
      <c r="Y4795" s="1"/>
      <c r="Z4795" s="1"/>
      <c r="AA4795" s="1"/>
    </row>
    <row r="4796" spans="1:27" x14ac:dyDescent="0.2">
      <c r="B4796" s="14" t="s">
        <v>1068</v>
      </c>
    </row>
    <row r="4797" spans="1:27" x14ac:dyDescent="0.2">
      <c r="B4797" t="s">
        <v>1512</v>
      </c>
      <c r="C4797" t="s">
        <v>1070</v>
      </c>
      <c r="D4797" t="s">
        <v>1513</v>
      </c>
      <c r="E4797" s="20">
        <v>0.25</v>
      </c>
      <c r="F4797" t="s">
        <v>1072</v>
      </c>
      <c r="G4797" t="s">
        <v>1073</v>
      </c>
      <c r="H4797" s="21">
        <v>29.42</v>
      </c>
      <c r="I4797" t="s">
        <v>1074</v>
      </c>
      <c r="J4797" s="22">
        <f>ROUND(E4797/I4795* H4797,5)</f>
        <v>7.3550000000000004</v>
      </c>
      <c r="K4797" s="23"/>
    </row>
    <row r="4798" spans="1:27" x14ac:dyDescent="0.2">
      <c r="D4798" s="24" t="s">
        <v>1075</v>
      </c>
      <c r="E4798" s="23"/>
      <c r="H4798" s="23"/>
      <c r="K4798" s="21">
        <f>SUM(J4797:J4797)</f>
        <v>7.3550000000000004</v>
      </c>
    </row>
    <row r="4799" spans="1:27" x14ac:dyDescent="0.2">
      <c r="B4799" s="14" t="s">
        <v>1080</v>
      </c>
      <c r="E4799" s="23"/>
      <c r="H4799" s="23"/>
      <c r="K4799" s="23"/>
    </row>
    <row r="4800" spans="1:27" x14ac:dyDescent="0.2">
      <c r="B4800" t="s">
        <v>4160</v>
      </c>
      <c r="C4800" t="s">
        <v>23</v>
      </c>
      <c r="D4800" t="s">
        <v>3969</v>
      </c>
      <c r="E4800" s="20">
        <v>1</v>
      </c>
      <c r="G4800" t="s">
        <v>1073</v>
      </c>
      <c r="H4800" s="21">
        <v>59.7</v>
      </c>
      <c r="I4800" t="s">
        <v>1074</v>
      </c>
      <c r="J4800" s="22">
        <f>ROUND(E4800* H4800,5)</f>
        <v>59.7</v>
      </c>
      <c r="K4800" s="23"/>
    </row>
    <row r="4801" spans="1:27" x14ac:dyDescent="0.2">
      <c r="D4801" s="24" t="s">
        <v>1090</v>
      </c>
      <c r="E4801" s="23"/>
      <c r="H4801" s="23"/>
      <c r="K4801" s="21">
        <f>SUM(J4800:J4800)</f>
        <v>59.7</v>
      </c>
    </row>
    <row r="4802" spans="1:27" x14ac:dyDescent="0.2">
      <c r="E4802" s="23"/>
      <c r="H4802" s="23"/>
      <c r="K4802" s="23"/>
    </row>
    <row r="4803" spans="1:27" x14ac:dyDescent="0.2">
      <c r="D4803" s="24" t="s">
        <v>1092</v>
      </c>
      <c r="E4803" s="23"/>
      <c r="H4803" s="23">
        <v>1.5</v>
      </c>
      <c r="I4803" t="s">
        <v>1093</v>
      </c>
      <c r="J4803">
        <f>ROUND(H4803/100*K4798,5)</f>
        <v>0.11033</v>
      </c>
      <c r="K4803" s="23"/>
    </row>
    <row r="4804" spans="1:27" x14ac:dyDescent="0.2">
      <c r="D4804" s="24" t="s">
        <v>1091</v>
      </c>
      <c r="E4804" s="23"/>
      <c r="H4804" s="23"/>
      <c r="K4804" s="25">
        <f>SUM(J4796:J4803)</f>
        <v>67.165330000000012</v>
      </c>
    </row>
    <row r="4805" spans="1:27" x14ac:dyDescent="0.2">
      <c r="D4805" s="24" t="s">
        <v>1142</v>
      </c>
      <c r="E4805" s="23"/>
      <c r="H4805" s="23">
        <v>8</v>
      </c>
      <c r="I4805" t="s">
        <v>1093</v>
      </c>
      <c r="K4805" s="21">
        <f>ROUND(H4805/100*K4804,5)</f>
        <v>5.3732300000000004</v>
      </c>
    </row>
    <row r="4806" spans="1:27" x14ac:dyDescent="0.2">
      <c r="D4806" s="24" t="s">
        <v>1094</v>
      </c>
      <c r="E4806" s="23"/>
      <c r="H4806" s="23"/>
      <c r="K4806" s="25">
        <f>SUM(K4804:K4805)</f>
        <v>72.538560000000018</v>
      </c>
    </row>
    <row r="4808" spans="1:27" ht="45" customHeight="1" x14ac:dyDescent="0.2">
      <c r="A4808" s="17" t="s">
        <v>2784</v>
      </c>
      <c r="B4808" s="17" t="s">
        <v>3970</v>
      </c>
      <c r="C4808" s="1" t="s">
        <v>23</v>
      </c>
      <c r="D4808" s="96" t="s">
        <v>3971</v>
      </c>
      <c r="E4808" s="97"/>
      <c r="F4808" s="97"/>
      <c r="G4808" s="1"/>
      <c r="H4808" s="18" t="s">
        <v>1066</v>
      </c>
      <c r="I4808" s="98">
        <v>1</v>
      </c>
      <c r="J4808" s="99"/>
      <c r="K4808" s="19">
        <f>ROUND(K4819,2)</f>
        <v>158.16999999999999</v>
      </c>
      <c r="L4808" s="2" t="s">
        <v>4161</v>
      </c>
      <c r="M4808" s="1"/>
      <c r="N4808" s="1"/>
      <c r="O4808" s="1"/>
      <c r="P4808" s="1"/>
      <c r="Q4808" s="1"/>
      <c r="R4808" s="1"/>
      <c r="S4808" s="1"/>
      <c r="T4808" s="1"/>
      <c r="U4808" s="1"/>
      <c r="V4808" s="1"/>
      <c r="W4808" s="1"/>
      <c r="X4808" s="1"/>
      <c r="Y4808" s="1"/>
      <c r="Z4808" s="1"/>
      <c r="AA4808" s="1"/>
    </row>
    <row r="4809" spans="1:27" x14ac:dyDescent="0.2">
      <c r="B4809" s="14" t="s">
        <v>1068</v>
      </c>
    </row>
    <row r="4810" spans="1:27" x14ac:dyDescent="0.2">
      <c r="B4810" t="s">
        <v>1512</v>
      </c>
      <c r="C4810" t="s">
        <v>1070</v>
      </c>
      <c r="D4810" t="s">
        <v>1513</v>
      </c>
      <c r="E4810" s="20">
        <v>0.35</v>
      </c>
      <c r="F4810" t="s">
        <v>1072</v>
      </c>
      <c r="G4810" t="s">
        <v>1073</v>
      </c>
      <c r="H4810" s="21">
        <v>29.42</v>
      </c>
      <c r="I4810" t="s">
        <v>1074</v>
      </c>
      <c r="J4810" s="22">
        <f>ROUND(E4810/I4808* H4810,5)</f>
        <v>10.297000000000001</v>
      </c>
      <c r="K4810" s="23"/>
    </row>
    <row r="4811" spans="1:27" x14ac:dyDescent="0.2">
      <c r="D4811" s="24" t="s">
        <v>1075</v>
      </c>
      <c r="E4811" s="23"/>
      <c r="H4811" s="23"/>
      <c r="K4811" s="21">
        <f>SUM(J4810:J4810)</f>
        <v>10.297000000000001</v>
      </c>
    </row>
    <row r="4812" spans="1:27" x14ac:dyDescent="0.2">
      <c r="B4812" s="14" t="s">
        <v>1080</v>
      </c>
      <c r="E4812" s="23"/>
      <c r="H4812" s="23"/>
      <c r="K4812" s="23"/>
    </row>
    <row r="4813" spans="1:27" x14ac:dyDescent="0.2">
      <c r="B4813" t="s">
        <v>4162</v>
      </c>
      <c r="C4813" t="s">
        <v>23</v>
      </c>
      <c r="D4813" t="s">
        <v>3971</v>
      </c>
      <c r="E4813" s="20">
        <v>1</v>
      </c>
      <c r="G4813" t="s">
        <v>1073</v>
      </c>
      <c r="H4813" s="21">
        <v>136</v>
      </c>
      <c r="I4813" t="s">
        <v>1074</v>
      </c>
      <c r="J4813" s="22">
        <f>ROUND(E4813* H4813,5)</f>
        <v>136</v>
      </c>
      <c r="K4813" s="23"/>
    </row>
    <row r="4814" spans="1:27" x14ac:dyDescent="0.2">
      <c r="D4814" s="24" t="s">
        <v>1090</v>
      </c>
      <c r="E4814" s="23"/>
      <c r="H4814" s="23"/>
      <c r="K4814" s="21">
        <f>SUM(J4813:J4813)</f>
        <v>136</v>
      </c>
    </row>
    <row r="4815" spans="1:27" x14ac:dyDescent="0.2">
      <c r="E4815" s="23"/>
      <c r="H4815" s="23"/>
      <c r="K4815" s="23"/>
    </row>
    <row r="4816" spans="1:27" x14ac:dyDescent="0.2">
      <c r="D4816" s="24" t="s">
        <v>1092</v>
      </c>
      <c r="E4816" s="23"/>
      <c r="H4816" s="23">
        <v>1.5</v>
      </c>
      <c r="I4816" t="s">
        <v>1093</v>
      </c>
      <c r="J4816">
        <f>ROUND(H4816/100*K4811,5)</f>
        <v>0.15445999999999999</v>
      </c>
      <c r="K4816" s="23"/>
    </row>
    <row r="4817" spans="1:27" x14ac:dyDescent="0.2">
      <c r="D4817" s="24" t="s">
        <v>1091</v>
      </c>
      <c r="E4817" s="23"/>
      <c r="H4817" s="23"/>
      <c r="K4817" s="25">
        <f>SUM(J4809:J4816)</f>
        <v>146.45146</v>
      </c>
    </row>
    <row r="4818" spans="1:27" x14ac:dyDescent="0.2">
      <c r="D4818" s="24" t="s">
        <v>1142</v>
      </c>
      <c r="E4818" s="23"/>
      <c r="H4818" s="23">
        <v>8</v>
      </c>
      <c r="I4818" t="s">
        <v>1093</v>
      </c>
      <c r="K4818" s="21">
        <f>ROUND(H4818/100*K4817,5)</f>
        <v>11.71612</v>
      </c>
    </row>
    <row r="4819" spans="1:27" x14ac:dyDescent="0.2">
      <c r="D4819" s="24" t="s">
        <v>1094</v>
      </c>
      <c r="E4819" s="23"/>
      <c r="H4819" s="23"/>
      <c r="K4819" s="25">
        <f>SUM(K4817:K4818)</f>
        <v>158.16757999999999</v>
      </c>
    </row>
    <row r="4821" spans="1:27" ht="45" customHeight="1" x14ac:dyDescent="0.2">
      <c r="A4821" s="17" t="s">
        <v>2786</v>
      </c>
      <c r="B4821" s="17" t="s">
        <v>3966</v>
      </c>
      <c r="C4821" s="1" t="s">
        <v>23</v>
      </c>
      <c r="D4821" s="96" t="s">
        <v>3967</v>
      </c>
      <c r="E4821" s="97"/>
      <c r="F4821" s="97"/>
      <c r="G4821" s="1"/>
      <c r="H4821" s="18" t="s">
        <v>1066</v>
      </c>
      <c r="I4821" s="98">
        <v>1</v>
      </c>
      <c r="J4821" s="99"/>
      <c r="K4821" s="19">
        <f>ROUND(K4832,2)</f>
        <v>221.25</v>
      </c>
      <c r="L4821" s="2" t="s">
        <v>4163</v>
      </c>
      <c r="M4821" s="1"/>
      <c r="N4821" s="1"/>
      <c r="O4821" s="1"/>
      <c r="P4821" s="1"/>
      <c r="Q4821" s="1"/>
      <c r="R4821" s="1"/>
      <c r="S4821" s="1"/>
      <c r="T4821" s="1"/>
      <c r="U4821" s="1"/>
      <c r="V4821" s="1"/>
      <c r="W4821" s="1"/>
      <c r="X4821" s="1"/>
      <c r="Y4821" s="1"/>
      <c r="Z4821" s="1"/>
      <c r="AA4821" s="1"/>
    </row>
    <row r="4822" spans="1:27" x14ac:dyDescent="0.2">
      <c r="B4822" s="14" t="s">
        <v>1068</v>
      </c>
    </row>
    <row r="4823" spans="1:27" x14ac:dyDescent="0.2">
      <c r="B4823" t="s">
        <v>1512</v>
      </c>
      <c r="C4823" t="s">
        <v>1070</v>
      </c>
      <c r="D4823" t="s">
        <v>1513</v>
      </c>
      <c r="E4823" s="20">
        <v>1</v>
      </c>
      <c r="F4823" t="s">
        <v>1072</v>
      </c>
      <c r="G4823" t="s">
        <v>1073</v>
      </c>
      <c r="H4823" s="21">
        <v>29.42</v>
      </c>
      <c r="I4823" t="s">
        <v>1074</v>
      </c>
      <c r="J4823" s="22">
        <f>ROUND(E4823/I4821* H4823,5)</f>
        <v>29.42</v>
      </c>
      <c r="K4823" s="23"/>
    </row>
    <row r="4824" spans="1:27" x14ac:dyDescent="0.2">
      <c r="D4824" s="24" t="s">
        <v>1075</v>
      </c>
      <c r="E4824" s="23"/>
      <c r="H4824" s="23"/>
      <c r="K4824" s="21">
        <f>SUM(J4823:J4823)</f>
        <v>29.42</v>
      </c>
    </row>
    <row r="4825" spans="1:27" x14ac:dyDescent="0.2">
      <c r="B4825" s="14" t="s">
        <v>1080</v>
      </c>
      <c r="E4825" s="23"/>
      <c r="H4825" s="23"/>
      <c r="K4825" s="23"/>
    </row>
    <row r="4826" spans="1:27" x14ac:dyDescent="0.2">
      <c r="B4826" t="s">
        <v>4164</v>
      </c>
      <c r="C4826" t="s">
        <v>23</v>
      </c>
      <c r="D4826" t="s">
        <v>3967</v>
      </c>
      <c r="E4826" s="20">
        <v>1</v>
      </c>
      <c r="G4826" t="s">
        <v>1073</v>
      </c>
      <c r="H4826" s="21">
        <v>175</v>
      </c>
      <c r="I4826" t="s">
        <v>1074</v>
      </c>
      <c r="J4826" s="22">
        <f>ROUND(E4826* H4826,5)</f>
        <v>175</v>
      </c>
      <c r="K4826" s="23"/>
    </row>
    <row r="4827" spans="1:27" x14ac:dyDescent="0.2">
      <c r="D4827" s="24" t="s">
        <v>1090</v>
      </c>
      <c r="E4827" s="23"/>
      <c r="H4827" s="23"/>
      <c r="K4827" s="21">
        <f>SUM(J4826:J4826)</f>
        <v>175</v>
      </c>
    </row>
    <row r="4828" spans="1:27" x14ac:dyDescent="0.2">
      <c r="E4828" s="23"/>
      <c r="H4828" s="23"/>
      <c r="K4828" s="23"/>
    </row>
    <row r="4829" spans="1:27" x14ac:dyDescent="0.2">
      <c r="D4829" s="24" t="s">
        <v>1092</v>
      </c>
      <c r="E4829" s="23"/>
      <c r="H4829" s="23">
        <v>1.5</v>
      </c>
      <c r="I4829" t="s">
        <v>1093</v>
      </c>
      <c r="J4829">
        <f>ROUND(H4829/100*K4824,5)</f>
        <v>0.44130000000000003</v>
      </c>
      <c r="K4829" s="23"/>
    </row>
    <row r="4830" spans="1:27" x14ac:dyDescent="0.2">
      <c r="D4830" s="24" t="s">
        <v>1091</v>
      </c>
      <c r="E4830" s="23"/>
      <c r="H4830" s="23"/>
      <c r="K4830" s="25">
        <f>SUM(J4822:J4829)</f>
        <v>204.86130000000003</v>
      </c>
    </row>
    <row r="4831" spans="1:27" x14ac:dyDescent="0.2">
      <c r="D4831" s="24" t="s">
        <v>1142</v>
      </c>
      <c r="E4831" s="23"/>
      <c r="H4831" s="23">
        <v>8</v>
      </c>
      <c r="I4831" t="s">
        <v>1093</v>
      </c>
      <c r="K4831" s="21">
        <f>ROUND(H4831/100*K4830,5)</f>
        <v>16.3889</v>
      </c>
    </row>
    <row r="4832" spans="1:27" x14ac:dyDescent="0.2">
      <c r="D4832" s="24" t="s">
        <v>1094</v>
      </c>
      <c r="E4832" s="23"/>
      <c r="H4832" s="23"/>
      <c r="K4832" s="25">
        <f>SUM(K4830:K4831)</f>
        <v>221.25020000000004</v>
      </c>
    </row>
    <row r="4834" spans="1:27" ht="45" customHeight="1" x14ac:dyDescent="0.2">
      <c r="A4834" s="17" t="s">
        <v>2788</v>
      </c>
      <c r="B4834" s="17" t="s">
        <v>3964</v>
      </c>
      <c r="C4834" s="1" t="s">
        <v>23</v>
      </c>
      <c r="D4834" s="96" t="s">
        <v>3965</v>
      </c>
      <c r="E4834" s="97"/>
      <c r="F4834" s="97"/>
      <c r="G4834" s="1"/>
      <c r="H4834" s="18" t="s">
        <v>1066</v>
      </c>
      <c r="I4834" s="98">
        <v>1</v>
      </c>
      <c r="J4834" s="99"/>
      <c r="K4834" s="19">
        <f>ROUND(K4845,2)</f>
        <v>141.97999999999999</v>
      </c>
      <c r="L4834" s="2" t="s">
        <v>4165</v>
      </c>
      <c r="M4834" s="1"/>
      <c r="N4834" s="1"/>
      <c r="O4834" s="1"/>
      <c r="P4834" s="1"/>
      <c r="Q4834" s="1"/>
      <c r="R4834" s="1"/>
      <c r="S4834" s="1"/>
      <c r="T4834" s="1"/>
      <c r="U4834" s="1"/>
      <c r="V4834" s="1"/>
      <c r="W4834" s="1"/>
      <c r="X4834" s="1"/>
      <c r="Y4834" s="1"/>
      <c r="Z4834" s="1"/>
      <c r="AA4834" s="1"/>
    </row>
    <row r="4835" spans="1:27" x14ac:dyDescent="0.2">
      <c r="B4835" s="14" t="s">
        <v>1068</v>
      </c>
    </row>
    <row r="4836" spans="1:27" x14ac:dyDescent="0.2">
      <c r="B4836" t="s">
        <v>1512</v>
      </c>
      <c r="C4836" t="s">
        <v>1070</v>
      </c>
      <c r="D4836" t="s">
        <v>1513</v>
      </c>
      <c r="E4836" s="20">
        <v>0.25</v>
      </c>
      <c r="F4836" t="s">
        <v>1072</v>
      </c>
      <c r="G4836" t="s">
        <v>1073</v>
      </c>
      <c r="H4836" s="21">
        <v>29.42</v>
      </c>
      <c r="I4836" t="s">
        <v>1074</v>
      </c>
      <c r="J4836" s="22">
        <f>ROUND(E4836/I4834* H4836,5)</f>
        <v>7.3550000000000004</v>
      </c>
      <c r="K4836" s="23"/>
    </row>
    <row r="4837" spans="1:27" x14ac:dyDescent="0.2">
      <c r="D4837" s="24" t="s">
        <v>1075</v>
      </c>
      <c r="E4837" s="23"/>
      <c r="H4837" s="23"/>
      <c r="K4837" s="21">
        <f>SUM(J4836:J4836)</f>
        <v>7.3550000000000004</v>
      </c>
    </row>
    <row r="4838" spans="1:27" x14ac:dyDescent="0.2">
      <c r="B4838" s="14" t="s">
        <v>1080</v>
      </c>
      <c r="E4838" s="23"/>
      <c r="H4838" s="23"/>
      <c r="K4838" s="23"/>
    </row>
    <row r="4839" spans="1:27" x14ac:dyDescent="0.2">
      <c r="B4839" t="s">
        <v>4166</v>
      </c>
      <c r="C4839" t="s">
        <v>23</v>
      </c>
      <c r="D4839" t="s">
        <v>3965</v>
      </c>
      <c r="E4839" s="20">
        <v>1</v>
      </c>
      <c r="G4839" t="s">
        <v>1073</v>
      </c>
      <c r="H4839" s="21">
        <v>124</v>
      </c>
      <c r="I4839" t="s">
        <v>1074</v>
      </c>
      <c r="J4839" s="22">
        <f>ROUND(E4839* H4839,5)</f>
        <v>124</v>
      </c>
      <c r="K4839" s="23"/>
    </row>
    <row r="4840" spans="1:27" x14ac:dyDescent="0.2">
      <c r="D4840" s="24" t="s">
        <v>1090</v>
      </c>
      <c r="E4840" s="23"/>
      <c r="H4840" s="23"/>
      <c r="K4840" s="21">
        <f>SUM(J4839:J4839)</f>
        <v>124</v>
      </c>
    </row>
    <row r="4841" spans="1:27" x14ac:dyDescent="0.2">
      <c r="E4841" s="23"/>
      <c r="H4841" s="23"/>
      <c r="K4841" s="23"/>
    </row>
    <row r="4842" spans="1:27" x14ac:dyDescent="0.2">
      <c r="D4842" s="24" t="s">
        <v>1092</v>
      </c>
      <c r="E4842" s="23"/>
      <c r="H4842" s="23">
        <v>1.5</v>
      </c>
      <c r="I4842" t="s">
        <v>1093</v>
      </c>
      <c r="J4842">
        <f>ROUND(H4842/100*K4837,5)</f>
        <v>0.11033</v>
      </c>
      <c r="K4842" s="23"/>
    </row>
    <row r="4843" spans="1:27" x14ac:dyDescent="0.2">
      <c r="D4843" s="24" t="s">
        <v>1091</v>
      </c>
      <c r="E4843" s="23"/>
      <c r="H4843" s="23"/>
      <c r="K4843" s="25">
        <f>SUM(J4835:J4842)</f>
        <v>131.46532999999999</v>
      </c>
    </row>
    <row r="4844" spans="1:27" x14ac:dyDescent="0.2">
      <c r="D4844" s="24" t="s">
        <v>1142</v>
      </c>
      <c r="E4844" s="23"/>
      <c r="H4844" s="23">
        <v>8</v>
      </c>
      <c r="I4844" t="s">
        <v>1093</v>
      </c>
      <c r="K4844" s="21">
        <f>ROUND(H4844/100*K4843,5)</f>
        <v>10.51723</v>
      </c>
    </row>
    <row r="4845" spans="1:27" x14ac:dyDescent="0.2">
      <c r="D4845" s="24" t="s">
        <v>1094</v>
      </c>
      <c r="E4845" s="23"/>
      <c r="H4845" s="23"/>
      <c r="K4845" s="25">
        <f>SUM(K4843:K4844)</f>
        <v>141.98256000000001</v>
      </c>
    </row>
    <row r="4847" spans="1:27" ht="45" customHeight="1" x14ac:dyDescent="0.2">
      <c r="A4847" s="17" t="s">
        <v>2789</v>
      </c>
      <c r="B4847" s="17" t="s">
        <v>991</v>
      </c>
      <c r="C4847" s="1" t="s">
        <v>36</v>
      </c>
      <c r="D4847" s="96" t="s">
        <v>992</v>
      </c>
      <c r="E4847" s="97"/>
      <c r="F4847" s="97"/>
      <c r="G4847" s="1"/>
      <c r="H4847" s="18" t="s">
        <v>1066</v>
      </c>
      <c r="I4847" s="98">
        <v>1</v>
      </c>
      <c r="J4847" s="99"/>
      <c r="K4847" s="19">
        <f>ROUND(K4861,2)</f>
        <v>4.07</v>
      </c>
      <c r="L4847" s="2" t="s">
        <v>2647</v>
      </c>
      <c r="M4847" s="1"/>
      <c r="N4847" s="1"/>
      <c r="O4847" s="1"/>
      <c r="P4847" s="1"/>
      <c r="Q4847" s="1"/>
      <c r="R4847" s="1"/>
      <c r="S4847" s="1"/>
      <c r="T4847" s="1"/>
      <c r="U4847" s="1"/>
      <c r="V4847" s="1"/>
      <c r="W4847" s="1"/>
      <c r="X4847" s="1"/>
      <c r="Y4847" s="1"/>
      <c r="Z4847" s="1"/>
      <c r="AA4847" s="1"/>
    </row>
    <row r="4848" spans="1:27" x14ac:dyDescent="0.2">
      <c r="B4848" s="14" t="s">
        <v>1068</v>
      </c>
    </row>
    <row r="4849" spans="1:27" x14ac:dyDescent="0.2">
      <c r="B4849" t="s">
        <v>1136</v>
      </c>
      <c r="C4849" t="s">
        <v>1070</v>
      </c>
      <c r="D4849" t="s">
        <v>1137</v>
      </c>
      <c r="E4849" s="20">
        <v>3.4000000000000002E-2</v>
      </c>
      <c r="F4849" t="s">
        <v>1072</v>
      </c>
      <c r="G4849" t="s">
        <v>1073</v>
      </c>
      <c r="H4849" s="21">
        <v>30.41</v>
      </c>
      <c r="I4849" t="s">
        <v>1074</v>
      </c>
      <c r="J4849" s="22">
        <f>ROUND(E4849/I4847* H4849,5)</f>
        <v>1.0339400000000001</v>
      </c>
      <c r="K4849" s="23"/>
    </row>
    <row r="4850" spans="1:27" x14ac:dyDescent="0.2">
      <c r="B4850" t="s">
        <v>1138</v>
      </c>
      <c r="C4850" t="s">
        <v>1070</v>
      </c>
      <c r="D4850" t="s">
        <v>1139</v>
      </c>
      <c r="E4850" s="20">
        <v>3.4000000000000002E-2</v>
      </c>
      <c r="F4850" t="s">
        <v>1072</v>
      </c>
      <c r="G4850" t="s">
        <v>1073</v>
      </c>
      <c r="H4850" s="21">
        <v>26.12</v>
      </c>
      <c r="I4850" t="s">
        <v>1074</v>
      </c>
      <c r="J4850" s="22">
        <f>ROUND(E4850/I4847* H4850,5)</f>
        <v>0.88807999999999998</v>
      </c>
      <c r="K4850" s="23"/>
    </row>
    <row r="4851" spans="1:27" x14ac:dyDescent="0.2">
      <c r="D4851" s="24" t="s">
        <v>1075</v>
      </c>
      <c r="E4851" s="23"/>
      <c r="H4851" s="23"/>
      <c r="K4851" s="21">
        <f>SUM(J4849:J4850)</f>
        <v>1.9220200000000001</v>
      </c>
    </row>
    <row r="4852" spans="1:27" x14ac:dyDescent="0.2">
      <c r="B4852" s="14" t="s">
        <v>1080</v>
      </c>
      <c r="E4852" s="23"/>
      <c r="H4852" s="23"/>
      <c r="K4852" s="23"/>
    </row>
    <row r="4853" spans="1:27" x14ac:dyDescent="0.2">
      <c r="B4853" t="s">
        <v>2652</v>
      </c>
      <c r="C4853" t="s">
        <v>36</v>
      </c>
      <c r="D4853" t="s">
        <v>2653</v>
      </c>
      <c r="E4853" s="20">
        <v>1.05</v>
      </c>
      <c r="G4853" t="s">
        <v>1073</v>
      </c>
      <c r="H4853" s="21">
        <v>1.55</v>
      </c>
      <c r="I4853" t="s">
        <v>1074</v>
      </c>
      <c r="J4853" s="22">
        <f>ROUND(E4853* H4853,5)</f>
        <v>1.6274999999999999</v>
      </c>
      <c r="K4853" s="23"/>
    </row>
    <row r="4854" spans="1:27" x14ac:dyDescent="0.2">
      <c r="B4854" t="s">
        <v>2650</v>
      </c>
      <c r="C4854" t="s">
        <v>23</v>
      </c>
      <c r="D4854" t="s">
        <v>2651</v>
      </c>
      <c r="E4854" s="20">
        <v>1</v>
      </c>
      <c r="G4854" t="s">
        <v>1073</v>
      </c>
      <c r="H4854" s="21">
        <v>0.02</v>
      </c>
      <c r="I4854" t="s">
        <v>1074</v>
      </c>
      <c r="J4854" s="22">
        <f>ROUND(E4854* H4854,5)</f>
        <v>0.02</v>
      </c>
      <c r="K4854" s="23"/>
    </row>
    <row r="4855" spans="1:27" x14ac:dyDescent="0.2">
      <c r="B4855" t="s">
        <v>2648</v>
      </c>
      <c r="C4855" t="s">
        <v>103</v>
      </c>
      <c r="D4855" t="s">
        <v>2649</v>
      </c>
      <c r="E4855" s="20">
        <v>0.15</v>
      </c>
      <c r="G4855" t="s">
        <v>1073</v>
      </c>
      <c r="H4855" s="21">
        <v>0.98</v>
      </c>
      <c r="I4855" t="s">
        <v>1074</v>
      </c>
      <c r="J4855" s="22">
        <f>ROUND(E4855* H4855,5)</f>
        <v>0.14699999999999999</v>
      </c>
      <c r="K4855" s="23"/>
    </row>
    <row r="4856" spans="1:27" x14ac:dyDescent="0.2">
      <c r="D4856" s="24" t="s">
        <v>1090</v>
      </c>
      <c r="E4856" s="23"/>
      <c r="H4856" s="23"/>
      <c r="K4856" s="21">
        <f>SUM(J4853:J4855)</f>
        <v>1.7945</v>
      </c>
    </row>
    <row r="4857" spans="1:27" x14ac:dyDescent="0.2">
      <c r="E4857" s="23"/>
      <c r="H4857" s="23"/>
      <c r="K4857" s="23"/>
    </row>
    <row r="4858" spans="1:27" x14ac:dyDescent="0.2">
      <c r="D4858" s="24" t="s">
        <v>1092</v>
      </c>
      <c r="E4858" s="23"/>
      <c r="H4858" s="23">
        <v>2.5</v>
      </c>
      <c r="I4858" t="s">
        <v>1093</v>
      </c>
      <c r="J4858">
        <f>ROUND(H4858/100*K4851,5)</f>
        <v>4.8050000000000002E-2</v>
      </c>
      <c r="K4858" s="23"/>
    </row>
    <row r="4859" spans="1:27" x14ac:dyDescent="0.2">
      <c r="D4859" s="24" t="s">
        <v>1091</v>
      </c>
      <c r="E4859" s="23"/>
      <c r="H4859" s="23"/>
      <c r="K4859" s="25">
        <f>SUM(J4848:J4858)</f>
        <v>3.76457</v>
      </c>
    </row>
    <row r="4860" spans="1:27" x14ac:dyDescent="0.2">
      <c r="D4860" s="24" t="s">
        <v>1142</v>
      </c>
      <c r="E4860" s="23"/>
      <c r="H4860" s="23">
        <v>8</v>
      </c>
      <c r="I4860" t="s">
        <v>1093</v>
      </c>
      <c r="K4860" s="21">
        <f>ROUND(H4860/100*K4859,5)</f>
        <v>0.30116999999999999</v>
      </c>
    </row>
    <row r="4861" spans="1:27" x14ac:dyDescent="0.2">
      <c r="D4861" s="24" t="s">
        <v>1094</v>
      </c>
      <c r="E4861" s="23"/>
      <c r="H4861" s="23"/>
      <c r="K4861" s="25">
        <f>SUM(K4859:K4860)</f>
        <v>4.0657399999999999</v>
      </c>
    </row>
    <row r="4863" spans="1:27" ht="45" customHeight="1" x14ac:dyDescent="0.2">
      <c r="A4863" s="17" t="s">
        <v>2790</v>
      </c>
      <c r="B4863" s="17" t="s">
        <v>983</v>
      </c>
      <c r="C4863" s="1" t="s">
        <v>23</v>
      </c>
      <c r="D4863" s="96" t="s">
        <v>984</v>
      </c>
      <c r="E4863" s="97"/>
      <c r="F4863" s="97"/>
      <c r="G4863" s="1"/>
      <c r="H4863" s="18" t="s">
        <v>1066</v>
      </c>
      <c r="I4863" s="98">
        <v>1</v>
      </c>
      <c r="J4863" s="99"/>
      <c r="K4863" s="19">
        <f>ROUND(K4874,2)</f>
        <v>194.49</v>
      </c>
      <c r="L4863" s="2" t="s">
        <v>2655</v>
      </c>
      <c r="M4863" s="1"/>
      <c r="N4863" s="1"/>
      <c r="O4863" s="1"/>
      <c r="P4863" s="1"/>
      <c r="Q4863" s="1"/>
      <c r="R4863" s="1"/>
      <c r="S4863" s="1"/>
      <c r="T4863" s="1"/>
      <c r="U4863" s="1"/>
      <c r="V4863" s="1"/>
      <c r="W4863" s="1"/>
      <c r="X4863" s="1"/>
      <c r="Y4863" s="1"/>
      <c r="Z4863" s="1"/>
      <c r="AA4863" s="1"/>
    </row>
    <row r="4864" spans="1:27" x14ac:dyDescent="0.2">
      <c r="B4864" s="14" t="s">
        <v>1068</v>
      </c>
    </row>
    <row r="4865" spans="1:27" x14ac:dyDescent="0.2">
      <c r="B4865" t="s">
        <v>1136</v>
      </c>
      <c r="C4865" t="s">
        <v>1070</v>
      </c>
      <c r="D4865" t="s">
        <v>1137</v>
      </c>
      <c r="E4865" s="20">
        <v>0.8</v>
      </c>
      <c r="F4865" t="s">
        <v>1072</v>
      </c>
      <c r="G4865" t="s">
        <v>1073</v>
      </c>
      <c r="H4865" s="21">
        <v>30.41</v>
      </c>
      <c r="I4865" t="s">
        <v>1074</v>
      </c>
      <c r="J4865" s="22">
        <f>ROUND(E4865/I4863* H4865,5)</f>
        <v>24.327999999999999</v>
      </c>
      <c r="K4865" s="23"/>
    </row>
    <row r="4866" spans="1:27" x14ac:dyDescent="0.2">
      <c r="D4866" s="24" t="s">
        <v>1075</v>
      </c>
      <c r="E4866" s="23"/>
      <c r="H4866" s="23"/>
      <c r="K4866" s="21">
        <f>SUM(J4865:J4865)</f>
        <v>24.327999999999999</v>
      </c>
    </row>
    <row r="4867" spans="1:27" x14ac:dyDescent="0.2">
      <c r="B4867" s="14" t="s">
        <v>1080</v>
      </c>
      <c r="E4867" s="23"/>
      <c r="H4867" s="23"/>
      <c r="K4867" s="23"/>
    </row>
    <row r="4868" spans="1:27" x14ac:dyDescent="0.2">
      <c r="B4868" t="s">
        <v>2656</v>
      </c>
      <c r="C4868" t="s">
        <v>23</v>
      </c>
      <c r="D4868" t="s">
        <v>2657</v>
      </c>
      <c r="E4868" s="20">
        <v>1</v>
      </c>
      <c r="G4868" t="s">
        <v>1073</v>
      </c>
      <c r="H4868" s="21">
        <v>155.15</v>
      </c>
      <c r="I4868" t="s">
        <v>1074</v>
      </c>
      <c r="J4868" s="22">
        <f>ROUND(E4868* H4868,5)</f>
        <v>155.15</v>
      </c>
      <c r="K4868" s="23"/>
    </row>
    <row r="4869" spans="1:27" x14ac:dyDescent="0.2">
      <c r="D4869" s="24" t="s">
        <v>1090</v>
      </c>
      <c r="E4869" s="23"/>
      <c r="H4869" s="23"/>
      <c r="K4869" s="21">
        <f>SUM(J4868:J4868)</f>
        <v>155.15</v>
      </c>
    </row>
    <row r="4870" spans="1:27" x14ac:dyDescent="0.2">
      <c r="E4870" s="23"/>
      <c r="H4870" s="23"/>
      <c r="K4870" s="23"/>
    </row>
    <row r="4871" spans="1:27" x14ac:dyDescent="0.2">
      <c r="D4871" s="24" t="s">
        <v>1092</v>
      </c>
      <c r="E4871" s="23"/>
      <c r="H4871" s="23">
        <v>2.5</v>
      </c>
      <c r="I4871" t="s">
        <v>1093</v>
      </c>
      <c r="J4871">
        <f>ROUND(H4871/100*K4866,5)</f>
        <v>0.60819999999999996</v>
      </c>
      <c r="K4871" s="23"/>
    </row>
    <row r="4872" spans="1:27" x14ac:dyDescent="0.2">
      <c r="D4872" s="24" t="s">
        <v>1091</v>
      </c>
      <c r="E4872" s="23"/>
      <c r="H4872" s="23"/>
      <c r="K4872" s="25">
        <f>SUM(J4864:J4871)</f>
        <v>180.08620000000002</v>
      </c>
    </row>
    <row r="4873" spans="1:27" x14ac:dyDescent="0.2">
      <c r="D4873" s="24" t="s">
        <v>1142</v>
      </c>
      <c r="E4873" s="23"/>
      <c r="H4873" s="23">
        <v>8</v>
      </c>
      <c r="I4873" t="s">
        <v>1093</v>
      </c>
      <c r="K4873" s="21">
        <f>ROUND(H4873/100*K4872,5)</f>
        <v>14.4069</v>
      </c>
    </row>
    <row r="4874" spans="1:27" x14ac:dyDescent="0.2">
      <c r="D4874" s="24" t="s">
        <v>1094</v>
      </c>
      <c r="E4874" s="23"/>
      <c r="H4874" s="23"/>
      <c r="K4874" s="25">
        <f>SUM(K4872:K4873)</f>
        <v>194.49310000000003</v>
      </c>
    </row>
    <row r="4876" spans="1:27" ht="45" customHeight="1" x14ac:dyDescent="0.2">
      <c r="A4876" s="17" t="s">
        <v>2802</v>
      </c>
      <c r="B4876" s="17" t="s">
        <v>993</v>
      </c>
      <c r="C4876" s="1" t="s">
        <v>23</v>
      </c>
      <c r="D4876" s="96" t="s">
        <v>994</v>
      </c>
      <c r="E4876" s="97"/>
      <c r="F4876" s="97"/>
      <c r="G4876" s="1"/>
      <c r="H4876" s="18" t="s">
        <v>1066</v>
      </c>
      <c r="I4876" s="98">
        <v>1</v>
      </c>
      <c r="J4876" s="99"/>
      <c r="K4876" s="19">
        <f>ROUND(K4887,2)</f>
        <v>450.73</v>
      </c>
      <c r="L4876" s="2" t="s">
        <v>2655</v>
      </c>
      <c r="M4876" s="1"/>
      <c r="N4876" s="1"/>
      <c r="O4876" s="1"/>
      <c r="P4876" s="1"/>
      <c r="Q4876" s="1"/>
      <c r="R4876" s="1"/>
      <c r="S4876" s="1"/>
      <c r="T4876" s="1"/>
      <c r="U4876" s="1"/>
      <c r="V4876" s="1"/>
      <c r="W4876" s="1"/>
      <c r="X4876" s="1"/>
      <c r="Y4876" s="1"/>
      <c r="Z4876" s="1"/>
      <c r="AA4876" s="1"/>
    </row>
    <row r="4877" spans="1:27" x14ac:dyDescent="0.2">
      <c r="B4877" s="14" t="s">
        <v>1068</v>
      </c>
    </row>
    <row r="4878" spans="1:27" x14ac:dyDescent="0.2">
      <c r="B4878" t="s">
        <v>1136</v>
      </c>
      <c r="C4878" t="s">
        <v>1070</v>
      </c>
      <c r="D4878" t="s">
        <v>1137</v>
      </c>
      <c r="E4878" s="20">
        <v>2</v>
      </c>
      <c r="F4878" t="s">
        <v>1072</v>
      </c>
      <c r="G4878" t="s">
        <v>1073</v>
      </c>
      <c r="H4878" s="21">
        <v>30.41</v>
      </c>
      <c r="I4878" t="s">
        <v>1074</v>
      </c>
      <c r="J4878" s="22">
        <f>ROUND(E4878/I4876* H4878,5)</f>
        <v>60.82</v>
      </c>
      <c r="K4878" s="23"/>
    </row>
    <row r="4879" spans="1:27" x14ac:dyDescent="0.2">
      <c r="D4879" s="24" t="s">
        <v>1075</v>
      </c>
      <c r="E4879" s="23"/>
      <c r="H4879" s="23"/>
      <c r="K4879" s="21">
        <f>SUM(J4878:J4878)</f>
        <v>60.82</v>
      </c>
    </row>
    <row r="4880" spans="1:27" x14ac:dyDescent="0.2">
      <c r="B4880" s="14" t="s">
        <v>2262</v>
      </c>
      <c r="E4880" s="23"/>
      <c r="H4880" s="23"/>
      <c r="K4880" s="23"/>
    </row>
    <row r="4881" spans="1:27" x14ac:dyDescent="0.2">
      <c r="B4881" t="s">
        <v>2659</v>
      </c>
      <c r="C4881" t="s">
        <v>625</v>
      </c>
      <c r="D4881" t="s">
        <v>2660</v>
      </c>
      <c r="E4881" s="20">
        <v>1</v>
      </c>
      <c r="G4881" t="s">
        <v>1073</v>
      </c>
      <c r="H4881" s="21">
        <v>355</v>
      </c>
      <c r="I4881" t="s">
        <v>1074</v>
      </c>
      <c r="J4881" s="22">
        <f>ROUND(E4881* H4881,5)</f>
        <v>355</v>
      </c>
      <c r="K4881" s="23"/>
    </row>
    <row r="4882" spans="1:27" x14ac:dyDescent="0.2">
      <c r="D4882" s="24" t="s">
        <v>2265</v>
      </c>
      <c r="E4882" s="23"/>
      <c r="H4882" s="23"/>
      <c r="K4882" s="21">
        <f>SUM(J4881:J4881)</f>
        <v>355</v>
      </c>
    </row>
    <row r="4883" spans="1:27" x14ac:dyDescent="0.2">
      <c r="E4883" s="23"/>
      <c r="H4883" s="23"/>
      <c r="K4883" s="23"/>
    </row>
    <row r="4884" spans="1:27" x14ac:dyDescent="0.2">
      <c r="D4884" s="24" t="s">
        <v>1092</v>
      </c>
      <c r="E4884" s="23"/>
      <c r="H4884" s="23">
        <v>2.5</v>
      </c>
      <c r="I4884" t="s">
        <v>1093</v>
      </c>
      <c r="J4884">
        <f>ROUND(H4884/100*K4879,5)</f>
        <v>1.5205</v>
      </c>
      <c r="K4884" s="23"/>
    </row>
    <row r="4885" spans="1:27" x14ac:dyDescent="0.2">
      <c r="D4885" s="24" t="s">
        <v>1091</v>
      </c>
      <c r="E4885" s="23"/>
      <c r="H4885" s="23"/>
      <c r="K4885" s="25">
        <f>SUM(J4877:J4884)</f>
        <v>417.34050000000002</v>
      </c>
    </row>
    <row r="4886" spans="1:27" x14ac:dyDescent="0.2">
      <c r="D4886" s="24" t="s">
        <v>1142</v>
      </c>
      <c r="E4886" s="23"/>
      <c r="H4886" s="23">
        <v>8</v>
      </c>
      <c r="I4886" t="s">
        <v>1093</v>
      </c>
      <c r="K4886" s="21">
        <f>ROUND(H4886/100*K4885,5)</f>
        <v>33.387239999999998</v>
      </c>
    </row>
    <row r="4887" spans="1:27" x14ac:dyDescent="0.2">
      <c r="D4887" s="24" t="s">
        <v>1094</v>
      </c>
      <c r="E4887" s="23"/>
      <c r="H4887" s="23"/>
      <c r="K4887" s="25">
        <f>SUM(K4885:K4886)</f>
        <v>450.72774000000004</v>
      </c>
    </row>
    <row r="4889" spans="1:27" ht="45" customHeight="1" x14ac:dyDescent="0.2">
      <c r="A4889" s="17" t="s">
        <v>2804</v>
      </c>
      <c r="B4889" s="17" t="s">
        <v>985</v>
      </c>
      <c r="C4889" s="1" t="s">
        <v>23</v>
      </c>
      <c r="D4889" s="96" t="s">
        <v>986</v>
      </c>
      <c r="E4889" s="97"/>
      <c r="F4889" s="97"/>
      <c r="G4889" s="1"/>
      <c r="H4889" s="18" t="s">
        <v>1066</v>
      </c>
      <c r="I4889" s="98">
        <v>1</v>
      </c>
      <c r="J4889" s="99"/>
      <c r="K4889" s="19">
        <f>ROUND(K4901,2)</f>
        <v>86.55</v>
      </c>
      <c r="L4889" s="2" t="s">
        <v>2662</v>
      </c>
      <c r="M4889" s="1"/>
      <c r="N4889" s="1"/>
      <c r="O4889" s="1"/>
      <c r="P4889" s="1"/>
      <c r="Q4889" s="1"/>
      <c r="R4889" s="1"/>
      <c r="S4889" s="1"/>
      <c r="T4889" s="1"/>
      <c r="U4889" s="1"/>
      <c r="V4889" s="1"/>
      <c r="W4889" s="1"/>
      <c r="X4889" s="1"/>
      <c r="Y4889" s="1"/>
      <c r="Z4889" s="1"/>
      <c r="AA4889" s="1"/>
    </row>
    <row r="4890" spans="1:27" x14ac:dyDescent="0.2">
      <c r="B4890" s="14" t="s">
        <v>1068</v>
      </c>
    </row>
    <row r="4891" spans="1:27" x14ac:dyDescent="0.2">
      <c r="B4891" t="s">
        <v>1136</v>
      </c>
      <c r="C4891" t="s">
        <v>1070</v>
      </c>
      <c r="D4891" t="s">
        <v>1137</v>
      </c>
      <c r="E4891" s="20">
        <v>0.75</v>
      </c>
      <c r="F4891" t="s">
        <v>1072</v>
      </c>
      <c r="G4891" t="s">
        <v>1073</v>
      </c>
      <c r="H4891" s="21">
        <v>30.41</v>
      </c>
      <c r="I4891" t="s">
        <v>1074</v>
      </c>
      <c r="J4891" s="22">
        <f>ROUND(E4891/I4889* H4891,5)</f>
        <v>22.807500000000001</v>
      </c>
      <c r="K4891" s="23"/>
    </row>
    <row r="4892" spans="1:27" x14ac:dyDescent="0.2">
      <c r="D4892" s="24" t="s">
        <v>1075</v>
      </c>
      <c r="E4892" s="23"/>
      <c r="H4892" s="23"/>
      <c r="K4892" s="21">
        <f>SUM(J4891:J4891)</f>
        <v>22.807500000000001</v>
      </c>
    </row>
    <row r="4893" spans="1:27" x14ac:dyDescent="0.2">
      <c r="B4893" s="14" t="s">
        <v>1080</v>
      </c>
      <c r="E4893" s="23"/>
      <c r="H4893" s="23"/>
      <c r="K4893" s="23"/>
    </row>
    <row r="4894" spans="1:27" x14ac:dyDescent="0.2">
      <c r="B4894" t="s">
        <v>2665</v>
      </c>
      <c r="C4894" t="s">
        <v>23</v>
      </c>
      <c r="D4894" t="s">
        <v>2666</v>
      </c>
      <c r="E4894" s="20">
        <v>1</v>
      </c>
      <c r="G4894" t="s">
        <v>1073</v>
      </c>
      <c r="H4894" s="21">
        <v>50.44</v>
      </c>
      <c r="I4894" t="s">
        <v>1074</v>
      </c>
      <c r="J4894" s="22">
        <f>ROUND(E4894* H4894,5)</f>
        <v>50.44</v>
      </c>
      <c r="K4894" s="23"/>
    </row>
    <row r="4895" spans="1:27" x14ac:dyDescent="0.2">
      <c r="B4895" t="s">
        <v>2663</v>
      </c>
      <c r="C4895" t="s">
        <v>23</v>
      </c>
      <c r="D4895" t="s">
        <v>2664</v>
      </c>
      <c r="E4895" s="20">
        <v>1</v>
      </c>
      <c r="G4895" t="s">
        <v>1073</v>
      </c>
      <c r="H4895" s="21">
        <v>6.55</v>
      </c>
      <c r="I4895" t="s">
        <v>1074</v>
      </c>
      <c r="J4895" s="22">
        <f>ROUND(E4895* H4895,5)</f>
        <v>6.55</v>
      </c>
      <c r="K4895" s="23"/>
    </row>
    <row r="4896" spans="1:27" x14ac:dyDescent="0.2">
      <c r="D4896" s="24" t="s">
        <v>1090</v>
      </c>
      <c r="E4896" s="23"/>
      <c r="H4896" s="23"/>
      <c r="K4896" s="21">
        <f>SUM(J4894:J4895)</f>
        <v>56.989999999999995</v>
      </c>
    </row>
    <row r="4897" spans="1:27" x14ac:dyDescent="0.2">
      <c r="E4897" s="23"/>
      <c r="H4897" s="23"/>
      <c r="K4897" s="23"/>
    </row>
    <row r="4898" spans="1:27" x14ac:dyDescent="0.2">
      <c r="D4898" s="24" t="s">
        <v>1092</v>
      </c>
      <c r="E4898" s="23"/>
      <c r="H4898" s="23">
        <v>1.5</v>
      </c>
      <c r="I4898" t="s">
        <v>1093</v>
      </c>
      <c r="J4898">
        <f>ROUND(H4898/100*K4892,5)</f>
        <v>0.34211000000000003</v>
      </c>
      <c r="K4898" s="23"/>
    </row>
    <row r="4899" spans="1:27" x14ac:dyDescent="0.2">
      <c r="D4899" s="24" t="s">
        <v>1091</v>
      </c>
      <c r="E4899" s="23"/>
      <c r="H4899" s="23"/>
      <c r="K4899" s="25">
        <f>SUM(J4890:J4898)</f>
        <v>80.139610000000005</v>
      </c>
    </row>
    <row r="4900" spans="1:27" x14ac:dyDescent="0.2">
      <c r="D4900" s="24" t="s">
        <v>1142</v>
      </c>
      <c r="E4900" s="23"/>
      <c r="H4900" s="23">
        <v>8</v>
      </c>
      <c r="I4900" t="s">
        <v>1093</v>
      </c>
      <c r="K4900" s="21">
        <f>ROUND(H4900/100*K4899,5)</f>
        <v>6.4111700000000003</v>
      </c>
    </row>
    <row r="4901" spans="1:27" x14ac:dyDescent="0.2">
      <c r="D4901" s="24" t="s">
        <v>1094</v>
      </c>
      <c r="E4901" s="23"/>
      <c r="H4901" s="23"/>
      <c r="K4901" s="25">
        <f>SUM(K4899:K4900)</f>
        <v>86.550780000000003</v>
      </c>
    </row>
    <row r="4903" spans="1:27" ht="45" customHeight="1" x14ac:dyDescent="0.2">
      <c r="A4903" s="17" t="s">
        <v>2806</v>
      </c>
      <c r="B4903" s="17" t="s">
        <v>987</v>
      </c>
      <c r="C4903" s="1" t="s">
        <v>23</v>
      </c>
      <c r="D4903" s="96" t="s">
        <v>988</v>
      </c>
      <c r="E4903" s="97"/>
      <c r="F4903" s="97"/>
      <c r="G4903" s="1"/>
      <c r="H4903" s="18" t="s">
        <v>1066</v>
      </c>
      <c r="I4903" s="98">
        <v>1</v>
      </c>
      <c r="J4903" s="99"/>
      <c r="K4903" s="19">
        <f>ROUND(K4916,2)</f>
        <v>71.64</v>
      </c>
      <c r="L4903" s="2" t="s">
        <v>2668</v>
      </c>
      <c r="M4903" s="1"/>
      <c r="N4903" s="1"/>
      <c r="O4903" s="1"/>
      <c r="P4903" s="1"/>
      <c r="Q4903" s="1"/>
      <c r="R4903" s="1"/>
      <c r="S4903" s="1"/>
      <c r="T4903" s="1"/>
      <c r="U4903" s="1"/>
      <c r="V4903" s="1"/>
      <c r="W4903" s="1"/>
      <c r="X4903" s="1"/>
      <c r="Y4903" s="1"/>
      <c r="Z4903" s="1"/>
      <c r="AA4903" s="1"/>
    </row>
    <row r="4904" spans="1:27" x14ac:dyDescent="0.2">
      <c r="B4904" s="14" t="s">
        <v>1068</v>
      </c>
    </row>
    <row r="4905" spans="1:27" x14ac:dyDescent="0.2">
      <c r="B4905" t="s">
        <v>1138</v>
      </c>
      <c r="C4905" t="s">
        <v>1070</v>
      </c>
      <c r="D4905" t="s">
        <v>1139</v>
      </c>
      <c r="E4905" s="20">
        <v>0.7</v>
      </c>
      <c r="F4905" t="s">
        <v>1072</v>
      </c>
      <c r="G4905" t="s">
        <v>1073</v>
      </c>
      <c r="H4905" s="21">
        <v>26.12</v>
      </c>
      <c r="I4905" t="s">
        <v>1074</v>
      </c>
      <c r="J4905" s="22">
        <f>ROUND(E4905/I4903* H4905,5)</f>
        <v>18.283999999999999</v>
      </c>
      <c r="K4905" s="23"/>
    </row>
    <row r="4906" spans="1:27" x14ac:dyDescent="0.2">
      <c r="B4906" t="s">
        <v>1136</v>
      </c>
      <c r="C4906" t="s">
        <v>1070</v>
      </c>
      <c r="D4906" t="s">
        <v>1137</v>
      </c>
      <c r="E4906" s="20">
        <v>0.7</v>
      </c>
      <c r="F4906" t="s">
        <v>1072</v>
      </c>
      <c r="G4906" t="s">
        <v>1073</v>
      </c>
      <c r="H4906" s="21">
        <v>30.41</v>
      </c>
      <c r="I4906" t="s">
        <v>1074</v>
      </c>
      <c r="J4906" s="22">
        <f>ROUND(E4906/I4903* H4906,5)</f>
        <v>21.286999999999999</v>
      </c>
      <c r="K4906" s="23"/>
    </row>
    <row r="4907" spans="1:27" x14ac:dyDescent="0.2">
      <c r="D4907" s="24" t="s">
        <v>1075</v>
      </c>
      <c r="E4907" s="23"/>
      <c r="H4907" s="23"/>
      <c r="K4907" s="21">
        <f>SUM(J4905:J4906)</f>
        <v>39.570999999999998</v>
      </c>
    </row>
    <row r="4908" spans="1:27" x14ac:dyDescent="0.2">
      <c r="B4908" s="14" t="s">
        <v>1080</v>
      </c>
      <c r="E4908" s="23"/>
      <c r="H4908" s="23"/>
      <c r="K4908" s="23"/>
    </row>
    <row r="4909" spans="1:27" x14ac:dyDescent="0.2">
      <c r="B4909" t="s">
        <v>2671</v>
      </c>
      <c r="C4909" t="s">
        <v>23</v>
      </c>
      <c r="D4909" t="s">
        <v>2672</v>
      </c>
      <c r="E4909" s="20">
        <v>1</v>
      </c>
      <c r="G4909" t="s">
        <v>1073</v>
      </c>
      <c r="H4909" s="21">
        <v>25.86</v>
      </c>
      <c r="I4909" t="s">
        <v>1074</v>
      </c>
      <c r="J4909" s="22">
        <f>ROUND(E4909* H4909,5)</f>
        <v>25.86</v>
      </c>
      <c r="K4909" s="23"/>
    </row>
    <row r="4910" spans="1:27" x14ac:dyDescent="0.2">
      <c r="B4910" t="s">
        <v>2669</v>
      </c>
      <c r="C4910" t="s">
        <v>23</v>
      </c>
      <c r="D4910" t="s">
        <v>2670</v>
      </c>
      <c r="E4910" s="20">
        <v>1</v>
      </c>
      <c r="G4910" t="s">
        <v>1073</v>
      </c>
      <c r="H4910" s="21">
        <v>0.31</v>
      </c>
      <c r="I4910" t="s">
        <v>1074</v>
      </c>
      <c r="J4910" s="22">
        <f>ROUND(E4910* H4910,5)</f>
        <v>0.31</v>
      </c>
      <c r="K4910" s="23"/>
    </row>
    <row r="4911" spans="1:27" x14ac:dyDescent="0.2">
      <c r="D4911" s="24" t="s">
        <v>1090</v>
      </c>
      <c r="E4911" s="23"/>
      <c r="H4911" s="23"/>
      <c r="K4911" s="21">
        <f>SUM(J4909:J4910)</f>
        <v>26.169999999999998</v>
      </c>
    </row>
    <row r="4912" spans="1:27" x14ac:dyDescent="0.2">
      <c r="E4912" s="23"/>
      <c r="H4912" s="23"/>
      <c r="K4912" s="23"/>
    </row>
    <row r="4913" spans="1:27" x14ac:dyDescent="0.2">
      <c r="D4913" s="24" t="s">
        <v>1092</v>
      </c>
      <c r="E4913" s="23"/>
      <c r="H4913" s="23">
        <v>1.5</v>
      </c>
      <c r="I4913" t="s">
        <v>1093</v>
      </c>
      <c r="J4913">
        <f>ROUND(H4913/100*K4907,5)</f>
        <v>0.59357000000000004</v>
      </c>
      <c r="K4913" s="23"/>
    </row>
    <row r="4914" spans="1:27" x14ac:dyDescent="0.2">
      <c r="D4914" s="24" t="s">
        <v>1091</v>
      </c>
      <c r="E4914" s="23"/>
      <c r="H4914" s="23"/>
      <c r="K4914" s="25">
        <f>SUM(J4904:J4913)</f>
        <v>66.334569999999999</v>
      </c>
    </row>
    <row r="4915" spans="1:27" x14ac:dyDescent="0.2">
      <c r="D4915" s="24" t="s">
        <v>1142</v>
      </c>
      <c r="E4915" s="23"/>
      <c r="H4915" s="23">
        <v>8</v>
      </c>
      <c r="I4915" t="s">
        <v>1093</v>
      </c>
      <c r="K4915" s="21">
        <f>ROUND(H4915/100*K4914,5)</f>
        <v>5.3067700000000002</v>
      </c>
    </row>
    <row r="4916" spans="1:27" x14ac:dyDescent="0.2">
      <c r="D4916" s="24" t="s">
        <v>1094</v>
      </c>
      <c r="E4916" s="23"/>
      <c r="H4916" s="23"/>
      <c r="K4916" s="25">
        <f>SUM(K4914:K4915)</f>
        <v>71.64134</v>
      </c>
    </row>
    <row r="4918" spans="1:27" ht="45" customHeight="1" x14ac:dyDescent="0.2">
      <c r="A4918" s="17" t="s">
        <v>2808</v>
      </c>
      <c r="B4918" s="17" t="s">
        <v>989</v>
      </c>
      <c r="C4918" s="1" t="s">
        <v>23</v>
      </c>
      <c r="D4918" s="96" t="s">
        <v>990</v>
      </c>
      <c r="E4918" s="97"/>
      <c r="F4918" s="97"/>
      <c r="G4918" s="1"/>
      <c r="H4918" s="18" t="s">
        <v>1066</v>
      </c>
      <c r="I4918" s="98">
        <v>1</v>
      </c>
      <c r="J4918" s="99"/>
      <c r="K4918" s="19">
        <f>ROUND(K4931,2)</f>
        <v>50.8</v>
      </c>
      <c r="L4918" s="2" t="s">
        <v>2674</v>
      </c>
      <c r="M4918" s="1"/>
      <c r="N4918" s="1"/>
      <c r="O4918" s="1"/>
      <c r="P4918" s="1"/>
      <c r="Q4918" s="1"/>
      <c r="R4918" s="1"/>
      <c r="S4918" s="1"/>
      <c r="T4918" s="1"/>
      <c r="U4918" s="1"/>
      <c r="V4918" s="1"/>
      <c r="W4918" s="1"/>
      <c r="X4918" s="1"/>
      <c r="Y4918" s="1"/>
      <c r="Z4918" s="1"/>
      <c r="AA4918" s="1"/>
    </row>
    <row r="4919" spans="1:27" x14ac:dyDescent="0.2">
      <c r="B4919" s="14" t="s">
        <v>1068</v>
      </c>
    </row>
    <row r="4920" spans="1:27" x14ac:dyDescent="0.2">
      <c r="B4920" t="s">
        <v>1205</v>
      </c>
      <c r="C4920" t="s">
        <v>1070</v>
      </c>
      <c r="D4920" t="s">
        <v>1206</v>
      </c>
      <c r="E4920" s="20">
        <v>0.35</v>
      </c>
      <c r="F4920" t="s">
        <v>1072</v>
      </c>
      <c r="G4920" t="s">
        <v>1073</v>
      </c>
      <c r="H4920" s="21">
        <v>24.55</v>
      </c>
      <c r="I4920" t="s">
        <v>1074</v>
      </c>
      <c r="J4920" s="22">
        <f>ROUND(E4920/I4918* H4920,5)</f>
        <v>8.5924999999999994</v>
      </c>
      <c r="K4920" s="23"/>
    </row>
    <row r="4921" spans="1:27" x14ac:dyDescent="0.2">
      <c r="B4921" t="s">
        <v>1220</v>
      </c>
      <c r="C4921" t="s">
        <v>1070</v>
      </c>
      <c r="D4921" t="s">
        <v>1221</v>
      </c>
      <c r="E4921" s="20">
        <v>0.35</v>
      </c>
      <c r="F4921" t="s">
        <v>1072</v>
      </c>
      <c r="G4921" t="s">
        <v>1073</v>
      </c>
      <c r="H4921" s="21">
        <v>29.42</v>
      </c>
      <c r="I4921" t="s">
        <v>1074</v>
      </c>
      <c r="J4921" s="22">
        <f>ROUND(E4921/I4918* H4921,5)</f>
        <v>10.297000000000001</v>
      </c>
      <c r="K4921" s="23"/>
    </row>
    <row r="4922" spans="1:27" x14ac:dyDescent="0.2">
      <c r="D4922" s="24" t="s">
        <v>1075</v>
      </c>
      <c r="E4922" s="23"/>
      <c r="H4922" s="23"/>
      <c r="K4922" s="21">
        <f>SUM(J4920:J4921)</f>
        <v>18.889499999999998</v>
      </c>
    </row>
    <row r="4923" spans="1:27" x14ac:dyDescent="0.2">
      <c r="B4923" s="14" t="s">
        <v>1080</v>
      </c>
      <c r="E4923" s="23"/>
      <c r="H4923" s="23"/>
      <c r="K4923" s="23"/>
    </row>
    <row r="4924" spans="1:27" x14ac:dyDescent="0.2">
      <c r="B4924" t="s">
        <v>2677</v>
      </c>
      <c r="C4924" t="s">
        <v>23</v>
      </c>
      <c r="D4924" t="s">
        <v>2678</v>
      </c>
      <c r="E4924" s="20">
        <v>1</v>
      </c>
      <c r="G4924" t="s">
        <v>1073</v>
      </c>
      <c r="H4924" s="21">
        <v>26.71</v>
      </c>
      <c r="I4924" t="s">
        <v>1074</v>
      </c>
      <c r="J4924" s="22">
        <f>ROUND(E4924* H4924,5)</f>
        <v>26.71</v>
      </c>
      <c r="K4924" s="23"/>
    </row>
    <row r="4925" spans="1:27" x14ac:dyDescent="0.2">
      <c r="B4925" t="s">
        <v>2675</v>
      </c>
      <c r="C4925" t="s">
        <v>1084</v>
      </c>
      <c r="D4925" t="s">
        <v>2676</v>
      </c>
      <c r="E4925" s="20">
        <v>5.4050000000000001E-2</v>
      </c>
      <c r="G4925" t="s">
        <v>1073</v>
      </c>
      <c r="H4925" s="21">
        <v>21.41</v>
      </c>
      <c r="I4925" t="s">
        <v>1074</v>
      </c>
      <c r="J4925" s="22">
        <f>ROUND(E4925* H4925,5)</f>
        <v>1.1572100000000001</v>
      </c>
      <c r="K4925" s="23"/>
    </row>
    <row r="4926" spans="1:27" x14ac:dyDescent="0.2">
      <c r="D4926" s="24" t="s">
        <v>1090</v>
      </c>
      <c r="E4926" s="23"/>
      <c r="H4926" s="23"/>
      <c r="K4926" s="21">
        <f>SUM(J4924:J4925)</f>
        <v>27.86721</v>
      </c>
    </row>
    <row r="4927" spans="1:27" x14ac:dyDescent="0.2">
      <c r="E4927" s="23"/>
      <c r="H4927" s="23"/>
      <c r="K4927" s="23"/>
    </row>
    <row r="4928" spans="1:27" x14ac:dyDescent="0.2">
      <c r="D4928" s="24" t="s">
        <v>1092</v>
      </c>
      <c r="E4928" s="23"/>
      <c r="H4928" s="23">
        <v>1.5</v>
      </c>
      <c r="I4928" t="s">
        <v>1093</v>
      </c>
      <c r="J4928">
        <f>ROUND(H4928/100*K4922,5)</f>
        <v>0.28333999999999998</v>
      </c>
      <c r="K4928" s="23"/>
    </row>
    <row r="4929" spans="1:27" x14ac:dyDescent="0.2">
      <c r="D4929" s="24" t="s">
        <v>1091</v>
      </c>
      <c r="E4929" s="23"/>
      <c r="H4929" s="23"/>
      <c r="K4929" s="25">
        <f>SUM(J4919:J4928)</f>
        <v>47.040050000000001</v>
      </c>
    </row>
    <row r="4930" spans="1:27" x14ac:dyDescent="0.2">
      <c r="D4930" s="24" t="s">
        <v>1142</v>
      </c>
      <c r="E4930" s="23"/>
      <c r="H4930" s="23">
        <v>8</v>
      </c>
      <c r="I4930" t="s">
        <v>1093</v>
      </c>
      <c r="K4930" s="21">
        <f>ROUND(H4930/100*K4929,5)</f>
        <v>3.7631999999999999</v>
      </c>
    </row>
    <row r="4931" spans="1:27" x14ac:dyDescent="0.2">
      <c r="D4931" s="24" t="s">
        <v>1094</v>
      </c>
      <c r="E4931" s="23"/>
      <c r="H4931" s="23"/>
      <c r="K4931" s="25">
        <f>SUM(K4929:K4930)</f>
        <v>50.803249999999998</v>
      </c>
    </row>
    <row r="4933" spans="1:27" ht="45" customHeight="1" x14ac:dyDescent="0.2">
      <c r="A4933" s="17" t="s">
        <v>2810</v>
      </c>
      <c r="B4933" s="17" t="s">
        <v>591</v>
      </c>
      <c r="C4933" s="1" t="s">
        <v>23</v>
      </c>
      <c r="D4933" s="96" t="s">
        <v>592</v>
      </c>
      <c r="E4933" s="97"/>
      <c r="F4933" s="97"/>
      <c r="G4933" s="1"/>
      <c r="H4933" s="18" t="s">
        <v>1066</v>
      </c>
      <c r="I4933" s="98">
        <v>1</v>
      </c>
      <c r="J4933" s="99"/>
      <c r="K4933" s="19">
        <f>ROUND(K4945,2)</f>
        <v>18987.52</v>
      </c>
      <c r="L4933" s="2" t="s">
        <v>2680</v>
      </c>
      <c r="M4933" s="1"/>
      <c r="N4933" s="1"/>
      <c r="O4933" s="1"/>
      <c r="P4933" s="1"/>
      <c r="Q4933" s="1"/>
      <c r="R4933" s="1"/>
      <c r="S4933" s="1"/>
      <c r="T4933" s="1"/>
      <c r="U4933" s="1"/>
      <c r="V4933" s="1"/>
      <c r="W4933" s="1"/>
      <c r="X4933" s="1"/>
      <c r="Y4933" s="1"/>
      <c r="Z4933" s="1"/>
      <c r="AA4933" s="1"/>
    </row>
    <row r="4934" spans="1:27" x14ac:dyDescent="0.2">
      <c r="B4934" s="14" t="s">
        <v>1068</v>
      </c>
    </row>
    <row r="4935" spans="1:27" x14ac:dyDescent="0.2">
      <c r="B4935" t="s">
        <v>1138</v>
      </c>
      <c r="C4935" t="s">
        <v>1070</v>
      </c>
      <c r="D4935" t="s">
        <v>1139</v>
      </c>
      <c r="E4935" s="20">
        <v>30</v>
      </c>
      <c r="F4935" t="s">
        <v>1072</v>
      </c>
      <c r="G4935" t="s">
        <v>1073</v>
      </c>
      <c r="H4935" s="21">
        <v>26.12</v>
      </c>
      <c r="I4935" t="s">
        <v>1074</v>
      </c>
      <c r="J4935" s="22">
        <f>ROUND(E4935/I4933* H4935,5)</f>
        <v>783.6</v>
      </c>
      <c r="K4935" s="23"/>
    </row>
    <row r="4936" spans="1:27" x14ac:dyDescent="0.2">
      <c r="B4936" t="s">
        <v>1136</v>
      </c>
      <c r="C4936" t="s">
        <v>1070</v>
      </c>
      <c r="D4936" t="s">
        <v>1137</v>
      </c>
      <c r="E4936" s="20">
        <v>30</v>
      </c>
      <c r="F4936" t="s">
        <v>1072</v>
      </c>
      <c r="G4936" t="s">
        <v>1073</v>
      </c>
      <c r="H4936" s="21">
        <v>30.41</v>
      </c>
      <c r="I4936" t="s">
        <v>1074</v>
      </c>
      <c r="J4936" s="22">
        <f>ROUND(E4936/I4933* H4936,5)</f>
        <v>912.3</v>
      </c>
      <c r="K4936" s="23"/>
    </row>
    <row r="4937" spans="1:27" x14ac:dyDescent="0.2">
      <c r="D4937" s="24" t="s">
        <v>1075</v>
      </c>
      <c r="E4937" s="23"/>
      <c r="H4937" s="23"/>
      <c r="K4937" s="21">
        <f>SUM(J4935:J4936)</f>
        <v>1695.9</v>
      </c>
    </row>
    <row r="4938" spans="1:27" x14ac:dyDescent="0.2">
      <c r="B4938" s="14" t="s">
        <v>1080</v>
      </c>
      <c r="E4938" s="23"/>
      <c r="H4938" s="23"/>
      <c r="K4938" s="23"/>
    </row>
    <row r="4939" spans="1:27" ht="409.6" x14ac:dyDescent="0.2">
      <c r="B4939" t="s">
        <v>2681</v>
      </c>
      <c r="C4939" t="s">
        <v>23</v>
      </c>
      <c r="D4939" s="26" t="s">
        <v>592</v>
      </c>
      <c r="E4939" s="20">
        <v>1</v>
      </c>
      <c r="G4939" t="s">
        <v>1073</v>
      </c>
      <c r="H4939" s="21">
        <v>15825.78</v>
      </c>
      <c r="I4939" t="s">
        <v>1074</v>
      </c>
      <c r="J4939" s="22">
        <f>ROUND(E4939* H4939,5)</f>
        <v>15825.78</v>
      </c>
      <c r="K4939" s="23"/>
    </row>
    <row r="4940" spans="1:27" x14ac:dyDescent="0.2">
      <c r="D4940" s="24" t="s">
        <v>1090</v>
      </c>
      <c r="E4940" s="23"/>
      <c r="H4940" s="23"/>
      <c r="K4940" s="21">
        <f>SUM(J4939:J4939)</f>
        <v>15825.78</v>
      </c>
    </row>
    <row r="4941" spans="1:27" x14ac:dyDescent="0.2">
      <c r="E4941" s="23"/>
      <c r="H4941" s="23"/>
      <c r="K4941" s="23"/>
    </row>
    <row r="4942" spans="1:27" x14ac:dyDescent="0.2">
      <c r="D4942" s="24" t="s">
        <v>1092</v>
      </c>
      <c r="E4942" s="23"/>
      <c r="H4942" s="23">
        <v>3.5</v>
      </c>
      <c r="I4942" t="s">
        <v>1093</v>
      </c>
      <c r="J4942">
        <f>ROUND(H4942/100*K4937,5)</f>
        <v>59.356499999999997</v>
      </c>
      <c r="K4942" s="23"/>
    </row>
    <row r="4943" spans="1:27" x14ac:dyDescent="0.2">
      <c r="D4943" s="24" t="s">
        <v>1091</v>
      </c>
      <c r="E4943" s="23"/>
      <c r="H4943" s="23"/>
      <c r="K4943" s="25">
        <f>SUM(J4934:J4942)</f>
        <v>17581.036500000002</v>
      </c>
    </row>
    <row r="4944" spans="1:27" x14ac:dyDescent="0.2">
      <c r="D4944" s="24" t="s">
        <v>1142</v>
      </c>
      <c r="E4944" s="23"/>
      <c r="H4944" s="23">
        <v>8</v>
      </c>
      <c r="I4944" t="s">
        <v>1093</v>
      </c>
      <c r="K4944" s="21">
        <f>ROUND(H4944/100*K4943,5)</f>
        <v>1406.4829199999999</v>
      </c>
    </row>
    <row r="4945" spans="1:27" x14ac:dyDescent="0.2">
      <c r="D4945" s="24" t="s">
        <v>1094</v>
      </c>
      <c r="E4945" s="23"/>
      <c r="H4945" s="23"/>
      <c r="K4945" s="25">
        <f>SUM(K4943:K4944)</f>
        <v>18987.519420000001</v>
      </c>
    </row>
    <row r="4947" spans="1:27" ht="45" customHeight="1" x14ac:dyDescent="0.2">
      <c r="A4947" s="17" t="s">
        <v>2812</v>
      </c>
      <c r="B4947" s="17" t="s">
        <v>905</v>
      </c>
      <c r="C4947" s="1" t="s">
        <v>23</v>
      </c>
      <c r="D4947" s="96" t="s">
        <v>906</v>
      </c>
      <c r="E4947" s="97"/>
      <c r="F4947" s="97"/>
      <c r="G4947" s="1"/>
      <c r="H4947" s="18" t="s">
        <v>1066</v>
      </c>
      <c r="I4947" s="98">
        <v>1</v>
      </c>
      <c r="J4947" s="99"/>
      <c r="K4947" s="19">
        <f>ROUND(K4960,2)</f>
        <v>62.37</v>
      </c>
      <c r="L4947" s="2" t="s">
        <v>2683</v>
      </c>
      <c r="M4947" s="1"/>
      <c r="N4947" s="1"/>
      <c r="O4947" s="1"/>
      <c r="P4947" s="1"/>
      <c r="Q4947" s="1"/>
      <c r="R4947" s="1"/>
      <c r="S4947" s="1"/>
      <c r="T4947" s="1"/>
      <c r="U4947" s="1"/>
      <c r="V4947" s="1"/>
      <c r="W4947" s="1"/>
      <c r="X4947" s="1"/>
      <c r="Y4947" s="1"/>
      <c r="Z4947" s="1"/>
      <c r="AA4947" s="1"/>
    </row>
    <row r="4948" spans="1:27" x14ac:dyDescent="0.2">
      <c r="B4948" s="14" t="s">
        <v>1068</v>
      </c>
    </row>
    <row r="4949" spans="1:27" x14ac:dyDescent="0.2">
      <c r="B4949" t="s">
        <v>1136</v>
      </c>
      <c r="C4949" t="s">
        <v>1070</v>
      </c>
      <c r="D4949" t="s">
        <v>1137</v>
      </c>
      <c r="E4949" s="20">
        <v>0.2</v>
      </c>
      <c r="F4949" t="s">
        <v>1072</v>
      </c>
      <c r="G4949" t="s">
        <v>1073</v>
      </c>
      <c r="H4949" s="21">
        <v>30.41</v>
      </c>
      <c r="I4949" t="s">
        <v>1074</v>
      </c>
      <c r="J4949" s="22">
        <f>ROUND(E4949/I4947* H4949,5)</f>
        <v>6.0819999999999999</v>
      </c>
      <c r="K4949" s="23"/>
    </row>
    <row r="4950" spans="1:27" x14ac:dyDescent="0.2">
      <c r="B4950" t="s">
        <v>1138</v>
      </c>
      <c r="C4950" t="s">
        <v>1070</v>
      </c>
      <c r="D4950" t="s">
        <v>1139</v>
      </c>
      <c r="E4950" s="20">
        <v>0.2</v>
      </c>
      <c r="F4950" t="s">
        <v>1072</v>
      </c>
      <c r="G4950" t="s">
        <v>1073</v>
      </c>
      <c r="H4950" s="21">
        <v>26.12</v>
      </c>
      <c r="I4950" t="s">
        <v>1074</v>
      </c>
      <c r="J4950" s="22">
        <f>ROUND(E4950/I4947* H4950,5)</f>
        <v>5.2240000000000002</v>
      </c>
      <c r="K4950" s="23"/>
    </row>
    <row r="4951" spans="1:27" x14ac:dyDescent="0.2">
      <c r="D4951" s="24" t="s">
        <v>1075</v>
      </c>
      <c r="E4951" s="23"/>
      <c r="H4951" s="23"/>
      <c r="K4951" s="21">
        <f>SUM(J4949:J4950)</f>
        <v>11.306000000000001</v>
      </c>
    </row>
    <row r="4952" spans="1:27" x14ac:dyDescent="0.2">
      <c r="B4952" s="14" t="s">
        <v>1080</v>
      </c>
      <c r="E4952" s="23"/>
      <c r="H4952" s="23"/>
      <c r="K4952" s="23"/>
    </row>
    <row r="4953" spans="1:27" x14ac:dyDescent="0.2">
      <c r="B4953" t="s">
        <v>2686</v>
      </c>
      <c r="C4953" t="s">
        <v>23</v>
      </c>
      <c r="D4953" t="s">
        <v>2687</v>
      </c>
      <c r="E4953" s="20">
        <v>1</v>
      </c>
      <c r="G4953" t="s">
        <v>1073</v>
      </c>
      <c r="H4953" s="21">
        <v>45.92</v>
      </c>
      <c r="I4953" t="s">
        <v>1074</v>
      </c>
      <c r="J4953" s="22">
        <f>ROUND(E4953* H4953,5)</f>
        <v>45.92</v>
      </c>
      <c r="K4953" s="23"/>
    </row>
    <row r="4954" spans="1:27" x14ac:dyDescent="0.2">
      <c r="B4954" t="s">
        <v>2684</v>
      </c>
      <c r="C4954" t="s">
        <v>23</v>
      </c>
      <c r="D4954" t="s">
        <v>2685</v>
      </c>
      <c r="E4954" s="20">
        <v>1</v>
      </c>
      <c r="G4954" t="s">
        <v>1073</v>
      </c>
      <c r="H4954" s="21">
        <v>0.35</v>
      </c>
      <c r="I4954" t="s">
        <v>1074</v>
      </c>
      <c r="J4954" s="22">
        <f>ROUND(E4954* H4954,5)</f>
        <v>0.35</v>
      </c>
      <c r="K4954" s="23"/>
    </row>
    <row r="4955" spans="1:27" x14ac:dyDescent="0.2">
      <c r="D4955" s="24" t="s">
        <v>1090</v>
      </c>
      <c r="E4955" s="23"/>
      <c r="H4955" s="23"/>
      <c r="K4955" s="21">
        <f>SUM(J4953:J4954)</f>
        <v>46.27</v>
      </c>
    </row>
    <row r="4956" spans="1:27" x14ac:dyDescent="0.2">
      <c r="E4956" s="23"/>
      <c r="H4956" s="23"/>
      <c r="K4956" s="23"/>
    </row>
    <row r="4957" spans="1:27" x14ac:dyDescent="0.2">
      <c r="D4957" s="24" t="s">
        <v>1092</v>
      </c>
      <c r="E4957" s="23"/>
      <c r="H4957" s="23">
        <v>1.5</v>
      </c>
      <c r="I4957" t="s">
        <v>1093</v>
      </c>
      <c r="J4957">
        <f>ROUND(H4957/100*K4951,5)</f>
        <v>0.16958999999999999</v>
      </c>
      <c r="K4957" s="23"/>
    </row>
    <row r="4958" spans="1:27" x14ac:dyDescent="0.2">
      <c r="D4958" s="24" t="s">
        <v>1091</v>
      </c>
      <c r="E4958" s="23"/>
      <c r="H4958" s="23"/>
      <c r="K4958" s="25">
        <f>SUM(J4948:J4957)</f>
        <v>57.74559</v>
      </c>
    </row>
    <row r="4959" spans="1:27" x14ac:dyDescent="0.2">
      <c r="D4959" s="24" t="s">
        <v>1142</v>
      </c>
      <c r="E4959" s="23"/>
      <c r="H4959" s="23">
        <v>8</v>
      </c>
      <c r="I4959" t="s">
        <v>1093</v>
      </c>
      <c r="K4959" s="21">
        <f>ROUND(H4959/100*K4958,5)</f>
        <v>4.61965</v>
      </c>
    </row>
    <row r="4960" spans="1:27" x14ac:dyDescent="0.2">
      <c r="D4960" s="24" t="s">
        <v>1094</v>
      </c>
      <c r="E4960" s="23"/>
      <c r="H4960" s="23"/>
      <c r="K4960" s="25">
        <f>SUM(K4958:K4959)</f>
        <v>62.36524</v>
      </c>
    </row>
    <row r="4962" spans="1:27" ht="45" customHeight="1" x14ac:dyDescent="0.2">
      <c r="A4962" s="17"/>
      <c r="B4962" s="17" t="s">
        <v>2688</v>
      </c>
      <c r="C4962" s="1" t="s">
        <v>23</v>
      </c>
      <c r="D4962" s="96" t="s">
        <v>2689</v>
      </c>
      <c r="E4962" s="97"/>
      <c r="F4962" s="97"/>
      <c r="G4962" s="1"/>
      <c r="H4962" s="18" t="s">
        <v>1066</v>
      </c>
      <c r="I4962" s="98">
        <v>1</v>
      </c>
      <c r="J4962" s="99"/>
      <c r="K4962" s="19">
        <f>ROUND(K4974,2)</f>
        <v>411.66</v>
      </c>
      <c r="L4962" s="2" t="s">
        <v>2690</v>
      </c>
      <c r="M4962" s="1"/>
      <c r="N4962" s="1"/>
      <c r="O4962" s="1"/>
      <c r="P4962" s="1"/>
      <c r="Q4962" s="1"/>
      <c r="R4962" s="1"/>
      <c r="S4962" s="1"/>
      <c r="T4962" s="1"/>
      <c r="U4962" s="1"/>
      <c r="V4962" s="1"/>
      <c r="W4962" s="1"/>
      <c r="X4962" s="1"/>
      <c r="Y4962" s="1"/>
      <c r="Z4962" s="1"/>
      <c r="AA4962" s="1"/>
    </row>
    <row r="4963" spans="1:27" x14ac:dyDescent="0.2">
      <c r="B4963" s="14" t="s">
        <v>1068</v>
      </c>
    </row>
    <row r="4964" spans="1:27" x14ac:dyDescent="0.2">
      <c r="B4964" t="s">
        <v>1136</v>
      </c>
      <c r="C4964" t="s">
        <v>1070</v>
      </c>
      <c r="D4964" t="s">
        <v>1137</v>
      </c>
      <c r="E4964" s="20">
        <v>0.3</v>
      </c>
      <c r="F4964" t="s">
        <v>1072</v>
      </c>
      <c r="G4964" t="s">
        <v>1073</v>
      </c>
      <c r="H4964" s="21">
        <v>30.41</v>
      </c>
      <c r="I4964" t="s">
        <v>1074</v>
      </c>
      <c r="J4964" s="22">
        <f>ROUND(E4964/I4962* H4964,5)</f>
        <v>9.1229999999999993</v>
      </c>
      <c r="K4964" s="23"/>
    </row>
    <row r="4965" spans="1:27" x14ac:dyDescent="0.2">
      <c r="B4965" t="s">
        <v>1138</v>
      </c>
      <c r="C4965" t="s">
        <v>1070</v>
      </c>
      <c r="D4965" t="s">
        <v>1139</v>
      </c>
      <c r="E4965" s="20">
        <v>0.3</v>
      </c>
      <c r="F4965" t="s">
        <v>1072</v>
      </c>
      <c r="G4965" t="s">
        <v>1073</v>
      </c>
      <c r="H4965" s="21">
        <v>26.12</v>
      </c>
      <c r="I4965" t="s">
        <v>1074</v>
      </c>
      <c r="J4965" s="22">
        <f>ROUND(E4965/I4962* H4965,5)</f>
        <v>7.8360000000000003</v>
      </c>
      <c r="K4965" s="23"/>
    </row>
    <row r="4966" spans="1:27" x14ac:dyDescent="0.2">
      <c r="D4966" s="24" t="s">
        <v>1075</v>
      </c>
      <c r="E4966" s="23"/>
      <c r="H4966" s="23"/>
      <c r="K4966" s="21">
        <f>SUM(J4964:J4965)</f>
        <v>16.959</v>
      </c>
    </row>
    <row r="4967" spans="1:27" x14ac:dyDescent="0.2">
      <c r="B4967" s="14" t="s">
        <v>1080</v>
      </c>
      <c r="E4967" s="23"/>
      <c r="H4967" s="23"/>
      <c r="K4967" s="23"/>
    </row>
    <row r="4968" spans="1:27" x14ac:dyDescent="0.2">
      <c r="B4968" t="s">
        <v>2691</v>
      </c>
      <c r="C4968" t="s">
        <v>23</v>
      </c>
      <c r="D4968" t="s">
        <v>2692</v>
      </c>
      <c r="E4968" s="20">
        <v>1</v>
      </c>
      <c r="G4968" t="s">
        <v>1073</v>
      </c>
      <c r="H4968" s="21">
        <v>363.78</v>
      </c>
      <c r="I4968" t="s">
        <v>1074</v>
      </c>
      <c r="J4968" s="22">
        <f>ROUND(E4968* H4968,5)</f>
        <v>363.78</v>
      </c>
      <c r="K4968" s="23"/>
    </row>
    <row r="4969" spans="1:27" x14ac:dyDescent="0.2">
      <c r="D4969" s="24" t="s">
        <v>1090</v>
      </c>
      <c r="E4969" s="23"/>
      <c r="H4969" s="23"/>
      <c r="K4969" s="21">
        <f>SUM(J4968:J4968)</f>
        <v>363.78</v>
      </c>
    </row>
    <row r="4970" spans="1:27" x14ac:dyDescent="0.2">
      <c r="E4970" s="23"/>
      <c r="H4970" s="23"/>
      <c r="K4970" s="23"/>
    </row>
    <row r="4971" spans="1:27" x14ac:dyDescent="0.2">
      <c r="D4971" s="24" t="s">
        <v>1092</v>
      </c>
      <c r="E4971" s="23"/>
      <c r="H4971" s="23">
        <v>2.5</v>
      </c>
      <c r="I4971" t="s">
        <v>1093</v>
      </c>
      <c r="J4971">
        <f>ROUND(H4971/100*K4966,5)</f>
        <v>0.42398000000000002</v>
      </c>
      <c r="K4971" s="23"/>
    </row>
    <row r="4972" spans="1:27" x14ac:dyDescent="0.2">
      <c r="D4972" s="24" t="s">
        <v>1091</v>
      </c>
      <c r="E4972" s="23"/>
      <c r="H4972" s="23"/>
      <c r="K4972" s="25">
        <f>SUM(J4963:J4971)</f>
        <v>381.16297999999995</v>
      </c>
    </row>
    <row r="4973" spans="1:27" x14ac:dyDescent="0.2">
      <c r="D4973" s="24" t="s">
        <v>1142</v>
      </c>
      <c r="E4973" s="23"/>
      <c r="H4973" s="23">
        <v>8</v>
      </c>
      <c r="I4973" t="s">
        <v>1093</v>
      </c>
      <c r="K4973" s="21">
        <f>ROUND(H4973/100*K4972,5)</f>
        <v>30.493040000000001</v>
      </c>
    </row>
    <row r="4974" spans="1:27" x14ac:dyDescent="0.2">
      <c r="D4974" s="24" t="s">
        <v>1094</v>
      </c>
      <c r="E4974" s="23"/>
      <c r="H4974" s="23"/>
      <c r="K4974" s="25">
        <f>SUM(K4972:K4973)</f>
        <v>411.65601999999996</v>
      </c>
    </row>
    <row r="4976" spans="1:27" ht="45" customHeight="1" x14ac:dyDescent="0.2">
      <c r="A4976" s="17"/>
      <c r="B4976" s="17" t="s">
        <v>2693</v>
      </c>
      <c r="C4976" s="1" t="s">
        <v>23</v>
      </c>
      <c r="D4976" s="96" t="s">
        <v>2694</v>
      </c>
      <c r="E4976" s="97"/>
      <c r="F4976" s="97"/>
      <c r="G4976" s="1"/>
      <c r="H4976" s="18" t="s">
        <v>1066</v>
      </c>
      <c r="I4976" s="98">
        <v>1</v>
      </c>
      <c r="J4976" s="99"/>
      <c r="K4976" s="19">
        <f>ROUND(K4988,2)</f>
        <v>2344.6999999999998</v>
      </c>
      <c r="L4976" s="2" t="s">
        <v>2695</v>
      </c>
      <c r="M4976" s="1"/>
      <c r="N4976" s="1"/>
      <c r="O4976" s="1"/>
      <c r="P4976" s="1"/>
      <c r="Q4976" s="1"/>
      <c r="R4976" s="1"/>
      <c r="S4976" s="1"/>
      <c r="T4976" s="1"/>
      <c r="U4976" s="1"/>
      <c r="V4976" s="1"/>
      <c r="W4976" s="1"/>
      <c r="X4976" s="1"/>
      <c r="Y4976" s="1"/>
      <c r="Z4976" s="1"/>
      <c r="AA4976" s="1"/>
    </row>
    <row r="4977" spans="1:27" x14ac:dyDescent="0.2">
      <c r="B4977" s="14" t="s">
        <v>1068</v>
      </c>
    </row>
    <row r="4978" spans="1:27" x14ac:dyDescent="0.2">
      <c r="B4978" t="s">
        <v>1138</v>
      </c>
      <c r="C4978" t="s">
        <v>1070</v>
      </c>
      <c r="D4978" t="s">
        <v>1139</v>
      </c>
      <c r="E4978" s="20">
        <v>4</v>
      </c>
      <c r="F4978" t="s">
        <v>1072</v>
      </c>
      <c r="G4978" t="s">
        <v>1073</v>
      </c>
      <c r="H4978" s="21">
        <v>26.12</v>
      </c>
      <c r="I4978" t="s">
        <v>1074</v>
      </c>
      <c r="J4978" s="22">
        <f>ROUND(E4978/I4976* H4978,5)</f>
        <v>104.48</v>
      </c>
      <c r="K4978" s="23"/>
    </row>
    <row r="4979" spans="1:27" x14ac:dyDescent="0.2">
      <c r="B4979" t="s">
        <v>1136</v>
      </c>
      <c r="C4979" t="s">
        <v>1070</v>
      </c>
      <c r="D4979" t="s">
        <v>1137</v>
      </c>
      <c r="E4979" s="20">
        <v>4</v>
      </c>
      <c r="F4979" t="s">
        <v>1072</v>
      </c>
      <c r="G4979" t="s">
        <v>1073</v>
      </c>
      <c r="H4979" s="21">
        <v>30.41</v>
      </c>
      <c r="I4979" t="s">
        <v>1074</v>
      </c>
      <c r="J4979" s="22">
        <f>ROUND(E4979/I4976* H4979,5)</f>
        <v>121.64</v>
      </c>
      <c r="K4979" s="23"/>
    </row>
    <row r="4980" spans="1:27" x14ac:dyDescent="0.2">
      <c r="D4980" s="24" t="s">
        <v>1075</v>
      </c>
      <c r="E4980" s="23"/>
      <c r="H4980" s="23"/>
      <c r="K4980" s="21">
        <f>SUM(J4978:J4979)</f>
        <v>226.12</v>
      </c>
    </row>
    <row r="4981" spans="1:27" x14ac:dyDescent="0.2">
      <c r="B4981" s="14" t="s">
        <v>1080</v>
      </c>
      <c r="E4981" s="23"/>
      <c r="H4981" s="23"/>
      <c r="K4981" s="23"/>
    </row>
    <row r="4982" spans="1:27" x14ac:dyDescent="0.2">
      <c r="B4982" t="s">
        <v>2696</v>
      </c>
      <c r="C4982" t="s">
        <v>23</v>
      </c>
      <c r="D4982" t="s">
        <v>2697</v>
      </c>
      <c r="E4982" s="20">
        <v>1</v>
      </c>
      <c r="G4982" t="s">
        <v>1073</v>
      </c>
      <c r="H4982" s="21">
        <v>1936.98</v>
      </c>
      <c r="I4982" t="s">
        <v>1074</v>
      </c>
      <c r="J4982" s="22">
        <f>ROUND(E4982* H4982,5)</f>
        <v>1936.98</v>
      </c>
      <c r="K4982" s="23"/>
    </row>
    <row r="4983" spans="1:27" x14ac:dyDescent="0.2">
      <c r="D4983" s="24" t="s">
        <v>1090</v>
      </c>
      <c r="E4983" s="23"/>
      <c r="H4983" s="23"/>
      <c r="K4983" s="21">
        <f>SUM(J4982:J4982)</f>
        <v>1936.98</v>
      </c>
    </row>
    <row r="4984" spans="1:27" x14ac:dyDescent="0.2">
      <c r="E4984" s="23"/>
      <c r="H4984" s="23"/>
      <c r="K4984" s="23"/>
    </row>
    <row r="4985" spans="1:27" x14ac:dyDescent="0.2">
      <c r="D4985" s="24" t="s">
        <v>1092</v>
      </c>
      <c r="E4985" s="23"/>
      <c r="H4985" s="23">
        <v>3.5</v>
      </c>
      <c r="I4985" t="s">
        <v>1093</v>
      </c>
      <c r="J4985">
        <f>ROUND(H4985/100*K4980,5)</f>
        <v>7.9142000000000001</v>
      </c>
      <c r="K4985" s="23"/>
    </row>
    <row r="4986" spans="1:27" x14ac:dyDescent="0.2">
      <c r="D4986" s="24" t="s">
        <v>1091</v>
      </c>
      <c r="E4986" s="23"/>
      <c r="H4986" s="23"/>
      <c r="K4986" s="25">
        <f>SUM(J4977:J4985)</f>
        <v>2171.0142000000001</v>
      </c>
    </row>
    <row r="4987" spans="1:27" x14ac:dyDescent="0.2">
      <c r="D4987" s="24" t="s">
        <v>1142</v>
      </c>
      <c r="E4987" s="23"/>
      <c r="H4987" s="23">
        <v>8</v>
      </c>
      <c r="I4987" t="s">
        <v>1093</v>
      </c>
      <c r="K4987" s="21">
        <f>ROUND(H4987/100*K4986,5)</f>
        <v>173.68114</v>
      </c>
    </row>
    <row r="4988" spans="1:27" x14ac:dyDescent="0.2">
      <c r="D4988" s="24" t="s">
        <v>1094</v>
      </c>
      <c r="E4988" s="23"/>
      <c r="H4988" s="23"/>
      <c r="K4988" s="25">
        <f>SUM(K4986:K4987)</f>
        <v>2344.6953400000002</v>
      </c>
    </row>
    <row r="4990" spans="1:27" ht="45" customHeight="1" x14ac:dyDescent="0.2">
      <c r="A4990" s="17" t="s">
        <v>4167</v>
      </c>
      <c r="B4990" s="17" t="s">
        <v>911</v>
      </c>
      <c r="C4990" s="1" t="s">
        <v>23</v>
      </c>
      <c r="D4990" s="96" t="s">
        <v>912</v>
      </c>
      <c r="E4990" s="97"/>
      <c r="F4990" s="97"/>
      <c r="G4990" s="1"/>
      <c r="H4990" s="18" t="s">
        <v>1066</v>
      </c>
      <c r="I4990" s="98">
        <v>1</v>
      </c>
      <c r="J4990" s="99"/>
      <c r="K4990" s="19">
        <f>ROUND(K5001,2)</f>
        <v>8.66</v>
      </c>
      <c r="L4990" s="2" t="s">
        <v>2699</v>
      </c>
      <c r="M4990" s="1"/>
      <c r="N4990" s="1"/>
      <c r="O4990" s="1"/>
      <c r="P4990" s="1"/>
      <c r="Q4990" s="1"/>
      <c r="R4990" s="1"/>
      <c r="S4990" s="1"/>
      <c r="T4990" s="1"/>
      <c r="U4990" s="1"/>
      <c r="V4990" s="1"/>
      <c r="W4990" s="1"/>
      <c r="X4990" s="1"/>
      <c r="Y4990" s="1"/>
      <c r="Z4990" s="1"/>
      <c r="AA4990" s="1"/>
    </row>
    <row r="4991" spans="1:27" x14ac:dyDescent="0.2">
      <c r="B4991" s="14" t="s">
        <v>1068</v>
      </c>
    </row>
    <row r="4992" spans="1:27" x14ac:dyDescent="0.2">
      <c r="B4992" t="s">
        <v>1136</v>
      </c>
      <c r="C4992" t="s">
        <v>1070</v>
      </c>
      <c r="D4992" t="s">
        <v>1137</v>
      </c>
      <c r="E4992" s="20">
        <v>0.1</v>
      </c>
      <c r="F4992" t="s">
        <v>1072</v>
      </c>
      <c r="G4992" t="s">
        <v>1073</v>
      </c>
      <c r="H4992" s="21">
        <v>30.41</v>
      </c>
      <c r="I4992" t="s">
        <v>1074</v>
      </c>
      <c r="J4992" s="22">
        <f>ROUND(E4992/I4990* H4992,5)</f>
        <v>3.0409999999999999</v>
      </c>
      <c r="K4992" s="23"/>
    </row>
    <row r="4993" spans="1:27" x14ac:dyDescent="0.2">
      <c r="D4993" s="24" t="s">
        <v>1075</v>
      </c>
      <c r="E4993" s="23"/>
      <c r="H4993" s="23"/>
      <c r="K4993" s="21">
        <f>SUM(J4992:J4992)</f>
        <v>3.0409999999999999</v>
      </c>
    </row>
    <row r="4994" spans="1:27" x14ac:dyDescent="0.2">
      <c r="B4994" s="14" t="s">
        <v>1080</v>
      </c>
      <c r="E4994" s="23"/>
      <c r="H4994" s="23"/>
      <c r="K4994" s="23"/>
    </row>
    <row r="4995" spans="1:27" x14ac:dyDescent="0.2">
      <c r="B4995" t="s">
        <v>2700</v>
      </c>
      <c r="C4995" t="s">
        <v>23</v>
      </c>
      <c r="D4995" t="s">
        <v>2701</v>
      </c>
      <c r="E4995" s="20">
        <v>1</v>
      </c>
      <c r="G4995" t="s">
        <v>1073</v>
      </c>
      <c r="H4995" s="21">
        <v>4.93</v>
      </c>
      <c r="I4995" t="s">
        <v>1074</v>
      </c>
      <c r="J4995" s="22">
        <f>ROUND(E4995* H4995,5)</f>
        <v>4.93</v>
      </c>
      <c r="K4995" s="23"/>
    </row>
    <row r="4996" spans="1:27" x14ac:dyDescent="0.2">
      <c r="D4996" s="24" t="s">
        <v>1090</v>
      </c>
      <c r="E4996" s="23"/>
      <c r="H4996" s="23"/>
      <c r="K4996" s="21">
        <f>SUM(J4995:J4995)</f>
        <v>4.93</v>
      </c>
    </row>
    <row r="4997" spans="1:27" x14ac:dyDescent="0.2">
      <c r="E4997" s="23"/>
      <c r="H4997" s="23"/>
      <c r="K4997" s="23"/>
    </row>
    <row r="4998" spans="1:27" x14ac:dyDescent="0.2">
      <c r="D4998" s="24" t="s">
        <v>1092</v>
      </c>
      <c r="E4998" s="23"/>
      <c r="H4998" s="23">
        <v>1.5</v>
      </c>
      <c r="I4998" t="s">
        <v>1093</v>
      </c>
      <c r="J4998">
        <f>ROUND(H4998/100*K4993,5)</f>
        <v>4.5620000000000001E-2</v>
      </c>
      <c r="K4998" s="23"/>
    </row>
    <row r="4999" spans="1:27" x14ac:dyDescent="0.2">
      <c r="D4999" s="24" t="s">
        <v>1091</v>
      </c>
      <c r="E4999" s="23"/>
      <c r="H4999" s="23"/>
      <c r="K4999" s="25">
        <f>SUM(J4991:J4998)</f>
        <v>8.0166199999999996</v>
      </c>
    </row>
    <row r="5000" spans="1:27" x14ac:dyDescent="0.2">
      <c r="D5000" s="24" t="s">
        <v>1142</v>
      </c>
      <c r="E5000" s="23"/>
      <c r="H5000" s="23">
        <v>8</v>
      </c>
      <c r="I5000" t="s">
        <v>1093</v>
      </c>
      <c r="K5000" s="21">
        <f>ROUND(H5000/100*K4999,5)</f>
        <v>0.64132999999999996</v>
      </c>
    </row>
    <row r="5001" spans="1:27" x14ac:dyDescent="0.2">
      <c r="D5001" s="24" t="s">
        <v>1094</v>
      </c>
      <c r="E5001" s="23"/>
      <c r="H5001" s="23"/>
      <c r="K5001" s="25">
        <f>SUM(K4999:K5000)</f>
        <v>8.6579499999999996</v>
      </c>
    </row>
    <row r="5003" spans="1:27" ht="45" customHeight="1" x14ac:dyDescent="0.2">
      <c r="A5003" s="17" t="s">
        <v>4168</v>
      </c>
      <c r="B5003" s="17" t="s">
        <v>909</v>
      </c>
      <c r="C5003" s="1" t="s">
        <v>23</v>
      </c>
      <c r="D5003" s="96" t="s">
        <v>910</v>
      </c>
      <c r="E5003" s="97"/>
      <c r="F5003" s="97"/>
      <c r="G5003" s="1"/>
      <c r="H5003" s="18" t="s">
        <v>1066</v>
      </c>
      <c r="I5003" s="98">
        <v>1</v>
      </c>
      <c r="J5003" s="99"/>
      <c r="K5003" s="19">
        <f>ROUND(K5014,2)</f>
        <v>9.0299999999999994</v>
      </c>
      <c r="L5003" s="2" t="s">
        <v>2703</v>
      </c>
      <c r="M5003" s="1"/>
      <c r="N5003" s="1"/>
      <c r="O5003" s="1"/>
      <c r="P5003" s="1"/>
      <c r="Q5003" s="1"/>
      <c r="R5003" s="1"/>
      <c r="S5003" s="1"/>
      <c r="T5003" s="1"/>
      <c r="U5003" s="1"/>
      <c r="V5003" s="1"/>
      <c r="W5003" s="1"/>
      <c r="X5003" s="1"/>
      <c r="Y5003" s="1"/>
      <c r="Z5003" s="1"/>
      <c r="AA5003" s="1"/>
    </row>
    <row r="5004" spans="1:27" x14ac:dyDescent="0.2">
      <c r="B5004" s="14" t="s">
        <v>1068</v>
      </c>
    </row>
    <row r="5005" spans="1:27" x14ac:dyDescent="0.2">
      <c r="B5005" t="s">
        <v>1136</v>
      </c>
      <c r="C5005" t="s">
        <v>1070</v>
      </c>
      <c r="D5005" t="s">
        <v>1137</v>
      </c>
      <c r="E5005" s="20">
        <v>0.1</v>
      </c>
      <c r="F5005" t="s">
        <v>1072</v>
      </c>
      <c r="G5005" t="s">
        <v>1073</v>
      </c>
      <c r="H5005" s="21">
        <v>30.41</v>
      </c>
      <c r="I5005" t="s">
        <v>1074</v>
      </c>
      <c r="J5005" s="22">
        <f>ROUND(E5005/I5003* H5005,5)</f>
        <v>3.0409999999999999</v>
      </c>
      <c r="K5005" s="23"/>
    </row>
    <row r="5006" spans="1:27" x14ac:dyDescent="0.2">
      <c r="D5006" s="24" t="s">
        <v>1075</v>
      </c>
      <c r="E5006" s="23"/>
      <c r="H5006" s="23"/>
      <c r="K5006" s="21">
        <f>SUM(J5005:J5005)</f>
        <v>3.0409999999999999</v>
      </c>
    </row>
    <row r="5007" spans="1:27" x14ac:dyDescent="0.2">
      <c r="B5007" s="14" t="s">
        <v>1080</v>
      </c>
      <c r="E5007" s="23"/>
      <c r="H5007" s="23"/>
      <c r="K5007" s="23"/>
    </row>
    <row r="5008" spans="1:27" x14ac:dyDescent="0.2">
      <c r="B5008" t="s">
        <v>2704</v>
      </c>
      <c r="C5008" t="s">
        <v>23</v>
      </c>
      <c r="D5008" t="s">
        <v>2705</v>
      </c>
      <c r="E5008" s="20">
        <v>1</v>
      </c>
      <c r="G5008" t="s">
        <v>1073</v>
      </c>
      <c r="H5008" s="21">
        <v>5.27</v>
      </c>
      <c r="I5008" t="s">
        <v>1074</v>
      </c>
      <c r="J5008" s="22">
        <f>ROUND(E5008* H5008,5)</f>
        <v>5.27</v>
      </c>
      <c r="K5008" s="23"/>
    </row>
    <row r="5009" spans="1:27" x14ac:dyDescent="0.2">
      <c r="D5009" s="24" t="s">
        <v>1090</v>
      </c>
      <c r="E5009" s="23"/>
      <c r="H5009" s="23"/>
      <c r="K5009" s="21">
        <f>SUM(J5008:J5008)</f>
        <v>5.27</v>
      </c>
    </row>
    <row r="5010" spans="1:27" x14ac:dyDescent="0.2">
      <c r="E5010" s="23"/>
      <c r="H5010" s="23"/>
      <c r="K5010" s="23"/>
    </row>
    <row r="5011" spans="1:27" x14ac:dyDescent="0.2">
      <c r="D5011" s="24" t="s">
        <v>1092</v>
      </c>
      <c r="E5011" s="23"/>
      <c r="H5011" s="23">
        <v>1.5</v>
      </c>
      <c r="I5011" t="s">
        <v>1093</v>
      </c>
      <c r="J5011">
        <f>ROUND(H5011/100*K5006,5)</f>
        <v>4.5620000000000001E-2</v>
      </c>
      <c r="K5011" s="23"/>
    </row>
    <row r="5012" spans="1:27" x14ac:dyDescent="0.2">
      <c r="D5012" s="24" t="s">
        <v>1091</v>
      </c>
      <c r="E5012" s="23"/>
      <c r="H5012" s="23"/>
      <c r="K5012" s="25">
        <f>SUM(J5004:J5011)</f>
        <v>8.3566199999999995</v>
      </c>
    </row>
    <row r="5013" spans="1:27" x14ac:dyDescent="0.2">
      <c r="D5013" s="24" t="s">
        <v>1142</v>
      </c>
      <c r="E5013" s="23"/>
      <c r="H5013" s="23">
        <v>8</v>
      </c>
      <c r="I5013" t="s">
        <v>1093</v>
      </c>
      <c r="K5013" s="21">
        <f>ROUND(H5013/100*K5012,5)</f>
        <v>0.66852999999999996</v>
      </c>
    </row>
    <row r="5014" spans="1:27" x14ac:dyDescent="0.2">
      <c r="D5014" s="24" t="s">
        <v>1094</v>
      </c>
      <c r="E5014" s="23"/>
      <c r="H5014" s="23"/>
      <c r="K5014" s="25">
        <f>SUM(K5012:K5013)</f>
        <v>9.02515</v>
      </c>
    </row>
    <row r="5016" spans="1:27" ht="45" customHeight="1" x14ac:dyDescent="0.2">
      <c r="A5016" s="17" t="s">
        <v>4169</v>
      </c>
      <c r="B5016" s="17" t="s">
        <v>907</v>
      </c>
      <c r="C5016" s="1" t="s">
        <v>23</v>
      </c>
      <c r="D5016" s="96" t="s">
        <v>908</v>
      </c>
      <c r="E5016" s="97"/>
      <c r="F5016" s="97"/>
      <c r="G5016" s="1"/>
      <c r="H5016" s="18" t="s">
        <v>1066</v>
      </c>
      <c r="I5016" s="98">
        <v>1</v>
      </c>
      <c r="J5016" s="99"/>
      <c r="K5016" s="19">
        <f>ROUND(K5027,2)</f>
        <v>10.93</v>
      </c>
      <c r="L5016" s="2" t="s">
        <v>2707</v>
      </c>
      <c r="M5016" s="1"/>
      <c r="N5016" s="1"/>
      <c r="O5016" s="1"/>
      <c r="P5016" s="1"/>
      <c r="Q5016" s="1"/>
      <c r="R5016" s="1"/>
      <c r="S5016" s="1"/>
      <c r="T5016" s="1"/>
      <c r="U5016" s="1"/>
      <c r="V5016" s="1"/>
      <c r="W5016" s="1"/>
      <c r="X5016" s="1"/>
      <c r="Y5016" s="1"/>
      <c r="Z5016" s="1"/>
      <c r="AA5016" s="1"/>
    </row>
    <row r="5017" spans="1:27" x14ac:dyDescent="0.2">
      <c r="B5017" s="14" t="s">
        <v>1068</v>
      </c>
    </row>
    <row r="5018" spans="1:27" x14ac:dyDescent="0.2">
      <c r="B5018" t="s">
        <v>1136</v>
      </c>
      <c r="C5018" t="s">
        <v>1070</v>
      </c>
      <c r="D5018" t="s">
        <v>1137</v>
      </c>
      <c r="E5018" s="20">
        <v>0.15</v>
      </c>
      <c r="F5018" t="s">
        <v>1072</v>
      </c>
      <c r="G5018" t="s">
        <v>1073</v>
      </c>
      <c r="H5018" s="21">
        <v>30.41</v>
      </c>
      <c r="I5018" t="s">
        <v>1074</v>
      </c>
      <c r="J5018" s="22">
        <f>ROUND(E5018/I5016* H5018,5)</f>
        <v>4.5614999999999997</v>
      </c>
      <c r="K5018" s="23"/>
    </row>
    <row r="5019" spans="1:27" x14ac:dyDescent="0.2">
      <c r="D5019" s="24" t="s">
        <v>1075</v>
      </c>
      <c r="E5019" s="23"/>
      <c r="H5019" s="23"/>
      <c r="K5019" s="21">
        <f>SUM(J5018:J5018)</f>
        <v>4.5614999999999997</v>
      </c>
    </row>
    <row r="5020" spans="1:27" x14ac:dyDescent="0.2">
      <c r="B5020" s="14" t="s">
        <v>1080</v>
      </c>
      <c r="E5020" s="23"/>
      <c r="H5020" s="23"/>
      <c r="K5020" s="23"/>
    </row>
    <row r="5021" spans="1:27" x14ac:dyDescent="0.2">
      <c r="B5021" t="s">
        <v>2708</v>
      </c>
      <c r="C5021" t="s">
        <v>23</v>
      </c>
      <c r="D5021" t="s">
        <v>2709</v>
      </c>
      <c r="E5021" s="20">
        <v>1</v>
      </c>
      <c r="G5021" t="s">
        <v>1073</v>
      </c>
      <c r="H5021" s="21">
        <v>5.49</v>
      </c>
      <c r="I5021" t="s">
        <v>1074</v>
      </c>
      <c r="J5021" s="22">
        <f>ROUND(E5021* H5021,5)</f>
        <v>5.49</v>
      </c>
      <c r="K5021" s="23"/>
    </row>
    <row r="5022" spans="1:27" x14ac:dyDescent="0.2">
      <c r="D5022" s="24" t="s">
        <v>1090</v>
      </c>
      <c r="E5022" s="23"/>
      <c r="H5022" s="23"/>
      <c r="K5022" s="21">
        <f>SUM(J5021:J5021)</f>
        <v>5.49</v>
      </c>
    </row>
    <row r="5023" spans="1:27" x14ac:dyDescent="0.2">
      <c r="E5023" s="23"/>
      <c r="H5023" s="23"/>
      <c r="K5023" s="23"/>
    </row>
    <row r="5024" spans="1:27" x14ac:dyDescent="0.2">
      <c r="D5024" s="24" t="s">
        <v>1092</v>
      </c>
      <c r="E5024" s="23"/>
      <c r="H5024" s="23">
        <v>1.5</v>
      </c>
      <c r="I5024" t="s">
        <v>1093</v>
      </c>
      <c r="J5024">
        <f>ROUND(H5024/100*K5019,5)</f>
        <v>6.8419999999999995E-2</v>
      </c>
      <c r="K5024" s="23"/>
    </row>
    <row r="5025" spans="1:27" x14ac:dyDescent="0.2">
      <c r="D5025" s="24" t="s">
        <v>1091</v>
      </c>
      <c r="E5025" s="23"/>
      <c r="H5025" s="23"/>
      <c r="K5025" s="25">
        <f>SUM(J5017:J5024)</f>
        <v>10.11992</v>
      </c>
    </row>
    <row r="5026" spans="1:27" x14ac:dyDescent="0.2">
      <c r="D5026" s="24" t="s">
        <v>1142</v>
      </c>
      <c r="E5026" s="23"/>
      <c r="H5026" s="23">
        <v>8</v>
      </c>
      <c r="I5026" t="s">
        <v>1093</v>
      </c>
      <c r="K5026" s="21">
        <f>ROUND(H5026/100*K5025,5)</f>
        <v>0.80959000000000003</v>
      </c>
    </row>
    <row r="5027" spans="1:27" x14ac:dyDescent="0.2">
      <c r="D5027" s="24" t="s">
        <v>1094</v>
      </c>
      <c r="E5027" s="23"/>
      <c r="H5027" s="23"/>
      <c r="K5027" s="25">
        <f>SUM(K5025:K5026)</f>
        <v>10.929510000000001</v>
      </c>
    </row>
    <row r="5029" spans="1:27" ht="45" customHeight="1" x14ac:dyDescent="0.2">
      <c r="A5029" s="17" t="s">
        <v>4170</v>
      </c>
      <c r="B5029" s="17" t="s">
        <v>637</v>
      </c>
      <c r="C5029" s="1" t="s">
        <v>23</v>
      </c>
      <c r="D5029" s="96" t="s">
        <v>638</v>
      </c>
      <c r="E5029" s="97"/>
      <c r="F5029" s="97"/>
      <c r="G5029" s="1"/>
      <c r="H5029" s="18" t="s">
        <v>1066</v>
      </c>
      <c r="I5029" s="98">
        <v>1</v>
      </c>
      <c r="J5029" s="99"/>
      <c r="K5029" s="19">
        <f>ROUND(K5041,2)</f>
        <v>31.78</v>
      </c>
      <c r="L5029" s="2" t="s">
        <v>2711</v>
      </c>
      <c r="M5029" s="1"/>
      <c r="N5029" s="1"/>
      <c r="O5029" s="1"/>
      <c r="P5029" s="1"/>
      <c r="Q5029" s="1"/>
      <c r="R5029" s="1"/>
      <c r="S5029" s="1"/>
      <c r="T5029" s="1"/>
      <c r="U5029" s="1"/>
      <c r="V5029" s="1"/>
      <c r="W5029" s="1"/>
      <c r="X5029" s="1"/>
      <c r="Y5029" s="1"/>
      <c r="Z5029" s="1"/>
      <c r="AA5029" s="1"/>
    </row>
    <row r="5030" spans="1:27" x14ac:dyDescent="0.2">
      <c r="B5030" s="14" t="s">
        <v>1068</v>
      </c>
    </row>
    <row r="5031" spans="1:27" x14ac:dyDescent="0.2">
      <c r="B5031" t="s">
        <v>1136</v>
      </c>
      <c r="C5031" t="s">
        <v>1070</v>
      </c>
      <c r="D5031" t="s">
        <v>1137</v>
      </c>
      <c r="E5031" s="20">
        <v>0.25</v>
      </c>
      <c r="F5031" t="s">
        <v>1072</v>
      </c>
      <c r="G5031" t="s">
        <v>1073</v>
      </c>
      <c r="H5031" s="21">
        <v>30.41</v>
      </c>
      <c r="I5031" t="s">
        <v>1074</v>
      </c>
      <c r="J5031" s="22">
        <f>ROUND(E5031/I5029* H5031,5)</f>
        <v>7.6025</v>
      </c>
      <c r="K5031" s="23"/>
    </row>
    <row r="5032" spans="1:27" x14ac:dyDescent="0.2">
      <c r="B5032" t="s">
        <v>1138</v>
      </c>
      <c r="C5032" t="s">
        <v>1070</v>
      </c>
      <c r="D5032" t="s">
        <v>1139</v>
      </c>
      <c r="E5032" s="20">
        <v>0.25</v>
      </c>
      <c r="F5032" t="s">
        <v>1072</v>
      </c>
      <c r="G5032" t="s">
        <v>1073</v>
      </c>
      <c r="H5032" s="21">
        <v>26.12</v>
      </c>
      <c r="I5032" t="s">
        <v>1074</v>
      </c>
      <c r="J5032" s="22">
        <f>ROUND(E5032/I5029* H5032,5)</f>
        <v>6.53</v>
      </c>
      <c r="K5032" s="23"/>
    </row>
    <row r="5033" spans="1:27" x14ac:dyDescent="0.2">
      <c r="D5033" s="24" t="s">
        <v>1075</v>
      </c>
      <c r="E5033" s="23"/>
      <c r="H5033" s="23"/>
      <c r="K5033" s="21">
        <f>SUM(J5031:J5032)</f>
        <v>14.1325</v>
      </c>
    </row>
    <row r="5034" spans="1:27" x14ac:dyDescent="0.2">
      <c r="B5034" s="14" t="s">
        <v>1080</v>
      </c>
      <c r="E5034" s="23"/>
      <c r="H5034" s="23"/>
      <c r="K5034" s="23"/>
    </row>
    <row r="5035" spans="1:27" x14ac:dyDescent="0.2">
      <c r="B5035" t="s">
        <v>2712</v>
      </c>
      <c r="C5035" t="s">
        <v>23</v>
      </c>
      <c r="D5035" t="s">
        <v>2713</v>
      </c>
      <c r="E5035" s="20">
        <v>1</v>
      </c>
      <c r="G5035" t="s">
        <v>1073</v>
      </c>
      <c r="H5035" s="21">
        <v>15.08</v>
      </c>
      <c r="I5035" t="s">
        <v>1074</v>
      </c>
      <c r="J5035" s="22">
        <f>ROUND(E5035* H5035,5)</f>
        <v>15.08</v>
      </c>
      <c r="K5035" s="23"/>
    </row>
    <row r="5036" spans="1:27" x14ac:dyDescent="0.2">
      <c r="D5036" s="24" t="s">
        <v>1090</v>
      </c>
      <c r="E5036" s="23"/>
      <c r="H5036" s="23"/>
      <c r="K5036" s="21">
        <f>SUM(J5035:J5035)</f>
        <v>15.08</v>
      </c>
    </row>
    <row r="5037" spans="1:27" x14ac:dyDescent="0.2">
      <c r="E5037" s="23"/>
      <c r="H5037" s="23"/>
      <c r="K5037" s="23"/>
    </row>
    <row r="5038" spans="1:27" x14ac:dyDescent="0.2">
      <c r="D5038" s="24" t="s">
        <v>1092</v>
      </c>
      <c r="E5038" s="23"/>
      <c r="H5038" s="23">
        <v>1.5</v>
      </c>
      <c r="I5038" t="s">
        <v>1093</v>
      </c>
      <c r="J5038">
        <f>ROUND(H5038/100*K5033,5)</f>
        <v>0.21199000000000001</v>
      </c>
      <c r="K5038" s="23"/>
    </row>
    <row r="5039" spans="1:27" x14ac:dyDescent="0.2">
      <c r="D5039" s="24" t="s">
        <v>1091</v>
      </c>
      <c r="E5039" s="23"/>
      <c r="H5039" s="23"/>
      <c r="K5039" s="25">
        <f>SUM(J5030:J5038)</f>
        <v>29.424489999999999</v>
      </c>
    </row>
    <row r="5040" spans="1:27" x14ac:dyDescent="0.2">
      <c r="D5040" s="24" t="s">
        <v>1142</v>
      </c>
      <c r="E5040" s="23"/>
      <c r="H5040" s="23">
        <v>8</v>
      </c>
      <c r="I5040" t="s">
        <v>1093</v>
      </c>
      <c r="K5040" s="21">
        <f>ROUND(H5040/100*K5039,5)</f>
        <v>2.3539599999999998</v>
      </c>
    </row>
    <row r="5041" spans="1:27" x14ac:dyDescent="0.2">
      <c r="D5041" s="24" t="s">
        <v>1094</v>
      </c>
      <c r="E5041" s="23"/>
      <c r="H5041" s="23"/>
      <c r="K5041" s="25">
        <f>SUM(K5039:K5040)</f>
        <v>31.778449999999999</v>
      </c>
    </row>
    <row r="5043" spans="1:27" ht="45" customHeight="1" x14ac:dyDescent="0.2">
      <c r="A5043" s="17" t="s">
        <v>4171</v>
      </c>
      <c r="B5043" s="17" t="s">
        <v>969</v>
      </c>
      <c r="C5043" s="1" t="s">
        <v>23</v>
      </c>
      <c r="D5043" s="96" t="s">
        <v>4004</v>
      </c>
      <c r="E5043" s="97"/>
      <c r="F5043" s="97"/>
      <c r="G5043" s="1"/>
      <c r="H5043" s="18" t="s">
        <v>1066</v>
      </c>
      <c r="I5043" s="98">
        <v>1</v>
      </c>
      <c r="J5043" s="99"/>
      <c r="K5043" s="19">
        <v>1300</v>
      </c>
      <c r="L5043" s="2" t="s">
        <v>4172</v>
      </c>
      <c r="M5043" s="1"/>
      <c r="N5043" s="1"/>
      <c r="O5043" s="1"/>
      <c r="P5043" s="1"/>
      <c r="Q5043" s="1"/>
      <c r="R5043" s="1"/>
      <c r="S5043" s="1"/>
      <c r="T5043" s="1"/>
      <c r="U5043" s="1"/>
      <c r="V5043" s="1"/>
      <c r="W5043" s="1"/>
      <c r="X5043" s="1"/>
      <c r="Y5043" s="1"/>
      <c r="Z5043" s="1"/>
      <c r="AA5043" s="1"/>
    </row>
    <row r="5044" spans="1:27" ht="45" customHeight="1" x14ac:dyDescent="0.2">
      <c r="A5044" s="17" t="s">
        <v>4173</v>
      </c>
      <c r="B5044" s="17" t="s">
        <v>4005</v>
      </c>
      <c r="C5044" s="1" t="s">
        <v>23</v>
      </c>
      <c r="D5044" s="96" t="s">
        <v>4006</v>
      </c>
      <c r="E5044" s="97"/>
      <c r="F5044" s="97"/>
      <c r="G5044" s="1"/>
      <c r="H5044" s="18" t="s">
        <v>1066</v>
      </c>
      <c r="I5044" s="98">
        <v>1</v>
      </c>
      <c r="J5044" s="99"/>
      <c r="K5044" s="19">
        <v>1650</v>
      </c>
      <c r="L5044" s="2" t="s">
        <v>4174</v>
      </c>
      <c r="M5044" s="1"/>
      <c r="N5044" s="1"/>
      <c r="O5044" s="1"/>
      <c r="P5044" s="1"/>
      <c r="Q5044" s="1"/>
      <c r="R5044" s="1"/>
      <c r="S5044" s="1"/>
      <c r="T5044" s="1"/>
      <c r="U5044" s="1"/>
      <c r="V5044" s="1"/>
      <c r="W5044" s="1"/>
      <c r="X5044" s="1"/>
      <c r="Y5044" s="1"/>
      <c r="Z5044" s="1"/>
      <c r="AA5044" s="1"/>
    </row>
    <row r="5045" spans="1:27" ht="45" customHeight="1" x14ac:dyDescent="0.2">
      <c r="A5045" s="17" t="s">
        <v>4175</v>
      </c>
      <c r="B5045" s="17" t="s">
        <v>4007</v>
      </c>
      <c r="C5045" s="1" t="s">
        <v>23</v>
      </c>
      <c r="D5045" s="96" t="s">
        <v>4008</v>
      </c>
      <c r="E5045" s="97"/>
      <c r="F5045" s="97"/>
      <c r="G5045" s="1"/>
      <c r="H5045" s="18" t="s">
        <v>1066</v>
      </c>
      <c r="I5045" s="98">
        <v>1</v>
      </c>
      <c r="J5045" s="99"/>
      <c r="K5045" s="19">
        <v>4800</v>
      </c>
      <c r="L5045" s="2" t="s">
        <v>4176</v>
      </c>
      <c r="M5045" s="1"/>
      <c r="N5045" s="1"/>
      <c r="O5045" s="1"/>
      <c r="P5045" s="1"/>
      <c r="Q5045" s="1"/>
      <c r="R5045" s="1"/>
      <c r="S5045" s="1"/>
      <c r="T5045" s="1"/>
      <c r="U5045" s="1"/>
      <c r="V5045" s="1"/>
      <c r="W5045" s="1"/>
      <c r="X5045" s="1"/>
      <c r="Y5045" s="1"/>
      <c r="Z5045" s="1"/>
      <c r="AA5045" s="1"/>
    </row>
    <row r="5046" spans="1:27" ht="45" customHeight="1" x14ac:dyDescent="0.2">
      <c r="A5046" s="17" t="s">
        <v>4177</v>
      </c>
      <c r="B5046" s="17" t="s">
        <v>639</v>
      </c>
      <c r="C5046" s="1" t="s">
        <v>23</v>
      </c>
      <c r="D5046" s="96" t="s">
        <v>640</v>
      </c>
      <c r="E5046" s="97"/>
      <c r="F5046" s="97"/>
      <c r="G5046" s="1"/>
      <c r="H5046" s="18" t="s">
        <v>1066</v>
      </c>
      <c r="I5046" s="98">
        <v>1</v>
      </c>
      <c r="J5046" s="99"/>
      <c r="K5046" s="19">
        <f>ROUND(K5058,2)</f>
        <v>18.649999999999999</v>
      </c>
      <c r="L5046" s="2" t="s">
        <v>2716</v>
      </c>
      <c r="M5046" s="1"/>
      <c r="N5046" s="1"/>
      <c r="O5046" s="1"/>
      <c r="P5046" s="1"/>
      <c r="Q5046" s="1"/>
      <c r="R5046" s="1"/>
      <c r="S5046" s="1"/>
      <c r="T5046" s="1"/>
      <c r="U5046" s="1"/>
      <c r="V5046" s="1"/>
      <c r="W5046" s="1"/>
      <c r="X5046" s="1"/>
      <c r="Y5046" s="1"/>
      <c r="Z5046" s="1"/>
      <c r="AA5046" s="1"/>
    </row>
    <row r="5047" spans="1:27" x14ac:dyDescent="0.2">
      <c r="B5047" s="14" t="s">
        <v>1068</v>
      </c>
    </row>
    <row r="5048" spans="1:27" x14ac:dyDescent="0.2">
      <c r="B5048" t="s">
        <v>1138</v>
      </c>
      <c r="C5048" t="s">
        <v>1070</v>
      </c>
      <c r="D5048" t="s">
        <v>1139</v>
      </c>
      <c r="E5048" s="20">
        <v>0.16500000000000001</v>
      </c>
      <c r="F5048" t="s">
        <v>1072</v>
      </c>
      <c r="G5048" t="s">
        <v>1073</v>
      </c>
      <c r="H5048" s="21">
        <v>26.12</v>
      </c>
      <c r="I5048" t="s">
        <v>1074</v>
      </c>
      <c r="J5048" s="22">
        <f>ROUND(E5048/I5046* H5048,5)</f>
        <v>4.3098000000000001</v>
      </c>
      <c r="K5048" s="23"/>
    </row>
    <row r="5049" spans="1:27" x14ac:dyDescent="0.2">
      <c r="B5049" t="s">
        <v>1136</v>
      </c>
      <c r="C5049" t="s">
        <v>1070</v>
      </c>
      <c r="D5049" t="s">
        <v>1137</v>
      </c>
      <c r="E5049" s="20">
        <v>0.16500000000000001</v>
      </c>
      <c r="F5049" t="s">
        <v>1072</v>
      </c>
      <c r="G5049" t="s">
        <v>1073</v>
      </c>
      <c r="H5049" s="21">
        <v>30.41</v>
      </c>
      <c r="I5049" t="s">
        <v>1074</v>
      </c>
      <c r="J5049" s="22">
        <f>ROUND(E5049/I5046* H5049,5)</f>
        <v>5.0176499999999997</v>
      </c>
      <c r="K5049" s="23"/>
    </row>
    <row r="5050" spans="1:27" x14ac:dyDescent="0.2">
      <c r="D5050" s="24" t="s">
        <v>1075</v>
      </c>
      <c r="E5050" s="23"/>
      <c r="H5050" s="23"/>
      <c r="K5050" s="21">
        <f>SUM(J5048:J5049)</f>
        <v>9.3274499999999989</v>
      </c>
    </row>
    <row r="5051" spans="1:27" x14ac:dyDescent="0.2">
      <c r="B5051" s="14" t="s">
        <v>1080</v>
      </c>
      <c r="E5051" s="23"/>
      <c r="H5051" s="23"/>
      <c r="K5051" s="23"/>
    </row>
    <row r="5052" spans="1:27" x14ac:dyDescent="0.2">
      <c r="B5052" t="s">
        <v>2717</v>
      </c>
      <c r="C5052" t="s">
        <v>23</v>
      </c>
      <c r="D5052" t="s">
        <v>640</v>
      </c>
      <c r="E5052" s="20">
        <v>1</v>
      </c>
      <c r="G5052" t="s">
        <v>1073</v>
      </c>
      <c r="H5052" s="21">
        <v>7.8</v>
      </c>
      <c r="I5052" t="s">
        <v>1074</v>
      </c>
      <c r="J5052" s="22">
        <f>ROUND(E5052* H5052,5)</f>
        <v>7.8</v>
      </c>
      <c r="K5052" s="23"/>
    </row>
    <row r="5053" spans="1:27" x14ac:dyDescent="0.2">
      <c r="D5053" s="24" t="s">
        <v>1090</v>
      </c>
      <c r="E5053" s="23"/>
      <c r="H5053" s="23"/>
      <c r="K5053" s="21">
        <f>SUM(J5052:J5052)</f>
        <v>7.8</v>
      </c>
    </row>
    <row r="5054" spans="1:27" x14ac:dyDescent="0.2">
      <c r="E5054" s="23"/>
      <c r="H5054" s="23"/>
      <c r="K5054" s="23"/>
    </row>
    <row r="5055" spans="1:27" x14ac:dyDescent="0.2">
      <c r="D5055" s="24" t="s">
        <v>1092</v>
      </c>
      <c r="E5055" s="23"/>
      <c r="H5055" s="23">
        <v>1.5</v>
      </c>
      <c r="I5055" t="s">
        <v>1093</v>
      </c>
      <c r="J5055">
        <f>ROUND(H5055/100*K5050,5)</f>
        <v>0.13991000000000001</v>
      </c>
      <c r="K5055" s="23"/>
    </row>
    <row r="5056" spans="1:27" x14ac:dyDescent="0.2">
      <c r="D5056" s="24" t="s">
        <v>1091</v>
      </c>
      <c r="E5056" s="23"/>
      <c r="H5056" s="23"/>
      <c r="K5056" s="25">
        <f>SUM(J5047:J5055)</f>
        <v>17.26736</v>
      </c>
    </row>
    <row r="5057" spans="1:27" x14ac:dyDescent="0.2">
      <c r="D5057" s="24" t="s">
        <v>1142</v>
      </c>
      <c r="E5057" s="23"/>
      <c r="H5057" s="23">
        <v>8</v>
      </c>
      <c r="I5057" t="s">
        <v>1093</v>
      </c>
      <c r="K5057" s="21">
        <f>ROUND(H5057/100*K5056,5)</f>
        <v>1.3813899999999999</v>
      </c>
    </row>
    <row r="5058" spans="1:27" x14ac:dyDescent="0.2">
      <c r="D5058" s="24" t="s">
        <v>1094</v>
      </c>
      <c r="E5058" s="23"/>
      <c r="H5058" s="23"/>
      <c r="K5058" s="25">
        <f>SUM(K5056:K5057)</f>
        <v>18.64875</v>
      </c>
    </row>
    <row r="5060" spans="1:27" ht="45" customHeight="1" x14ac:dyDescent="0.2">
      <c r="A5060" s="17" t="s">
        <v>4178</v>
      </c>
      <c r="B5060" s="17" t="s">
        <v>633</v>
      </c>
      <c r="C5060" s="1" t="s">
        <v>23</v>
      </c>
      <c r="D5060" s="96" t="s">
        <v>634</v>
      </c>
      <c r="E5060" s="97"/>
      <c r="F5060" s="97"/>
      <c r="G5060" s="1"/>
      <c r="H5060" s="18" t="s">
        <v>1066</v>
      </c>
      <c r="I5060" s="98">
        <v>1</v>
      </c>
      <c r="J5060" s="99"/>
      <c r="K5060" s="19">
        <f>ROUND(K5072,2)</f>
        <v>12.16</v>
      </c>
      <c r="L5060" s="2" t="s">
        <v>2720</v>
      </c>
      <c r="M5060" s="1"/>
      <c r="N5060" s="1"/>
      <c r="O5060" s="1"/>
      <c r="P5060" s="1"/>
      <c r="Q5060" s="1"/>
      <c r="R5060" s="1"/>
      <c r="S5060" s="1"/>
      <c r="T5060" s="1"/>
      <c r="U5060" s="1"/>
      <c r="V5060" s="1"/>
      <c r="W5060" s="1"/>
      <c r="X5060" s="1"/>
      <c r="Y5060" s="1"/>
      <c r="Z5060" s="1"/>
      <c r="AA5060" s="1"/>
    </row>
    <row r="5061" spans="1:27" x14ac:dyDescent="0.2">
      <c r="B5061" s="14" t="s">
        <v>1068</v>
      </c>
    </row>
    <row r="5062" spans="1:27" x14ac:dyDescent="0.2">
      <c r="B5062" t="s">
        <v>1136</v>
      </c>
      <c r="C5062" t="s">
        <v>1070</v>
      </c>
      <c r="D5062" t="s">
        <v>1137</v>
      </c>
      <c r="E5062" s="20">
        <v>0.16500000000000001</v>
      </c>
      <c r="F5062" t="s">
        <v>1072</v>
      </c>
      <c r="G5062" t="s">
        <v>1073</v>
      </c>
      <c r="H5062" s="21">
        <v>30.41</v>
      </c>
      <c r="I5062" t="s">
        <v>1074</v>
      </c>
      <c r="J5062" s="22">
        <f>ROUND(E5062/I5060* H5062,5)</f>
        <v>5.0176499999999997</v>
      </c>
      <c r="K5062" s="23"/>
    </row>
    <row r="5063" spans="1:27" x14ac:dyDescent="0.2">
      <c r="B5063" t="s">
        <v>1138</v>
      </c>
      <c r="C5063" t="s">
        <v>1070</v>
      </c>
      <c r="D5063" t="s">
        <v>1139</v>
      </c>
      <c r="E5063" s="20">
        <v>0.16500000000000001</v>
      </c>
      <c r="F5063" t="s">
        <v>1072</v>
      </c>
      <c r="G5063" t="s">
        <v>1073</v>
      </c>
      <c r="H5063" s="21">
        <v>26.12</v>
      </c>
      <c r="I5063" t="s">
        <v>1074</v>
      </c>
      <c r="J5063" s="22">
        <f>ROUND(E5063/I5060* H5063,5)</f>
        <v>4.3098000000000001</v>
      </c>
      <c r="K5063" s="23"/>
    </row>
    <row r="5064" spans="1:27" x14ac:dyDescent="0.2">
      <c r="D5064" s="24" t="s">
        <v>1075</v>
      </c>
      <c r="E5064" s="23"/>
      <c r="H5064" s="23"/>
      <c r="K5064" s="21">
        <f>SUM(J5062:J5063)</f>
        <v>9.3274499999999989</v>
      </c>
    </row>
    <row r="5065" spans="1:27" x14ac:dyDescent="0.2">
      <c r="B5065" s="14" t="s">
        <v>1080</v>
      </c>
      <c r="E5065" s="23"/>
      <c r="H5065" s="23"/>
      <c r="K5065" s="23"/>
    </row>
    <row r="5066" spans="1:27" x14ac:dyDescent="0.2">
      <c r="B5066" t="s">
        <v>2721</v>
      </c>
      <c r="C5066" t="s">
        <v>23</v>
      </c>
      <c r="D5066" t="s">
        <v>2722</v>
      </c>
      <c r="E5066" s="20">
        <v>1</v>
      </c>
      <c r="G5066" t="s">
        <v>1073</v>
      </c>
      <c r="H5066" s="21">
        <v>1.79</v>
      </c>
      <c r="I5066" t="s">
        <v>1074</v>
      </c>
      <c r="J5066" s="22">
        <f>ROUND(E5066* H5066,5)</f>
        <v>1.79</v>
      </c>
      <c r="K5066" s="23"/>
    </row>
    <row r="5067" spans="1:27" x14ac:dyDescent="0.2">
      <c r="D5067" s="24" t="s">
        <v>1090</v>
      </c>
      <c r="E5067" s="23"/>
      <c r="H5067" s="23"/>
      <c r="K5067" s="21">
        <f>SUM(J5066:J5066)</f>
        <v>1.79</v>
      </c>
    </row>
    <row r="5068" spans="1:27" x14ac:dyDescent="0.2">
      <c r="E5068" s="23"/>
      <c r="H5068" s="23"/>
      <c r="K5068" s="23"/>
    </row>
    <row r="5069" spans="1:27" x14ac:dyDescent="0.2">
      <c r="D5069" s="24" t="s">
        <v>1092</v>
      </c>
      <c r="E5069" s="23"/>
      <c r="H5069" s="23">
        <v>1.5</v>
      </c>
      <c r="I5069" t="s">
        <v>1093</v>
      </c>
      <c r="J5069">
        <f>ROUND(H5069/100*K5064,5)</f>
        <v>0.13991000000000001</v>
      </c>
      <c r="K5069" s="23"/>
    </row>
    <row r="5070" spans="1:27" x14ac:dyDescent="0.2">
      <c r="D5070" s="24" t="s">
        <v>1091</v>
      </c>
      <c r="E5070" s="23"/>
      <c r="H5070" s="23"/>
      <c r="K5070" s="25">
        <f>SUM(J5061:J5069)</f>
        <v>11.257359999999998</v>
      </c>
    </row>
    <row r="5071" spans="1:27" x14ac:dyDescent="0.2">
      <c r="D5071" s="24" t="s">
        <v>1142</v>
      </c>
      <c r="E5071" s="23"/>
      <c r="H5071" s="23">
        <v>8</v>
      </c>
      <c r="I5071" t="s">
        <v>1093</v>
      </c>
      <c r="K5071" s="21">
        <f>ROUND(H5071/100*K5070,5)</f>
        <v>0.90059</v>
      </c>
    </row>
    <row r="5072" spans="1:27" x14ac:dyDescent="0.2">
      <c r="D5072" s="24" t="s">
        <v>1094</v>
      </c>
      <c r="E5072" s="23"/>
      <c r="H5072" s="23"/>
      <c r="K5072" s="25">
        <f>SUM(K5070:K5071)</f>
        <v>12.157949999999998</v>
      </c>
    </row>
    <row r="5074" spans="1:27" ht="45" customHeight="1" x14ac:dyDescent="0.2">
      <c r="A5074" s="17" t="s">
        <v>4179</v>
      </c>
      <c r="B5074" s="17" t="s">
        <v>631</v>
      </c>
      <c r="C5074" s="1" t="s">
        <v>23</v>
      </c>
      <c r="D5074" s="96" t="s">
        <v>632</v>
      </c>
      <c r="E5074" s="97"/>
      <c r="F5074" s="97"/>
      <c r="G5074" s="1"/>
      <c r="H5074" s="18" t="s">
        <v>1066</v>
      </c>
      <c r="I5074" s="98">
        <v>1</v>
      </c>
      <c r="J5074" s="99"/>
      <c r="K5074" s="19">
        <f>ROUND(K5086,2)</f>
        <v>14.79</v>
      </c>
      <c r="L5074" s="2" t="s">
        <v>2724</v>
      </c>
      <c r="M5074" s="1"/>
      <c r="N5074" s="1"/>
      <c r="O5074" s="1"/>
      <c r="P5074" s="1"/>
      <c r="Q5074" s="1"/>
      <c r="R5074" s="1"/>
      <c r="S5074" s="1"/>
      <c r="T5074" s="1"/>
      <c r="U5074" s="1"/>
      <c r="V5074" s="1"/>
      <c r="W5074" s="1"/>
      <c r="X5074" s="1"/>
      <c r="Y5074" s="1"/>
      <c r="Z5074" s="1"/>
      <c r="AA5074" s="1"/>
    </row>
    <row r="5075" spans="1:27" x14ac:dyDescent="0.2">
      <c r="B5075" s="14" t="s">
        <v>1068</v>
      </c>
    </row>
    <row r="5076" spans="1:27" x14ac:dyDescent="0.2">
      <c r="B5076" t="s">
        <v>1136</v>
      </c>
      <c r="C5076" t="s">
        <v>1070</v>
      </c>
      <c r="D5076" t="s">
        <v>1137</v>
      </c>
      <c r="E5076" s="20">
        <v>0.16500000000000001</v>
      </c>
      <c r="F5076" t="s">
        <v>1072</v>
      </c>
      <c r="G5076" t="s">
        <v>1073</v>
      </c>
      <c r="H5076" s="21">
        <v>30.41</v>
      </c>
      <c r="I5076" t="s">
        <v>1074</v>
      </c>
      <c r="J5076" s="22">
        <f>ROUND(E5076/I5074* H5076,5)</f>
        <v>5.0176499999999997</v>
      </c>
      <c r="K5076" s="23"/>
    </row>
    <row r="5077" spans="1:27" x14ac:dyDescent="0.2">
      <c r="B5077" t="s">
        <v>1138</v>
      </c>
      <c r="C5077" t="s">
        <v>1070</v>
      </c>
      <c r="D5077" t="s">
        <v>1139</v>
      </c>
      <c r="E5077" s="20">
        <v>0.16500000000000001</v>
      </c>
      <c r="F5077" t="s">
        <v>1072</v>
      </c>
      <c r="G5077" t="s">
        <v>1073</v>
      </c>
      <c r="H5077" s="21">
        <v>26.12</v>
      </c>
      <c r="I5077" t="s">
        <v>1074</v>
      </c>
      <c r="J5077" s="22">
        <f>ROUND(E5077/I5074* H5077,5)</f>
        <v>4.3098000000000001</v>
      </c>
      <c r="K5077" s="23"/>
    </row>
    <row r="5078" spans="1:27" x14ac:dyDescent="0.2">
      <c r="D5078" s="24" t="s">
        <v>1075</v>
      </c>
      <c r="E5078" s="23"/>
      <c r="H5078" s="23"/>
      <c r="K5078" s="21">
        <f>SUM(J5076:J5077)</f>
        <v>9.3274499999999989</v>
      </c>
    </row>
    <row r="5079" spans="1:27" x14ac:dyDescent="0.2">
      <c r="B5079" s="14" t="s">
        <v>1080</v>
      </c>
      <c r="E5079" s="23"/>
      <c r="H5079" s="23"/>
      <c r="K5079" s="23"/>
    </row>
    <row r="5080" spans="1:27" x14ac:dyDescent="0.2">
      <c r="B5080" t="s">
        <v>2725</v>
      </c>
      <c r="C5080" t="s">
        <v>23</v>
      </c>
      <c r="D5080" t="s">
        <v>2726</v>
      </c>
      <c r="E5080" s="20">
        <v>1</v>
      </c>
      <c r="G5080" t="s">
        <v>1073</v>
      </c>
      <c r="H5080" s="21">
        <v>4.2300000000000004</v>
      </c>
      <c r="I5080" t="s">
        <v>1074</v>
      </c>
      <c r="J5080" s="22">
        <f>ROUND(E5080* H5080,5)</f>
        <v>4.2300000000000004</v>
      </c>
      <c r="K5080" s="23"/>
    </row>
    <row r="5081" spans="1:27" x14ac:dyDescent="0.2">
      <c r="D5081" s="24" t="s">
        <v>1090</v>
      </c>
      <c r="E5081" s="23"/>
      <c r="H5081" s="23"/>
      <c r="K5081" s="21">
        <f>SUM(J5080:J5080)</f>
        <v>4.2300000000000004</v>
      </c>
    </row>
    <row r="5082" spans="1:27" x14ac:dyDescent="0.2">
      <c r="E5082" s="23"/>
      <c r="H5082" s="23"/>
      <c r="K5082" s="23"/>
    </row>
    <row r="5083" spans="1:27" x14ac:dyDescent="0.2">
      <c r="D5083" s="24" t="s">
        <v>1092</v>
      </c>
      <c r="E5083" s="23"/>
      <c r="H5083" s="23">
        <v>1.5</v>
      </c>
      <c r="I5083" t="s">
        <v>1093</v>
      </c>
      <c r="J5083">
        <f>ROUND(H5083/100*K5078,5)</f>
        <v>0.13991000000000001</v>
      </c>
      <c r="K5083" s="23"/>
    </row>
    <row r="5084" spans="1:27" x14ac:dyDescent="0.2">
      <c r="D5084" s="24" t="s">
        <v>1091</v>
      </c>
      <c r="E5084" s="23"/>
      <c r="H5084" s="23"/>
      <c r="K5084" s="25">
        <f>SUM(J5075:J5083)</f>
        <v>13.69736</v>
      </c>
    </row>
    <row r="5085" spans="1:27" x14ac:dyDescent="0.2">
      <c r="D5085" s="24" t="s">
        <v>1142</v>
      </c>
      <c r="E5085" s="23"/>
      <c r="H5085" s="23">
        <v>8</v>
      </c>
      <c r="I5085" t="s">
        <v>1093</v>
      </c>
      <c r="K5085" s="21">
        <f>ROUND(H5085/100*K5084,5)</f>
        <v>1.09579</v>
      </c>
    </row>
    <row r="5086" spans="1:27" x14ac:dyDescent="0.2">
      <c r="D5086" s="24" t="s">
        <v>1094</v>
      </c>
      <c r="E5086" s="23"/>
      <c r="H5086" s="23"/>
      <c r="K5086" s="25">
        <f>SUM(K5084:K5085)</f>
        <v>14.793150000000001</v>
      </c>
    </row>
    <row r="5088" spans="1:27" ht="45" customHeight="1" x14ac:dyDescent="0.2">
      <c r="A5088" s="17" t="s">
        <v>4180</v>
      </c>
      <c r="B5088" s="17" t="s">
        <v>635</v>
      </c>
      <c r="C5088" s="1" t="s">
        <v>23</v>
      </c>
      <c r="D5088" s="96" t="s">
        <v>636</v>
      </c>
      <c r="E5088" s="97"/>
      <c r="F5088" s="97"/>
      <c r="G5088" s="1"/>
      <c r="H5088" s="18" t="s">
        <v>1066</v>
      </c>
      <c r="I5088" s="98">
        <v>1</v>
      </c>
      <c r="J5088" s="99"/>
      <c r="K5088" s="19">
        <f>ROUND(K5100,2)</f>
        <v>14.7</v>
      </c>
      <c r="L5088" s="2" t="s">
        <v>2728</v>
      </c>
      <c r="M5088" s="1"/>
      <c r="N5088" s="1"/>
      <c r="O5088" s="1"/>
      <c r="P5088" s="1"/>
      <c r="Q5088" s="1"/>
      <c r="R5088" s="1"/>
      <c r="S5088" s="1"/>
      <c r="T5088" s="1"/>
      <c r="U5088" s="1"/>
      <c r="V5088" s="1"/>
      <c r="W5088" s="1"/>
      <c r="X5088" s="1"/>
      <c r="Y5088" s="1"/>
      <c r="Z5088" s="1"/>
      <c r="AA5088" s="1"/>
    </row>
    <row r="5089" spans="1:27" x14ac:dyDescent="0.2">
      <c r="B5089" s="14" t="s">
        <v>1068</v>
      </c>
    </row>
    <row r="5090" spans="1:27" x14ac:dyDescent="0.2">
      <c r="B5090" t="s">
        <v>1136</v>
      </c>
      <c r="C5090" t="s">
        <v>1070</v>
      </c>
      <c r="D5090" t="s">
        <v>1137</v>
      </c>
      <c r="E5090" s="20">
        <v>0.2</v>
      </c>
      <c r="F5090" t="s">
        <v>1072</v>
      </c>
      <c r="G5090" t="s">
        <v>1073</v>
      </c>
      <c r="H5090" s="21">
        <v>30.41</v>
      </c>
      <c r="I5090" t="s">
        <v>1074</v>
      </c>
      <c r="J5090" s="22">
        <f>ROUND(E5090/I5088* H5090,5)</f>
        <v>6.0819999999999999</v>
      </c>
      <c r="K5090" s="23"/>
    </row>
    <row r="5091" spans="1:27" x14ac:dyDescent="0.2">
      <c r="B5091" t="s">
        <v>1138</v>
      </c>
      <c r="C5091" t="s">
        <v>1070</v>
      </c>
      <c r="D5091" t="s">
        <v>1139</v>
      </c>
      <c r="E5091" s="20">
        <v>0.2</v>
      </c>
      <c r="F5091" t="s">
        <v>1072</v>
      </c>
      <c r="G5091" t="s">
        <v>1073</v>
      </c>
      <c r="H5091" s="21">
        <v>26.12</v>
      </c>
      <c r="I5091" t="s">
        <v>1074</v>
      </c>
      <c r="J5091" s="22">
        <f>ROUND(E5091/I5088* H5091,5)</f>
        <v>5.2240000000000002</v>
      </c>
      <c r="K5091" s="23"/>
    </row>
    <row r="5092" spans="1:27" x14ac:dyDescent="0.2">
      <c r="D5092" s="24" t="s">
        <v>1075</v>
      </c>
      <c r="E5092" s="23"/>
      <c r="H5092" s="23"/>
      <c r="K5092" s="21">
        <f>SUM(J5090:J5091)</f>
        <v>11.306000000000001</v>
      </c>
    </row>
    <row r="5093" spans="1:27" x14ac:dyDescent="0.2">
      <c r="B5093" s="14" t="s">
        <v>1080</v>
      </c>
      <c r="E5093" s="23"/>
      <c r="H5093" s="23"/>
      <c r="K5093" s="23"/>
    </row>
    <row r="5094" spans="1:27" x14ac:dyDescent="0.2">
      <c r="B5094" t="s">
        <v>2729</v>
      </c>
      <c r="C5094" t="s">
        <v>23</v>
      </c>
      <c r="D5094" t="s">
        <v>2730</v>
      </c>
      <c r="E5094" s="20">
        <v>1</v>
      </c>
      <c r="G5094" t="s">
        <v>1073</v>
      </c>
      <c r="H5094" s="21">
        <v>2.14</v>
      </c>
      <c r="I5094" t="s">
        <v>1074</v>
      </c>
      <c r="J5094" s="22">
        <f>ROUND(E5094* H5094,5)</f>
        <v>2.14</v>
      </c>
      <c r="K5094" s="23"/>
    </row>
    <row r="5095" spans="1:27" x14ac:dyDescent="0.2">
      <c r="D5095" s="24" t="s">
        <v>1090</v>
      </c>
      <c r="E5095" s="23"/>
      <c r="H5095" s="23"/>
      <c r="K5095" s="21">
        <f>SUM(J5094:J5094)</f>
        <v>2.14</v>
      </c>
    </row>
    <row r="5096" spans="1:27" x14ac:dyDescent="0.2">
      <c r="E5096" s="23"/>
      <c r="H5096" s="23"/>
      <c r="K5096" s="23"/>
    </row>
    <row r="5097" spans="1:27" x14ac:dyDescent="0.2">
      <c r="D5097" s="24" t="s">
        <v>1092</v>
      </c>
      <c r="E5097" s="23"/>
      <c r="H5097" s="23">
        <v>1.5</v>
      </c>
      <c r="I5097" t="s">
        <v>1093</v>
      </c>
      <c r="J5097">
        <f>ROUND(H5097/100*K5092,5)</f>
        <v>0.16958999999999999</v>
      </c>
      <c r="K5097" s="23"/>
    </row>
    <row r="5098" spans="1:27" x14ac:dyDescent="0.2">
      <c r="D5098" s="24" t="s">
        <v>1091</v>
      </c>
      <c r="E5098" s="23"/>
      <c r="H5098" s="23"/>
      <c r="K5098" s="25">
        <f>SUM(J5089:J5097)</f>
        <v>13.615590000000001</v>
      </c>
    </row>
    <row r="5099" spans="1:27" x14ac:dyDescent="0.2">
      <c r="D5099" s="24" t="s">
        <v>1142</v>
      </c>
      <c r="E5099" s="23"/>
      <c r="H5099" s="23">
        <v>8</v>
      </c>
      <c r="I5099" t="s">
        <v>1093</v>
      </c>
      <c r="K5099" s="21">
        <f>ROUND(H5099/100*K5098,5)</f>
        <v>1.0892500000000001</v>
      </c>
    </row>
    <row r="5100" spans="1:27" x14ac:dyDescent="0.2">
      <c r="D5100" s="24" t="s">
        <v>1094</v>
      </c>
      <c r="E5100" s="23"/>
      <c r="H5100" s="23"/>
      <c r="K5100" s="25">
        <f>SUM(K5098:K5099)</f>
        <v>14.704840000000001</v>
      </c>
    </row>
    <row r="5102" spans="1:27" ht="45" customHeight="1" x14ac:dyDescent="0.2">
      <c r="A5102" s="17" t="s">
        <v>4181</v>
      </c>
      <c r="B5102" s="17" t="s">
        <v>930</v>
      </c>
      <c r="C5102" s="1" t="s">
        <v>23</v>
      </c>
      <c r="D5102" s="96" t="s">
        <v>931</v>
      </c>
      <c r="E5102" s="97"/>
      <c r="F5102" s="97"/>
      <c r="G5102" s="1"/>
      <c r="H5102" s="18" t="s">
        <v>1066</v>
      </c>
      <c r="I5102" s="98">
        <v>1</v>
      </c>
      <c r="J5102" s="99"/>
      <c r="K5102" s="19">
        <f>ROUND(K5114,2)</f>
        <v>514.03</v>
      </c>
      <c r="L5102" s="2" t="s">
        <v>2732</v>
      </c>
      <c r="M5102" s="1"/>
      <c r="N5102" s="1"/>
      <c r="O5102" s="1"/>
      <c r="P5102" s="1"/>
      <c r="Q5102" s="1"/>
      <c r="R5102" s="1"/>
      <c r="S5102" s="1"/>
      <c r="T5102" s="1"/>
      <c r="U5102" s="1"/>
      <c r="V5102" s="1"/>
      <c r="W5102" s="1"/>
      <c r="X5102" s="1"/>
      <c r="Y5102" s="1"/>
      <c r="Z5102" s="1"/>
      <c r="AA5102" s="1"/>
    </row>
    <row r="5103" spans="1:27" x14ac:dyDescent="0.2">
      <c r="B5103" s="14" t="s">
        <v>1068</v>
      </c>
    </row>
    <row r="5104" spans="1:27" x14ac:dyDescent="0.2">
      <c r="B5104" t="s">
        <v>1136</v>
      </c>
      <c r="C5104" t="s">
        <v>1070</v>
      </c>
      <c r="D5104" t="s">
        <v>1137</v>
      </c>
      <c r="E5104" s="20">
        <v>2</v>
      </c>
      <c r="F5104" t="s">
        <v>1072</v>
      </c>
      <c r="G5104" t="s">
        <v>1073</v>
      </c>
      <c r="H5104" s="21">
        <v>30.41</v>
      </c>
      <c r="I5104" t="s">
        <v>1074</v>
      </c>
      <c r="J5104" s="22">
        <f>ROUND(E5104/I5102* H5104,5)</f>
        <v>60.82</v>
      </c>
      <c r="K5104" s="23"/>
    </row>
    <row r="5105" spans="1:27" x14ac:dyDescent="0.2">
      <c r="B5105" t="s">
        <v>1138</v>
      </c>
      <c r="C5105" t="s">
        <v>1070</v>
      </c>
      <c r="D5105" t="s">
        <v>1139</v>
      </c>
      <c r="E5105" s="20">
        <v>2</v>
      </c>
      <c r="F5105" t="s">
        <v>1072</v>
      </c>
      <c r="G5105" t="s">
        <v>1073</v>
      </c>
      <c r="H5105" s="21">
        <v>26.12</v>
      </c>
      <c r="I5105" t="s">
        <v>1074</v>
      </c>
      <c r="J5105" s="22">
        <f>ROUND(E5105/I5102* H5105,5)</f>
        <v>52.24</v>
      </c>
      <c r="K5105" s="23"/>
    </row>
    <row r="5106" spans="1:27" x14ac:dyDescent="0.2">
      <c r="D5106" s="24" t="s">
        <v>1075</v>
      </c>
      <c r="E5106" s="23"/>
      <c r="H5106" s="23"/>
      <c r="K5106" s="21">
        <f>SUM(J5104:J5105)</f>
        <v>113.06</v>
      </c>
    </row>
    <row r="5107" spans="1:27" x14ac:dyDescent="0.2">
      <c r="B5107" s="14" t="s">
        <v>2262</v>
      </c>
      <c r="E5107" s="23"/>
      <c r="H5107" s="23"/>
      <c r="K5107" s="23"/>
    </row>
    <row r="5108" spans="1:27" x14ac:dyDescent="0.2">
      <c r="B5108" t="s">
        <v>2733</v>
      </c>
      <c r="C5108" t="s">
        <v>625</v>
      </c>
      <c r="D5108" t="s">
        <v>2734</v>
      </c>
      <c r="E5108" s="20">
        <v>1</v>
      </c>
      <c r="G5108" t="s">
        <v>1073</v>
      </c>
      <c r="H5108" s="21">
        <v>361.2</v>
      </c>
      <c r="I5108" t="s">
        <v>1074</v>
      </c>
      <c r="J5108" s="22">
        <f>ROUND(E5108* H5108,5)</f>
        <v>361.2</v>
      </c>
      <c r="K5108" s="23"/>
    </row>
    <row r="5109" spans="1:27" x14ac:dyDescent="0.2">
      <c r="D5109" s="24" t="s">
        <v>2265</v>
      </c>
      <c r="E5109" s="23"/>
      <c r="H5109" s="23"/>
      <c r="K5109" s="21">
        <f>SUM(J5108:J5108)</f>
        <v>361.2</v>
      </c>
    </row>
    <row r="5110" spans="1:27" x14ac:dyDescent="0.2">
      <c r="E5110" s="23"/>
      <c r="H5110" s="23"/>
      <c r="K5110" s="23"/>
    </row>
    <row r="5111" spans="1:27" x14ac:dyDescent="0.2">
      <c r="D5111" s="24" t="s">
        <v>1092</v>
      </c>
      <c r="E5111" s="23"/>
      <c r="H5111" s="23">
        <v>1.5</v>
      </c>
      <c r="I5111" t="s">
        <v>1093</v>
      </c>
      <c r="J5111">
        <f>ROUND(H5111/100*K5106,5)</f>
        <v>1.6959</v>
      </c>
      <c r="K5111" s="23"/>
    </row>
    <row r="5112" spans="1:27" x14ac:dyDescent="0.2">
      <c r="D5112" s="24" t="s">
        <v>1091</v>
      </c>
      <c r="E5112" s="23"/>
      <c r="H5112" s="23"/>
      <c r="K5112" s="25">
        <f>SUM(J5103:J5111)</f>
        <v>475.95589999999999</v>
      </c>
    </row>
    <row r="5113" spans="1:27" x14ac:dyDescent="0.2">
      <c r="D5113" s="24" t="s">
        <v>1142</v>
      </c>
      <c r="E5113" s="23"/>
      <c r="H5113" s="23">
        <v>8</v>
      </c>
      <c r="I5113" t="s">
        <v>1093</v>
      </c>
      <c r="K5113" s="21">
        <f>ROUND(H5113/100*K5112,5)</f>
        <v>38.07647</v>
      </c>
    </row>
    <row r="5114" spans="1:27" x14ac:dyDescent="0.2">
      <c r="D5114" s="24" t="s">
        <v>1094</v>
      </c>
      <c r="E5114" s="23"/>
      <c r="H5114" s="23"/>
      <c r="K5114" s="25">
        <f>SUM(K5112:K5113)</f>
        <v>514.03237000000001</v>
      </c>
    </row>
    <row r="5116" spans="1:27" ht="45" customHeight="1" x14ac:dyDescent="0.2">
      <c r="A5116" s="17" t="s">
        <v>4182</v>
      </c>
      <c r="B5116" s="17" t="s">
        <v>926</v>
      </c>
      <c r="C5116" s="1" t="s">
        <v>23</v>
      </c>
      <c r="D5116" s="96" t="s">
        <v>927</v>
      </c>
      <c r="E5116" s="97"/>
      <c r="F5116" s="97"/>
      <c r="G5116" s="1"/>
      <c r="H5116" s="18" t="s">
        <v>1066</v>
      </c>
      <c r="I5116" s="98">
        <v>1</v>
      </c>
      <c r="J5116" s="99"/>
      <c r="K5116" s="19">
        <f>ROUND(K5128,2)</f>
        <v>2027.28</v>
      </c>
      <c r="L5116" s="2" t="s">
        <v>2736</v>
      </c>
      <c r="M5116" s="1"/>
      <c r="N5116" s="1"/>
      <c r="O5116" s="1"/>
      <c r="P5116" s="1"/>
      <c r="Q5116" s="1"/>
      <c r="R5116" s="1"/>
      <c r="S5116" s="1"/>
      <c r="T5116" s="1"/>
      <c r="U5116" s="1"/>
      <c r="V5116" s="1"/>
      <c r="W5116" s="1"/>
      <c r="X5116" s="1"/>
      <c r="Y5116" s="1"/>
      <c r="Z5116" s="1"/>
      <c r="AA5116" s="1"/>
    </row>
    <row r="5117" spans="1:27" x14ac:dyDescent="0.2">
      <c r="B5117" s="14" t="s">
        <v>1068</v>
      </c>
    </row>
    <row r="5118" spans="1:27" x14ac:dyDescent="0.2">
      <c r="B5118" t="s">
        <v>1136</v>
      </c>
      <c r="C5118" t="s">
        <v>1070</v>
      </c>
      <c r="D5118" t="s">
        <v>1137</v>
      </c>
      <c r="E5118" s="20">
        <v>4</v>
      </c>
      <c r="F5118" t="s">
        <v>1072</v>
      </c>
      <c r="G5118" t="s">
        <v>1073</v>
      </c>
      <c r="H5118" s="21">
        <v>30.41</v>
      </c>
      <c r="I5118" t="s">
        <v>1074</v>
      </c>
      <c r="J5118" s="22">
        <f>ROUND(E5118/I5116* H5118,5)</f>
        <v>121.64</v>
      </c>
      <c r="K5118" s="23"/>
    </row>
    <row r="5119" spans="1:27" x14ac:dyDescent="0.2">
      <c r="B5119" t="s">
        <v>1138</v>
      </c>
      <c r="C5119" t="s">
        <v>1070</v>
      </c>
      <c r="D5119" t="s">
        <v>1139</v>
      </c>
      <c r="E5119" s="20">
        <v>4</v>
      </c>
      <c r="F5119" t="s">
        <v>1072</v>
      </c>
      <c r="G5119" t="s">
        <v>1073</v>
      </c>
      <c r="H5119" s="21">
        <v>26.12</v>
      </c>
      <c r="I5119" t="s">
        <v>1074</v>
      </c>
      <c r="J5119" s="22">
        <f>ROUND(E5119/I5116* H5119,5)</f>
        <v>104.48</v>
      </c>
      <c r="K5119" s="23"/>
    </row>
    <row r="5120" spans="1:27" x14ac:dyDescent="0.2">
      <c r="D5120" s="24" t="s">
        <v>1075</v>
      </c>
      <c r="E5120" s="23"/>
      <c r="H5120" s="23"/>
      <c r="K5120" s="21">
        <f>SUM(J5118:J5119)</f>
        <v>226.12</v>
      </c>
    </row>
    <row r="5121" spans="1:27" x14ac:dyDescent="0.2">
      <c r="B5121" s="14" t="s">
        <v>2262</v>
      </c>
      <c r="E5121" s="23"/>
      <c r="H5121" s="23"/>
      <c r="K5121" s="23"/>
    </row>
    <row r="5122" spans="1:27" x14ac:dyDescent="0.2">
      <c r="B5122" t="s">
        <v>2737</v>
      </c>
      <c r="C5122" t="s">
        <v>625</v>
      </c>
      <c r="D5122" t="s">
        <v>2738</v>
      </c>
      <c r="E5122" s="20">
        <v>1</v>
      </c>
      <c r="G5122" t="s">
        <v>1073</v>
      </c>
      <c r="H5122" s="21">
        <v>1647.6</v>
      </c>
      <c r="I5122" t="s">
        <v>1074</v>
      </c>
      <c r="J5122" s="22">
        <f>ROUND(E5122* H5122,5)</f>
        <v>1647.6</v>
      </c>
      <c r="K5122" s="23"/>
    </row>
    <row r="5123" spans="1:27" x14ac:dyDescent="0.2">
      <c r="D5123" s="24" t="s">
        <v>2265</v>
      </c>
      <c r="E5123" s="23"/>
      <c r="H5123" s="23"/>
      <c r="K5123" s="21">
        <f>SUM(J5122:J5122)</f>
        <v>1647.6</v>
      </c>
    </row>
    <row r="5124" spans="1:27" x14ac:dyDescent="0.2">
      <c r="E5124" s="23"/>
      <c r="H5124" s="23"/>
      <c r="K5124" s="23"/>
    </row>
    <row r="5125" spans="1:27" x14ac:dyDescent="0.2">
      <c r="D5125" s="24" t="s">
        <v>1092</v>
      </c>
      <c r="E5125" s="23"/>
      <c r="H5125" s="23">
        <v>1.5</v>
      </c>
      <c r="I5125" t="s">
        <v>1093</v>
      </c>
      <c r="J5125">
        <f>ROUND(H5125/100*K5120,5)</f>
        <v>3.3917999999999999</v>
      </c>
      <c r="K5125" s="23"/>
    </row>
    <row r="5126" spans="1:27" x14ac:dyDescent="0.2">
      <c r="D5126" s="24" t="s">
        <v>1091</v>
      </c>
      <c r="E5126" s="23"/>
      <c r="H5126" s="23"/>
      <c r="K5126" s="25">
        <f>SUM(J5117:J5125)</f>
        <v>1877.1117999999999</v>
      </c>
    </row>
    <row r="5127" spans="1:27" x14ac:dyDescent="0.2">
      <c r="D5127" s="24" t="s">
        <v>1142</v>
      </c>
      <c r="E5127" s="23"/>
      <c r="H5127" s="23">
        <v>8</v>
      </c>
      <c r="I5127" t="s">
        <v>1093</v>
      </c>
      <c r="K5127" s="21">
        <f>ROUND(H5127/100*K5126,5)</f>
        <v>150.16893999999999</v>
      </c>
    </row>
    <row r="5128" spans="1:27" x14ac:dyDescent="0.2">
      <c r="D5128" s="24" t="s">
        <v>1094</v>
      </c>
      <c r="E5128" s="23"/>
      <c r="H5128" s="23"/>
      <c r="K5128" s="25">
        <f>SUM(K5126:K5127)</f>
        <v>2027.2807399999999</v>
      </c>
    </row>
    <row r="5130" spans="1:27" ht="45" customHeight="1" x14ac:dyDescent="0.2">
      <c r="A5130" s="17" t="s">
        <v>4183</v>
      </c>
      <c r="B5130" s="17" t="s">
        <v>928</v>
      </c>
      <c r="C5130" s="1" t="s">
        <v>23</v>
      </c>
      <c r="D5130" s="96" t="s">
        <v>929</v>
      </c>
      <c r="E5130" s="97"/>
      <c r="F5130" s="97"/>
      <c r="G5130" s="1"/>
      <c r="H5130" s="18" t="s">
        <v>1066</v>
      </c>
      <c r="I5130" s="98">
        <v>1</v>
      </c>
      <c r="J5130" s="99"/>
      <c r="K5130" s="19">
        <f>ROUND(K5142,2)</f>
        <v>1679.54</v>
      </c>
      <c r="L5130" s="2" t="s">
        <v>2740</v>
      </c>
      <c r="M5130" s="1"/>
      <c r="N5130" s="1"/>
      <c r="O5130" s="1"/>
      <c r="P5130" s="1"/>
      <c r="Q5130" s="1"/>
      <c r="R5130" s="1"/>
      <c r="S5130" s="1"/>
      <c r="T5130" s="1"/>
      <c r="U5130" s="1"/>
      <c r="V5130" s="1"/>
      <c r="W5130" s="1"/>
      <c r="X5130" s="1"/>
      <c r="Y5130" s="1"/>
      <c r="Z5130" s="1"/>
      <c r="AA5130" s="1"/>
    </row>
    <row r="5131" spans="1:27" x14ac:dyDescent="0.2">
      <c r="B5131" s="14" t="s">
        <v>1068</v>
      </c>
    </row>
    <row r="5132" spans="1:27" x14ac:dyDescent="0.2">
      <c r="B5132" t="s">
        <v>1138</v>
      </c>
      <c r="C5132" t="s">
        <v>1070</v>
      </c>
      <c r="D5132" t="s">
        <v>1139</v>
      </c>
      <c r="E5132" s="20">
        <v>3</v>
      </c>
      <c r="F5132" t="s">
        <v>1072</v>
      </c>
      <c r="G5132" t="s">
        <v>1073</v>
      </c>
      <c r="H5132" s="21">
        <v>26.12</v>
      </c>
      <c r="I5132" t="s">
        <v>1074</v>
      </c>
      <c r="J5132" s="22">
        <f>ROUND(E5132/I5130* H5132,5)</f>
        <v>78.36</v>
      </c>
      <c r="K5132" s="23"/>
    </row>
    <row r="5133" spans="1:27" x14ac:dyDescent="0.2">
      <c r="B5133" t="s">
        <v>1136</v>
      </c>
      <c r="C5133" t="s">
        <v>1070</v>
      </c>
      <c r="D5133" t="s">
        <v>1137</v>
      </c>
      <c r="E5133" s="20">
        <v>3</v>
      </c>
      <c r="F5133" t="s">
        <v>1072</v>
      </c>
      <c r="G5133" t="s">
        <v>1073</v>
      </c>
      <c r="H5133" s="21">
        <v>30.41</v>
      </c>
      <c r="I5133" t="s">
        <v>1074</v>
      </c>
      <c r="J5133" s="22">
        <f>ROUND(E5133/I5130* H5133,5)</f>
        <v>91.23</v>
      </c>
      <c r="K5133" s="23"/>
    </row>
    <row r="5134" spans="1:27" x14ac:dyDescent="0.2">
      <c r="D5134" s="24" t="s">
        <v>1075</v>
      </c>
      <c r="E5134" s="23"/>
      <c r="H5134" s="23"/>
      <c r="K5134" s="21">
        <f>SUM(J5132:J5133)</f>
        <v>169.59</v>
      </c>
    </row>
    <row r="5135" spans="1:27" x14ac:dyDescent="0.2">
      <c r="B5135" s="14" t="s">
        <v>2262</v>
      </c>
      <c r="E5135" s="23"/>
      <c r="H5135" s="23"/>
      <c r="K5135" s="23"/>
    </row>
    <row r="5136" spans="1:27" x14ac:dyDescent="0.2">
      <c r="B5136" t="s">
        <v>2741</v>
      </c>
      <c r="C5136" t="s">
        <v>625</v>
      </c>
      <c r="D5136" t="s">
        <v>2742</v>
      </c>
      <c r="E5136" s="20">
        <v>1</v>
      </c>
      <c r="G5136" t="s">
        <v>1073</v>
      </c>
      <c r="H5136" s="21">
        <v>1383</v>
      </c>
      <c r="I5136" t="s">
        <v>1074</v>
      </c>
      <c r="J5136" s="22">
        <f>ROUND(E5136* H5136,5)</f>
        <v>1383</v>
      </c>
      <c r="K5136" s="23"/>
    </row>
    <row r="5137" spans="1:27" x14ac:dyDescent="0.2">
      <c r="D5137" s="24" t="s">
        <v>2265</v>
      </c>
      <c r="E5137" s="23"/>
      <c r="H5137" s="23"/>
      <c r="K5137" s="21">
        <f>SUM(J5136:J5136)</f>
        <v>1383</v>
      </c>
    </row>
    <row r="5138" spans="1:27" x14ac:dyDescent="0.2">
      <c r="E5138" s="23"/>
      <c r="H5138" s="23"/>
      <c r="K5138" s="23"/>
    </row>
    <row r="5139" spans="1:27" x14ac:dyDescent="0.2">
      <c r="D5139" s="24" t="s">
        <v>1092</v>
      </c>
      <c r="E5139" s="23"/>
      <c r="H5139" s="23">
        <v>1.5</v>
      </c>
      <c r="I5139" t="s">
        <v>1093</v>
      </c>
      <c r="J5139">
        <f>ROUND(H5139/100*K5134,5)</f>
        <v>2.5438499999999999</v>
      </c>
      <c r="K5139" s="23"/>
    </row>
    <row r="5140" spans="1:27" x14ac:dyDescent="0.2">
      <c r="D5140" s="24" t="s">
        <v>1091</v>
      </c>
      <c r="E5140" s="23"/>
      <c r="H5140" s="23"/>
      <c r="K5140" s="25">
        <f>SUM(J5131:J5139)</f>
        <v>1555.1338499999999</v>
      </c>
    </row>
    <row r="5141" spans="1:27" x14ac:dyDescent="0.2">
      <c r="D5141" s="24" t="s">
        <v>1142</v>
      </c>
      <c r="E5141" s="23"/>
      <c r="H5141" s="23">
        <v>8</v>
      </c>
      <c r="I5141" t="s">
        <v>1093</v>
      </c>
      <c r="K5141" s="21">
        <f>ROUND(H5141/100*K5140,5)</f>
        <v>124.41070999999999</v>
      </c>
    </row>
    <row r="5142" spans="1:27" x14ac:dyDescent="0.2">
      <c r="D5142" s="24" t="s">
        <v>1094</v>
      </c>
      <c r="E5142" s="23"/>
      <c r="H5142" s="23"/>
      <c r="K5142" s="25">
        <f>SUM(K5140:K5141)</f>
        <v>1679.5445599999998</v>
      </c>
    </row>
    <row r="5144" spans="1:27" ht="45" customHeight="1" x14ac:dyDescent="0.2">
      <c r="A5144" s="17" t="s">
        <v>4184</v>
      </c>
      <c r="B5144" s="17" t="s">
        <v>900</v>
      </c>
      <c r="C5144" s="1" t="s">
        <v>36</v>
      </c>
      <c r="D5144" s="96" t="s">
        <v>901</v>
      </c>
      <c r="E5144" s="97"/>
      <c r="F5144" s="97"/>
      <c r="G5144" s="1"/>
      <c r="H5144" s="18" t="s">
        <v>1066</v>
      </c>
      <c r="I5144" s="98">
        <v>1</v>
      </c>
      <c r="J5144" s="99"/>
      <c r="K5144" s="19">
        <f>ROUND(K5156,2)</f>
        <v>1.92</v>
      </c>
      <c r="L5144" s="2" t="s">
        <v>2744</v>
      </c>
      <c r="M5144" s="1"/>
      <c r="N5144" s="1"/>
      <c r="O5144" s="1"/>
      <c r="P5144" s="1"/>
      <c r="Q5144" s="1"/>
      <c r="R5144" s="1"/>
      <c r="S5144" s="1"/>
      <c r="T5144" s="1"/>
      <c r="U5144" s="1"/>
      <c r="V5144" s="1"/>
      <c r="W5144" s="1"/>
      <c r="X5144" s="1"/>
      <c r="Y5144" s="1"/>
      <c r="Z5144" s="1"/>
      <c r="AA5144" s="1"/>
    </row>
    <row r="5145" spans="1:27" x14ac:dyDescent="0.2">
      <c r="B5145" s="14" t="s">
        <v>1068</v>
      </c>
    </row>
    <row r="5146" spans="1:27" x14ac:dyDescent="0.2">
      <c r="B5146" t="s">
        <v>1136</v>
      </c>
      <c r="C5146" t="s">
        <v>1070</v>
      </c>
      <c r="D5146" t="s">
        <v>1137</v>
      </c>
      <c r="E5146" s="20">
        <v>1.4999999999999999E-2</v>
      </c>
      <c r="F5146" t="s">
        <v>1072</v>
      </c>
      <c r="G5146" t="s">
        <v>1073</v>
      </c>
      <c r="H5146" s="21">
        <v>30.41</v>
      </c>
      <c r="I5146" t="s">
        <v>1074</v>
      </c>
      <c r="J5146" s="22">
        <f>ROUND(E5146/I5144* H5146,5)</f>
        <v>0.45615</v>
      </c>
      <c r="K5146" s="23"/>
    </row>
    <row r="5147" spans="1:27" x14ac:dyDescent="0.2">
      <c r="B5147" t="s">
        <v>1138</v>
      </c>
      <c r="C5147" t="s">
        <v>1070</v>
      </c>
      <c r="D5147" t="s">
        <v>1139</v>
      </c>
      <c r="E5147" s="20">
        <v>1.4999999999999999E-2</v>
      </c>
      <c r="F5147" t="s">
        <v>1072</v>
      </c>
      <c r="G5147" t="s">
        <v>1073</v>
      </c>
      <c r="H5147" s="21">
        <v>26.12</v>
      </c>
      <c r="I5147" t="s">
        <v>1074</v>
      </c>
      <c r="J5147" s="22">
        <f>ROUND(E5147/I5144* H5147,5)</f>
        <v>0.39179999999999998</v>
      </c>
      <c r="K5147" s="23"/>
    </row>
    <row r="5148" spans="1:27" x14ac:dyDescent="0.2">
      <c r="D5148" s="24" t="s">
        <v>1075</v>
      </c>
      <c r="E5148" s="23"/>
      <c r="H5148" s="23"/>
      <c r="K5148" s="21">
        <f>SUM(J5146:J5147)</f>
        <v>0.84794999999999998</v>
      </c>
    </row>
    <row r="5149" spans="1:27" x14ac:dyDescent="0.2">
      <c r="B5149" s="14" t="s">
        <v>1080</v>
      </c>
      <c r="E5149" s="23"/>
      <c r="H5149" s="23"/>
      <c r="K5149" s="23"/>
    </row>
    <row r="5150" spans="1:27" x14ac:dyDescent="0.2">
      <c r="B5150" t="s">
        <v>2745</v>
      </c>
      <c r="C5150" t="s">
        <v>36</v>
      </c>
      <c r="D5150" t="s">
        <v>2746</v>
      </c>
      <c r="E5150" s="20">
        <v>1.05</v>
      </c>
      <c r="G5150" t="s">
        <v>1073</v>
      </c>
      <c r="H5150" s="21">
        <v>0.87</v>
      </c>
      <c r="I5150" t="s">
        <v>1074</v>
      </c>
      <c r="J5150" s="22">
        <f>ROUND(E5150* H5150,5)</f>
        <v>0.91349999999999998</v>
      </c>
      <c r="K5150" s="23"/>
    </row>
    <row r="5151" spans="1:27" x14ac:dyDescent="0.2">
      <c r="D5151" s="24" t="s">
        <v>1090</v>
      </c>
      <c r="E5151" s="23"/>
      <c r="H5151" s="23"/>
      <c r="K5151" s="21">
        <f>SUM(J5150:J5150)</f>
        <v>0.91349999999999998</v>
      </c>
    </row>
    <row r="5152" spans="1:27" x14ac:dyDescent="0.2">
      <c r="E5152" s="23"/>
      <c r="H5152" s="23"/>
      <c r="K5152" s="23"/>
    </row>
    <row r="5153" spans="1:27" x14ac:dyDescent="0.2">
      <c r="D5153" s="24" t="s">
        <v>1092</v>
      </c>
      <c r="E5153" s="23"/>
      <c r="H5153" s="23">
        <v>1.5</v>
      </c>
      <c r="I5153" t="s">
        <v>1093</v>
      </c>
      <c r="J5153">
        <f>ROUND(H5153/100*K5148,5)</f>
        <v>1.272E-2</v>
      </c>
      <c r="K5153" s="23"/>
    </row>
    <row r="5154" spans="1:27" x14ac:dyDescent="0.2">
      <c r="D5154" s="24" t="s">
        <v>1091</v>
      </c>
      <c r="E5154" s="23"/>
      <c r="H5154" s="23"/>
      <c r="K5154" s="25">
        <f>SUM(J5145:J5153)</f>
        <v>1.77417</v>
      </c>
    </row>
    <row r="5155" spans="1:27" x14ac:dyDescent="0.2">
      <c r="D5155" s="24" t="s">
        <v>1142</v>
      </c>
      <c r="E5155" s="23"/>
      <c r="H5155" s="23">
        <v>8</v>
      </c>
      <c r="I5155" t="s">
        <v>1093</v>
      </c>
      <c r="K5155" s="21">
        <f>ROUND(H5155/100*K5154,5)</f>
        <v>0.14193</v>
      </c>
    </row>
    <row r="5156" spans="1:27" x14ac:dyDescent="0.2">
      <c r="D5156" s="24" t="s">
        <v>1094</v>
      </c>
      <c r="E5156" s="23"/>
      <c r="H5156" s="23"/>
      <c r="K5156" s="25">
        <f>SUM(K5154:K5155)</f>
        <v>1.9161000000000001</v>
      </c>
    </row>
    <row r="5158" spans="1:27" ht="45" customHeight="1" x14ac:dyDescent="0.2">
      <c r="A5158" s="17" t="s">
        <v>4185</v>
      </c>
      <c r="B5158" s="17" t="s">
        <v>885</v>
      </c>
      <c r="C5158" s="1" t="s">
        <v>23</v>
      </c>
      <c r="D5158" s="96" t="s">
        <v>886</v>
      </c>
      <c r="E5158" s="97"/>
      <c r="F5158" s="97"/>
      <c r="G5158" s="1"/>
      <c r="H5158" s="18" t="s">
        <v>1066</v>
      </c>
      <c r="I5158" s="98">
        <v>1</v>
      </c>
      <c r="J5158" s="99"/>
      <c r="K5158" s="19">
        <f>ROUND(K5170,2)</f>
        <v>1057.0899999999999</v>
      </c>
      <c r="L5158" s="2" t="s">
        <v>2748</v>
      </c>
      <c r="M5158" s="1"/>
      <c r="N5158" s="1"/>
      <c r="O5158" s="1"/>
      <c r="P5158" s="1"/>
      <c r="Q5158" s="1"/>
      <c r="R5158" s="1"/>
      <c r="S5158" s="1"/>
      <c r="T5158" s="1"/>
      <c r="U5158" s="1"/>
      <c r="V5158" s="1"/>
      <c r="W5158" s="1"/>
      <c r="X5158" s="1"/>
      <c r="Y5158" s="1"/>
      <c r="Z5158" s="1"/>
      <c r="AA5158" s="1"/>
    </row>
    <row r="5159" spans="1:27" x14ac:dyDescent="0.2">
      <c r="B5159" s="14" t="s">
        <v>1068</v>
      </c>
    </row>
    <row r="5160" spans="1:27" x14ac:dyDescent="0.2">
      <c r="B5160" t="s">
        <v>1138</v>
      </c>
      <c r="C5160" t="s">
        <v>1070</v>
      </c>
      <c r="D5160" t="s">
        <v>1139</v>
      </c>
      <c r="E5160" s="20">
        <v>1</v>
      </c>
      <c r="F5160" t="s">
        <v>1072</v>
      </c>
      <c r="G5160" t="s">
        <v>1073</v>
      </c>
      <c r="H5160" s="21">
        <v>26.12</v>
      </c>
      <c r="I5160" t="s">
        <v>1074</v>
      </c>
      <c r="J5160" s="22">
        <f>ROUND(E5160/I5158* H5160,5)</f>
        <v>26.12</v>
      </c>
      <c r="K5160" s="23"/>
    </row>
    <row r="5161" spans="1:27" x14ac:dyDescent="0.2">
      <c r="B5161" t="s">
        <v>1136</v>
      </c>
      <c r="C5161" t="s">
        <v>1070</v>
      </c>
      <c r="D5161" t="s">
        <v>1137</v>
      </c>
      <c r="E5161" s="20">
        <v>1</v>
      </c>
      <c r="F5161" t="s">
        <v>1072</v>
      </c>
      <c r="G5161" t="s">
        <v>1073</v>
      </c>
      <c r="H5161" s="21">
        <v>30.41</v>
      </c>
      <c r="I5161" t="s">
        <v>1074</v>
      </c>
      <c r="J5161" s="22">
        <f>ROUND(E5161/I5158* H5161,5)</f>
        <v>30.41</v>
      </c>
      <c r="K5161" s="23"/>
    </row>
    <row r="5162" spans="1:27" x14ac:dyDescent="0.2">
      <c r="D5162" s="24" t="s">
        <v>1075</v>
      </c>
      <c r="E5162" s="23"/>
      <c r="H5162" s="23"/>
      <c r="K5162" s="21">
        <f>SUM(J5160:J5161)</f>
        <v>56.53</v>
      </c>
    </row>
    <row r="5163" spans="1:27" x14ac:dyDescent="0.2">
      <c r="B5163" s="14" t="s">
        <v>1080</v>
      </c>
      <c r="E5163" s="23"/>
      <c r="H5163" s="23"/>
      <c r="K5163" s="23"/>
    </row>
    <row r="5164" spans="1:27" x14ac:dyDescent="0.2">
      <c r="B5164" t="s">
        <v>2749</v>
      </c>
      <c r="C5164" t="s">
        <v>23</v>
      </c>
      <c r="D5164" t="s">
        <v>2750</v>
      </c>
      <c r="E5164" s="20">
        <v>1</v>
      </c>
      <c r="G5164" t="s">
        <v>1073</v>
      </c>
      <c r="H5164" s="21">
        <v>921.41</v>
      </c>
      <c r="I5164" t="s">
        <v>1074</v>
      </c>
      <c r="J5164" s="22">
        <f>ROUND(E5164* H5164,5)</f>
        <v>921.41</v>
      </c>
      <c r="K5164" s="23"/>
    </row>
    <row r="5165" spans="1:27" x14ac:dyDescent="0.2">
      <c r="D5165" s="24" t="s">
        <v>1090</v>
      </c>
      <c r="E5165" s="23"/>
      <c r="H5165" s="23"/>
      <c r="K5165" s="21">
        <f>SUM(J5164:J5164)</f>
        <v>921.41</v>
      </c>
    </row>
    <row r="5166" spans="1:27" x14ac:dyDescent="0.2">
      <c r="E5166" s="23"/>
      <c r="H5166" s="23"/>
      <c r="K5166" s="23"/>
    </row>
    <row r="5167" spans="1:27" x14ac:dyDescent="0.2">
      <c r="D5167" s="24" t="s">
        <v>1092</v>
      </c>
      <c r="E5167" s="23"/>
      <c r="H5167" s="23">
        <v>1.5</v>
      </c>
      <c r="I5167" t="s">
        <v>1093</v>
      </c>
      <c r="J5167">
        <f>ROUND(H5167/100*K5162,5)</f>
        <v>0.84794999999999998</v>
      </c>
      <c r="K5167" s="23"/>
    </row>
    <row r="5168" spans="1:27" x14ac:dyDescent="0.2">
      <c r="D5168" s="24" t="s">
        <v>1091</v>
      </c>
      <c r="E5168" s="23"/>
      <c r="H5168" s="23"/>
      <c r="K5168" s="25">
        <f>SUM(J5159:J5167)</f>
        <v>978.78794999999991</v>
      </c>
    </row>
    <row r="5169" spans="1:27" x14ac:dyDescent="0.2">
      <c r="D5169" s="24" t="s">
        <v>1142</v>
      </c>
      <c r="E5169" s="23"/>
      <c r="H5169" s="23">
        <v>8</v>
      </c>
      <c r="I5169" t="s">
        <v>1093</v>
      </c>
      <c r="K5169" s="21">
        <f>ROUND(H5169/100*K5168,5)</f>
        <v>78.303039999999996</v>
      </c>
    </row>
    <row r="5170" spans="1:27" x14ac:dyDescent="0.2">
      <c r="D5170" s="24" t="s">
        <v>1094</v>
      </c>
      <c r="E5170" s="23"/>
      <c r="H5170" s="23"/>
      <c r="K5170" s="25">
        <f>SUM(K5168:K5169)</f>
        <v>1057.0909899999999</v>
      </c>
    </row>
    <row r="5172" spans="1:27" ht="45" customHeight="1" x14ac:dyDescent="0.2">
      <c r="A5172" s="17" t="s">
        <v>4186</v>
      </c>
      <c r="B5172" s="17" t="s">
        <v>893</v>
      </c>
      <c r="C5172" s="1" t="s">
        <v>23</v>
      </c>
      <c r="D5172" s="96" t="s">
        <v>894</v>
      </c>
      <c r="E5172" s="97"/>
      <c r="F5172" s="97"/>
      <c r="G5172" s="1"/>
      <c r="H5172" s="18" t="s">
        <v>1066</v>
      </c>
      <c r="I5172" s="98">
        <v>1</v>
      </c>
      <c r="J5172" s="99"/>
      <c r="K5172" s="19">
        <f>ROUND(K5182,2)</f>
        <v>7.42</v>
      </c>
      <c r="L5172" s="2" t="s">
        <v>2752</v>
      </c>
      <c r="M5172" s="1"/>
      <c r="N5172" s="1"/>
      <c r="O5172" s="1"/>
      <c r="P5172" s="1"/>
      <c r="Q5172" s="1"/>
      <c r="R5172" s="1"/>
      <c r="S5172" s="1"/>
      <c r="T5172" s="1"/>
      <c r="U5172" s="1"/>
      <c r="V5172" s="1"/>
      <c r="W5172" s="1"/>
      <c r="X5172" s="1"/>
      <c r="Y5172" s="1"/>
      <c r="Z5172" s="1"/>
      <c r="AA5172" s="1"/>
    </row>
    <row r="5173" spans="1:27" x14ac:dyDescent="0.2">
      <c r="B5173" s="14" t="s">
        <v>1068</v>
      </c>
    </row>
    <row r="5174" spans="1:27" x14ac:dyDescent="0.2">
      <c r="B5174" t="s">
        <v>2050</v>
      </c>
      <c r="C5174" t="s">
        <v>1070</v>
      </c>
      <c r="D5174" t="s">
        <v>2051</v>
      </c>
      <c r="E5174" s="20">
        <v>0.01</v>
      </c>
      <c r="F5174" t="s">
        <v>1072</v>
      </c>
      <c r="G5174" t="s">
        <v>1073</v>
      </c>
      <c r="H5174" s="21">
        <v>26.08</v>
      </c>
      <c r="I5174" t="s">
        <v>1074</v>
      </c>
      <c r="J5174" s="22">
        <f>ROUND(E5174/I5172* H5174,5)</f>
        <v>0.26079999999999998</v>
      </c>
      <c r="K5174" s="23"/>
    </row>
    <row r="5175" spans="1:27" x14ac:dyDescent="0.2">
      <c r="B5175" t="s">
        <v>1184</v>
      </c>
      <c r="C5175" t="s">
        <v>1070</v>
      </c>
      <c r="D5175" t="s">
        <v>1185</v>
      </c>
      <c r="E5175" s="20">
        <v>0.01</v>
      </c>
      <c r="F5175" t="s">
        <v>1072</v>
      </c>
      <c r="G5175" t="s">
        <v>1073</v>
      </c>
      <c r="H5175" s="21">
        <v>30.41</v>
      </c>
      <c r="I5175" t="s">
        <v>1074</v>
      </c>
      <c r="J5175" s="22">
        <f>ROUND(E5175/I5172* H5175,5)</f>
        <v>0.30409999999999998</v>
      </c>
      <c r="K5175" s="23"/>
    </row>
    <row r="5176" spans="1:27" x14ac:dyDescent="0.2">
      <c r="D5176" s="24" t="s">
        <v>1075</v>
      </c>
      <c r="E5176" s="23"/>
      <c r="H5176" s="23"/>
      <c r="K5176" s="21">
        <f>SUM(J5174:J5175)</f>
        <v>0.56489999999999996</v>
      </c>
    </row>
    <row r="5177" spans="1:27" x14ac:dyDescent="0.2">
      <c r="B5177" s="14" t="s">
        <v>1080</v>
      </c>
      <c r="E5177" s="23"/>
      <c r="H5177" s="23"/>
      <c r="K5177" s="23"/>
    </row>
    <row r="5178" spans="1:27" x14ac:dyDescent="0.2">
      <c r="B5178" t="s">
        <v>2753</v>
      </c>
      <c r="C5178" t="s">
        <v>742</v>
      </c>
      <c r="D5178" t="s">
        <v>2754</v>
      </c>
      <c r="E5178" s="20">
        <v>1</v>
      </c>
      <c r="G5178" t="s">
        <v>1073</v>
      </c>
      <c r="H5178" s="21">
        <v>6.31</v>
      </c>
      <c r="I5178" t="s">
        <v>1074</v>
      </c>
      <c r="J5178" s="22">
        <f>ROUND(E5178* H5178,5)</f>
        <v>6.31</v>
      </c>
      <c r="K5178" s="23"/>
    </row>
    <row r="5179" spans="1:27" x14ac:dyDescent="0.2">
      <c r="D5179" s="24" t="s">
        <v>1090</v>
      </c>
      <c r="E5179" s="23"/>
      <c r="H5179" s="23"/>
      <c r="K5179" s="21">
        <f>SUM(J5178:J5178)</f>
        <v>6.31</v>
      </c>
    </row>
    <row r="5180" spans="1:27" x14ac:dyDescent="0.2">
      <c r="D5180" s="24" t="s">
        <v>1091</v>
      </c>
      <c r="E5180" s="23"/>
      <c r="H5180" s="23"/>
      <c r="K5180" s="25">
        <f>SUM(J5173:J5179)</f>
        <v>6.8748999999999993</v>
      </c>
    </row>
    <row r="5181" spans="1:27" x14ac:dyDescent="0.2">
      <c r="D5181" s="24" t="s">
        <v>1142</v>
      </c>
      <c r="E5181" s="23"/>
      <c r="H5181" s="23">
        <v>8</v>
      </c>
      <c r="I5181" t="s">
        <v>1093</v>
      </c>
      <c r="K5181" s="21">
        <f>ROUND(H5181/100*K5180,5)</f>
        <v>0.54998999999999998</v>
      </c>
    </row>
    <row r="5182" spans="1:27" x14ac:dyDescent="0.2">
      <c r="D5182" s="24" t="s">
        <v>1094</v>
      </c>
      <c r="E5182" s="23"/>
      <c r="H5182" s="23"/>
      <c r="K5182" s="25">
        <f>SUM(K5180:K5181)</f>
        <v>7.4248899999999995</v>
      </c>
    </row>
    <row r="5184" spans="1:27" ht="45" customHeight="1" x14ac:dyDescent="0.2">
      <c r="A5184" s="17" t="s">
        <v>4187</v>
      </c>
      <c r="B5184" s="17" t="s">
        <v>887</v>
      </c>
      <c r="C5184" s="1" t="s">
        <v>23</v>
      </c>
      <c r="D5184" s="96" t="s">
        <v>888</v>
      </c>
      <c r="E5184" s="97"/>
      <c r="F5184" s="97"/>
      <c r="G5184" s="1"/>
      <c r="H5184" s="18" t="s">
        <v>1066</v>
      </c>
      <c r="I5184" s="98">
        <v>1</v>
      </c>
      <c r="J5184" s="99"/>
      <c r="K5184" s="19">
        <f>ROUND(K5195,2)</f>
        <v>31.79</v>
      </c>
      <c r="L5184" s="2" t="s">
        <v>2756</v>
      </c>
      <c r="M5184" s="1"/>
      <c r="N5184" s="1"/>
      <c r="O5184" s="1"/>
      <c r="P5184" s="1"/>
      <c r="Q5184" s="1"/>
      <c r="R5184" s="1"/>
      <c r="S5184" s="1"/>
      <c r="T5184" s="1"/>
      <c r="U5184" s="1"/>
      <c r="V5184" s="1"/>
      <c r="W5184" s="1"/>
      <c r="X5184" s="1"/>
      <c r="Y5184" s="1"/>
      <c r="Z5184" s="1"/>
      <c r="AA5184" s="1"/>
    </row>
    <row r="5185" spans="1:27" x14ac:dyDescent="0.2">
      <c r="B5185" s="14" t="s">
        <v>1068</v>
      </c>
    </row>
    <row r="5186" spans="1:27" x14ac:dyDescent="0.2">
      <c r="B5186" t="s">
        <v>1136</v>
      </c>
      <c r="C5186" t="s">
        <v>1070</v>
      </c>
      <c r="D5186" t="s">
        <v>1137</v>
      </c>
      <c r="E5186" s="20">
        <v>0.12</v>
      </c>
      <c r="F5186" t="s">
        <v>1072</v>
      </c>
      <c r="G5186" t="s">
        <v>1073</v>
      </c>
      <c r="H5186" s="21">
        <v>30.41</v>
      </c>
      <c r="I5186" t="s">
        <v>1074</v>
      </c>
      <c r="J5186" s="22">
        <f>ROUND(E5186/I5184* H5186,5)</f>
        <v>3.6492</v>
      </c>
      <c r="K5186" s="23"/>
    </row>
    <row r="5187" spans="1:27" x14ac:dyDescent="0.2">
      <c r="D5187" s="24" t="s">
        <v>1075</v>
      </c>
      <c r="E5187" s="23"/>
      <c r="H5187" s="23"/>
      <c r="K5187" s="21">
        <f>SUM(J5186:J5186)</f>
        <v>3.6492</v>
      </c>
    </row>
    <row r="5188" spans="1:27" x14ac:dyDescent="0.2">
      <c r="B5188" s="14" t="s">
        <v>1080</v>
      </c>
      <c r="E5188" s="23"/>
      <c r="H5188" s="23"/>
      <c r="K5188" s="23"/>
    </row>
    <row r="5189" spans="1:27" x14ac:dyDescent="0.2">
      <c r="B5189" t="s">
        <v>2757</v>
      </c>
      <c r="C5189" t="s">
        <v>23</v>
      </c>
      <c r="D5189" t="s">
        <v>2758</v>
      </c>
      <c r="E5189" s="20">
        <v>1</v>
      </c>
      <c r="G5189" t="s">
        <v>1073</v>
      </c>
      <c r="H5189" s="21">
        <v>25.75</v>
      </c>
      <c r="I5189" t="s">
        <v>1074</v>
      </c>
      <c r="J5189" s="22">
        <f>ROUND(E5189* H5189,5)</f>
        <v>25.75</v>
      </c>
      <c r="K5189" s="23"/>
    </row>
    <row r="5190" spans="1:27" x14ac:dyDescent="0.2">
      <c r="D5190" s="24" t="s">
        <v>1090</v>
      </c>
      <c r="E5190" s="23"/>
      <c r="H5190" s="23"/>
      <c r="K5190" s="21">
        <f>SUM(J5189:J5189)</f>
        <v>25.75</v>
      </c>
    </row>
    <row r="5191" spans="1:27" x14ac:dyDescent="0.2">
      <c r="E5191" s="23"/>
      <c r="H5191" s="23"/>
      <c r="K5191" s="23"/>
    </row>
    <row r="5192" spans="1:27" x14ac:dyDescent="0.2">
      <c r="D5192" s="24" t="s">
        <v>1092</v>
      </c>
      <c r="E5192" s="23"/>
      <c r="H5192" s="23">
        <v>1</v>
      </c>
      <c r="I5192" t="s">
        <v>1093</v>
      </c>
      <c r="J5192">
        <f>ROUND(H5192/100*K5187,5)</f>
        <v>3.6490000000000002E-2</v>
      </c>
      <c r="K5192" s="23"/>
    </row>
    <row r="5193" spans="1:27" x14ac:dyDescent="0.2">
      <c r="D5193" s="24" t="s">
        <v>1091</v>
      </c>
      <c r="E5193" s="23"/>
      <c r="H5193" s="23"/>
      <c r="K5193" s="25">
        <f>SUM(J5185:J5192)</f>
        <v>29.435690000000001</v>
      </c>
    </row>
    <row r="5194" spans="1:27" x14ac:dyDescent="0.2">
      <c r="D5194" s="24" t="s">
        <v>1142</v>
      </c>
      <c r="E5194" s="23"/>
      <c r="H5194" s="23">
        <v>8</v>
      </c>
      <c r="I5194" t="s">
        <v>1093</v>
      </c>
      <c r="K5194" s="21">
        <f>ROUND(H5194/100*K5193,5)</f>
        <v>2.35486</v>
      </c>
    </row>
    <row r="5195" spans="1:27" x14ac:dyDescent="0.2">
      <c r="D5195" s="24" t="s">
        <v>1094</v>
      </c>
      <c r="E5195" s="23"/>
      <c r="H5195" s="23"/>
      <c r="K5195" s="25">
        <f>SUM(K5193:K5194)</f>
        <v>31.79055</v>
      </c>
    </row>
    <row r="5197" spans="1:27" ht="45" customHeight="1" x14ac:dyDescent="0.2">
      <c r="A5197" s="17" t="s">
        <v>4188</v>
      </c>
      <c r="B5197" s="17" t="s">
        <v>889</v>
      </c>
      <c r="C5197" s="1" t="s">
        <v>23</v>
      </c>
      <c r="D5197" s="96" t="s">
        <v>890</v>
      </c>
      <c r="E5197" s="97"/>
      <c r="F5197" s="97"/>
      <c r="G5197" s="1"/>
      <c r="H5197" s="18" t="s">
        <v>1066</v>
      </c>
      <c r="I5197" s="98">
        <v>1</v>
      </c>
      <c r="J5197" s="99"/>
      <c r="K5197" s="19">
        <f>ROUND(K5209,2)</f>
        <v>308.81</v>
      </c>
      <c r="L5197" s="2" t="s">
        <v>2760</v>
      </c>
      <c r="M5197" s="1"/>
      <c r="N5197" s="1"/>
      <c r="O5197" s="1"/>
      <c r="P5197" s="1"/>
      <c r="Q5197" s="1"/>
      <c r="R5197" s="1"/>
      <c r="S5197" s="1"/>
      <c r="T5197" s="1"/>
      <c r="U5197" s="1"/>
      <c r="V5197" s="1"/>
      <c r="W5197" s="1"/>
      <c r="X5197" s="1"/>
      <c r="Y5197" s="1"/>
      <c r="Z5197" s="1"/>
      <c r="AA5197" s="1"/>
    </row>
    <row r="5198" spans="1:27" x14ac:dyDescent="0.2">
      <c r="B5198" s="14" t="s">
        <v>1068</v>
      </c>
    </row>
    <row r="5199" spans="1:27" x14ac:dyDescent="0.2">
      <c r="B5199" t="s">
        <v>1138</v>
      </c>
      <c r="C5199" t="s">
        <v>1070</v>
      </c>
      <c r="D5199" t="s">
        <v>1139</v>
      </c>
      <c r="E5199" s="20">
        <v>0.16700000000000001</v>
      </c>
      <c r="F5199" t="s">
        <v>1072</v>
      </c>
      <c r="G5199" t="s">
        <v>1073</v>
      </c>
      <c r="H5199" s="21">
        <v>26.12</v>
      </c>
      <c r="I5199" t="s">
        <v>1074</v>
      </c>
      <c r="J5199" s="22">
        <f>ROUND(E5199/I5197* H5199,5)</f>
        <v>4.3620400000000004</v>
      </c>
      <c r="K5199" s="23"/>
    </row>
    <row r="5200" spans="1:27" x14ac:dyDescent="0.2">
      <c r="B5200" t="s">
        <v>1136</v>
      </c>
      <c r="C5200" t="s">
        <v>1070</v>
      </c>
      <c r="D5200" t="s">
        <v>1137</v>
      </c>
      <c r="E5200" s="20">
        <v>3.5</v>
      </c>
      <c r="F5200" t="s">
        <v>1072</v>
      </c>
      <c r="G5200" t="s">
        <v>1073</v>
      </c>
      <c r="H5200" s="21">
        <v>30.41</v>
      </c>
      <c r="I5200" t="s">
        <v>1074</v>
      </c>
      <c r="J5200" s="22">
        <f>ROUND(E5200/I5197* H5200,5)</f>
        <v>106.435</v>
      </c>
      <c r="K5200" s="23"/>
    </row>
    <row r="5201" spans="1:27" x14ac:dyDescent="0.2">
      <c r="D5201" s="24" t="s">
        <v>1075</v>
      </c>
      <c r="E5201" s="23"/>
      <c r="H5201" s="23"/>
      <c r="K5201" s="21">
        <f>SUM(J5199:J5200)</f>
        <v>110.79704000000001</v>
      </c>
    </row>
    <row r="5202" spans="1:27" x14ac:dyDescent="0.2">
      <c r="B5202" s="14" t="s">
        <v>1080</v>
      </c>
      <c r="E5202" s="23"/>
      <c r="H5202" s="23"/>
      <c r="K5202" s="23"/>
    </row>
    <row r="5203" spans="1:27" x14ac:dyDescent="0.2">
      <c r="B5203" t="s">
        <v>2761</v>
      </c>
      <c r="C5203" t="s">
        <v>23</v>
      </c>
      <c r="D5203" t="s">
        <v>2762</v>
      </c>
      <c r="E5203" s="20">
        <v>1</v>
      </c>
      <c r="G5203" t="s">
        <v>1073</v>
      </c>
      <c r="H5203" s="21">
        <v>173.48</v>
      </c>
      <c r="I5203" t="s">
        <v>1074</v>
      </c>
      <c r="J5203" s="22">
        <f>ROUND(E5203* H5203,5)</f>
        <v>173.48</v>
      </c>
      <c r="K5203" s="23"/>
    </row>
    <row r="5204" spans="1:27" x14ac:dyDescent="0.2">
      <c r="D5204" s="24" t="s">
        <v>1090</v>
      </c>
      <c r="E5204" s="23"/>
      <c r="H5204" s="23"/>
      <c r="K5204" s="21">
        <f>SUM(J5203:J5203)</f>
        <v>173.48</v>
      </c>
    </row>
    <row r="5205" spans="1:27" x14ac:dyDescent="0.2">
      <c r="E5205" s="23"/>
      <c r="H5205" s="23"/>
      <c r="K5205" s="23"/>
    </row>
    <row r="5206" spans="1:27" x14ac:dyDescent="0.2">
      <c r="D5206" s="24" t="s">
        <v>1092</v>
      </c>
      <c r="E5206" s="23"/>
      <c r="H5206" s="23">
        <v>1.5</v>
      </c>
      <c r="I5206" t="s">
        <v>1093</v>
      </c>
      <c r="J5206">
        <f>ROUND(H5206/100*K5201,5)</f>
        <v>1.6619600000000001</v>
      </c>
      <c r="K5206" s="23"/>
    </row>
    <row r="5207" spans="1:27" x14ac:dyDescent="0.2">
      <c r="D5207" s="24" t="s">
        <v>1091</v>
      </c>
      <c r="E5207" s="23"/>
      <c r="H5207" s="23"/>
      <c r="K5207" s="25">
        <f>SUM(J5198:J5206)</f>
        <v>285.93900000000002</v>
      </c>
    </row>
    <row r="5208" spans="1:27" x14ac:dyDescent="0.2">
      <c r="D5208" s="24" t="s">
        <v>1142</v>
      </c>
      <c r="E5208" s="23"/>
      <c r="H5208" s="23">
        <v>8</v>
      </c>
      <c r="I5208" t="s">
        <v>1093</v>
      </c>
      <c r="K5208" s="21">
        <f>ROUND(H5208/100*K5207,5)</f>
        <v>22.875119999999999</v>
      </c>
    </row>
    <row r="5209" spans="1:27" x14ac:dyDescent="0.2">
      <c r="D5209" s="24" t="s">
        <v>1094</v>
      </c>
      <c r="E5209" s="23"/>
      <c r="H5209" s="23"/>
      <c r="K5209" s="25">
        <f>SUM(K5207:K5208)</f>
        <v>308.81412</v>
      </c>
    </row>
    <row r="5211" spans="1:27" ht="45" customHeight="1" x14ac:dyDescent="0.2">
      <c r="A5211" s="17"/>
      <c r="B5211" s="17" t="s">
        <v>2763</v>
      </c>
      <c r="C5211" s="1" t="s">
        <v>23</v>
      </c>
      <c r="D5211" s="96" t="s">
        <v>2764</v>
      </c>
      <c r="E5211" s="97"/>
      <c r="F5211" s="97"/>
      <c r="G5211" s="1"/>
      <c r="H5211" s="18" t="s">
        <v>1066</v>
      </c>
      <c r="I5211" s="98">
        <v>1</v>
      </c>
      <c r="J5211" s="99"/>
      <c r="K5211" s="19">
        <f>ROUND(K5222,2)</f>
        <v>41</v>
      </c>
      <c r="L5211" s="2" t="s">
        <v>2765</v>
      </c>
      <c r="M5211" s="1"/>
      <c r="N5211" s="1"/>
      <c r="O5211" s="1"/>
      <c r="P5211" s="1"/>
      <c r="Q5211" s="1"/>
      <c r="R5211" s="1"/>
      <c r="S5211" s="1"/>
      <c r="T5211" s="1"/>
      <c r="U5211" s="1"/>
      <c r="V5211" s="1"/>
      <c r="W5211" s="1"/>
      <c r="X5211" s="1"/>
      <c r="Y5211" s="1"/>
      <c r="Z5211" s="1"/>
      <c r="AA5211" s="1"/>
    </row>
    <row r="5212" spans="1:27" x14ac:dyDescent="0.2">
      <c r="B5212" s="14" t="s">
        <v>1068</v>
      </c>
    </row>
    <row r="5213" spans="1:27" x14ac:dyDescent="0.2">
      <c r="B5213" t="s">
        <v>1136</v>
      </c>
      <c r="C5213" t="s">
        <v>1070</v>
      </c>
      <c r="D5213" t="s">
        <v>1137</v>
      </c>
      <c r="E5213" s="20">
        <v>0.22</v>
      </c>
      <c r="F5213" t="s">
        <v>1072</v>
      </c>
      <c r="G5213" t="s">
        <v>1073</v>
      </c>
      <c r="H5213" s="21">
        <v>30.41</v>
      </c>
      <c r="I5213" t="s">
        <v>1074</v>
      </c>
      <c r="J5213" s="22">
        <f>ROUND(E5213/I5211* H5213,5)</f>
        <v>6.6901999999999999</v>
      </c>
      <c r="K5213" s="23"/>
    </row>
    <row r="5214" spans="1:27" x14ac:dyDescent="0.2">
      <c r="D5214" s="24" t="s">
        <v>1075</v>
      </c>
      <c r="E5214" s="23"/>
      <c r="H5214" s="23"/>
      <c r="K5214" s="21">
        <f>SUM(J5213:J5213)</f>
        <v>6.6901999999999999</v>
      </c>
    </row>
    <row r="5215" spans="1:27" x14ac:dyDescent="0.2">
      <c r="B5215" s="14" t="s">
        <v>1080</v>
      </c>
      <c r="E5215" s="23"/>
      <c r="H5215" s="23"/>
      <c r="K5215" s="23"/>
    </row>
    <row r="5216" spans="1:27" x14ac:dyDescent="0.2">
      <c r="B5216" t="s">
        <v>2766</v>
      </c>
      <c r="C5216" t="s">
        <v>23</v>
      </c>
      <c r="D5216" t="s">
        <v>2767</v>
      </c>
      <c r="E5216" s="20">
        <v>1</v>
      </c>
      <c r="G5216" t="s">
        <v>1073</v>
      </c>
      <c r="H5216" s="21">
        <v>31.17</v>
      </c>
      <c r="I5216" t="s">
        <v>1074</v>
      </c>
      <c r="J5216" s="22">
        <f>ROUND(E5216* H5216,5)</f>
        <v>31.17</v>
      </c>
      <c r="K5216" s="23"/>
    </row>
    <row r="5217" spans="1:27" x14ac:dyDescent="0.2">
      <c r="D5217" s="24" t="s">
        <v>1090</v>
      </c>
      <c r="E5217" s="23"/>
      <c r="H5217" s="23"/>
      <c r="K5217" s="21">
        <f>SUM(J5216:J5216)</f>
        <v>31.17</v>
      </c>
    </row>
    <row r="5218" spans="1:27" x14ac:dyDescent="0.2">
      <c r="E5218" s="23"/>
      <c r="H5218" s="23"/>
      <c r="K5218" s="23"/>
    </row>
    <row r="5219" spans="1:27" x14ac:dyDescent="0.2">
      <c r="D5219" s="24" t="s">
        <v>1092</v>
      </c>
      <c r="E5219" s="23"/>
      <c r="H5219" s="23">
        <v>1.5</v>
      </c>
      <c r="I5219" t="s">
        <v>1093</v>
      </c>
      <c r="J5219">
        <f>ROUND(H5219/100*K5214,5)</f>
        <v>0.10034999999999999</v>
      </c>
      <c r="K5219" s="23"/>
    </row>
    <row r="5220" spans="1:27" x14ac:dyDescent="0.2">
      <c r="D5220" s="24" t="s">
        <v>1091</v>
      </c>
      <c r="E5220" s="23"/>
      <c r="H5220" s="23"/>
      <c r="K5220" s="25">
        <f>SUM(J5212:J5219)</f>
        <v>37.960549999999998</v>
      </c>
    </row>
    <row r="5221" spans="1:27" x14ac:dyDescent="0.2">
      <c r="D5221" s="24" t="s">
        <v>1142</v>
      </c>
      <c r="E5221" s="23"/>
      <c r="H5221" s="23">
        <v>8</v>
      </c>
      <c r="I5221" t="s">
        <v>1093</v>
      </c>
      <c r="K5221" s="21">
        <f>ROUND(H5221/100*K5220,5)</f>
        <v>3.0368400000000002</v>
      </c>
    </row>
    <row r="5222" spans="1:27" x14ac:dyDescent="0.2">
      <c r="D5222" s="24" t="s">
        <v>1094</v>
      </c>
      <c r="E5222" s="23"/>
      <c r="H5222" s="23"/>
      <c r="K5222" s="25">
        <f>SUM(K5220:K5221)</f>
        <v>40.997389999999996</v>
      </c>
    </row>
    <row r="5224" spans="1:27" ht="45" customHeight="1" x14ac:dyDescent="0.2">
      <c r="A5224" s="17" t="s">
        <v>4189</v>
      </c>
      <c r="B5224" s="17" t="s">
        <v>895</v>
      </c>
      <c r="C5224" s="1" t="s">
        <v>23</v>
      </c>
      <c r="D5224" s="96" t="s">
        <v>896</v>
      </c>
      <c r="E5224" s="97"/>
      <c r="F5224" s="97"/>
      <c r="G5224" s="1"/>
      <c r="H5224" s="18" t="s">
        <v>1066</v>
      </c>
      <c r="I5224" s="98">
        <v>1</v>
      </c>
      <c r="J5224" s="99"/>
      <c r="K5224" s="19">
        <f>ROUND(K5235,2)</f>
        <v>18.96</v>
      </c>
      <c r="L5224" s="2" t="s">
        <v>2769</v>
      </c>
      <c r="M5224" s="1"/>
      <c r="N5224" s="1"/>
      <c r="O5224" s="1"/>
      <c r="P5224" s="1"/>
      <c r="Q5224" s="1"/>
      <c r="R5224" s="1"/>
      <c r="S5224" s="1"/>
      <c r="T5224" s="1"/>
      <c r="U5224" s="1"/>
      <c r="V5224" s="1"/>
      <c r="W5224" s="1"/>
      <c r="X5224" s="1"/>
      <c r="Y5224" s="1"/>
      <c r="Z5224" s="1"/>
      <c r="AA5224" s="1"/>
    </row>
    <row r="5225" spans="1:27" x14ac:dyDescent="0.2">
      <c r="B5225" s="14" t="s">
        <v>1068</v>
      </c>
    </row>
    <row r="5226" spans="1:27" x14ac:dyDescent="0.2">
      <c r="B5226" t="s">
        <v>1136</v>
      </c>
      <c r="C5226" t="s">
        <v>1070</v>
      </c>
      <c r="D5226" t="s">
        <v>1137</v>
      </c>
      <c r="E5226" s="20">
        <v>0.18</v>
      </c>
      <c r="F5226" t="s">
        <v>1072</v>
      </c>
      <c r="G5226" t="s">
        <v>1073</v>
      </c>
      <c r="H5226" s="21">
        <v>30.41</v>
      </c>
      <c r="I5226" t="s">
        <v>1074</v>
      </c>
      <c r="J5226" s="22">
        <f>ROUND(E5226/I5224* H5226,5)</f>
        <v>5.4737999999999998</v>
      </c>
      <c r="K5226" s="23"/>
    </row>
    <row r="5227" spans="1:27" x14ac:dyDescent="0.2">
      <c r="D5227" s="24" t="s">
        <v>1075</v>
      </c>
      <c r="E5227" s="23"/>
      <c r="H5227" s="23"/>
      <c r="K5227" s="21">
        <f>SUM(J5226:J5226)</f>
        <v>5.4737999999999998</v>
      </c>
    </row>
    <row r="5228" spans="1:27" x14ac:dyDescent="0.2">
      <c r="B5228" s="14" t="s">
        <v>1080</v>
      </c>
      <c r="E5228" s="23"/>
      <c r="H5228" s="23"/>
      <c r="K5228" s="23"/>
    </row>
    <row r="5229" spans="1:27" x14ac:dyDescent="0.2">
      <c r="B5229" t="s">
        <v>2770</v>
      </c>
      <c r="C5229" t="s">
        <v>23</v>
      </c>
      <c r="D5229" t="s">
        <v>2771</v>
      </c>
      <c r="E5229" s="20">
        <v>1</v>
      </c>
      <c r="G5229" t="s">
        <v>1073</v>
      </c>
      <c r="H5229" s="21">
        <v>12</v>
      </c>
      <c r="I5229" t="s">
        <v>1074</v>
      </c>
      <c r="J5229" s="22">
        <f>ROUND(E5229* H5229,5)</f>
        <v>12</v>
      </c>
      <c r="K5229" s="23"/>
    </row>
    <row r="5230" spans="1:27" x14ac:dyDescent="0.2">
      <c r="D5230" s="24" t="s">
        <v>1090</v>
      </c>
      <c r="E5230" s="23"/>
      <c r="H5230" s="23"/>
      <c r="K5230" s="21">
        <f>SUM(J5229:J5229)</f>
        <v>12</v>
      </c>
    </row>
    <row r="5231" spans="1:27" x14ac:dyDescent="0.2">
      <c r="E5231" s="23"/>
      <c r="H5231" s="23"/>
      <c r="K5231" s="23"/>
    </row>
    <row r="5232" spans="1:27" x14ac:dyDescent="0.2">
      <c r="D5232" s="24" t="s">
        <v>1092</v>
      </c>
      <c r="E5232" s="23"/>
      <c r="H5232" s="23">
        <v>1.5</v>
      </c>
      <c r="I5232" t="s">
        <v>1093</v>
      </c>
      <c r="J5232">
        <f>ROUND(H5232/100*K5227,5)</f>
        <v>8.2110000000000002E-2</v>
      </c>
      <c r="K5232" s="23"/>
    </row>
    <row r="5233" spans="1:27" x14ac:dyDescent="0.2">
      <c r="D5233" s="24" t="s">
        <v>1091</v>
      </c>
      <c r="E5233" s="23"/>
      <c r="H5233" s="23"/>
      <c r="K5233" s="25">
        <f>SUM(J5225:J5232)</f>
        <v>17.555910000000001</v>
      </c>
    </row>
    <row r="5234" spans="1:27" x14ac:dyDescent="0.2">
      <c r="D5234" s="24" t="s">
        <v>1142</v>
      </c>
      <c r="E5234" s="23"/>
      <c r="H5234" s="23">
        <v>8</v>
      </c>
      <c r="I5234" t="s">
        <v>1093</v>
      </c>
      <c r="K5234" s="21">
        <f>ROUND(H5234/100*K5233,5)</f>
        <v>1.4044700000000001</v>
      </c>
    </row>
    <row r="5235" spans="1:27" x14ac:dyDescent="0.2">
      <c r="D5235" s="24" t="s">
        <v>1094</v>
      </c>
      <c r="E5235" s="23"/>
      <c r="H5235" s="23"/>
      <c r="K5235" s="25">
        <f>SUM(K5233:K5234)</f>
        <v>18.960380000000001</v>
      </c>
    </row>
    <row r="5237" spans="1:27" ht="45" customHeight="1" x14ac:dyDescent="0.2">
      <c r="A5237" s="17" t="s">
        <v>4190</v>
      </c>
      <c r="B5237" s="17" t="s">
        <v>891</v>
      </c>
      <c r="C5237" s="1" t="s">
        <v>23</v>
      </c>
      <c r="D5237" s="96" t="s">
        <v>892</v>
      </c>
      <c r="E5237" s="97"/>
      <c r="F5237" s="97"/>
      <c r="G5237" s="1"/>
      <c r="H5237" s="18" t="s">
        <v>1066</v>
      </c>
      <c r="I5237" s="98">
        <v>1</v>
      </c>
      <c r="J5237" s="99"/>
      <c r="K5237" s="19">
        <f>ROUND(K5249,2)</f>
        <v>62.09</v>
      </c>
      <c r="L5237" s="2" t="s">
        <v>2773</v>
      </c>
      <c r="M5237" s="1"/>
      <c r="N5237" s="1"/>
      <c r="O5237" s="1"/>
      <c r="P5237" s="1"/>
      <c r="Q5237" s="1"/>
      <c r="R5237" s="1"/>
      <c r="S5237" s="1"/>
      <c r="T5237" s="1"/>
      <c r="U5237" s="1"/>
      <c r="V5237" s="1"/>
      <c r="W5237" s="1"/>
      <c r="X5237" s="1"/>
      <c r="Y5237" s="1"/>
      <c r="Z5237" s="1"/>
      <c r="AA5237" s="1"/>
    </row>
    <row r="5238" spans="1:27" x14ac:dyDescent="0.2">
      <c r="B5238" s="14" t="s">
        <v>1068</v>
      </c>
    </row>
    <row r="5239" spans="1:27" x14ac:dyDescent="0.2">
      <c r="B5239" t="s">
        <v>1136</v>
      </c>
      <c r="C5239" t="s">
        <v>1070</v>
      </c>
      <c r="D5239" t="s">
        <v>1137</v>
      </c>
      <c r="E5239" s="20">
        <v>0.16700000000000001</v>
      </c>
      <c r="F5239" t="s">
        <v>1072</v>
      </c>
      <c r="G5239" t="s">
        <v>1073</v>
      </c>
      <c r="H5239" s="21">
        <v>30.41</v>
      </c>
      <c r="I5239" t="s">
        <v>1074</v>
      </c>
      <c r="J5239" s="22">
        <f>ROUND(E5239/I5237* H5239,5)</f>
        <v>5.0784700000000003</v>
      </c>
      <c r="K5239" s="23"/>
    </row>
    <row r="5240" spans="1:27" x14ac:dyDescent="0.2">
      <c r="B5240" t="s">
        <v>1138</v>
      </c>
      <c r="C5240" t="s">
        <v>1070</v>
      </c>
      <c r="D5240" t="s">
        <v>1139</v>
      </c>
      <c r="E5240" s="20">
        <v>0.16700000000000001</v>
      </c>
      <c r="F5240" t="s">
        <v>1072</v>
      </c>
      <c r="G5240" t="s">
        <v>1073</v>
      </c>
      <c r="H5240" s="21">
        <v>26.12</v>
      </c>
      <c r="I5240" t="s">
        <v>1074</v>
      </c>
      <c r="J5240" s="22">
        <f>ROUND(E5240/I5237* H5240,5)</f>
        <v>4.3620400000000004</v>
      </c>
      <c r="K5240" s="23"/>
    </row>
    <row r="5241" spans="1:27" x14ac:dyDescent="0.2">
      <c r="D5241" s="24" t="s">
        <v>1075</v>
      </c>
      <c r="E5241" s="23"/>
      <c r="H5241" s="23"/>
      <c r="K5241" s="21">
        <f>SUM(J5239:J5240)</f>
        <v>9.4405099999999997</v>
      </c>
    </row>
    <row r="5242" spans="1:27" x14ac:dyDescent="0.2">
      <c r="B5242" s="14" t="s">
        <v>1080</v>
      </c>
      <c r="E5242" s="23"/>
      <c r="H5242" s="23"/>
      <c r="K5242" s="23"/>
    </row>
    <row r="5243" spans="1:27" x14ac:dyDescent="0.2">
      <c r="B5243" t="s">
        <v>2774</v>
      </c>
      <c r="C5243" t="s">
        <v>23</v>
      </c>
      <c r="D5243" t="s">
        <v>2775</v>
      </c>
      <c r="E5243" s="20">
        <v>1</v>
      </c>
      <c r="G5243" t="s">
        <v>1073</v>
      </c>
      <c r="H5243" s="21">
        <v>47.91</v>
      </c>
      <c r="I5243" t="s">
        <v>1074</v>
      </c>
      <c r="J5243" s="22">
        <f>ROUND(E5243* H5243,5)</f>
        <v>47.91</v>
      </c>
      <c r="K5243" s="23"/>
    </row>
    <row r="5244" spans="1:27" x14ac:dyDescent="0.2">
      <c r="D5244" s="24" t="s">
        <v>1090</v>
      </c>
      <c r="E5244" s="23"/>
      <c r="H5244" s="23"/>
      <c r="K5244" s="21">
        <f>SUM(J5243:J5243)</f>
        <v>47.91</v>
      </c>
    </row>
    <row r="5245" spans="1:27" x14ac:dyDescent="0.2">
      <c r="E5245" s="23"/>
      <c r="H5245" s="23"/>
      <c r="K5245" s="23"/>
    </row>
    <row r="5246" spans="1:27" x14ac:dyDescent="0.2">
      <c r="D5246" s="24" t="s">
        <v>1092</v>
      </c>
      <c r="E5246" s="23"/>
      <c r="H5246" s="23">
        <v>1.5</v>
      </c>
      <c r="I5246" t="s">
        <v>1093</v>
      </c>
      <c r="J5246">
        <f>ROUND(H5246/100*K5241,5)</f>
        <v>0.14161000000000001</v>
      </c>
      <c r="K5246" s="23"/>
    </row>
    <row r="5247" spans="1:27" x14ac:dyDescent="0.2">
      <c r="D5247" s="24" t="s">
        <v>1091</v>
      </c>
      <c r="E5247" s="23"/>
      <c r="H5247" s="23"/>
      <c r="K5247" s="25">
        <f>SUM(J5238:J5246)</f>
        <v>57.49212</v>
      </c>
    </row>
    <row r="5248" spans="1:27" x14ac:dyDescent="0.2">
      <c r="D5248" s="24" t="s">
        <v>1142</v>
      </c>
      <c r="E5248" s="23"/>
      <c r="H5248" s="23">
        <v>8</v>
      </c>
      <c r="I5248" t="s">
        <v>1093</v>
      </c>
      <c r="K5248" s="21">
        <f>ROUND(H5248/100*K5247,5)</f>
        <v>4.5993700000000004</v>
      </c>
    </row>
    <row r="5249" spans="1:27" x14ac:dyDescent="0.2">
      <c r="D5249" s="24" t="s">
        <v>1094</v>
      </c>
      <c r="E5249" s="23"/>
      <c r="H5249" s="23"/>
      <c r="K5249" s="25">
        <f>SUM(K5247:K5248)</f>
        <v>62.09149</v>
      </c>
    </row>
    <row r="5251" spans="1:27" ht="45" customHeight="1" x14ac:dyDescent="0.2">
      <c r="A5251" s="17" t="s">
        <v>4191</v>
      </c>
      <c r="B5251" s="17" t="s">
        <v>875</v>
      </c>
      <c r="C5251" s="1" t="s">
        <v>742</v>
      </c>
      <c r="D5251" s="96" t="s">
        <v>876</v>
      </c>
      <c r="E5251" s="97"/>
      <c r="F5251" s="97"/>
      <c r="G5251" s="1"/>
      <c r="H5251" s="18" t="s">
        <v>1066</v>
      </c>
      <c r="I5251" s="98">
        <v>1</v>
      </c>
      <c r="J5251" s="99"/>
      <c r="K5251" s="19">
        <v>648</v>
      </c>
      <c r="L5251" s="2" t="s">
        <v>2777</v>
      </c>
      <c r="M5251" s="1"/>
      <c r="N5251" s="1"/>
      <c r="O5251" s="1"/>
      <c r="P5251" s="1"/>
      <c r="Q5251" s="1"/>
      <c r="R5251" s="1"/>
      <c r="S5251" s="1"/>
      <c r="T5251" s="1"/>
      <c r="U5251" s="1"/>
      <c r="V5251" s="1"/>
      <c r="W5251" s="1"/>
      <c r="X5251" s="1"/>
      <c r="Y5251" s="1"/>
      <c r="Z5251" s="1"/>
      <c r="AA5251" s="1"/>
    </row>
    <row r="5252" spans="1:27" ht="45" customHeight="1" x14ac:dyDescent="0.2">
      <c r="A5252" s="17" t="s">
        <v>4192</v>
      </c>
      <c r="B5252" s="17" t="s">
        <v>4019</v>
      </c>
      <c r="C5252" s="1" t="s">
        <v>23</v>
      </c>
      <c r="D5252" s="96" t="s">
        <v>4020</v>
      </c>
      <c r="E5252" s="97"/>
      <c r="F5252" s="97"/>
      <c r="G5252" s="1"/>
      <c r="H5252" s="18" t="s">
        <v>1066</v>
      </c>
      <c r="I5252" s="98">
        <v>1</v>
      </c>
      <c r="J5252" s="99"/>
      <c r="K5252" s="19">
        <f>ROUND(K5264,2)</f>
        <v>385.7</v>
      </c>
      <c r="L5252" s="2" t="s">
        <v>4193</v>
      </c>
      <c r="M5252" s="1"/>
      <c r="N5252" s="1"/>
      <c r="O5252" s="1"/>
      <c r="P5252" s="1"/>
      <c r="Q5252" s="1"/>
      <c r="R5252" s="1"/>
      <c r="S5252" s="1"/>
      <c r="T5252" s="1"/>
      <c r="U5252" s="1"/>
      <c r="V5252" s="1"/>
      <c r="W5252" s="1"/>
      <c r="X5252" s="1"/>
      <c r="Y5252" s="1"/>
      <c r="Z5252" s="1"/>
      <c r="AA5252" s="1"/>
    </row>
    <row r="5253" spans="1:27" x14ac:dyDescent="0.2">
      <c r="B5253" s="14" t="s">
        <v>1068</v>
      </c>
    </row>
    <row r="5254" spans="1:27" x14ac:dyDescent="0.2">
      <c r="B5254" t="s">
        <v>1220</v>
      </c>
      <c r="C5254" t="s">
        <v>1070</v>
      </c>
      <c r="D5254" t="s">
        <v>1221</v>
      </c>
      <c r="E5254" s="20">
        <v>0.4</v>
      </c>
      <c r="F5254" t="s">
        <v>1072</v>
      </c>
      <c r="G5254" t="s">
        <v>1073</v>
      </c>
      <c r="H5254" s="21">
        <v>29.42</v>
      </c>
      <c r="I5254" t="s">
        <v>1074</v>
      </c>
      <c r="J5254" s="22">
        <f>ROUND(E5254/I5252* H5254,5)</f>
        <v>11.768000000000001</v>
      </c>
      <c r="K5254" s="23"/>
    </row>
    <row r="5255" spans="1:27" x14ac:dyDescent="0.2">
      <c r="B5255" t="s">
        <v>1205</v>
      </c>
      <c r="C5255" t="s">
        <v>1070</v>
      </c>
      <c r="D5255" t="s">
        <v>1206</v>
      </c>
      <c r="E5255" s="20">
        <v>0.4</v>
      </c>
      <c r="F5255" t="s">
        <v>1072</v>
      </c>
      <c r="G5255" t="s">
        <v>1073</v>
      </c>
      <c r="H5255" s="21">
        <v>24.55</v>
      </c>
      <c r="I5255" t="s">
        <v>1074</v>
      </c>
      <c r="J5255" s="22">
        <f>ROUND(E5255/I5252* H5255,5)</f>
        <v>9.82</v>
      </c>
      <c r="K5255" s="23"/>
    </row>
    <row r="5256" spans="1:27" x14ac:dyDescent="0.2">
      <c r="D5256" s="24" t="s">
        <v>1075</v>
      </c>
      <c r="E5256" s="23"/>
      <c r="H5256" s="23"/>
      <c r="K5256" s="21">
        <f>SUM(J5254:J5255)</f>
        <v>21.588000000000001</v>
      </c>
    </row>
    <row r="5257" spans="1:27" x14ac:dyDescent="0.2">
      <c r="B5257" s="14" t="s">
        <v>1080</v>
      </c>
      <c r="E5257" s="23"/>
      <c r="H5257" s="23"/>
      <c r="K5257" s="23"/>
    </row>
    <row r="5258" spans="1:27" x14ac:dyDescent="0.2">
      <c r="B5258" t="s">
        <v>4194</v>
      </c>
      <c r="C5258" t="s">
        <v>23</v>
      </c>
      <c r="D5258" t="s">
        <v>4195</v>
      </c>
      <c r="E5258" s="20">
        <v>1</v>
      </c>
      <c r="G5258" t="s">
        <v>1073</v>
      </c>
      <c r="H5258" s="21">
        <v>335</v>
      </c>
      <c r="I5258" t="s">
        <v>1074</v>
      </c>
      <c r="J5258" s="22">
        <f>ROUND(E5258* H5258,5)</f>
        <v>335</v>
      </c>
      <c r="K5258" s="23"/>
    </row>
    <row r="5259" spans="1:27" x14ac:dyDescent="0.2">
      <c r="D5259" s="24" t="s">
        <v>1090</v>
      </c>
      <c r="E5259" s="23"/>
      <c r="H5259" s="23"/>
      <c r="K5259" s="21">
        <f>SUM(J5258:J5258)</f>
        <v>335</v>
      </c>
    </row>
    <row r="5260" spans="1:27" x14ac:dyDescent="0.2">
      <c r="E5260" s="23"/>
      <c r="H5260" s="23"/>
      <c r="K5260" s="23"/>
    </row>
    <row r="5261" spans="1:27" x14ac:dyDescent="0.2">
      <c r="D5261" s="24" t="s">
        <v>1092</v>
      </c>
      <c r="E5261" s="23"/>
      <c r="H5261" s="23">
        <v>2.5</v>
      </c>
      <c r="I5261" t="s">
        <v>1093</v>
      </c>
      <c r="J5261">
        <f>ROUND(H5261/100*K5256,5)</f>
        <v>0.53969999999999996</v>
      </c>
      <c r="K5261" s="23"/>
    </row>
    <row r="5262" spans="1:27" x14ac:dyDescent="0.2">
      <c r="D5262" s="24" t="s">
        <v>1091</v>
      </c>
      <c r="E5262" s="23"/>
      <c r="H5262" s="23"/>
      <c r="K5262" s="25">
        <f>SUM(J5253:J5261)</f>
        <v>357.1277</v>
      </c>
    </row>
    <row r="5263" spans="1:27" x14ac:dyDescent="0.2">
      <c r="D5263" s="24" t="s">
        <v>1142</v>
      </c>
      <c r="E5263" s="23"/>
      <c r="H5263" s="23">
        <v>8</v>
      </c>
      <c r="I5263" t="s">
        <v>1093</v>
      </c>
      <c r="K5263" s="21">
        <f>ROUND(H5263/100*K5262,5)</f>
        <v>28.570219999999999</v>
      </c>
    </row>
    <row r="5264" spans="1:27" x14ac:dyDescent="0.2">
      <c r="D5264" s="24" t="s">
        <v>1094</v>
      </c>
      <c r="E5264" s="23"/>
      <c r="H5264" s="23"/>
      <c r="K5264" s="25">
        <f>SUM(K5262:K5263)</f>
        <v>385.69792000000001</v>
      </c>
    </row>
    <row r="5266" spans="1:27" ht="45" customHeight="1" x14ac:dyDescent="0.2">
      <c r="A5266" s="17" t="s">
        <v>4196</v>
      </c>
      <c r="B5266" s="17" t="s">
        <v>962</v>
      </c>
      <c r="C5266" s="1" t="s">
        <v>23</v>
      </c>
      <c r="D5266" s="96" t="s">
        <v>3947</v>
      </c>
      <c r="E5266" s="97"/>
      <c r="F5266" s="97"/>
      <c r="G5266" s="1"/>
      <c r="H5266" s="18" t="s">
        <v>1066</v>
      </c>
      <c r="I5266" s="98">
        <v>1</v>
      </c>
      <c r="J5266" s="99"/>
      <c r="K5266" s="19">
        <v>10260</v>
      </c>
      <c r="L5266" s="2" t="s">
        <v>2779</v>
      </c>
      <c r="M5266" s="1"/>
      <c r="N5266" s="1"/>
      <c r="O5266" s="1"/>
      <c r="P5266" s="1"/>
      <c r="Q5266" s="1"/>
      <c r="R5266" s="1"/>
      <c r="S5266" s="1"/>
      <c r="T5266" s="1"/>
      <c r="U5266" s="1"/>
      <c r="V5266" s="1"/>
      <c r="W5266" s="1"/>
      <c r="X5266" s="1"/>
      <c r="Y5266" s="1"/>
      <c r="Z5266" s="1"/>
      <c r="AA5266" s="1"/>
    </row>
    <row r="5267" spans="1:27" ht="45" customHeight="1" x14ac:dyDescent="0.2">
      <c r="A5267" s="17" t="s">
        <v>4197</v>
      </c>
      <c r="B5267" s="17" t="s">
        <v>963</v>
      </c>
      <c r="C5267" s="1" t="s">
        <v>23</v>
      </c>
      <c r="D5267" s="96" t="s">
        <v>3948</v>
      </c>
      <c r="E5267" s="97"/>
      <c r="F5267" s="97"/>
      <c r="G5267" s="1"/>
      <c r="H5267" s="18" t="s">
        <v>1066</v>
      </c>
      <c r="I5267" s="98">
        <v>1</v>
      </c>
      <c r="J5267" s="99"/>
      <c r="K5267" s="19">
        <v>5724</v>
      </c>
      <c r="L5267" s="2" t="s">
        <v>2781</v>
      </c>
      <c r="M5267" s="1"/>
      <c r="N5267" s="1"/>
      <c r="O5267" s="1"/>
      <c r="P5267" s="1"/>
      <c r="Q5267" s="1"/>
      <c r="R5267" s="1"/>
      <c r="S5267" s="1"/>
      <c r="T5267" s="1"/>
      <c r="U5267" s="1"/>
      <c r="V5267" s="1"/>
      <c r="W5267" s="1"/>
      <c r="X5267" s="1"/>
      <c r="Y5267" s="1"/>
      <c r="Z5267" s="1"/>
      <c r="AA5267" s="1"/>
    </row>
    <row r="5268" spans="1:27" ht="45" customHeight="1" x14ac:dyDescent="0.2">
      <c r="A5268" s="17" t="s">
        <v>4198</v>
      </c>
      <c r="B5268" s="17" t="s">
        <v>964</v>
      </c>
      <c r="C5268" s="1" t="s">
        <v>23</v>
      </c>
      <c r="D5268" s="96" t="s">
        <v>3949</v>
      </c>
      <c r="E5268" s="97"/>
      <c r="F5268" s="97"/>
      <c r="G5268" s="1"/>
      <c r="H5268" s="18" t="s">
        <v>1066</v>
      </c>
      <c r="I5268" s="98">
        <v>1</v>
      </c>
      <c r="J5268" s="99"/>
      <c r="K5268" s="19">
        <v>810</v>
      </c>
      <c r="L5268" s="2" t="s">
        <v>2783</v>
      </c>
      <c r="M5268" s="1"/>
      <c r="N5268" s="1"/>
      <c r="O5268" s="1"/>
      <c r="P5268" s="1"/>
      <c r="Q5268" s="1"/>
      <c r="R5268" s="1"/>
      <c r="S5268" s="1"/>
      <c r="T5268" s="1"/>
      <c r="U5268" s="1"/>
      <c r="V5268" s="1"/>
      <c r="W5268" s="1"/>
      <c r="X5268" s="1"/>
      <c r="Y5268" s="1"/>
      <c r="Z5268" s="1"/>
      <c r="AA5268" s="1"/>
    </row>
    <row r="5269" spans="1:27" ht="45" customHeight="1" x14ac:dyDescent="0.2">
      <c r="A5269" s="17" t="s">
        <v>4199</v>
      </c>
      <c r="B5269" s="17" t="s">
        <v>965</v>
      </c>
      <c r="C5269" s="1" t="s">
        <v>23</v>
      </c>
      <c r="D5269" s="96" t="s">
        <v>3950</v>
      </c>
      <c r="E5269" s="97"/>
      <c r="F5269" s="97"/>
      <c r="G5269" s="1"/>
      <c r="H5269" s="18" t="s">
        <v>1066</v>
      </c>
      <c r="I5269" s="98">
        <v>1</v>
      </c>
      <c r="J5269" s="99"/>
      <c r="K5269" s="19">
        <v>864</v>
      </c>
      <c r="L5269" s="2" t="s">
        <v>2785</v>
      </c>
      <c r="M5269" s="1"/>
      <c r="N5269" s="1"/>
      <c r="O5269" s="1"/>
      <c r="P5269" s="1"/>
      <c r="Q5269" s="1"/>
      <c r="R5269" s="1"/>
      <c r="S5269" s="1"/>
      <c r="T5269" s="1"/>
      <c r="U5269" s="1"/>
      <c r="V5269" s="1"/>
      <c r="W5269" s="1"/>
      <c r="X5269" s="1"/>
      <c r="Y5269" s="1"/>
      <c r="Z5269" s="1"/>
      <c r="AA5269" s="1"/>
    </row>
    <row r="5270" spans="1:27" ht="45" customHeight="1" x14ac:dyDescent="0.2">
      <c r="A5270" s="17" t="s">
        <v>4200</v>
      </c>
      <c r="B5270" s="17" t="s">
        <v>966</v>
      </c>
      <c r="C5270" s="1" t="s">
        <v>23</v>
      </c>
      <c r="D5270" s="96" t="s">
        <v>3951</v>
      </c>
      <c r="E5270" s="97"/>
      <c r="F5270" s="97"/>
      <c r="G5270" s="1"/>
      <c r="H5270" s="18" t="s">
        <v>1066</v>
      </c>
      <c r="I5270" s="98">
        <v>1</v>
      </c>
      <c r="J5270" s="99"/>
      <c r="K5270" s="19">
        <v>4860</v>
      </c>
      <c r="L5270" s="2" t="s">
        <v>2787</v>
      </c>
      <c r="M5270" s="1"/>
      <c r="N5270" s="1"/>
      <c r="O5270" s="1"/>
      <c r="P5270" s="1"/>
      <c r="Q5270" s="1"/>
      <c r="R5270" s="1"/>
      <c r="S5270" s="1"/>
      <c r="T5270" s="1"/>
      <c r="U5270" s="1"/>
      <c r="V5270" s="1"/>
      <c r="W5270" s="1"/>
      <c r="X5270" s="1"/>
      <c r="Y5270" s="1"/>
      <c r="Z5270" s="1"/>
      <c r="AA5270" s="1"/>
    </row>
    <row r="5271" spans="1:27" ht="45" customHeight="1" x14ac:dyDescent="0.2">
      <c r="A5271" s="17" t="s">
        <v>4201</v>
      </c>
      <c r="B5271" s="17" t="s">
        <v>967</v>
      </c>
      <c r="C5271" s="1" t="s">
        <v>23</v>
      </c>
      <c r="D5271" s="96" t="s">
        <v>3952</v>
      </c>
      <c r="E5271" s="97"/>
      <c r="F5271" s="97"/>
      <c r="G5271" s="1"/>
      <c r="H5271" s="18" t="s">
        <v>1066</v>
      </c>
      <c r="I5271" s="98">
        <v>1</v>
      </c>
      <c r="J5271" s="99"/>
      <c r="K5271" s="19">
        <v>1620</v>
      </c>
      <c r="L5271" s="2" t="s">
        <v>4202</v>
      </c>
      <c r="M5271" s="1"/>
      <c r="N5271" s="1"/>
      <c r="O5271" s="1"/>
      <c r="P5271" s="1"/>
      <c r="Q5271" s="1"/>
      <c r="R5271" s="1"/>
      <c r="S5271" s="1"/>
      <c r="T5271" s="1"/>
      <c r="U5271" s="1"/>
      <c r="V5271" s="1"/>
      <c r="W5271" s="1"/>
      <c r="X5271" s="1"/>
      <c r="Y5271" s="1"/>
      <c r="Z5271" s="1"/>
      <c r="AA5271" s="1"/>
    </row>
    <row r="5272" spans="1:27" ht="45" customHeight="1" x14ac:dyDescent="0.2">
      <c r="A5272" s="17" t="s">
        <v>4203</v>
      </c>
      <c r="B5272" s="17" t="s">
        <v>968</v>
      </c>
      <c r="C5272" s="1" t="s">
        <v>23</v>
      </c>
      <c r="D5272" s="96" t="s">
        <v>3953</v>
      </c>
      <c r="E5272" s="97"/>
      <c r="F5272" s="97"/>
      <c r="G5272" s="1"/>
      <c r="H5272" s="18" t="s">
        <v>1066</v>
      </c>
      <c r="I5272" s="98">
        <v>1</v>
      </c>
      <c r="J5272" s="99"/>
      <c r="K5272" s="19">
        <v>2052</v>
      </c>
      <c r="L5272" s="2" t="s">
        <v>4204</v>
      </c>
      <c r="M5272" s="1"/>
      <c r="N5272" s="1"/>
      <c r="O5272" s="1"/>
      <c r="P5272" s="1"/>
      <c r="Q5272" s="1"/>
      <c r="R5272" s="1"/>
      <c r="S5272" s="1"/>
      <c r="T5272" s="1"/>
      <c r="U5272" s="1"/>
      <c r="V5272" s="1"/>
      <c r="W5272" s="1"/>
      <c r="X5272" s="1"/>
      <c r="Y5272" s="1"/>
      <c r="Z5272" s="1"/>
      <c r="AA5272" s="1"/>
    </row>
    <row r="5273" spans="1:27" ht="45" customHeight="1" x14ac:dyDescent="0.2">
      <c r="A5273" s="17" t="s">
        <v>4205</v>
      </c>
      <c r="B5273" s="17" t="s">
        <v>4002</v>
      </c>
      <c r="C5273" s="1" t="s">
        <v>23</v>
      </c>
      <c r="D5273" s="96" t="s">
        <v>4003</v>
      </c>
      <c r="E5273" s="97"/>
      <c r="F5273" s="97"/>
      <c r="G5273" s="1"/>
      <c r="H5273" s="18" t="s">
        <v>1066</v>
      </c>
      <c r="I5273" s="98">
        <v>1</v>
      </c>
      <c r="J5273" s="99"/>
      <c r="K5273" s="19">
        <v>2600</v>
      </c>
      <c r="L5273" s="2" t="s">
        <v>4206</v>
      </c>
      <c r="M5273" s="1"/>
      <c r="N5273" s="1"/>
      <c r="O5273" s="1"/>
      <c r="P5273" s="1"/>
      <c r="Q5273" s="1"/>
      <c r="R5273" s="1"/>
      <c r="S5273" s="1"/>
      <c r="T5273" s="1"/>
      <c r="U5273" s="1"/>
      <c r="V5273" s="1"/>
      <c r="W5273" s="1"/>
      <c r="X5273" s="1"/>
      <c r="Y5273" s="1"/>
      <c r="Z5273" s="1"/>
      <c r="AA5273" s="1"/>
    </row>
    <row r="5274" spans="1:27" ht="45" customHeight="1" x14ac:dyDescent="0.2">
      <c r="A5274" s="17" t="s">
        <v>4207</v>
      </c>
      <c r="B5274" s="17" t="s">
        <v>3958</v>
      </c>
      <c r="C5274" s="1" t="s">
        <v>23</v>
      </c>
      <c r="D5274" s="96" t="s">
        <v>3959</v>
      </c>
      <c r="E5274" s="97"/>
      <c r="F5274" s="97"/>
      <c r="G5274" s="1"/>
      <c r="H5274" s="18" t="s">
        <v>1066</v>
      </c>
      <c r="I5274" s="98">
        <v>1</v>
      </c>
      <c r="J5274" s="99"/>
      <c r="K5274" s="19">
        <f>ROUND(K5286,2)</f>
        <v>315.94</v>
      </c>
      <c r="L5274" s="2" t="s">
        <v>4208</v>
      </c>
      <c r="M5274" s="1"/>
      <c r="N5274" s="1"/>
      <c r="O5274" s="1"/>
      <c r="P5274" s="1"/>
      <c r="Q5274" s="1"/>
      <c r="R5274" s="1"/>
      <c r="S5274" s="1"/>
      <c r="T5274" s="1"/>
      <c r="U5274" s="1"/>
      <c r="V5274" s="1"/>
      <c r="W5274" s="1"/>
      <c r="X5274" s="1"/>
      <c r="Y5274" s="1"/>
      <c r="Z5274" s="1"/>
      <c r="AA5274" s="1"/>
    </row>
    <row r="5275" spans="1:27" x14ac:dyDescent="0.2">
      <c r="B5275" s="14" t="s">
        <v>1068</v>
      </c>
    </row>
    <row r="5276" spans="1:27" x14ac:dyDescent="0.2">
      <c r="B5276" t="s">
        <v>1138</v>
      </c>
      <c r="C5276" t="s">
        <v>1070</v>
      </c>
      <c r="D5276" t="s">
        <v>1139</v>
      </c>
      <c r="E5276" s="20">
        <v>0.4</v>
      </c>
      <c r="F5276" t="s">
        <v>1072</v>
      </c>
      <c r="G5276" t="s">
        <v>1073</v>
      </c>
      <c r="H5276" s="21">
        <v>26.12</v>
      </c>
      <c r="I5276" t="s">
        <v>1074</v>
      </c>
      <c r="J5276" s="22">
        <f>ROUND(E5276/I5274* H5276,5)</f>
        <v>10.448</v>
      </c>
      <c r="K5276" s="23"/>
    </row>
    <row r="5277" spans="1:27" x14ac:dyDescent="0.2">
      <c r="B5277" t="s">
        <v>1136</v>
      </c>
      <c r="C5277" t="s">
        <v>1070</v>
      </c>
      <c r="D5277" t="s">
        <v>1137</v>
      </c>
      <c r="E5277" s="20">
        <v>0.4</v>
      </c>
      <c r="F5277" t="s">
        <v>1072</v>
      </c>
      <c r="G5277" t="s">
        <v>1073</v>
      </c>
      <c r="H5277" s="21">
        <v>30.41</v>
      </c>
      <c r="I5277" t="s">
        <v>1074</v>
      </c>
      <c r="J5277" s="22">
        <f>ROUND(E5277/I5274* H5277,5)</f>
        <v>12.164</v>
      </c>
      <c r="K5277" s="23"/>
    </row>
    <row r="5278" spans="1:27" x14ac:dyDescent="0.2">
      <c r="D5278" s="24" t="s">
        <v>1075</v>
      </c>
      <c r="E5278" s="23"/>
      <c r="H5278" s="23"/>
      <c r="K5278" s="21">
        <f>SUM(J5276:J5277)</f>
        <v>22.612000000000002</v>
      </c>
    </row>
    <row r="5279" spans="1:27" x14ac:dyDescent="0.2">
      <c r="B5279" s="14" t="s">
        <v>1080</v>
      </c>
      <c r="E5279" s="23"/>
      <c r="H5279" s="23"/>
      <c r="K5279" s="23"/>
    </row>
    <row r="5280" spans="1:27" x14ac:dyDescent="0.2">
      <c r="B5280" t="s">
        <v>4209</v>
      </c>
      <c r="C5280" t="s">
        <v>23</v>
      </c>
      <c r="D5280" t="s">
        <v>3959</v>
      </c>
      <c r="E5280" s="20">
        <v>1</v>
      </c>
      <c r="G5280" t="s">
        <v>1073</v>
      </c>
      <c r="H5280" s="21">
        <v>269.58999999999997</v>
      </c>
      <c r="I5280" t="s">
        <v>1074</v>
      </c>
      <c r="J5280" s="22">
        <f>ROUND(E5280* H5280,5)</f>
        <v>269.58999999999997</v>
      </c>
      <c r="K5280" s="23"/>
    </row>
    <row r="5281" spans="1:27" x14ac:dyDescent="0.2">
      <c r="D5281" s="24" t="s">
        <v>1090</v>
      </c>
      <c r="E5281" s="23"/>
      <c r="H5281" s="23"/>
      <c r="K5281" s="21">
        <f>SUM(J5280:J5280)</f>
        <v>269.58999999999997</v>
      </c>
    </row>
    <row r="5282" spans="1:27" x14ac:dyDescent="0.2">
      <c r="E5282" s="23"/>
      <c r="H5282" s="23"/>
      <c r="K5282" s="23"/>
    </row>
    <row r="5283" spans="1:27" x14ac:dyDescent="0.2">
      <c r="D5283" s="24" t="s">
        <v>1092</v>
      </c>
      <c r="E5283" s="23"/>
      <c r="H5283" s="23">
        <v>1.5</v>
      </c>
      <c r="I5283" t="s">
        <v>1093</v>
      </c>
      <c r="J5283">
        <f>ROUND(H5283/100*K5278,5)</f>
        <v>0.33917999999999998</v>
      </c>
      <c r="K5283" s="23"/>
    </row>
    <row r="5284" spans="1:27" x14ac:dyDescent="0.2">
      <c r="D5284" s="24" t="s">
        <v>1091</v>
      </c>
      <c r="E5284" s="23"/>
      <c r="H5284" s="23"/>
      <c r="K5284" s="25">
        <f>SUM(J5275:J5283)</f>
        <v>292.54118</v>
      </c>
    </row>
    <row r="5285" spans="1:27" x14ac:dyDescent="0.2">
      <c r="D5285" s="24" t="s">
        <v>1142</v>
      </c>
      <c r="E5285" s="23"/>
      <c r="H5285" s="23">
        <v>8</v>
      </c>
      <c r="I5285" t="s">
        <v>1093</v>
      </c>
      <c r="K5285" s="21">
        <f>ROUND(H5285/100*K5284,5)</f>
        <v>23.403289999999998</v>
      </c>
    </row>
    <row r="5286" spans="1:27" x14ac:dyDescent="0.2">
      <c r="D5286" s="24" t="s">
        <v>1094</v>
      </c>
      <c r="E5286" s="23"/>
      <c r="H5286" s="23"/>
      <c r="K5286" s="25">
        <f>SUM(K5284:K5285)</f>
        <v>315.94447000000002</v>
      </c>
    </row>
    <row r="5288" spans="1:27" ht="45" customHeight="1" x14ac:dyDescent="0.2">
      <c r="A5288" s="17" t="s">
        <v>4210</v>
      </c>
      <c r="B5288" s="17" t="s">
        <v>3976</v>
      </c>
      <c r="C5288" s="1" t="s">
        <v>23</v>
      </c>
      <c r="D5288" s="96" t="s">
        <v>3977</v>
      </c>
      <c r="E5288" s="97"/>
      <c r="F5288" s="97"/>
      <c r="G5288" s="1"/>
      <c r="H5288" s="18" t="s">
        <v>1066</v>
      </c>
      <c r="I5288" s="98">
        <v>1</v>
      </c>
      <c r="J5288" s="99"/>
      <c r="K5288" s="19">
        <f>ROUND(K5299,2)</f>
        <v>75.59</v>
      </c>
      <c r="L5288" s="2" t="s">
        <v>4211</v>
      </c>
      <c r="M5288" s="1"/>
      <c r="N5288" s="1"/>
      <c r="O5288" s="1"/>
      <c r="P5288" s="1"/>
      <c r="Q5288" s="1"/>
      <c r="R5288" s="1"/>
      <c r="S5288" s="1"/>
      <c r="T5288" s="1"/>
      <c r="U5288" s="1"/>
      <c r="V5288" s="1"/>
      <c r="W5288" s="1"/>
      <c r="X5288" s="1"/>
      <c r="Y5288" s="1"/>
      <c r="Z5288" s="1"/>
      <c r="AA5288" s="1"/>
    </row>
    <row r="5289" spans="1:27" x14ac:dyDescent="0.2">
      <c r="B5289" s="14" t="s">
        <v>1068</v>
      </c>
    </row>
    <row r="5290" spans="1:27" x14ac:dyDescent="0.2">
      <c r="B5290" t="s">
        <v>1512</v>
      </c>
      <c r="C5290" t="s">
        <v>1070</v>
      </c>
      <c r="D5290" t="s">
        <v>1513</v>
      </c>
      <c r="E5290" s="20">
        <v>0.05</v>
      </c>
      <c r="F5290" t="s">
        <v>1072</v>
      </c>
      <c r="G5290" t="s">
        <v>1073</v>
      </c>
      <c r="H5290" s="21">
        <v>29.42</v>
      </c>
      <c r="I5290" t="s">
        <v>1074</v>
      </c>
      <c r="J5290" s="22">
        <f>ROUND(E5290/I5288* H5290,5)</f>
        <v>1.4710000000000001</v>
      </c>
      <c r="K5290" s="23"/>
    </row>
    <row r="5291" spans="1:27" x14ac:dyDescent="0.2">
      <c r="D5291" s="24" t="s">
        <v>1075</v>
      </c>
      <c r="E5291" s="23"/>
      <c r="H5291" s="23"/>
      <c r="K5291" s="21">
        <f>SUM(J5290:J5290)</f>
        <v>1.4710000000000001</v>
      </c>
    </row>
    <row r="5292" spans="1:27" x14ac:dyDescent="0.2">
      <c r="B5292" s="14" t="s">
        <v>1080</v>
      </c>
      <c r="E5292" s="23"/>
      <c r="H5292" s="23"/>
      <c r="K5292" s="23"/>
    </row>
    <row r="5293" spans="1:27" x14ac:dyDescent="0.2">
      <c r="B5293" t="s">
        <v>4212</v>
      </c>
      <c r="C5293" t="s">
        <v>23</v>
      </c>
      <c r="D5293" t="s">
        <v>3977</v>
      </c>
      <c r="E5293" s="20">
        <v>1</v>
      </c>
      <c r="G5293" t="s">
        <v>1073</v>
      </c>
      <c r="H5293" s="21">
        <v>68.5</v>
      </c>
      <c r="I5293" t="s">
        <v>1074</v>
      </c>
      <c r="J5293" s="22">
        <f>ROUND(E5293* H5293,5)</f>
        <v>68.5</v>
      </c>
      <c r="K5293" s="23"/>
    </row>
    <row r="5294" spans="1:27" x14ac:dyDescent="0.2">
      <c r="D5294" s="24" t="s">
        <v>1090</v>
      </c>
      <c r="E5294" s="23"/>
      <c r="H5294" s="23"/>
      <c r="K5294" s="21">
        <f>SUM(J5293:J5293)</f>
        <v>68.5</v>
      </c>
    </row>
    <row r="5295" spans="1:27" x14ac:dyDescent="0.2">
      <c r="E5295" s="23"/>
      <c r="H5295" s="23"/>
      <c r="K5295" s="23"/>
    </row>
    <row r="5296" spans="1:27" x14ac:dyDescent="0.2">
      <c r="D5296" s="24" t="s">
        <v>1092</v>
      </c>
      <c r="E5296" s="23"/>
      <c r="H5296" s="23">
        <v>1.5</v>
      </c>
      <c r="I5296" t="s">
        <v>1093</v>
      </c>
      <c r="J5296">
        <f>ROUND(H5296/100*K5291,5)</f>
        <v>2.2069999999999999E-2</v>
      </c>
      <c r="K5296" s="23"/>
    </row>
    <row r="5297" spans="1:27" x14ac:dyDescent="0.2">
      <c r="D5297" s="24" t="s">
        <v>1091</v>
      </c>
      <c r="E5297" s="23"/>
      <c r="H5297" s="23"/>
      <c r="K5297" s="25">
        <f>SUM(J5289:J5296)</f>
        <v>69.993070000000003</v>
      </c>
    </row>
    <row r="5298" spans="1:27" x14ac:dyDescent="0.2">
      <c r="D5298" s="24" t="s">
        <v>1142</v>
      </c>
      <c r="E5298" s="23"/>
      <c r="H5298" s="23">
        <v>8</v>
      </c>
      <c r="I5298" t="s">
        <v>1093</v>
      </c>
      <c r="K5298" s="21">
        <f>ROUND(H5298/100*K5297,5)</f>
        <v>5.59945</v>
      </c>
    </row>
    <row r="5299" spans="1:27" x14ac:dyDescent="0.2">
      <c r="D5299" s="24" t="s">
        <v>1094</v>
      </c>
      <c r="E5299" s="23"/>
      <c r="H5299" s="23"/>
      <c r="K5299" s="25">
        <f>SUM(K5297:K5298)</f>
        <v>75.592520000000007</v>
      </c>
    </row>
    <row r="5301" spans="1:27" ht="45" customHeight="1" x14ac:dyDescent="0.2">
      <c r="A5301" s="17" t="s">
        <v>4213</v>
      </c>
      <c r="B5301" s="17" t="s">
        <v>3974</v>
      </c>
      <c r="C5301" s="1" t="s">
        <v>23</v>
      </c>
      <c r="D5301" s="96" t="s">
        <v>3975</v>
      </c>
      <c r="E5301" s="97"/>
      <c r="F5301" s="97"/>
      <c r="G5301" s="1"/>
      <c r="H5301" s="18" t="s">
        <v>1066</v>
      </c>
      <c r="I5301" s="98">
        <v>1</v>
      </c>
      <c r="J5301" s="99"/>
      <c r="K5301" s="19">
        <f>ROUND(K5312,2)</f>
        <v>33.15</v>
      </c>
      <c r="L5301" s="2" t="s">
        <v>4214</v>
      </c>
      <c r="M5301" s="1"/>
      <c r="N5301" s="1"/>
      <c r="O5301" s="1"/>
      <c r="P5301" s="1"/>
      <c r="Q5301" s="1"/>
      <c r="R5301" s="1"/>
      <c r="S5301" s="1"/>
      <c r="T5301" s="1"/>
      <c r="U5301" s="1"/>
      <c r="V5301" s="1"/>
      <c r="W5301" s="1"/>
      <c r="X5301" s="1"/>
      <c r="Y5301" s="1"/>
      <c r="Z5301" s="1"/>
      <c r="AA5301" s="1"/>
    </row>
    <row r="5302" spans="1:27" x14ac:dyDescent="0.2">
      <c r="B5302" s="14" t="s">
        <v>1068</v>
      </c>
    </row>
    <row r="5303" spans="1:27" x14ac:dyDescent="0.2">
      <c r="B5303" t="s">
        <v>1512</v>
      </c>
      <c r="C5303" t="s">
        <v>1070</v>
      </c>
      <c r="D5303" t="s">
        <v>1513</v>
      </c>
      <c r="E5303" s="20">
        <v>0.05</v>
      </c>
      <c r="F5303" t="s">
        <v>1072</v>
      </c>
      <c r="G5303" t="s">
        <v>1073</v>
      </c>
      <c r="H5303" s="21">
        <v>29.42</v>
      </c>
      <c r="I5303" t="s">
        <v>1074</v>
      </c>
      <c r="J5303" s="22">
        <f>ROUND(E5303/I5301* H5303,5)</f>
        <v>1.4710000000000001</v>
      </c>
      <c r="K5303" s="23"/>
    </row>
    <row r="5304" spans="1:27" x14ac:dyDescent="0.2">
      <c r="D5304" s="24" t="s">
        <v>1075</v>
      </c>
      <c r="E5304" s="23"/>
      <c r="H5304" s="23"/>
      <c r="K5304" s="21">
        <f>SUM(J5303:J5303)</f>
        <v>1.4710000000000001</v>
      </c>
    </row>
    <row r="5305" spans="1:27" x14ac:dyDescent="0.2">
      <c r="B5305" s="14" t="s">
        <v>1080</v>
      </c>
      <c r="E5305" s="23"/>
      <c r="H5305" s="23"/>
      <c r="K5305" s="23"/>
    </row>
    <row r="5306" spans="1:27" x14ac:dyDescent="0.2">
      <c r="B5306" t="s">
        <v>4215</v>
      </c>
      <c r="C5306" t="s">
        <v>23</v>
      </c>
      <c r="D5306" t="s">
        <v>3975</v>
      </c>
      <c r="E5306" s="20">
        <v>1</v>
      </c>
      <c r="G5306" t="s">
        <v>1073</v>
      </c>
      <c r="H5306" s="21">
        <v>29.2</v>
      </c>
      <c r="I5306" t="s">
        <v>1074</v>
      </c>
      <c r="J5306" s="22">
        <f>ROUND(E5306* H5306,5)</f>
        <v>29.2</v>
      </c>
      <c r="K5306" s="23"/>
    </row>
    <row r="5307" spans="1:27" x14ac:dyDescent="0.2">
      <c r="D5307" s="24" t="s">
        <v>1090</v>
      </c>
      <c r="E5307" s="23"/>
      <c r="H5307" s="23"/>
      <c r="K5307" s="21">
        <f>SUM(J5306:J5306)</f>
        <v>29.2</v>
      </c>
    </row>
    <row r="5308" spans="1:27" x14ac:dyDescent="0.2">
      <c r="E5308" s="23"/>
      <c r="H5308" s="23"/>
      <c r="K5308" s="23"/>
    </row>
    <row r="5309" spans="1:27" x14ac:dyDescent="0.2">
      <c r="D5309" s="24" t="s">
        <v>1092</v>
      </c>
      <c r="E5309" s="23"/>
      <c r="H5309" s="23">
        <v>1.5</v>
      </c>
      <c r="I5309" t="s">
        <v>1093</v>
      </c>
      <c r="J5309">
        <f>ROUND(H5309/100*K5304,5)</f>
        <v>2.2069999999999999E-2</v>
      </c>
      <c r="K5309" s="23"/>
    </row>
    <row r="5310" spans="1:27" x14ac:dyDescent="0.2">
      <c r="D5310" s="24" t="s">
        <v>1091</v>
      </c>
      <c r="E5310" s="23"/>
      <c r="H5310" s="23"/>
      <c r="K5310" s="25">
        <f>SUM(J5302:J5309)</f>
        <v>30.693069999999999</v>
      </c>
    </row>
    <row r="5311" spans="1:27" x14ac:dyDescent="0.2">
      <c r="D5311" s="24" t="s">
        <v>1142</v>
      </c>
      <c r="E5311" s="23"/>
      <c r="H5311" s="23">
        <v>8</v>
      </c>
      <c r="I5311" t="s">
        <v>1093</v>
      </c>
      <c r="K5311" s="21">
        <f>ROUND(H5311/100*K5310,5)</f>
        <v>2.4554499999999999</v>
      </c>
    </row>
    <row r="5312" spans="1:27" x14ac:dyDescent="0.2">
      <c r="D5312" s="24" t="s">
        <v>1094</v>
      </c>
      <c r="E5312" s="23"/>
      <c r="H5312" s="23"/>
      <c r="K5312" s="25">
        <f>SUM(K5310:K5311)</f>
        <v>33.148519999999998</v>
      </c>
    </row>
    <row r="5314" spans="1:27" ht="45" customHeight="1" x14ac:dyDescent="0.2">
      <c r="A5314" s="17" t="s">
        <v>4216</v>
      </c>
      <c r="B5314" s="17" t="s">
        <v>22</v>
      </c>
      <c r="C5314" s="1" t="s">
        <v>23</v>
      </c>
      <c r="D5314" s="96" t="s">
        <v>24</v>
      </c>
      <c r="E5314" s="97"/>
      <c r="F5314" s="97"/>
      <c r="G5314" s="1"/>
      <c r="H5314" s="18" t="s">
        <v>1066</v>
      </c>
      <c r="I5314" s="98">
        <v>1</v>
      </c>
      <c r="J5314" s="99"/>
      <c r="K5314" s="19">
        <f>ROUND(K5331,2)</f>
        <v>47.55</v>
      </c>
      <c r="L5314" s="2" t="s">
        <v>2791</v>
      </c>
      <c r="M5314" s="1"/>
      <c r="N5314" s="1"/>
      <c r="O5314" s="1"/>
      <c r="P5314" s="1"/>
      <c r="Q5314" s="1"/>
      <c r="R5314" s="1"/>
      <c r="S5314" s="1"/>
      <c r="T5314" s="1"/>
      <c r="U5314" s="1"/>
      <c r="V5314" s="1"/>
      <c r="W5314" s="1"/>
      <c r="X5314" s="1"/>
      <c r="Y5314" s="1"/>
      <c r="Z5314" s="1"/>
      <c r="AA5314" s="1"/>
    </row>
    <row r="5315" spans="1:27" x14ac:dyDescent="0.2">
      <c r="B5315" s="14" t="s">
        <v>1068</v>
      </c>
    </row>
    <row r="5316" spans="1:27" x14ac:dyDescent="0.2">
      <c r="B5316" t="s">
        <v>2794</v>
      </c>
      <c r="C5316" t="s">
        <v>1070</v>
      </c>
      <c r="D5316" t="s">
        <v>2795</v>
      </c>
      <c r="E5316" s="20">
        <v>0.42</v>
      </c>
      <c r="F5316" t="s">
        <v>1072</v>
      </c>
      <c r="G5316" t="s">
        <v>1073</v>
      </c>
      <c r="H5316" s="21">
        <v>42.93</v>
      </c>
      <c r="I5316" t="s">
        <v>1074</v>
      </c>
      <c r="J5316" s="22">
        <f>ROUND(E5316/I5314* H5316,5)</f>
        <v>18.0306</v>
      </c>
      <c r="K5316" s="23"/>
    </row>
    <row r="5317" spans="1:27" x14ac:dyDescent="0.2">
      <c r="B5317" t="s">
        <v>2792</v>
      </c>
      <c r="C5317" t="s">
        <v>1070</v>
      </c>
      <c r="D5317" t="s">
        <v>2793</v>
      </c>
      <c r="E5317" s="20">
        <v>0.42</v>
      </c>
      <c r="F5317" t="s">
        <v>1072</v>
      </c>
      <c r="G5317" t="s">
        <v>1073</v>
      </c>
      <c r="H5317" s="21">
        <v>31.11</v>
      </c>
      <c r="I5317" t="s">
        <v>1074</v>
      </c>
      <c r="J5317" s="22">
        <f>ROUND(E5317/I5314* H5317,5)</f>
        <v>13.0662</v>
      </c>
      <c r="K5317" s="23"/>
    </row>
    <row r="5318" spans="1:27" x14ac:dyDescent="0.2">
      <c r="D5318" s="24" t="s">
        <v>1075</v>
      </c>
      <c r="E5318" s="23"/>
      <c r="H5318" s="23"/>
      <c r="K5318" s="21">
        <f>SUM(J5316:J5317)</f>
        <v>31.096800000000002</v>
      </c>
    </row>
    <row r="5319" spans="1:27" x14ac:dyDescent="0.2">
      <c r="B5319" s="14" t="s">
        <v>1076</v>
      </c>
      <c r="E5319" s="23"/>
      <c r="H5319" s="23"/>
      <c r="K5319" s="23"/>
    </row>
    <row r="5320" spans="1:27" x14ac:dyDescent="0.2">
      <c r="B5320" t="s">
        <v>2798</v>
      </c>
      <c r="C5320" t="s">
        <v>1070</v>
      </c>
      <c r="D5320" t="s">
        <v>2799</v>
      </c>
      <c r="E5320" s="20">
        <v>0.42</v>
      </c>
      <c r="F5320" t="s">
        <v>1072</v>
      </c>
      <c r="G5320" t="s">
        <v>1073</v>
      </c>
      <c r="H5320" s="21">
        <v>3.51</v>
      </c>
      <c r="I5320" t="s">
        <v>1074</v>
      </c>
      <c r="J5320" s="22">
        <f>ROUND(E5320/I5314* H5320,5)</f>
        <v>1.4742</v>
      </c>
      <c r="K5320" s="23"/>
    </row>
    <row r="5321" spans="1:27" x14ac:dyDescent="0.2">
      <c r="B5321" t="s">
        <v>2796</v>
      </c>
      <c r="C5321" t="s">
        <v>1070</v>
      </c>
      <c r="D5321" t="s">
        <v>2797</v>
      </c>
      <c r="E5321" s="20">
        <v>0.113</v>
      </c>
      <c r="F5321" t="s">
        <v>1072</v>
      </c>
      <c r="G5321" t="s">
        <v>1073</v>
      </c>
      <c r="H5321" s="21">
        <v>62.11</v>
      </c>
      <c r="I5321" t="s">
        <v>1074</v>
      </c>
      <c r="J5321" s="22">
        <f>ROUND(E5321/I5314* H5321,5)</f>
        <v>7.0184300000000004</v>
      </c>
      <c r="K5321" s="23"/>
    </row>
    <row r="5322" spans="1:27" x14ac:dyDescent="0.2">
      <c r="B5322" t="s">
        <v>1247</v>
      </c>
      <c r="C5322" t="s">
        <v>1070</v>
      </c>
      <c r="D5322" t="s">
        <v>1248</v>
      </c>
      <c r="E5322" s="20">
        <v>0.42</v>
      </c>
      <c r="F5322" t="s">
        <v>1072</v>
      </c>
      <c r="G5322" t="s">
        <v>1073</v>
      </c>
      <c r="H5322" s="21">
        <v>3.51</v>
      </c>
      <c r="I5322" t="s">
        <v>1074</v>
      </c>
      <c r="J5322" s="22">
        <f>ROUND(E5322/I5314* H5322,5)</f>
        <v>1.4742</v>
      </c>
      <c r="K5322" s="23"/>
    </row>
    <row r="5323" spans="1:27" x14ac:dyDescent="0.2">
      <c r="D5323" s="24" t="s">
        <v>1079</v>
      </c>
      <c r="E5323" s="23"/>
      <c r="H5323" s="23"/>
      <c r="K5323" s="21">
        <f>SUM(J5320:J5322)</f>
        <v>9.9668299999999999</v>
      </c>
    </row>
    <row r="5324" spans="1:27" x14ac:dyDescent="0.2">
      <c r="B5324" s="14" t="s">
        <v>1080</v>
      </c>
      <c r="E5324" s="23"/>
      <c r="H5324" s="23"/>
      <c r="K5324" s="23"/>
    </row>
    <row r="5325" spans="1:27" x14ac:dyDescent="0.2">
      <c r="B5325" t="s">
        <v>2800</v>
      </c>
      <c r="C5325" t="s">
        <v>1084</v>
      </c>
      <c r="D5325" t="s">
        <v>2801</v>
      </c>
      <c r="E5325" s="20">
        <v>0.05</v>
      </c>
      <c r="G5325" t="s">
        <v>1073</v>
      </c>
      <c r="H5325" s="21">
        <v>50</v>
      </c>
      <c r="I5325" t="s">
        <v>1074</v>
      </c>
      <c r="J5325" s="22">
        <f>ROUND(E5325* H5325,5)</f>
        <v>2.5</v>
      </c>
      <c r="K5325" s="23"/>
    </row>
    <row r="5326" spans="1:27" x14ac:dyDescent="0.2">
      <c r="D5326" s="24" t="s">
        <v>1090</v>
      </c>
      <c r="E5326" s="23"/>
      <c r="H5326" s="23"/>
      <c r="K5326" s="21">
        <f>SUM(J5325:J5325)</f>
        <v>2.5</v>
      </c>
    </row>
    <row r="5327" spans="1:27" x14ac:dyDescent="0.2">
      <c r="E5327" s="23"/>
      <c r="H5327" s="23"/>
      <c r="K5327" s="23"/>
    </row>
    <row r="5328" spans="1:27" x14ac:dyDescent="0.2">
      <c r="D5328" s="24" t="s">
        <v>1092</v>
      </c>
      <c r="E5328" s="23"/>
      <c r="H5328" s="23">
        <v>1.5</v>
      </c>
      <c r="I5328" t="s">
        <v>1093</v>
      </c>
      <c r="J5328">
        <f>ROUND(H5328/100*K5318,5)</f>
        <v>0.46644999999999998</v>
      </c>
      <c r="K5328" s="23"/>
    </row>
    <row r="5329" spans="1:27" x14ac:dyDescent="0.2">
      <c r="D5329" s="24" t="s">
        <v>1091</v>
      </c>
      <c r="E5329" s="23"/>
      <c r="H5329" s="23"/>
      <c r="K5329" s="25">
        <f>SUM(J5315:J5328)</f>
        <v>44.030080000000012</v>
      </c>
    </row>
    <row r="5330" spans="1:27" x14ac:dyDescent="0.2">
      <c r="D5330" s="24" t="s">
        <v>1142</v>
      </c>
      <c r="E5330" s="23"/>
      <c r="H5330" s="23">
        <v>8</v>
      </c>
      <c r="I5330" t="s">
        <v>1093</v>
      </c>
      <c r="K5330" s="21">
        <f>ROUND(H5330/100*K5329,5)</f>
        <v>3.5224099999999998</v>
      </c>
    </row>
    <row r="5331" spans="1:27" x14ac:dyDescent="0.2">
      <c r="D5331" s="24" t="s">
        <v>1094</v>
      </c>
      <c r="E5331" s="23"/>
      <c r="H5331" s="23"/>
      <c r="K5331" s="25">
        <f>SUM(K5329:K5330)</f>
        <v>47.552490000000013</v>
      </c>
    </row>
    <row r="5333" spans="1:27" ht="45" customHeight="1" x14ac:dyDescent="0.2">
      <c r="A5333" s="17" t="s">
        <v>4217</v>
      </c>
      <c r="B5333" s="17" t="s">
        <v>1003</v>
      </c>
      <c r="C5333" s="1" t="s">
        <v>23</v>
      </c>
      <c r="D5333" s="96" t="s">
        <v>1004</v>
      </c>
      <c r="E5333" s="97"/>
      <c r="F5333" s="97"/>
      <c r="G5333" s="1"/>
      <c r="H5333" s="18" t="s">
        <v>1066</v>
      </c>
      <c r="I5333" s="98">
        <v>1</v>
      </c>
      <c r="J5333" s="99"/>
      <c r="K5333" s="19">
        <f>ROUND(K5342,2)</f>
        <v>477.96</v>
      </c>
      <c r="L5333" s="2" t="s">
        <v>2803</v>
      </c>
      <c r="M5333" s="1"/>
      <c r="N5333" s="1"/>
      <c r="O5333" s="1"/>
      <c r="P5333" s="1"/>
      <c r="Q5333" s="1"/>
      <c r="R5333" s="1"/>
      <c r="S5333" s="1"/>
      <c r="T5333" s="1"/>
      <c r="U5333" s="1"/>
      <c r="V5333" s="1"/>
      <c r="W5333" s="1"/>
      <c r="X5333" s="1"/>
      <c r="Y5333" s="1"/>
      <c r="Z5333" s="1"/>
      <c r="AA5333" s="1"/>
    </row>
    <row r="5334" spans="1:27" x14ac:dyDescent="0.2">
      <c r="B5334" s="14" t="s">
        <v>1068</v>
      </c>
    </row>
    <row r="5335" spans="1:27" x14ac:dyDescent="0.2">
      <c r="B5335" t="s">
        <v>1364</v>
      </c>
      <c r="C5335" t="s">
        <v>1070</v>
      </c>
      <c r="D5335" t="s">
        <v>1365</v>
      </c>
      <c r="E5335" s="20">
        <v>8</v>
      </c>
      <c r="F5335" t="s">
        <v>1072</v>
      </c>
      <c r="G5335" t="s">
        <v>1073</v>
      </c>
      <c r="H5335" s="21">
        <v>29.42</v>
      </c>
      <c r="I5335" t="s">
        <v>1074</v>
      </c>
      <c r="J5335" s="22">
        <f>ROUND(E5335/I5333* H5335,5)</f>
        <v>235.36</v>
      </c>
      <c r="K5335" s="23"/>
    </row>
    <row r="5336" spans="1:27" x14ac:dyDescent="0.2">
      <c r="B5336" t="s">
        <v>1205</v>
      </c>
      <c r="C5336" t="s">
        <v>1070</v>
      </c>
      <c r="D5336" t="s">
        <v>1206</v>
      </c>
      <c r="E5336" s="20">
        <v>8</v>
      </c>
      <c r="F5336" t="s">
        <v>1072</v>
      </c>
      <c r="G5336" t="s">
        <v>1073</v>
      </c>
      <c r="H5336" s="21">
        <v>24.55</v>
      </c>
      <c r="I5336" t="s">
        <v>1074</v>
      </c>
      <c r="J5336" s="22">
        <f>ROUND(E5336/I5333* H5336,5)</f>
        <v>196.4</v>
      </c>
      <c r="K5336" s="23"/>
    </row>
    <row r="5337" spans="1:27" x14ac:dyDescent="0.2">
      <c r="D5337" s="24" t="s">
        <v>1075</v>
      </c>
      <c r="E5337" s="23"/>
      <c r="H5337" s="23"/>
      <c r="K5337" s="21">
        <f>SUM(J5335:J5336)</f>
        <v>431.76</v>
      </c>
    </row>
    <row r="5338" spans="1:27" x14ac:dyDescent="0.2">
      <c r="E5338" s="23"/>
      <c r="H5338" s="23"/>
      <c r="K5338" s="23"/>
    </row>
    <row r="5339" spans="1:27" x14ac:dyDescent="0.2">
      <c r="D5339" s="24" t="s">
        <v>1092</v>
      </c>
      <c r="E5339" s="23"/>
      <c r="H5339" s="23">
        <v>2.5</v>
      </c>
      <c r="I5339" t="s">
        <v>1093</v>
      </c>
      <c r="J5339">
        <f>ROUND(H5339/100*K5337,5)</f>
        <v>10.794</v>
      </c>
      <c r="K5339" s="23"/>
    </row>
    <row r="5340" spans="1:27" x14ac:dyDescent="0.2">
      <c r="D5340" s="24" t="s">
        <v>1091</v>
      </c>
      <c r="E5340" s="23"/>
      <c r="H5340" s="23"/>
      <c r="K5340" s="25">
        <f>SUM(J5334:J5339)</f>
        <v>442.55399999999997</v>
      </c>
    </row>
    <row r="5341" spans="1:27" x14ac:dyDescent="0.2">
      <c r="D5341" s="24" t="s">
        <v>1142</v>
      </c>
      <c r="E5341" s="23"/>
      <c r="H5341" s="23">
        <v>8</v>
      </c>
      <c r="I5341" t="s">
        <v>1093</v>
      </c>
      <c r="K5341" s="21">
        <f>ROUND(H5341/100*K5340,5)</f>
        <v>35.404319999999998</v>
      </c>
    </row>
    <row r="5342" spans="1:27" x14ac:dyDescent="0.2">
      <c r="D5342" s="24" t="s">
        <v>1094</v>
      </c>
      <c r="E5342" s="23"/>
      <c r="H5342" s="23"/>
      <c r="K5342" s="25">
        <f>SUM(K5340:K5341)</f>
        <v>477.95831999999996</v>
      </c>
    </row>
    <row r="5344" spans="1:27" ht="45" customHeight="1" x14ac:dyDescent="0.2">
      <c r="A5344" s="17" t="s">
        <v>4218</v>
      </c>
      <c r="B5344" s="17" t="s">
        <v>1005</v>
      </c>
      <c r="C5344" s="1" t="s">
        <v>23</v>
      </c>
      <c r="D5344" s="96" t="s">
        <v>1006</v>
      </c>
      <c r="E5344" s="97"/>
      <c r="F5344" s="97"/>
      <c r="G5344" s="1"/>
      <c r="H5344" s="18" t="s">
        <v>1066</v>
      </c>
      <c r="I5344" s="98">
        <v>1</v>
      </c>
      <c r="J5344" s="99"/>
      <c r="K5344" s="19">
        <v>1620</v>
      </c>
      <c r="L5344" s="2" t="s">
        <v>2805</v>
      </c>
      <c r="M5344" s="1"/>
      <c r="N5344" s="1"/>
      <c r="O5344" s="1"/>
      <c r="P5344" s="1"/>
      <c r="Q5344" s="1"/>
      <c r="R5344" s="1"/>
      <c r="S5344" s="1"/>
      <c r="T5344" s="1"/>
      <c r="U5344" s="1"/>
      <c r="V5344" s="1"/>
      <c r="W5344" s="1"/>
      <c r="X5344" s="1"/>
      <c r="Y5344" s="1"/>
      <c r="Z5344" s="1"/>
      <c r="AA5344" s="1"/>
    </row>
    <row r="5345" spans="1:27" ht="45" customHeight="1" x14ac:dyDescent="0.2">
      <c r="A5345" s="17" t="s">
        <v>4219</v>
      </c>
      <c r="B5345" s="17" t="s">
        <v>1007</v>
      </c>
      <c r="C5345" s="1" t="s">
        <v>23</v>
      </c>
      <c r="D5345" s="96" t="s">
        <v>1008</v>
      </c>
      <c r="E5345" s="97"/>
      <c r="F5345" s="97"/>
      <c r="G5345" s="1"/>
      <c r="H5345" s="18" t="s">
        <v>1066</v>
      </c>
      <c r="I5345" s="98">
        <v>1</v>
      </c>
      <c r="J5345" s="99"/>
      <c r="K5345" s="19">
        <v>7732.8</v>
      </c>
      <c r="L5345" s="2" t="s">
        <v>2807</v>
      </c>
      <c r="M5345" s="1"/>
      <c r="N5345" s="1"/>
      <c r="O5345" s="1"/>
      <c r="P5345" s="1"/>
      <c r="Q5345" s="1"/>
      <c r="R5345" s="1"/>
      <c r="S5345" s="1"/>
      <c r="T5345" s="1"/>
      <c r="U5345" s="1"/>
      <c r="V5345" s="1"/>
      <c r="W5345" s="1"/>
      <c r="X5345" s="1"/>
      <c r="Y5345" s="1"/>
      <c r="Z5345" s="1"/>
      <c r="AA5345" s="1"/>
    </row>
    <row r="5346" spans="1:27" ht="45" customHeight="1" x14ac:dyDescent="0.2">
      <c r="A5346" s="17" t="s">
        <v>4220</v>
      </c>
      <c r="B5346" s="17" t="s">
        <v>646</v>
      </c>
      <c r="C5346" s="1" t="s">
        <v>625</v>
      </c>
      <c r="D5346" s="96" t="s">
        <v>647</v>
      </c>
      <c r="E5346" s="97"/>
      <c r="F5346" s="97"/>
      <c r="G5346" s="1"/>
      <c r="H5346" s="18" t="s">
        <v>1066</v>
      </c>
      <c r="I5346" s="98">
        <v>1</v>
      </c>
      <c r="J5346" s="99"/>
      <c r="K5346" s="19">
        <v>0</v>
      </c>
      <c r="L5346" s="2" t="s">
        <v>2809</v>
      </c>
      <c r="M5346" s="1"/>
      <c r="N5346" s="1"/>
      <c r="O5346" s="1"/>
      <c r="P5346" s="1"/>
      <c r="Q5346" s="1"/>
      <c r="R5346" s="1"/>
      <c r="S5346" s="1"/>
      <c r="T5346" s="1"/>
      <c r="U5346" s="1"/>
      <c r="V5346" s="1"/>
      <c r="W5346" s="1"/>
      <c r="X5346" s="1"/>
      <c r="Y5346" s="1"/>
      <c r="Z5346" s="1"/>
      <c r="AA5346" s="1"/>
    </row>
    <row r="5347" spans="1:27" ht="45" customHeight="1" x14ac:dyDescent="0.2">
      <c r="A5347" s="17" t="s">
        <v>4221</v>
      </c>
      <c r="B5347" s="17" t="s">
        <v>751</v>
      </c>
      <c r="C5347" s="1" t="s">
        <v>598</v>
      </c>
      <c r="D5347" s="96" t="s">
        <v>752</v>
      </c>
      <c r="E5347" s="97"/>
      <c r="F5347" s="97"/>
      <c r="G5347" s="1"/>
      <c r="H5347" s="18" t="s">
        <v>1066</v>
      </c>
      <c r="I5347" s="98">
        <v>1</v>
      </c>
      <c r="J5347" s="99"/>
      <c r="K5347" s="19">
        <v>0</v>
      </c>
      <c r="L5347" s="2" t="s">
        <v>2811</v>
      </c>
      <c r="M5347" s="1"/>
      <c r="N5347" s="1"/>
      <c r="O5347" s="1"/>
      <c r="P5347" s="1"/>
      <c r="Q5347" s="1"/>
      <c r="R5347" s="1"/>
      <c r="S5347" s="1"/>
      <c r="T5347" s="1"/>
      <c r="U5347" s="1"/>
      <c r="V5347" s="1"/>
      <c r="W5347" s="1"/>
      <c r="X5347" s="1"/>
      <c r="Y5347" s="1"/>
      <c r="Z5347" s="1"/>
      <c r="AA5347" s="1"/>
    </row>
    <row r="5348" spans="1:27" ht="45" customHeight="1" x14ac:dyDescent="0.2">
      <c r="A5348" s="17" t="s">
        <v>4222</v>
      </c>
      <c r="B5348" s="17" t="s">
        <v>597</v>
      </c>
      <c r="C5348" s="1" t="s">
        <v>598</v>
      </c>
      <c r="D5348" s="96" t="s">
        <v>599</v>
      </c>
      <c r="E5348" s="97"/>
      <c r="F5348" s="97"/>
      <c r="G5348" s="1"/>
      <c r="H5348" s="18" t="s">
        <v>1066</v>
      </c>
      <c r="I5348" s="98">
        <v>1</v>
      </c>
      <c r="J5348" s="99"/>
      <c r="K5348" s="19">
        <v>0</v>
      </c>
      <c r="L5348" s="2" t="s">
        <v>2813</v>
      </c>
      <c r="M5348" s="1"/>
      <c r="N5348" s="1"/>
      <c r="O5348" s="1"/>
      <c r="P5348" s="1"/>
      <c r="Q5348" s="1"/>
      <c r="R5348" s="1"/>
      <c r="S5348" s="1"/>
      <c r="T5348" s="1"/>
      <c r="U5348" s="1"/>
      <c r="V5348" s="1"/>
      <c r="W5348" s="1"/>
      <c r="X5348" s="1"/>
      <c r="Y5348" s="1"/>
      <c r="Z5348" s="1"/>
      <c r="AA5348" s="1"/>
    </row>
    <row r="5349" spans="1:27" ht="45" customHeight="1" x14ac:dyDescent="0.2">
      <c r="A5349" s="17" t="s">
        <v>4223</v>
      </c>
      <c r="B5349" s="17" t="s">
        <v>881</v>
      </c>
      <c r="C5349" s="1" t="s">
        <v>625</v>
      </c>
      <c r="D5349" s="96" t="s">
        <v>882</v>
      </c>
      <c r="E5349" s="97"/>
      <c r="F5349" s="97"/>
      <c r="G5349" s="1"/>
      <c r="H5349" s="18" t="s">
        <v>1066</v>
      </c>
      <c r="I5349" s="98">
        <v>1</v>
      </c>
      <c r="J5349" s="99"/>
      <c r="K5349" s="19">
        <f>ROUND(K5352,2)</f>
        <v>0</v>
      </c>
      <c r="L5349" s="2" t="s">
        <v>2815</v>
      </c>
      <c r="M5349" s="1"/>
      <c r="N5349" s="1"/>
      <c r="O5349" s="1"/>
      <c r="P5349" s="1"/>
      <c r="Q5349" s="1"/>
      <c r="R5349" s="1"/>
      <c r="S5349" s="1"/>
      <c r="T5349" s="1"/>
      <c r="U5349" s="1"/>
      <c r="V5349" s="1"/>
      <c r="W5349" s="1"/>
      <c r="X5349" s="1"/>
      <c r="Y5349" s="1"/>
      <c r="Z5349" s="1"/>
      <c r="AA5349" s="1"/>
    </row>
    <row r="5350" spans="1:27" x14ac:dyDescent="0.2">
      <c r="D5350" s="24" t="s">
        <v>1091</v>
      </c>
      <c r="E5350" s="23"/>
      <c r="H5350" s="23"/>
      <c r="K5350" s="25">
        <f>SUM(J5349:J5349)</f>
        <v>0</v>
      </c>
    </row>
    <row r="5351" spans="1:27" x14ac:dyDescent="0.2">
      <c r="D5351" s="24" t="s">
        <v>1142</v>
      </c>
      <c r="E5351" s="23"/>
      <c r="H5351" s="23">
        <v>8</v>
      </c>
      <c r="I5351" t="s">
        <v>1093</v>
      </c>
      <c r="K5351" s="21">
        <f>ROUND(H5351/100*K5350,5)</f>
        <v>0</v>
      </c>
    </row>
    <row r="5352" spans="1:27" x14ac:dyDescent="0.2">
      <c r="D5352" s="24" t="s">
        <v>1094</v>
      </c>
      <c r="E5352" s="23"/>
      <c r="H5352" s="23"/>
      <c r="K5352" s="25">
        <f>SUM(K5350:K5351)</f>
        <v>0</v>
      </c>
    </row>
    <row r="5354" spans="1:27" x14ac:dyDescent="0.2">
      <c r="A5354" s="15" t="s">
        <v>2816</v>
      </c>
      <c r="B5354" s="15"/>
    </row>
    <row r="5355" spans="1:27" ht="45" customHeight="1" x14ac:dyDescent="0.2">
      <c r="A5355" s="17"/>
      <c r="B5355" s="17" t="s">
        <v>681</v>
      </c>
      <c r="C5355" s="1" t="s">
        <v>23</v>
      </c>
      <c r="D5355" s="96" t="s">
        <v>682</v>
      </c>
      <c r="E5355" s="97"/>
      <c r="F5355" s="97"/>
      <c r="G5355" s="1"/>
      <c r="H5355" s="18" t="s">
        <v>1066</v>
      </c>
      <c r="I5355" s="98">
        <v>1</v>
      </c>
      <c r="J5355" s="99"/>
      <c r="K5355" s="19">
        <v>1200</v>
      </c>
      <c r="L5355" s="2" t="s">
        <v>2817</v>
      </c>
      <c r="M5355" s="1"/>
      <c r="N5355" s="1"/>
      <c r="O5355" s="1"/>
      <c r="P5355" s="1"/>
      <c r="Q5355" s="1"/>
      <c r="R5355" s="1"/>
      <c r="S5355" s="1"/>
      <c r="T5355" s="1"/>
      <c r="U5355" s="1"/>
      <c r="V5355" s="1"/>
      <c r="W5355" s="1"/>
      <c r="X5355" s="1"/>
      <c r="Y5355" s="1"/>
      <c r="Z5355" s="1"/>
      <c r="AA5355" s="1"/>
    </row>
    <row r="5356" spans="1:27" ht="45" customHeight="1" x14ac:dyDescent="0.2">
      <c r="A5356" s="17"/>
      <c r="B5356" s="17" t="s">
        <v>1054</v>
      </c>
      <c r="C5356" s="1" t="s">
        <v>1055</v>
      </c>
      <c r="D5356" s="96" t="s">
        <v>1056</v>
      </c>
      <c r="E5356" s="97"/>
      <c r="F5356" s="97"/>
      <c r="G5356" s="1"/>
      <c r="H5356" s="18" t="s">
        <v>1066</v>
      </c>
      <c r="I5356" s="98">
        <v>1</v>
      </c>
      <c r="J5356" s="99"/>
      <c r="K5356" s="19">
        <v>16710.93</v>
      </c>
      <c r="L5356" s="2" t="s">
        <v>2818</v>
      </c>
      <c r="M5356" s="1"/>
      <c r="N5356" s="1"/>
      <c r="O5356" s="1"/>
      <c r="P5356" s="1"/>
      <c r="Q5356" s="1"/>
      <c r="R5356" s="1"/>
      <c r="S5356" s="1"/>
      <c r="T5356" s="1"/>
      <c r="U5356" s="1"/>
      <c r="V5356" s="1"/>
      <c r="W5356" s="1"/>
      <c r="X5356" s="1"/>
      <c r="Y5356" s="1"/>
      <c r="Z5356" s="1"/>
      <c r="AA5356" s="1"/>
    </row>
    <row r="5357" spans="1:27" x14ac:dyDescent="0.2">
      <c r="A5357" s="15" t="s">
        <v>1133</v>
      </c>
      <c r="B5357" s="15"/>
    </row>
    <row r="5358" spans="1:27" ht="45" customHeight="1" x14ac:dyDescent="0.2">
      <c r="A5358" s="17" t="s">
        <v>2819</v>
      </c>
      <c r="B5358" s="17" t="s">
        <v>126</v>
      </c>
      <c r="C5358" s="1" t="s">
        <v>18</v>
      </c>
      <c r="D5358" s="96" t="s">
        <v>127</v>
      </c>
      <c r="E5358" s="97"/>
      <c r="F5358" s="97"/>
      <c r="G5358" s="1"/>
      <c r="H5358" s="18" t="s">
        <v>1066</v>
      </c>
      <c r="I5358" s="98">
        <v>1</v>
      </c>
      <c r="J5358" s="99"/>
      <c r="K5358" s="19">
        <f>ROUND(K5374,2)</f>
        <v>160.96</v>
      </c>
      <c r="L5358" s="2" t="s">
        <v>2820</v>
      </c>
      <c r="M5358" s="1"/>
      <c r="N5358" s="1"/>
      <c r="O5358" s="1"/>
      <c r="P5358" s="1"/>
      <c r="Q5358" s="1"/>
      <c r="R5358" s="1"/>
      <c r="S5358" s="1"/>
      <c r="T5358" s="1"/>
      <c r="U5358" s="1"/>
      <c r="V5358" s="1"/>
      <c r="W5358" s="1"/>
      <c r="X5358" s="1"/>
      <c r="Y5358" s="1"/>
      <c r="Z5358" s="1"/>
      <c r="AA5358" s="1"/>
    </row>
    <row r="5359" spans="1:27" x14ac:dyDescent="0.2">
      <c r="B5359" s="14" t="s">
        <v>1068</v>
      </c>
    </row>
    <row r="5360" spans="1:27" x14ac:dyDescent="0.2">
      <c r="B5360" t="s">
        <v>1136</v>
      </c>
      <c r="C5360" t="s">
        <v>1070</v>
      </c>
      <c r="D5360" t="s">
        <v>1137</v>
      </c>
      <c r="E5360" s="20">
        <v>0.2</v>
      </c>
      <c r="F5360" t="s">
        <v>1072</v>
      </c>
      <c r="G5360" t="s">
        <v>1073</v>
      </c>
      <c r="H5360" s="21">
        <v>30.41</v>
      </c>
      <c r="I5360" t="s">
        <v>1074</v>
      </c>
      <c r="J5360" s="22">
        <f>ROUND(E5360/I5358* H5360,5)</f>
        <v>6.0819999999999999</v>
      </c>
      <c r="K5360" s="23"/>
    </row>
    <row r="5361" spans="1:27" x14ac:dyDescent="0.2">
      <c r="B5361" t="s">
        <v>1138</v>
      </c>
      <c r="C5361" t="s">
        <v>1070</v>
      </c>
      <c r="D5361" t="s">
        <v>1139</v>
      </c>
      <c r="E5361" s="20">
        <v>0.4</v>
      </c>
      <c r="F5361" t="s">
        <v>1072</v>
      </c>
      <c r="G5361" t="s">
        <v>1073</v>
      </c>
      <c r="H5361" s="21">
        <v>26.12</v>
      </c>
      <c r="I5361" t="s">
        <v>1074</v>
      </c>
      <c r="J5361" s="22">
        <f>ROUND(E5361/I5358* H5361,5)</f>
        <v>10.448</v>
      </c>
      <c r="K5361" s="23"/>
    </row>
    <row r="5362" spans="1:27" x14ac:dyDescent="0.2">
      <c r="D5362" s="24" t="s">
        <v>1075</v>
      </c>
      <c r="E5362" s="23"/>
      <c r="H5362" s="23"/>
      <c r="K5362" s="21">
        <f>SUM(J5360:J5361)</f>
        <v>16.53</v>
      </c>
    </row>
    <row r="5363" spans="1:27" x14ac:dyDescent="0.2">
      <c r="B5363" s="14" t="s">
        <v>1080</v>
      </c>
      <c r="E5363" s="23"/>
      <c r="H5363" s="23"/>
      <c r="K5363" s="23"/>
    </row>
    <row r="5364" spans="1:27" x14ac:dyDescent="0.2">
      <c r="B5364" t="s">
        <v>1421</v>
      </c>
      <c r="C5364" t="s">
        <v>23</v>
      </c>
      <c r="D5364" t="s">
        <v>1422</v>
      </c>
      <c r="E5364" s="20">
        <v>1</v>
      </c>
      <c r="G5364" t="s">
        <v>1073</v>
      </c>
      <c r="H5364" s="21">
        <v>4.32</v>
      </c>
      <c r="I5364" t="s">
        <v>1074</v>
      </c>
      <c r="J5364" s="22">
        <f>ROUND(E5364* H5364,5)</f>
        <v>4.32</v>
      </c>
      <c r="K5364" s="23"/>
    </row>
    <row r="5365" spans="1:27" x14ac:dyDescent="0.2">
      <c r="B5365" t="s">
        <v>2821</v>
      </c>
      <c r="C5365" t="s">
        <v>18</v>
      </c>
      <c r="D5365" t="s">
        <v>2822</v>
      </c>
      <c r="E5365" s="20">
        <v>1</v>
      </c>
      <c r="G5365" t="s">
        <v>1073</v>
      </c>
      <c r="H5365" s="21">
        <v>64.45</v>
      </c>
      <c r="I5365" t="s">
        <v>1074</v>
      </c>
      <c r="J5365" s="22">
        <f>ROUND(E5365* H5365,5)</f>
        <v>64.45</v>
      </c>
      <c r="K5365" s="23"/>
    </row>
    <row r="5366" spans="1:27" x14ac:dyDescent="0.2">
      <c r="D5366" s="24" t="s">
        <v>1090</v>
      </c>
      <c r="E5366" s="23"/>
      <c r="H5366" s="23"/>
      <c r="K5366" s="21">
        <f>SUM(J5364:J5365)</f>
        <v>68.77000000000001</v>
      </c>
    </row>
    <row r="5367" spans="1:27" x14ac:dyDescent="0.2">
      <c r="B5367" s="14" t="s">
        <v>1133</v>
      </c>
      <c r="E5367" s="23"/>
      <c r="H5367" s="23"/>
      <c r="K5367" s="23"/>
    </row>
    <row r="5368" spans="1:27" x14ac:dyDescent="0.2">
      <c r="B5368" t="s">
        <v>1428</v>
      </c>
      <c r="C5368" t="s">
        <v>15</v>
      </c>
      <c r="D5368" t="s">
        <v>1429</v>
      </c>
      <c r="E5368" s="20">
        <v>0.03</v>
      </c>
      <c r="G5368" t="s">
        <v>1073</v>
      </c>
      <c r="H5368" s="21">
        <v>2116.1851299999998</v>
      </c>
      <c r="I5368" t="s">
        <v>1074</v>
      </c>
      <c r="J5368" s="22">
        <f>ROUND(E5368* H5368,5)</f>
        <v>63.485550000000003</v>
      </c>
      <c r="K5368" s="23"/>
    </row>
    <row r="5369" spans="1:27" x14ac:dyDescent="0.2">
      <c r="D5369" s="24" t="s">
        <v>2823</v>
      </c>
      <c r="E5369" s="23"/>
      <c r="H5369" s="23"/>
      <c r="K5369" s="21">
        <f>SUM(J5368:J5368)</f>
        <v>63.485550000000003</v>
      </c>
    </row>
    <row r="5370" spans="1:27" x14ac:dyDescent="0.2">
      <c r="E5370" s="23"/>
      <c r="H5370" s="23"/>
      <c r="K5370" s="23"/>
    </row>
    <row r="5371" spans="1:27" x14ac:dyDescent="0.2">
      <c r="D5371" s="24" t="s">
        <v>1092</v>
      </c>
      <c r="E5371" s="23"/>
      <c r="H5371" s="23">
        <v>1.5</v>
      </c>
      <c r="I5371" t="s">
        <v>1093</v>
      </c>
      <c r="J5371">
        <f>ROUND(H5371/100*K5362,5)</f>
        <v>0.24795</v>
      </c>
      <c r="K5371" s="23"/>
    </row>
    <row r="5372" spans="1:27" x14ac:dyDescent="0.2">
      <c r="D5372" s="24" t="s">
        <v>1091</v>
      </c>
      <c r="E5372" s="23"/>
      <c r="H5372" s="23"/>
      <c r="K5372" s="25">
        <f>SUM(J5359:J5371)</f>
        <v>149.0335</v>
      </c>
    </row>
    <row r="5373" spans="1:27" x14ac:dyDescent="0.2">
      <c r="D5373" s="24" t="s">
        <v>1142</v>
      </c>
      <c r="E5373" s="23"/>
      <c r="H5373" s="23">
        <v>8</v>
      </c>
      <c r="I5373" t="s">
        <v>1093</v>
      </c>
      <c r="K5373" s="21">
        <f>ROUND(H5373/100*K5372,5)</f>
        <v>11.92268</v>
      </c>
    </row>
    <row r="5374" spans="1:27" x14ac:dyDescent="0.2">
      <c r="D5374" s="24" t="s">
        <v>1094</v>
      </c>
      <c r="E5374" s="23"/>
      <c r="H5374" s="23"/>
      <c r="K5374" s="25">
        <f>SUM(K5372:K5373)</f>
        <v>160.95618000000002</v>
      </c>
    </row>
    <row r="5376" spans="1:27" ht="45" customHeight="1" x14ac:dyDescent="0.2">
      <c r="A5376" s="17" t="s">
        <v>2183</v>
      </c>
      <c r="B5376" s="17" t="s">
        <v>673</v>
      </c>
      <c r="C5376" s="1" t="s">
        <v>36</v>
      </c>
      <c r="D5376" s="96" t="s">
        <v>674</v>
      </c>
      <c r="E5376" s="97"/>
      <c r="F5376" s="97"/>
      <c r="G5376" s="1"/>
      <c r="H5376" s="18" t="s">
        <v>1066</v>
      </c>
      <c r="I5376" s="98">
        <v>1</v>
      </c>
      <c r="J5376" s="99"/>
      <c r="K5376" s="19">
        <f>ROUND(K5387,2)</f>
        <v>112.14</v>
      </c>
      <c r="L5376" s="2" t="s">
        <v>2825</v>
      </c>
      <c r="M5376" s="1"/>
      <c r="N5376" s="1"/>
      <c r="O5376" s="1"/>
      <c r="P5376" s="1"/>
      <c r="Q5376" s="1"/>
      <c r="R5376" s="1"/>
      <c r="S5376" s="1"/>
      <c r="T5376" s="1"/>
      <c r="U5376" s="1"/>
      <c r="V5376" s="1"/>
      <c r="W5376" s="1"/>
      <c r="X5376" s="1"/>
      <c r="Y5376" s="1"/>
      <c r="Z5376" s="1"/>
      <c r="AA5376" s="1"/>
    </row>
    <row r="5377" spans="1:27" x14ac:dyDescent="0.2">
      <c r="B5377" s="14" t="s">
        <v>1133</v>
      </c>
    </row>
    <row r="5378" spans="1:27" x14ac:dyDescent="0.2">
      <c r="B5378" t="s">
        <v>2128</v>
      </c>
      <c r="C5378" t="s">
        <v>36</v>
      </c>
      <c r="D5378" t="s">
        <v>2129</v>
      </c>
      <c r="E5378" s="20">
        <v>1</v>
      </c>
      <c r="G5378" t="s">
        <v>1073</v>
      </c>
      <c r="H5378" s="21">
        <v>11.61586</v>
      </c>
      <c r="I5378" t="s">
        <v>1074</v>
      </c>
      <c r="J5378" s="22">
        <f t="shared" ref="J5378:J5383" si="9">ROUND(E5378* H5378,5)</f>
        <v>11.61586</v>
      </c>
      <c r="K5378" s="23"/>
    </row>
    <row r="5379" spans="1:27" x14ac:dyDescent="0.2">
      <c r="B5379" t="s">
        <v>2123</v>
      </c>
      <c r="C5379" t="s">
        <v>18</v>
      </c>
      <c r="D5379" t="s">
        <v>2124</v>
      </c>
      <c r="E5379" s="20">
        <v>1</v>
      </c>
      <c r="G5379" t="s">
        <v>1073</v>
      </c>
      <c r="H5379" s="21">
        <v>9.2520299999999995</v>
      </c>
      <c r="I5379" t="s">
        <v>1074</v>
      </c>
      <c r="J5379" s="22">
        <f t="shared" si="9"/>
        <v>9.2520299999999995</v>
      </c>
      <c r="K5379" s="23"/>
    </row>
    <row r="5380" spans="1:27" x14ac:dyDescent="0.2">
      <c r="B5380" t="s">
        <v>1305</v>
      </c>
      <c r="C5380" t="s">
        <v>15</v>
      </c>
      <c r="D5380" t="s">
        <v>1306</v>
      </c>
      <c r="E5380" s="20">
        <v>1</v>
      </c>
      <c r="G5380" t="s">
        <v>1073</v>
      </c>
      <c r="H5380" s="21">
        <v>49.393300000000004</v>
      </c>
      <c r="I5380" t="s">
        <v>1074</v>
      </c>
      <c r="J5380" s="22">
        <f t="shared" si="9"/>
        <v>49.393300000000004</v>
      </c>
      <c r="K5380" s="23"/>
    </row>
    <row r="5381" spans="1:27" x14ac:dyDescent="0.2">
      <c r="B5381" t="s">
        <v>1538</v>
      </c>
      <c r="C5381" t="s">
        <v>18</v>
      </c>
      <c r="D5381" t="s">
        <v>1539</v>
      </c>
      <c r="E5381" s="20">
        <v>3</v>
      </c>
      <c r="G5381" t="s">
        <v>1073</v>
      </c>
      <c r="H5381" s="21">
        <v>2.8796900000000001</v>
      </c>
      <c r="I5381" t="s">
        <v>1074</v>
      </c>
      <c r="J5381" s="22">
        <f t="shared" si="9"/>
        <v>8.6390700000000002</v>
      </c>
      <c r="K5381" s="23"/>
    </row>
    <row r="5382" spans="1:27" x14ac:dyDescent="0.2">
      <c r="B5382" t="s">
        <v>1403</v>
      </c>
      <c r="C5382" t="s">
        <v>18</v>
      </c>
      <c r="D5382" t="s">
        <v>1404</v>
      </c>
      <c r="E5382" s="20">
        <v>1</v>
      </c>
      <c r="G5382" t="s">
        <v>1073</v>
      </c>
      <c r="H5382" s="21">
        <v>16.227440000000001</v>
      </c>
      <c r="I5382" t="s">
        <v>1074</v>
      </c>
      <c r="J5382" s="22">
        <f t="shared" si="9"/>
        <v>16.227440000000001</v>
      </c>
      <c r="K5382" s="23"/>
    </row>
    <row r="5383" spans="1:27" x14ac:dyDescent="0.2">
      <c r="B5383" t="s">
        <v>1289</v>
      </c>
      <c r="C5383" t="s">
        <v>15</v>
      </c>
      <c r="D5383" t="s">
        <v>1290</v>
      </c>
      <c r="E5383" s="20">
        <v>1</v>
      </c>
      <c r="G5383" t="s">
        <v>1073</v>
      </c>
      <c r="H5383" s="21">
        <v>8.7025400000000008</v>
      </c>
      <c r="I5383" t="s">
        <v>1074</v>
      </c>
      <c r="J5383" s="22">
        <f t="shared" si="9"/>
        <v>8.7025400000000008</v>
      </c>
      <c r="K5383" s="23"/>
    </row>
    <row r="5384" spans="1:27" x14ac:dyDescent="0.2">
      <c r="D5384" s="24" t="s">
        <v>2823</v>
      </c>
      <c r="E5384" s="23"/>
      <c r="H5384" s="23"/>
      <c r="K5384" s="21">
        <f>SUM(J5378:J5383)</f>
        <v>103.83024</v>
      </c>
    </row>
    <row r="5385" spans="1:27" x14ac:dyDescent="0.2">
      <c r="D5385" s="24" t="s">
        <v>1091</v>
      </c>
      <c r="E5385" s="23"/>
      <c r="H5385" s="23"/>
      <c r="K5385" s="25">
        <f>SUM(J5377:J5384)</f>
        <v>103.83024</v>
      </c>
    </row>
    <row r="5386" spans="1:27" x14ac:dyDescent="0.2">
      <c r="D5386" s="24" t="s">
        <v>1142</v>
      </c>
      <c r="E5386" s="23"/>
      <c r="H5386" s="23">
        <v>8</v>
      </c>
      <c r="I5386" t="s">
        <v>1093</v>
      </c>
      <c r="K5386" s="21">
        <f>ROUND(H5386/100*K5385,5)</f>
        <v>8.3064199999999992</v>
      </c>
    </row>
    <row r="5387" spans="1:27" x14ac:dyDescent="0.2">
      <c r="D5387" s="24" t="s">
        <v>1094</v>
      </c>
      <c r="E5387" s="23"/>
      <c r="H5387" s="23"/>
      <c r="K5387" s="25">
        <f>SUM(K5385:K5386)</f>
        <v>112.13666000000001</v>
      </c>
    </row>
    <row r="5389" spans="1:27" ht="45" customHeight="1" x14ac:dyDescent="0.2">
      <c r="A5389" s="17" t="s">
        <v>2596</v>
      </c>
      <c r="B5389" s="17" t="s">
        <v>790</v>
      </c>
      <c r="C5389" s="1" t="s">
        <v>23</v>
      </c>
      <c r="D5389" s="96" t="s">
        <v>791</v>
      </c>
      <c r="E5389" s="97"/>
      <c r="F5389" s="97"/>
      <c r="G5389" s="1"/>
      <c r="H5389" s="18" t="s">
        <v>1066</v>
      </c>
      <c r="I5389" s="98">
        <v>1</v>
      </c>
      <c r="J5389" s="99"/>
      <c r="K5389" s="19">
        <f>ROUND(K5399,2)</f>
        <v>209.64</v>
      </c>
      <c r="L5389" s="2" t="s">
        <v>2827</v>
      </c>
      <c r="M5389" s="1"/>
      <c r="N5389" s="1"/>
      <c r="O5389" s="1"/>
      <c r="P5389" s="1"/>
      <c r="Q5389" s="1"/>
      <c r="R5389" s="1"/>
      <c r="S5389" s="1"/>
      <c r="T5389" s="1"/>
      <c r="U5389" s="1"/>
      <c r="V5389" s="1"/>
      <c r="W5389" s="1"/>
      <c r="X5389" s="1"/>
      <c r="Y5389" s="1"/>
      <c r="Z5389" s="1"/>
      <c r="AA5389" s="1"/>
    </row>
    <row r="5390" spans="1:27" x14ac:dyDescent="0.2">
      <c r="B5390" s="14" t="s">
        <v>1133</v>
      </c>
    </row>
    <row r="5391" spans="1:27" x14ac:dyDescent="0.2">
      <c r="B5391" t="s">
        <v>2763</v>
      </c>
      <c r="C5391" t="s">
        <v>23</v>
      </c>
      <c r="D5391" t="s">
        <v>2764</v>
      </c>
      <c r="E5391" s="20">
        <v>2</v>
      </c>
      <c r="G5391" t="s">
        <v>1073</v>
      </c>
      <c r="H5391" s="21">
        <v>37.960549999999998</v>
      </c>
      <c r="I5391" t="s">
        <v>1074</v>
      </c>
      <c r="J5391" s="22">
        <f>ROUND(E5391* H5391,5)</f>
        <v>75.921099999999996</v>
      </c>
      <c r="K5391" s="23"/>
    </row>
    <row r="5392" spans="1:27" x14ac:dyDescent="0.2">
      <c r="B5392" t="s">
        <v>2504</v>
      </c>
      <c r="C5392" t="s">
        <v>23</v>
      </c>
      <c r="D5392" t="s">
        <v>2505</v>
      </c>
      <c r="E5392" s="20">
        <v>1</v>
      </c>
      <c r="G5392" t="s">
        <v>1073</v>
      </c>
      <c r="H5392" s="21">
        <v>37.957470000000001</v>
      </c>
      <c r="I5392" t="s">
        <v>1074</v>
      </c>
      <c r="J5392" s="22">
        <f>ROUND(E5392* H5392,5)</f>
        <v>37.957470000000001</v>
      </c>
      <c r="K5392" s="23"/>
    </row>
    <row r="5393" spans="1:27" x14ac:dyDescent="0.2">
      <c r="B5393" t="s">
        <v>2519</v>
      </c>
      <c r="C5393" t="s">
        <v>23</v>
      </c>
      <c r="D5393" t="s">
        <v>2520</v>
      </c>
      <c r="E5393" s="20">
        <v>1</v>
      </c>
      <c r="G5393" t="s">
        <v>1073</v>
      </c>
      <c r="H5393" s="21">
        <v>32.066940000000002</v>
      </c>
      <c r="I5393" t="s">
        <v>1074</v>
      </c>
      <c r="J5393" s="22">
        <f>ROUND(E5393* H5393,5)</f>
        <v>32.066940000000002</v>
      </c>
      <c r="K5393" s="23"/>
    </row>
    <row r="5394" spans="1:27" x14ac:dyDescent="0.2">
      <c r="B5394" t="s">
        <v>2560</v>
      </c>
      <c r="C5394" t="s">
        <v>23</v>
      </c>
      <c r="D5394" t="s">
        <v>2561</v>
      </c>
      <c r="E5394" s="20">
        <v>2</v>
      </c>
      <c r="G5394" t="s">
        <v>1073</v>
      </c>
      <c r="H5394" s="21">
        <v>12.160589999999999</v>
      </c>
      <c r="I5394" t="s">
        <v>1074</v>
      </c>
      <c r="J5394" s="22">
        <f>ROUND(E5394* H5394,5)</f>
        <v>24.321179999999998</v>
      </c>
      <c r="K5394" s="23"/>
    </row>
    <row r="5395" spans="1:27" x14ac:dyDescent="0.2">
      <c r="B5395" t="s">
        <v>2565</v>
      </c>
      <c r="C5395" t="s">
        <v>23</v>
      </c>
      <c r="D5395" t="s">
        <v>2566</v>
      </c>
      <c r="E5395" s="20">
        <v>2</v>
      </c>
      <c r="G5395" t="s">
        <v>1073</v>
      </c>
      <c r="H5395" s="21">
        <v>11.920590000000001</v>
      </c>
      <c r="I5395" t="s">
        <v>1074</v>
      </c>
      <c r="J5395" s="22">
        <f>ROUND(E5395* H5395,5)</f>
        <v>23.841180000000001</v>
      </c>
      <c r="K5395" s="23"/>
    </row>
    <row r="5396" spans="1:27" x14ac:dyDescent="0.2">
      <c r="D5396" s="24" t="s">
        <v>2823</v>
      </c>
      <c r="E5396" s="23"/>
      <c r="H5396" s="23"/>
      <c r="K5396" s="21">
        <f>SUM(J5391:J5395)</f>
        <v>194.10787000000002</v>
      </c>
    </row>
    <row r="5397" spans="1:27" x14ac:dyDescent="0.2">
      <c r="D5397" s="24" t="s">
        <v>1091</v>
      </c>
      <c r="E5397" s="23"/>
      <c r="H5397" s="23"/>
      <c r="K5397" s="25">
        <f>SUM(J5390:J5396)</f>
        <v>194.10787000000002</v>
      </c>
    </row>
    <row r="5398" spans="1:27" x14ac:dyDescent="0.2">
      <c r="D5398" s="24" t="s">
        <v>1142</v>
      </c>
      <c r="E5398" s="23"/>
      <c r="H5398" s="23">
        <v>8</v>
      </c>
      <c r="I5398" t="s">
        <v>1093</v>
      </c>
      <c r="K5398" s="21">
        <f>ROUND(H5398/100*K5397,5)</f>
        <v>15.52863</v>
      </c>
    </row>
    <row r="5399" spans="1:27" x14ac:dyDescent="0.2">
      <c r="D5399" s="24" t="s">
        <v>1094</v>
      </c>
      <c r="E5399" s="23"/>
      <c r="H5399" s="23"/>
      <c r="K5399" s="25">
        <f>SUM(K5397:K5398)</f>
        <v>209.63650000000001</v>
      </c>
    </row>
    <row r="5401" spans="1:27" ht="45" customHeight="1" x14ac:dyDescent="0.2">
      <c r="A5401" s="17" t="s">
        <v>2600</v>
      </c>
      <c r="B5401" s="17" t="s">
        <v>792</v>
      </c>
      <c r="C5401" s="1" t="s">
        <v>23</v>
      </c>
      <c r="D5401" s="96" t="s">
        <v>793</v>
      </c>
      <c r="E5401" s="97"/>
      <c r="F5401" s="97"/>
      <c r="G5401" s="1"/>
      <c r="H5401" s="18" t="s">
        <v>1066</v>
      </c>
      <c r="I5401" s="98">
        <v>1</v>
      </c>
      <c r="J5401" s="99"/>
      <c r="K5401" s="19">
        <f>ROUND(K5414,2)</f>
        <v>274.44</v>
      </c>
      <c r="L5401" s="2" t="s">
        <v>2829</v>
      </c>
      <c r="M5401" s="1"/>
      <c r="N5401" s="1"/>
      <c r="O5401" s="1"/>
      <c r="P5401" s="1"/>
      <c r="Q5401" s="1"/>
      <c r="R5401" s="1"/>
      <c r="S5401" s="1"/>
      <c r="T5401" s="1"/>
      <c r="U5401" s="1"/>
      <c r="V5401" s="1"/>
      <c r="W5401" s="1"/>
      <c r="X5401" s="1"/>
      <c r="Y5401" s="1"/>
      <c r="Z5401" s="1"/>
      <c r="AA5401" s="1"/>
    </row>
    <row r="5402" spans="1:27" x14ac:dyDescent="0.2">
      <c r="B5402" s="14" t="s">
        <v>1133</v>
      </c>
    </row>
    <row r="5403" spans="1:27" x14ac:dyDescent="0.2">
      <c r="B5403" t="s">
        <v>2504</v>
      </c>
      <c r="C5403" t="s">
        <v>23</v>
      </c>
      <c r="D5403" t="s">
        <v>2505</v>
      </c>
      <c r="E5403" s="20">
        <v>1</v>
      </c>
      <c r="G5403" t="s">
        <v>1073</v>
      </c>
      <c r="H5403" s="21">
        <v>37.957470000000001</v>
      </c>
      <c r="I5403" t="s">
        <v>1074</v>
      </c>
      <c r="J5403" s="22">
        <f>ROUND(E5403* H5403,5)</f>
        <v>37.957470000000001</v>
      </c>
      <c r="K5403" s="23"/>
    </row>
    <row r="5404" spans="1:27" x14ac:dyDescent="0.2">
      <c r="B5404" t="s">
        <v>2519</v>
      </c>
      <c r="C5404" t="s">
        <v>23</v>
      </c>
      <c r="D5404" t="s">
        <v>2520</v>
      </c>
      <c r="E5404" s="20">
        <v>1</v>
      </c>
      <c r="G5404" t="s">
        <v>1073</v>
      </c>
      <c r="H5404" s="21">
        <v>32.066940000000002</v>
      </c>
      <c r="I5404" t="s">
        <v>1074</v>
      </c>
      <c r="J5404" s="22">
        <f>ROUND(E5404* H5404,5)</f>
        <v>32.066940000000002</v>
      </c>
      <c r="K5404" s="23"/>
    </row>
    <row r="5405" spans="1:27" x14ac:dyDescent="0.2">
      <c r="B5405" t="s">
        <v>2560</v>
      </c>
      <c r="C5405" t="s">
        <v>23</v>
      </c>
      <c r="D5405" t="s">
        <v>2561</v>
      </c>
      <c r="E5405" s="20">
        <v>2</v>
      </c>
      <c r="G5405" t="s">
        <v>1073</v>
      </c>
      <c r="H5405" s="21">
        <v>12.160589999999999</v>
      </c>
      <c r="I5405" t="s">
        <v>1074</v>
      </c>
      <c r="J5405" s="22">
        <f>ROUND(E5405* H5405,5)</f>
        <v>24.321179999999998</v>
      </c>
      <c r="K5405" s="23"/>
    </row>
    <row r="5406" spans="1:27" x14ac:dyDescent="0.2">
      <c r="B5406" t="s">
        <v>2565</v>
      </c>
      <c r="C5406" t="s">
        <v>23</v>
      </c>
      <c r="D5406" t="s">
        <v>2566</v>
      </c>
      <c r="E5406" s="20">
        <v>2</v>
      </c>
      <c r="G5406" t="s">
        <v>1073</v>
      </c>
      <c r="H5406" s="21">
        <v>11.920590000000001</v>
      </c>
      <c r="I5406" t="s">
        <v>1074</v>
      </c>
      <c r="J5406" s="22">
        <f>ROUND(E5406* H5406,5)</f>
        <v>23.841180000000001</v>
      </c>
      <c r="K5406" s="23"/>
    </row>
    <row r="5407" spans="1:27" x14ac:dyDescent="0.2">
      <c r="B5407" t="s">
        <v>2763</v>
      </c>
      <c r="C5407" t="s">
        <v>23</v>
      </c>
      <c r="D5407" t="s">
        <v>2764</v>
      </c>
      <c r="E5407" s="20">
        <v>2</v>
      </c>
      <c r="G5407" t="s">
        <v>1073</v>
      </c>
      <c r="H5407" s="21">
        <v>37.960549999999998</v>
      </c>
      <c r="I5407" t="s">
        <v>1074</v>
      </c>
      <c r="J5407" s="22">
        <f>ROUND(E5407* H5407,5)</f>
        <v>75.921099999999996</v>
      </c>
      <c r="K5407" s="23"/>
    </row>
    <row r="5408" spans="1:27" x14ac:dyDescent="0.2">
      <c r="D5408" s="24" t="s">
        <v>2823</v>
      </c>
      <c r="E5408" s="23"/>
      <c r="H5408" s="23"/>
      <c r="K5408" s="21">
        <f>SUM(J5403:J5407)</f>
        <v>194.10786999999999</v>
      </c>
    </row>
    <row r="5409" spans="1:27" x14ac:dyDescent="0.2">
      <c r="B5409" s="14" t="s">
        <v>2262</v>
      </c>
      <c r="E5409" s="23"/>
      <c r="H5409" s="23"/>
      <c r="K5409" s="23"/>
    </row>
    <row r="5410" spans="1:27" x14ac:dyDescent="0.2">
      <c r="B5410" t="s">
        <v>2830</v>
      </c>
      <c r="C5410" t="s">
        <v>23</v>
      </c>
      <c r="D5410" t="s">
        <v>2831</v>
      </c>
      <c r="E5410" s="20">
        <v>1</v>
      </c>
      <c r="G5410" t="s">
        <v>1073</v>
      </c>
      <c r="H5410" s="21">
        <v>60</v>
      </c>
      <c r="I5410" t="s">
        <v>1074</v>
      </c>
      <c r="J5410" s="22">
        <f>ROUND(E5410* H5410,5)</f>
        <v>60</v>
      </c>
      <c r="K5410" s="23"/>
    </row>
    <row r="5411" spans="1:27" x14ac:dyDescent="0.2">
      <c r="D5411" s="24" t="s">
        <v>2265</v>
      </c>
      <c r="E5411" s="23"/>
      <c r="H5411" s="23"/>
      <c r="K5411" s="21">
        <f>SUM(J5410:J5410)</f>
        <v>60</v>
      </c>
    </row>
    <row r="5412" spans="1:27" x14ac:dyDescent="0.2">
      <c r="D5412" s="24" t="s">
        <v>1091</v>
      </c>
      <c r="E5412" s="23"/>
      <c r="H5412" s="23"/>
      <c r="K5412" s="25">
        <f>SUM(J5402:J5411)</f>
        <v>254.10786999999999</v>
      </c>
    </row>
    <row r="5413" spans="1:27" x14ac:dyDescent="0.2">
      <c r="D5413" s="24" t="s">
        <v>1142</v>
      </c>
      <c r="E5413" s="23"/>
      <c r="H5413" s="23">
        <v>8</v>
      </c>
      <c r="I5413" t="s">
        <v>1093</v>
      </c>
      <c r="K5413" s="21">
        <f>ROUND(H5413/100*K5412,5)</f>
        <v>20.32863</v>
      </c>
    </row>
    <row r="5414" spans="1:27" x14ac:dyDescent="0.2">
      <c r="D5414" s="24" t="s">
        <v>1094</v>
      </c>
      <c r="E5414" s="23"/>
      <c r="H5414" s="23"/>
      <c r="K5414" s="25">
        <f>SUM(K5412:K5413)</f>
        <v>274.43649999999997</v>
      </c>
    </row>
    <row r="5416" spans="1:27" ht="45" customHeight="1" x14ac:dyDescent="0.2">
      <c r="A5416" s="17" t="s">
        <v>2620</v>
      </c>
      <c r="B5416" s="17" t="s">
        <v>804</v>
      </c>
      <c r="C5416" s="1" t="s">
        <v>23</v>
      </c>
      <c r="D5416" s="96" t="s">
        <v>805</v>
      </c>
      <c r="E5416" s="97"/>
      <c r="F5416" s="97"/>
      <c r="G5416" s="1"/>
      <c r="H5416" s="18" t="s">
        <v>1066</v>
      </c>
      <c r="I5416" s="98">
        <v>1</v>
      </c>
      <c r="J5416" s="99"/>
      <c r="K5416" s="19">
        <f>ROUND(K5427,2)</f>
        <v>55.36</v>
      </c>
      <c r="L5416" s="2" t="s">
        <v>2833</v>
      </c>
      <c r="M5416" s="1"/>
      <c r="N5416" s="1"/>
      <c r="O5416" s="1"/>
      <c r="P5416" s="1"/>
      <c r="Q5416" s="1"/>
      <c r="R5416" s="1"/>
      <c r="S5416" s="1"/>
      <c r="T5416" s="1"/>
      <c r="U5416" s="1"/>
      <c r="V5416" s="1"/>
      <c r="W5416" s="1"/>
      <c r="X5416" s="1"/>
      <c r="Y5416" s="1"/>
      <c r="Z5416" s="1"/>
      <c r="AA5416" s="1"/>
    </row>
    <row r="5417" spans="1:27" x14ac:dyDescent="0.2">
      <c r="B5417" s="14" t="s">
        <v>1133</v>
      </c>
    </row>
    <row r="5418" spans="1:27" x14ac:dyDescent="0.2">
      <c r="B5418" t="s">
        <v>2570</v>
      </c>
      <c r="C5418" t="s">
        <v>23</v>
      </c>
      <c r="D5418" t="s">
        <v>2571</v>
      </c>
      <c r="E5418" s="20">
        <v>1</v>
      </c>
      <c r="G5418" t="s">
        <v>1073</v>
      </c>
      <c r="H5418" s="21">
        <v>10.96059</v>
      </c>
      <c r="I5418" t="s">
        <v>1074</v>
      </c>
      <c r="J5418" s="22">
        <f t="shared" ref="J5418:J5423" si="10">ROUND(E5418* H5418,5)</f>
        <v>10.96059</v>
      </c>
      <c r="K5418" s="23"/>
    </row>
    <row r="5419" spans="1:27" x14ac:dyDescent="0.2">
      <c r="B5419" t="s">
        <v>2543</v>
      </c>
      <c r="C5419" t="s">
        <v>23</v>
      </c>
      <c r="D5419" t="s">
        <v>2544</v>
      </c>
      <c r="E5419" s="20">
        <v>1</v>
      </c>
      <c r="G5419" t="s">
        <v>1073</v>
      </c>
      <c r="H5419" s="21">
        <v>4.4877599999999997</v>
      </c>
      <c r="I5419" t="s">
        <v>1074</v>
      </c>
      <c r="J5419" s="22">
        <f t="shared" si="10"/>
        <v>4.4877599999999997</v>
      </c>
      <c r="K5419" s="23"/>
    </row>
    <row r="5420" spans="1:27" x14ac:dyDescent="0.2">
      <c r="B5420" t="s">
        <v>2524</v>
      </c>
      <c r="C5420" t="s">
        <v>23</v>
      </c>
      <c r="D5420" t="s">
        <v>2525</v>
      </c>
      <c r="E5420" s="20">
        <v>1</v>
      </c>
      <c r="G5420" t="s">
        <v>1073</v>
      </c>
      <c r="H5420" s="21">
        <v>3.3767499999999999</v>
      </c>
      <c r="I5420" t="s">
        <v>1074</v>
      </c>
      <c r="J5420" s="22">
        <f t="shared" si="10"/>
        <v>3.3767499999999999</v>
      </c>
      <c r="K5420" s="23"/>
    </row>
    <row r="5421" spans="1:27" x14ac:dyDescent="0.2">
      <c r="B5421" t="s">
        <v>2489</v>
      </c>
      <c r="C5421" t="s">
        <v>36</v>
      </c>
      <c r="D5421" t="s">
        <v>2490</v>
      </c>
      <c r="E5421" s="20">
        <v>12</v>
      </c>
      <c r="G5421" t="s">
        <v>1073</v>
      </c>
      <c r="H5421" s="21">
        <v>1.42106</v>
      </c>
      <c r="I5421" t="s">
        <v>1074</v>
      </c>
      <c r="J5421" s="22">
        <f t="shared" si="10"/>
        <v>17.052720000000001</v>
      </c>
      <c r="K5421" s="23"/>
    </row>
    <row r="5422" spans="1:27" x14ac:dyDescent="0.2">
      <c r="B5422" t="s">
        <v>2426</v>
      </c>
      <c r="C5422" t="s">
        <v>36</v>
      </c>
      <c r="D5422" t="s">
        <v>2427</v>
      </c>
      <c r="E5422" s="20">
        <v>6</v>
      </c>
      <c r="G5422" t="s">
        <v>1073</v>
      </c>
      <c r="H5422" s="21">
        <v>1.5638799999999999</v>
      </c>
      <c r="I5422" t="s">
        <v>1074</v>
      </c>
      <c r="J5422" s="22">
        <f t="shared" si="10"/>
        <v>9.3832799999999992</v>
      </c>
      <c r="K5422" s="23"/>
    </row>
    <row r="5423" spans="1:27" x14ac:dyDescent="0.2">
      <c r="B5423" t="s">
        <v>2399</v>
      </c>
      <c r="C5423" t="s">
        <v>23</v>
      </c>
      <c r="D5423" t="s">
        <v>2400</v>
      </c>
      <c r="E5423" s="20">
        <v>0.25</v>
      </c>
      <c r="G5423" t="s">
        <v>1073</v>
      </c>
      <c r="H5423" s="21">
        <v>23.993760000000002</v>
      </c>
      <c r="I5423" t="s">
        <v>1074</v>
      </c>
      <c r="J5423" s="22">
        <f t="shared" si="10"/>
        <v>5.9984400000000004</v>
      </c>
      <c r="K5423" s="23"/>
    </row>
    <row r="5424" spans="1:27" x14ac:dyDescent="0.2">
      <c r="D5424" s="24" t="s">
        <v>2823</v>
      </c>
      <c r="E5424" s="23"/>
      <c r="H5424" s="23"/>
      <c r="K5424" s="21">
        <f>SUM(J5418:J5423)</f>
        <v>51.259540000000001</v>
      </c>
    </row>
    <row r="5425" spans="1:27" x14ac:dyDescent="0.2">
      <c r="D5425" s="24" t="s">
        <v>1091</v>
      </c>
      <c r="E5425" s="23"/>
      <c r="H5425" s="23"/>
      <c r="K5425" s="25">
        <f>SUM(J5417:J5424)</f>
        <v>51.259540000000001</v>
      </c>
    </row>
    <row r="5426" spans="1:27" x14ac:dyDescent="0.2">
      <c r="D5426" s="24" t="s">
        <v>1142</v>
      </c>
      <c r="E5426" s="23"/>
      <c r="H5426" s="23">
        <v>8</v>
      </c>
      <c r="I5426" t="s">
        <v>1093</v>
      </c>
      <c r="K5426" s="21">
        <f>ROUND(H5426/100*K5425,5)</f>
        <v>4.1007600000000002</v>
      </c>
    </row>
    <row r="5427" spans="1:27" x14ac:dyDescent="0.2">
      <c r="D5427" s="24" t="s">
        <v>1094</v>
      </c>
      <c r="E5427" s="23"/>
      <c r="H5427" s="23"/>
      <c r="K5427" s="25">
        <f>SUM(K5425:K5426)</f>
        <v>55.360300000000002</v>
      </c>
    </row>
    <row r="5429" spans="1:27" ht="45" customHeight="1" x14ac:dyDescent="0.2">
      <c r="A5429" s="17" t="s">
        <v>2814</v>
      </c>
      <c r="B5429" s="17" t="s">
        <v>920</v>
      </c>
      <c r="C5429" s="1" t="s">
        <v>23</v>
      </c>
      <c r="D5429" s="96" t="s">
        <v>921</v>
      </c>
      <c r="E5429" s="97"/>
      <c r="F5429" s="97"/>
      <c r="G5429" s="1"/>
      <c r="H5429" s="18" t="s">
        <v>1066</v>
      </c>
      <c r="I5429" s="98">
        <v>1</v>
      </c>
      <c r="J5429" s="99"/>
      <c r="K5429" s="19">
        <f>ROUND(K5440,2)</f>
        <v>3450.82</v>
      </c>
      <c r="L5429" s="2" t="s">
        <v>2835</v>
      </c>
      <c r="M5429" s="1"/>
      <c r="N5429" s="1"/>
      <c r="O5429" s="1"/>
      <c r="P5429" s="1"/>
      <c r="Q5429" s="1"/>
      <c r="R5429" s="1"/>
      <c r="S5429" s="1"/>
      <c r="T5429" s="1"/>
      <c r="U5429" s="1"/>
      <c r="V5429" s="1"/>
      <c r="W5429" s="1"/>
      <c r="X5429" s="1"/>
      <c r="Y5429" s="1"/>
      <c r="Z5429" s="1"/>
      <c r="AA5429" s="1"/>
    </row>
    <row r="5430" spans="1:27" x14ac:dyDescent="0.2">
      <c r="B5430" s="14" t="s">
        <v>1133</v>
      </c>
    </row>
    <row r="5431" spans="1:27" x14ac:dyDescent="0.2">
      <c r="B5431" t="s">
        <v>759</v>
      </c>
      <c r="C5431" t="s">
        <v>23</v>
      </c>
      <c r="D5431" t="s">
        <v>760</v>
      </c>
      <c r="E5431" s="20">
        <v>1</v>
      </c>
      <c r="G5431" t="s">
        <v>1073</v>
      </c>
      <c r="H5431" s="21">
        <v>55.584339999999997</v>
      </c>
      <c r="I5431" t="s">
        <v>1074</v>
      </c>
      <c r="J5431" s="22">
        <f t="shared" ref="J5431:J5437" si="11">ROUND(E5431* H5431,5)</f>
        <v>55.584339999999997</v>
      </c>
      <c r="K5431" s="23"/>
    </row>
    <row r="5432" spans="1:27" x14ac:dyDescent="0.2">
      <c r="B5432" t="s">
        <v>2688</v>
      </c>
      <c r="C5432" t="s">
        <v>23</v>
      </c>
      <c r="D5432" t="s">
        <v>2689</v>
      </c>
      <c r="E5432" s="20">
        <v>1</v>
      </c>
      <c r="G5432" t="s">
        <v>1073</v>
      </c>
      <c r="H5432" s="21">
        <v>381.16298</v>
      </c>
      <c r="I5432" t="s">
        <v>1074</v>
      </c>
      <c r="J5432" s="22">
        <f t="shared" si="11"/>
        <v>381.16298</v>
      </c>
      <c r="K5432" s="23"/>
    </row>
    <row r="5433" spans="1:27" x14ac:dyDescent="0.2">
      <c r="B5433" t="s">
        <v>2579</v>
      </c>
      <c r="C5433" t="s">
        <v>23</v>
      </c>
      <c r="D5433" t="s">
        <v>2580</v>
      </c>
      <c r="E5433" s="20">
        <v>1</v>
      </c>
      <c r="G5433" t="s">
        <v>1073</v>
      </c>
      <c r="H5433" s="21">
        <v>38.321739999999998</v>
      </c>
      <c r="I5433" t="s">
        <v>1074</v>
      </c>
      <c r="J5433" s="22">
        <f t="shared" si="11"/>
        <v>38.321739999999998</v>
      </c>
      <c r="K5433" s="23"/>
    </row>
    <row r="5434" spans="1:27" x14ac:dyDescent="0.2">
      <c r="B5434" t="s">
        <v>757</v>
      </c>
      <c r="C5434" t="s">
        <v>36</v>
      </c>
      <c r="D5434" t="s">
        <v>758</v>
      </c>
      <c r="E5434" s="20">
        <v>30</v>
      </c>
      <c r="G5434" t="s">
        <v>1073</v>
      </c>
      <c r="H5434" s="21">
        <v>14.07836</v>
      </c>
      <c r="I5434" t="s">
        <v>1074</v>
      </c>
      <c r="J5434" s="22">
        <f t="shared" si="11"/>
        <v>422.35079999999999</v>
      </c>
      <c r="K5434" s="23"/>
    </row>
    <row r="5435" spans="1:27" x14ac:dyDescent="0.2">
      <c r="B5435" t="s">
        <v>2450</v>
      </c>
      <c r="C5435" t="s">
        <v>36</v>
      </c>
      <c r="D5435" t="s">
        <v>2451</v>
      </c>
      <c r="E5435" s="20">
        <v>20</v>
      </c>
      <c r="G5435" t="s">
        <v>1073</v>
      </c>
      <c r="H5435" s="21">
        <v>5.2800700000000003</v>
      </c>
      <c r="I5435" t="s">
        <v>1074</v>
      </c>
      <c r="J5435" s="22">
        <f t="shared" si="11"/>
        <v>105.6014</v>
      </c>
      <c r="K5435" s="23"/>
    </row>
    <row r="5436" spans="1:27" x14ac:dyDescent="0.2">
      <c r="B5436" t="s">
        <v>2445</v>
      </c>
      <c r="C5436" t="s">
        <v>36</v>
      </c>
      <c r="D5436" t="s">
        <v>2446</v>
      </c>
      <c r="E5436" s="20">
        <v>2</v>
      </c>
      <c r="G5436" t="s">
        <v>1073</v>
      </c>
      <c r="H5436" s="21">
        <v>10.58207</v>
      </c>
      <c r="I5436" t="s">
        <v>1074</v>
      </c>
      <c r="J5436" s="22">
        <f t="shared" si="11"/>
        <v>21.16414</v>
      </c>
      <c r="K5436" s="23"/>
    </row>
    <row r="5437" spans="1:27" x14ac:dyDescent="0.2">
      <c r="B5437" t="s">
        <v>2693</v>
      </c>
      <c r="C5437" t="s">
        <v>23</v>
      </c>
      <c r="D5437" t="s">
        <v>2694</v>
      </c>
      <c r="E5437" s="20">
        <v>1</v>
      </c>
      <c r="G5437" t="s">
        <v>1073</v>
      </c>
      <c r="H5437" s="21">
        <v>2171.0142000000001</v>
      </c>
      <c r="I5437" t="s">
        <v>1074</v>
      </c>
      <c r="J5437" s="22">
        <f t="shared" si="11"/>
        <v>2171.0142000000001</v>
      </c>
      <c r="K5437" s="23"/>
    </row>
    <row r="5438" spans="1:27" x14ac:dyDescent="0.2">
      <c r="D5438" s="24" t="s">
        <v>1091</v>
      </c>
      <c r="E5438" s="23"/>
      <c r="H5438" s="23"/>
      <c r="K5438" s="25">
        <f>SUM(J5430:J5437)</f>
        <v>3195.1995999999999</v>
      </c>
    </row>
    <row r="5439" spans="1:27" x14ac:dyDescent="0.2">
      <c r="D5439" s="24" t="s">
        <v>1142</v>
      </c>
      <c r="E5439" s="23"/>
      <c r="H5439" s="23">
        <v>8</v>
      </c>
      <c r="I5439" t="s">
        <v>1093</v>
      </c>
      <c r="K5439" s="21">
        <f>ROUND(H5439/100*K5438,5)</f>
        <v>255.61597</v>
      </c>
    </row>
    <row r="5440" spans="1:27" x14ac:dyDescent="0.2">
      <c r="D5440" s="24" t="s">
        <v>1094</v>
      </c>
      <c r="E5440" s="23"/>
      <c r="H5440" s="23"/>
      <c r="K5440" s="25">
        <f>SUM(K5438:K5439)</f>
        <v>3450.8155699999998</v>
      </c>
    </row>
  </sheetData>
  <mergeCells count="1041">
    <mergeCell ref="D28:F28"/>
    <mergeCell ref="I28:J28"/>
    <mergeCell ref="D44:F44"/>
    <mergeCell ref="I44:J44"/>
    <mergeCell ref="D60:F60"/>
    <mergeCell ref="I60:J60"/>
    <mergeCell ref="A1:K1"/>
    <mergeCell ref="A2:K2"/>
    <mergeCell ref="A3:K3"/>
    <mergeCell ref="A4:K4"/>
    <mergeCell ref="A6:K6"/>
    <mergeCell ref="D11:F11"/>
    <mergeCell ref="I11:J11"/>
    <mergeCell ref="D156:F156"/>
    <mergeCell ref="I156:J156"/>
    <mergeCell ref="D168:F168"/>
    <mergeCell ref="I168:J168"/>
    <mergeCell ref="D180:F180"/>
    <mergeCell ref="I180:J180"/>
    <mergeCell ref="D126:F126"/>
    <mergeCell ref="I126:J126"/>
    <mergeCell ref="D139:F139"/>
    <mergeCell ref="I139:J139"/>
    <mergeCell ref="D144:F144"/>
    <mergeCell ref="I144:J144"/>
    <mergeCell ref="D77:F77"/>
    <mergeCell ref="I77:J77"/>
    <mergeCell ref="D93:F93"/>
    <mergeCell ref="I93:J93"/>
    <mergeCell ref="D109:F109"/>
    <mergeCell ref="I109:J109"/>
    <mergeCell ref="D238:F238"/>
    <mergeCell ref="I238:J238"/>
    <mergeCell ref="D239:F239"/>
    <mergeCell ref="I239:J239"/>
    <mergeCell ref="D240:F240"/>
    <mergeCell ref="I240:J240"/>
    <mergeCell ref="D222:F222"/>
    <mergeCell ref="I222:J222"/>
    <mergeCell ref="D236:F236"/>
    <mergeCell ref="I236:J236"/>
    <mergeCell ref="D237:F237"/>
    <mergeCell ref="I237:J237"/>
    <mergeCell ref="D192:F192"/>
    <mergeCell ref="I192:J192"/>
    <mergeCell ref="D193:F193"/>
    <mergeCell ref="I193:J193"/>
    <mergeCell ref="D208:F208"/>
    <mergeCell ref="I208:J208"/>
    <mergeCell ref="D315:F315"/>
    <mergeCell ref="I315:J315"/>
    <mergeCell ref="D333:F333"/>
    <mergeCell ref="I333:J333"/>
    <mergeCell ref="D341:F341"/>
    <mergeCell ref="I341:J341"/>
    <mergeCell ref="D271:F271"/>
    <mergeCell ref="I271:J271"/>
    <mergeCell ref="D283:F283"/>
    <mergeCell ref="I283:J283"/>
    <mergeCell ref="D300:F300"/>
    <mergeCell ref="I300:J300"/>
    <mergeCell ref="D248:F248"/>
    <mergeCell ref="I248:J248"/>
    <mergeCell ref="D256:F256"/>
    <mergeCell ref="I256:J256"/>
    <mergeCell ref="D270:F270"/>
    <mergeCell ref="I270:J270"/>
    <mergeCell ref="D431:F431"/>
    <mergeCell ref="I431:J431"/>
    <mergeCell ref="D441:F441"/>
    <mergeCell ref="I441:J441"/>
    <mergeCell ref="D455:F455"/>
    <mergeCell ref="I455:J455"/>
    <mergeCell ref="D392:F392"/>
    <mergeCell ref="I392:J392"/>
    <mergeCell ref="D402:F402"/>
    <mergeCell ref="I402:J402"/>
    <mergeCell ref="D416:F416"/>
    <mergeCell ref="I416:J416"/>
    <mergeCell ref="D355:F355"/>
    <mergeCell ref="I355:J355"/>
    <mergeCell ref="D368:F368"/>
    <mergeCell ref="I368:J368"/>
    <mergeCell ref="D378:F378"/>
    <mergeCell ref="I378:J378"/>
    <mergeCell ref="D535:F535"/>
    <mergeCell ref="I535:J535"/>
    <mergeCell ref="D545:F545"/>
    <mergeCell ref="I545:J545"/>
    <mergeCell ref="D558:F558"/>
    <mergeCell ref="I558:J558"/>
    <mergeCell ref="D504:F504"/>
    <mergeCell ref="I504:J504"/>
    <mergeCell ref="D515:F515"/>
    <mergeCell ref="I515:J515"/>
    <mergeCell ref="D525:F525"/>
    <mergeCell ref="I525:J525"/>
    <mergeCell ref="D469:F469"/>
    <mergeCell ref="I469:J469"/>
    <mergeCell ref="D479:F479"/>
    <mergeCell ref="I479:J479"/>
    <mergeCell ref="D493:F493"/>
    <mergeCell ref="I493:J493"/>
    <mergeCell ref="D634:F634"/>
    <mergeCell ref="I634:J634"/>
    <mergeCell ref="D644:F644"/>
    <mergeCell ref="I644:J644"/>
    <mergeCell ref="D654:F654"/>
    <mergeCell ref="I654:J654"/>
    <mergeCell ref="D604:F604"/>
    <mergeCell ref="I604:J604"/>
    <mergeCell ref="D612:F612"/>
    <mergeCell ref="I612:J612"/>
    <mergeCell ref="D620:F620"/>
    <mergeCell ref="I620:J620"/>
    <mergeCell ref="D577:F577"/>
    <mergeCell ref="I577:J577"/>
    <mergeCell ref="D588:F588"/>
    <mergeCell ref="I588:J588"/>
    <mergeCell ref="D596:F596"/>
    <mergeCell ref="I596:J596"/>
    <mergeCell ref="D727:F727"/>
    <mergeCell ref="I727:J727"/>
    <mergeCell ref="D735:F735"/>
    <mergeCell ref="I735:J735"/>
    <mergeCell ref="D743:F743"/>
    <mergeCell ref="I743:J743"/>
    <mergeCell ref="D703:F703"/>
    <mergeCell ref="I703:J703"/>
    <mergeCell ref="D711:F711"/>
    <mergeCell ref="I711:J711"/>
    <mergeCell ref="D719:F719"/>
    <mergeCell ref="I719:J719"/>
    <mergeCell ref="D670:F670"/>
    <mergeCell ref="I670:J670"/>
    <mergeCell ref="D685:F685"/>
    <mergeCell ref="I685:J685"/>
    <mergeCell ref="D695:F695"/>
    <mergeCell ref="I695:J695"/>
    <mergeCell ref="D799:F799"/>
    <mergeCell ref="I799:J799"/>
    <mergeCell ref="D807:F807"/>
    <mergeCell ref="I807:J807"/>
    <mergeCell ref="D824:F824"/>
    <mergeCell ref="I824:J824"/>
    <mergeCell ref="D775:F775"/>
    <mergeCell ref="I775:J775"/>
    <mergeCell ref="D783:F783"/>
    <mergeCell ref="I783:J783"/>
    <mergeCell ref="D791:F791"/>
    <mergeCell ref="I791:J791"/>
    <mergeCell ref="D751:F751"/>
    <mergeCell ref="I751:J751"/>
    <mergeCell ref="D759:F759"/>
    <mergeCell ref="I759:J759"/>
    <mergeCell ref="D767:F767"/>
    <mergeCell ref="I767:J767"/>
    <mergeCell ref="D937:F937"/>
    <mergeCell ref="I937:J937"/>
    <mergeCell ref="D951:F951"/>
    <mergeCell ref="I951:J951"/>
    <mergeCell ref="D968:F968"/>
    <mergeCell ref="I968:J968"/>
    <mergeCell ref="D891:F891"/>
    <mergeCell ref="I891:J891"/>
    <mergeCell ref="D908:F908"/>
    <mergeCell ref="I908:J908"/>
    <mergeCell ref="D923:F923"/>
    <mergeCell ref="I923:J923"/>
    <mergeCell ref="D841:F841"/>
    <mergeCell ref="I841:J841"/>
    <mergeCell ref="D855:F855"/>
    <mergeCell ref="I855:J855"/>
    <mergeCell ref="D872:F872"/>
    <mergeCell ref="I872:J872"/>
    <mergeCell ref="D1066:F1066"/>
    <mergeCell ref="I1066:J1066"/>
    <mergeCell ref="D1081:F1081"/>
    <mergeCell ref="I1081:J1081"/>
    <mergeCell ref="D1082:F1082"/>
    <mergeCell ref="I1082:J1082"/>
    <mergeCell ref="D1022:F1022"/>
    <mergeCell ref="I1022:J1022"/>
    <mergeCell ref="D1037:F1037"/>
    <mergeCell ref="I1037:J1037"/>
    <mergeCell ref="D1051:F1051"/>
    <mergeCell ref="I1051:J1051"/>
    <mergeCell ref="D982:F982"/>
    <mergeCell ref="I982:J982"/>
    <mergeCell ref="D993:F993"/>
    <mergeCell ref="I993:J993"/>
    <mergeCell ref="D1007:F1007"/>
    <mergeCell ref="I1007:J1007"/>
    <mergeCell ref="D1166:F1166"/>
    <mergeCell ref="I1166:J1166"/>
    <mergeCell ref="D1179:F1179"/>
    <mergeCell ref="I1179:J1179"/>
    <mergeCell ref="D1189:F1189"/>
    <mergeCell ref="I1189:J1189"/>
    <mergeCell ref="D1118:F1118"/>
    <mergeCell ref="I1118:J1118"/>
    <mergeCell ref="D1132:F1132"/>
    <mergeCell ref="I1132:J1132"/>
    <mergeCell ref="D1149:F1149"/>
    <mergeCell ref="I1149:J1149"/>
    <mergeCell ref="D1083:F1083"/>
    <mergeCell ref="I1083:J1083"/>
    <mergeCell ref="D1084:F1084"/>
    <mergeCell ref="I1084:J1084"/>
    <mergeCell ref="D1101:F1101"/>
    <mergeCell ref="I1101:J1101"/>
    <mergeCell ref="D1279:F1279"/>
    <mergeCell ref="I1279:J1279"/>
    <mergeCell ref="D1293:F1293"/>
    <mergeCell ref="I1293:J1293"/>
    <mergeCell ref="D1307:F1307"/>
    <mergeCell ref="I1307:J1307"/>
    <mergeCell ref="D1232:F1232"/>
    <mergeCell ref="I1232:J1232"/>
    <mergeCell ref="D1247:F1247"/>
    <mergeCell ref="I1247:J1247"/>
    <mergeCell ref="D1262:F1262"/>
    <mergeCell ref="I1262:J1262"/>
    <mergeCell ref="D1199:F1199"/>
    <mergeCell ref="I1199:J1199"/>
    <mergeCell ref="D1209:F1209"/>
    <mergeCell ref="I1209:J1209"/>
    <mergeCell ref="D1218:F1218"/>
    <mergeCell ref="I1218:J1218"/>
    <mergeCell ref="D1411:F1411"/>
    <mergeCell ref="I1411:J1411"/>
    <mergeCell ref="D1425:F1425"/>
    <mergeCell ref="I1425:J1425"/>
    <mergeCell ref="D1439:F1439"/>
    <mergeCell ref="I1439:J1439"/>
    <mergeCell ref="D1368:F1368"/>
    <mergeCell ref="I1368:J1368"/>
    <mergeCell ref="D1382:F1382"/>
    <mergeCell ref="I1382:J1382"/>
    <mergeCell ref="D1397:F1397"/>
    <mergeCell ref="I1397:J1397"/>
    <mergeCell ref="D1322:F1322"/>
    <mergeCell ref="I1322:J1322"/>
    <mergeCell ref="D1337:F1337"/>
    <mergeCell ref="I1337:J1337"/>
    <mergeCell ref="D1354:F1354"/>
    <mergeCell ref="I1354:J1354"/>
    <mergeCell ref="D1545:F1545"/>
    <mergeCell ref="I1545:J1545"/>
    <mergeCell ref="D1562:F1562"/>
    <mergeCell ref="I1562:J1562"/>
    <mergeCell ref="D1582:F1582"/>
    <mergeCell ref="I1582:J1582"/>
    <mergeCell ref="D1499:F1499"/>
    <mergeCell ref="I1499:J1499"/>
    <mergeCell ref="D1514:F1514"/>
    <mergeCell ref="I1514:J1514"/>
    <mergeCell ref="D1529:F1529"/>
    <mergeCell ref="I1529:J1529"/>
    <mergeCell ref="D1454:F1454"/>
    <mergeCell ref="I1454:J1454"/>
    <mergeCell ref="D1469:F1469"/>
    <mergeCell ref="I1469:J1469"/>
    <mergeCell ref="D1484:F1484"/>
    <mergeCell ref="I1484:J1484"/>
    <mergeCell ref="D1684:F1684"/>
    <mergeCell ref="I1684:J1684"/>
    <mergeCell ref="D1698:F1698"/>
    <mergeCell ref="I1698:J1698"/>
    <mergeCell ref="D1713:F1713"/>
    <mergeCell ref="I1713:J1713"/>
    <mergeCell ref="D1639:F1639"/>
    <mergeCell ref="I1639:J1639"/>
    <mergeCell ref="D1654:F1654"/>
    <mergeCell ref="I1654:J1654"/>
    <mergeCell ref="D1668:F1668"/>
    <mergeCell ref="I1668:J1668"/>
    <mergeCell ref="D1593:F1593"/>
    <mergeCell ref="I1593:J1593"/>
    <mergeCell ref="D1610:F1610"/>
    <mergeCell ref="I1610:J1610"/>
    <mergeCell ref="D1629:F1629"/>
    <mergeCell ref="I1629:J1629"/>
    <mergeCell ref="D1804:F1804"/>
    <mergeCell ref="I1804:J1804"/>
    <mergeCell ref="D1805:F1805"/>
    <mergeCell ref="I1805:J1805"/>
    <mergeCell ref="D1806:F1806"/>
    <mergeCell ref="I1806:J1806"/>
    <mergeCell ref="D1768:F1768"/>
    <mergeCell ref="I1768:J1768"/>
    <mergeCell ref="D1782:F1782"/>
    <mergeCell ref="I1782:J1782"/>
    <mergeCell ref="D1793:F1793"/>
    <mergeCell ref="I1793:J1793"/>
    <mergeCell ref="D1727:F1727"/>
    <mergeCell ref="I1727:J1727"/>
    <mergeCell ref="D1739:F1739"/>
    <mergeCell ref="I1739:J1739"/>
    <mergeCell ref="D1754:F1754"/>
    <mergeCell ref="I1754:J1754"/>
    <mergeCell ref="D1813:F1813"/>
    <mergeCell ref="I1813:J1813"/>
    <mergeCell ref="D1814:F1814"/>
    <mergeCell ref="I1814:J1814"/>
    <mergeCell ref="D1815:F1815"/>
    <mergeCell ref="I1815:J1815"/>
    <mergeCell ref="D1810:F1810"/>
    <mergeCell ref="I1810:J1810"/>
    <mergeCell ref="D1811:F1811"/>
    <mergeCell ref="I1811:J1811"/>
    <mergeCell ref="D1812:F1812"/>
    <mergeCell ref="I1812:J1812"/>
    <mergeCell ref="D1807:F1807"/>
    <mergeCell ref="I1807:J1807"/>
    <mergeCell ref="D1808:F1808"/>
    <mergeCell ref="I1808:J1808"/>
    <mergeCell ref="D1809:F1809"/>
    <mergeCell ref="I1809:J1809"/>
    <mergeCell ref="D1822:F1822"/>
    <mergeCell ref="I1822:J1822"/>
    <mergeCell ref="D1823:F1823"/>
    <mergeCell ref="I1823:J1823"/>
    <mergeCell ref="D1824:F1824"/>
    <mergeCell ref="I1824:J1824"/>
    <mergeCell ref="D1819:F1819"/>
    <mergeCell ref="I1819:J1819"/>
    <mergeCell ref="D1820:F1820"/>
    <mergeCell ref="I1820:J1820"/>
    <mergeCell ref="D1821:F1821"/>
    <mergeCell ref="I1821:J1821"/>
    <mergeCell ref="D1816:F1816"/>
    <mergeCell ref="I1816:J1816"/>
    <mergeCell ref="D1817:F1817"/>
    <mergeCell ref="I1817:J1817"/>
    <mergeCell ref="D1818:F1818"/>
    <mergeCell ref="I1818:J1818"/>
    <mergeCell ref="D1831:F1831"/>
    <mergeCell ref="I1831:J1831"/>
    <mergeCell ref="D1832:F1832"/>
    <mergeCell ref="I1832:J1832"/>
    <mergeCell ref="D1833:F1833"/>
    <mergeCell ref="I1833:J1833"/>
    <mergeCell ref="D1828:F1828"/>
    <mergeCell ref="I1828:J1828"/>
    <mergeCell ref="D1829:F1829"/>
    <mergeCell ref="I1829:J1829"/>
    <mergeCell ref="D1830:F1830"/>
    <mergeCell ref="I1830:J1830"/>
    <mergeCell ref="D1825:F1825"/>
    <mergeCell ref="I1825:J1825"/>
    <mergeCell ref="D1826:F1826"/>
    <mergeCell ref="I1826:J1826"/>
    <mergeCell ref="D1827:F1827"/>
    <mergeCell ref="I1827:J1827"/>
    <mergeCell ref="D1840:F1840"/>
    <mergeCell ref="I1840:J1840"/>
    <mergeCell ref="D1841:F1841"/>
    <mergeCell ref="I1841:J1841"/>
    <mergeCell ref="D1842:F1842"/>
    <mergeCell ref="I1842:J1842"/>
    <mergeCell ref="D1837:F1837"/>
    <mergeCell ref="I1837:J1837"/>
    <mergeCell ref="D1838:F1838"/>
    <mergeCell ref="I1838:J1838"/>
    <mergeCell ref="D1839:F1839"/>
    <mergeCell ref="I1839:J1839"/>
    <mergeCell ref="D1834:F1834"/>
    <mergeCell ref="I1834:J1834"/>
    <mergeCell ref="D1835:F1835"/>
    <mergeCell ref="I1835:J1835"/>
    <mergeCell ref="D1836:F1836"/>
    <mergeCell ref="I1836:J1836"/>
    <mergeCell ref="D1849:F1849"/>
    <mergeCell ref="I1849:J1849"/>
    <mergeCell ref="D1850:F1850"/>
    <mergeCell ref="I1850:J1850"/>
    <mergeCell ref="D1851:F1851"/>
    <mergeCell ref="I1851:J1851"/>
    <mergeCell ref="D1846:F1846"/>
    <mergeCell ref="I1846:J1846"/>
    <mergeCell ref="D1847:F1847"/>
    <mergeCell ref="I1847:J1847"/>
    <mergeCell ref="D1848:F1848"/>
    <mergeCell ref="I1848:J1848"/>
    <mergeCell ref="D1843:F1843"/>
    <mergeCell ref="I1843:J1843"/>
    <mergeCell ref="D1844:F1844"/>
    <mergeCell ref="I1844:J1844"/>
    <mergeCell ref="D1845:F1845"/>
    <mergeCell ref="I1845:J1845"/>
    <mergeCell ref="D1858:F1858"/>
    <mergeCell ref="I1858:J1858"/>
    <mergeCell ref="D1859:F1859"/>
    <mergeCell ref="I1859:J1859"/>
    <mergeCell ref="D1860:F1860"/>
    <mergeCell ref="I1860:J1860"/>
    <mergeCell ref="D1855:F1855"/>
    <mergeCell ref="I1855:J1855"/>
    <mergeCell ref="D1856:F1856"/>
    <mergeCell ref="I1856:J1856"/>
    <mergeCell ref="D1857:F1857"/>
    <mergeCell ref="I1857:J1857"/>
    <mergeCell ref="D1852:F1852"/>
    <mergeCell ref="I1852:J1852"/>
    <mergeCell ref="D1853:F1853"/>
    <mergeCell ref="I1853:J1853"/>
    <mergeCell ref="D1854:F1854"/>
    <mergeCell ref="I1854:J1854"/>
    <mergeCell ref="D1867:F1867"/>
    <mergeCell ref="I1867:J1867"/>
    <mergeCell ref="D1868:F1868"/>
    <mergeCell ref="I1868:J1868"/>
    <mergeCell ref="D1869:F1869"/>
    <mergeCell ref="I1869:J1869"/>
    <mergeCell ref="D1864:F1864"/>
    <mergeCell ref="I1864:J1864"/>
    <mergeCell ref="D1865:F1865"/>
    <mergeCell ref="I1865:J1865"/>
    <mergeCell ref="D1866:F1866"/>
    <mergeCell ref="I1866:J1866"/>
    <mergeCell ref="D1861:F1861"/>
    <mergeCell ref="I1861:J1861"/>
    <mergeCell ref="D1862:F1862"/>
    <mergeCell ref="I1862:J1862"/>
    <mergeCell ref="D1863:F1863"/>
    <mergeCell ref="I1863:J1863"/>
    <mergeCell ref="D1876:F1876"/>
    <mergeCell ref="I1876:J1876"/>
    <mergeCell ref="D1877:F1877"/>
    <mergeCell ref="I1877:J1877"/>
    <mergeCell ref="D1878:F1878"/>
    <mergeCell ref="I1878:J1878"/>
    <mergeCell ref="D1873:F1873"/>
    <mergeCell ref="I1873:J1873"/>
    <mergeCell ref="D1874:F1874"/>
    <mergeCell ref="I1874:J1874"/>
    <mergeCell ref="D1875:F1875"/>
    <mergeCell ref="I1875:J1875"/>
    <mergeCell ref="D1870:F1870"/>
    <mergeCell ref="I1870:J1870"/>
    <mergeCell ref="D1871:F1871"/>
    <mergeCell ref="I1871:J1871"/>
    <mergeCell ref="D1872:F1872"/>
    <mergeCell ref="I1872:J1872"/>
    <mergeCell ref="D1885:F1885"/>
    <mergeCell ref="I1885:J1885"/>
    <mergeCell ref="D1886:F1886"/>
    <mergeCell ref="I1886:J1886"/>
    <mergeCell ref="D1887:F1887"/>
    <mergeCell ref="I1887:J1887"/>
    <mergeCell ref="D1882:F1882"/>
    <mergeCell ref="I1882:J1882"/>
    <mergeCell ref="D1883:F1883"/>
    <mergeCell ref="I1883:J1883"/>
    <mergeCell ref="D1884:F1884"/>
    <mergeCell ref="I1884:J1884"/>
    <mergeCell ref="D1879:F1879"/>
    <mergeCell ref="I1879:J1879"/>
    <mergeCell ref="D1880:F1880"/>
    <mergeCell ref="I1880:J1880"/>
    <mergeCell ref="D1881:F1881"/>
    <mergeCell ref="I1881:J1881"/>
    <mergeCell ref="D1894:F1894"/>
    <mergeCell ref="I1894:J1894"/>
    <mergeCell ref="D1895:F1895"/>
    <mergeCell ref="I1895:J1895"/>
    <mergeCell ref="D1896:F1896"/>
    <mergeCell ref="I1896:J1896"/>
    <mergeCell ref="D1891:F1891"/>
    <mergeCell ref="I1891:J1891"/>
    <mergeCell ref="D1892:F1892"/>
    <mergeCell ref="I1892:J1892"/>
    <mergeCell ref="D1893:F1893"/>
    <mergeCell ref="I1893:J1893"/>
    <mergeCell ref="D1888:F1888"/>
    <mergeCell ref="I1888:J1888"/>
    <mergeCell ref="D1889:F1889"/>
    <mergeCell ref="I1889:J1889"/>
    <mergeCell ref="D1890:F1890"/>
    <mergeCell ref="I1890:J1890"/>
    <mergeCell ref="D1903:F1903"/>
    <mergeCell ref="I1903:J1903"/>
    <mergeCell ref="D1904:F1904"/>
    <mergeCell ref="I1904:J1904"/>
    <mergeCell ref="D1905:F1905"/>
    <mergeCell ref="I1905:J1905"/>
    <mergeCell ref="D1900:F1900"/>
    <mergeCell ref="I1900:J1900"/>
    <mergeCell ref="D1901:F1901"/>
    <mergeCell ref="I1901:J1901"/>
    <mergeCell ref="D1902:F1902"/>
    <mergeCell ref="I1902:J1902"/>
    <mergeCell ref="D1897:F1897"/>
    <mergeCell ref="I1897:J1897"/>
    <mergeCell ref="D1898:F1898"/>
    <mergeCell ref="I1898:J1898"/>
    <mergeCell ref="D1899:F1899"/>
    <mergeCell ref="I1899:J1899"/>
    <mergeCell ref="D1976:F1976"/>
    <mergeCell ref="I1976:J1976"/>
    <mergeCell ref="D1993:F1993"/>
    <mergeCell ref="I1993:J1993"/>
    <mergeCell ref="D2012:F2012"/>
    <mergeCell ref="I2012:J2012"/>
    <mergeCell ref="D1923:F1923"/>
    <mergeCell ref="I1923:J1923"/>
    <mergeCell ref="D1942:F1942"/>
    <mergeCell ref="I1942:J1942"/>
    <mergeCell ref="D1959:F1959"/>
    <mergeCell ref="I1959:J1959"/>
    <mergeCell ref="D1906:F1906"/>
    <mergeCell ref="I1906:J1906"/>
    <mergeCell ref="D1907:F1907"/>
    <mergeCell ref="I1907:J1907"/>
    <mergeCell ref="D1908:F1908"/>
    <mergeCell ref="I1908:J1908"/>
    <mergeCell ref="D2091:F2091"/>
    <mergeCell ref="I2091:J2091"/>
    <mergeCell ref="D2108:F2108"/>
    <mergeCell ref="I2108:J2108"/>
    <mergeCell ref="D2122:F2122"/>
    <mergeCell ref="I2122:J2122"/>
    <mergeCell ref="D2046:F2046"/>
    <mergeCell ref="I2046:J2046"/>
    <mergeCell ref="D2061:F2061"/>
    <mergeCell ref="I2061:J2061"/>
    <mergeCell ref="D2076:F2076"/>
    <mergeCell ref="I2076:J2076"/>
    <mergeCell ref="D2029:F2029"/>
    <mergeCell ref="I2029:J2029"/>
    <mergeCell ref="D2030:F2030"/>
    <mergeCell ref="I2030:J2030"/>
    <mergeCell ref="D2031:F2031"/>
    <mergeCell ref="I2031:J2031"/>
    <mergeCell ref="D2304:F2304"/>
    <mergeCell ref="I2304:J2304"/>
    <mergeCell ref="D2317:F2317"/>
    <mergeCell ref="I2317:J2317"/>
    <mergeCell ref="D2330:F2330"/>
    <mergeCell ref="I2330:J2330"/>
    <mergeCell ref="D2226:F2226"/>
    <mergeCell ref="I2226:J2226"/>
    <mergeCell ref="D2252:F2252"/>
    <mergeCell ref="I2252:J2252"/>
    <mergeCell ref="D2278:F2278"/>
    <mergeCell ref="I2278:J2278"/>
    <mergeCell ref="D2148:F2148"/>
    <mergeCell ref="I2148:J2148"/>
    <mergeCell ref="D2174:F2174"/>
    <mergeCell ref="I2174:J2174"/>
    <mergeCell ref="D2200:F2200"/>
    <mergeCell ref="I2200:J2200"/>
    <mergeCell ref="D2421:F2421"/>
    <mergeCell ref="I2421:J2421"/>
    <mergeCell ref="D2434:F2434"/>
    <mergeCell ref="I2434:J2434"/>
    <mergeCell ref="D2447:F2447"/>
    <mergeCell ref="I2447:J2447"/>
    <mergeCell ref="D2382:F2382"/>
    <mergeCell ref="I2382:J2382"/>
    <mergeCell ref="D2395:F2395"/>
    <mergeCell ref="I2395:J2395"/>
    <mergeCell ref="D2408:F2408"/>
    <mergeCell ref="I2408:J2408"/>
    <mergeCell ref="D2343:F2343"/>
    <mergeCell ref="I2343:J2343"/>
    <mergeCell ref="D2356:F2356"/>
    <mergeCell ref="I2356:J2356"/>
    <mergeCell ref="D2369:F2369"/>
    <mergeCell ref="I2369:J2369"/>
    <mergeCell ref="D2548:F2548"/>
    <mergeCell ref="I2548:J2548"/>
    <mergeCell ref="D2566:F2566"/>
    <mergeCell ref="I2566:J2566"/>
    <mergeCell ref="D2584:F2584"/>
    <mergeCell ref="I2584:J2584"/>
    <mergeCell ref="D2499:F2499"/>
    <mergeCell ref="I2499:J2499"/>
    <mergeCell ref="D2512:F2512"/>
    <mergeCell ref="I2512:J2512"/>
    <mergeCell ref="D2530:F2530"/>
    <mergeCell ref="I2530:J2530"/>
    <mergeCell ref="D2460:F2460"/>
    <mergeCell ref="I2460:J2460"/>
    <mergeCell ref="D2473:F2473"/>
    <mergeCell ref="I2473:J2473"/>
    <mergeCell ref="D2486:F2486"/>
    <mergeCell ref="I2486:J2486"/>
    <mergeCell ref="D2642:F2642"/>
    <mergeCell ref="I2642:J2642"/>
    <mergeCell ref="D2643:F2643"/>
    <mergeCell ref="I2643:J2643"/>
    <mergeCell ref="D2644:F2644"/>
    <mergeCell ref="I2644:J2644"/>
    <mergeCell ref="D2639:F2639"/>
    <mergeCell ref="I2639:J2639"/>
    <mergeCell ref="D2640:F2640"/>
    <mergeCell ref="I2640:J2640"/>
    <mergeCell ref="D2641:F2641"/>
    <mergeCell ref="I2641:J2641"/>
    <mergeCell ref="D2602:F2602"/>
    <mergeCell ref="I2602:J2602"/>
    <mergeCell ref="D2620:F2620"/>
    <mergeCell ref="I2620:J2620"/>
    <mergeCell ref="D2638:F2638"/>
    <mergeCell ref="I2638:J2638"/>
    <mergeCell ref="D2704:F2704"/>
    <mergeCell ref="I2704:J2704"/>
    <mergeCell ref="D2718:F2718"/>
    <mergeCell ref="I2718:J2718"/>
    <mergeCell ref="D2732:F2732"/>
    <mergeCell ref="I2732:J2732"/>
    <mergeCell ref="D2662:F2662"/>
    <mergeCell ref="I2662:J2662"/>
    <mergeCell ref="D2676:F2676"/>
    <mergeCell ref="I2676:J2676"/>
    <mergeCell ref="D2690:F2690"/>
    <mergeCell ref="I2690:J2690"/>
    <mergeCell ref="D2645:F2645"/>
    <mergeCell ref="I2645:J2645"/>
    <mergeCell ref="D2646:F2646"/>
    <mergeCell ref="I2646:J2646"/>
    <mergeCell ref="D2647:F2647"/>
    <mergeCell ref="I2647:J2647"/>
    <mergeCell ref="D2835:F2835"/>
    <mergeCell ref="I2835:J2835"/>
    <mergeCell ref="D2852:F2852"/>
    <mergeCell ref="I2852:J2852"/>
    <mergeCell ref="D2868:F2868"/>
    <mergeCell ref="I2868:J2868"/>
    <mergeCell ref="D2788:F2788"/>
    <mergeCell ref="I2788:J2788"/>
    <mergeCell ref="D2801:F2801"/>
    <mergeCell ref="I2801:J2801"/>
    <mergeCell ref="D2818:F2818"/>
    <mergeCell ref="I2818:J2818"/>
    <mergeCell ref="D2747:F2747"/>
    <mergeCell ref="I2747:J2747"/>
    <mergeCell ref="D2760:F2760"/>
    <mergeCell ref="I2760:J2760"/>
    <mergeCell ref="D2775:F2775"/>
    <mergeCell ref="I2775:J2775"/>
    <mergeCell ref="D2984:F2984"/>
    <mergeCell ref="I2984:J2984"/>
    <mergeCell ref="D3008:F3008"/>
    <mergeCell ref="I3008:J3008"/>
    <mergeCell ref="D3032:F3032"/>
    <mergeCell ref="I3032:J3032"/>
    <mergeCell ref="D2931:F2931"/>
    <mergeCell ref="I2931:J2931"/>
    <mergeCell ref="D2946:F2946"/>
    <mergeCell ref="I2946:J2946"/>
    <mergeCell ref="D2960:F2960"/>
    <mergeCell ref="I2960:J2960"/>
    <mergeCell ref="D2884:F2884"/>
    <mergeCell ref="I2884:J2884"/>
    <mergeCell ref="D2900:F2900"/>
    <mergeCell ref="I2900:J2900"/>
    <mergeCell ref="D2916:F2916"/>
    <mergeCell ref="I2916:J2916"/>
    <mergeCell ref="D3107:F3107"/>
    <mergeCell ref="I3107:J3107"/>
    <mergeCell ref="D3122:F3122"/>
    <mergeCell ref="I3122:J3122"/>
    <mergeCell ref="D3138:F3138"/>
    <mergeCell ref="I3138:J3138"/>
    <mergeCell ref="D3062:F3062"/>
    <mergeCell ref="I3062:J3062"/>
    <mergeCell ref="D3077:F3077"/>
    <mergeCell ref="I3077:J3077"/>
    <mergeCell ref="D3092:F3092"/>
    <mergeCell ref="I3092:J3092"/>
    <mergeCell ref="D3033:F3033"/>
    <mergeCell ref="I3033:J3033"/>
    <mergeCell ref="D3034:F3034"/>
    <mergeCell ref="I3034:J3034"/>
    <mergeCell ref="D3048:F3048"/>
    <mergeCell ref="I3048:J3048"/>
    <mergeCell ref="D3230:F3230"/>
    <mergeCell ref="I3230:J3230"/>
    <mergeCell ref="D3244:F3244"/>
    <mergeCell ref="I3244:J3244"/>
    <mergeCell ref="D3252:F3252"/>
    <mergeCell ref="I3252:J3252"/>
    <mergeCell ref="D3188:F3188"/>
    <mergeCell ref="I3188:J3188"/>
    <mergeCell ref="D3202:F3202"/>
    <mergeCell ref="I3202:J3202"/>
    <mergeCell ref="D3216:F3216"/>
    <mergeCell ref="I3216:J3216"/>
    <mergeCell ref="D3152:F3152"/>
    <mergeCell ref="I3152:J3152"/>
    <mergeCell ref="D3166:F3166"/>
    <mergeCell ref="I3166:J3166"/>
    <mergeCell ref="D3180:F3180"/>
    <mergeCell ref="I3180:J3180"/>
    <mergeCell ref="D3344:F3344"/>
    <mergeCell ref="I3344:J3344"/>
    <mergeCell ref="D3358:F3358"/>
    <mergeCell ref="I3358:J3358"/>
    <mergeCell ref="D3372:F3372"/>
    <mergeCell ref="I3372:J3372"/>
    <mergeCell ref="D3302:F3302"/>
    <mergeCell ref="I3302:J3302"/>
    <mergeCell ref="D3316:F3316"/>
    <mergeCell ref="I3316:J3316"/>
    <mergeCell ref="D3330:F3330"/>
    <mergeCell ref="I3330:J3330"/>
    <mergeCell ref="D3260:F3260"/>
    <mergeCell ref="I3260:J3260"/>
    <mergeCell ref="D3274:F3274"/>
    <mergeCell ref="I3274:J3274"/>
    <mergeCell ref="D3288:F3288"/>
    <mergeCell ref="I3288:J3288"/>
    <mergeCell ref="D3477:F3477"/>
    <mergeCell ref="I3477:J3477"/>
    <mergeCell ref="D3478:F3478"/>
    <mergeCell ref="I3478:J3478"/>
    <mergeCell ref="D3495:F3495"/>
    <mergeCell ref="I3495:J3495"/>
    <mergeCell ref="D3434:F3434"/>
    <mergeCell ref="I3434:J3434"/>
    <mergeCell ref="D3448:F3448"/>
    <mergeCell ref="I3448:J3448"/>
    <mergeCell ref="D3462:F3462"/>
    <mergeCell ref="I3462:J3462"/>
    <mergeCell ref="D3389:F3389"/>
    <mergeCell ref="I3389:J3389"/>
    <mergeCell ref="D3406:F3406"/>
    <mergeCell ref="I3406:J3406"/>
    <mergeCell ref="D3420:F3420"/>
    <mergeCell ref="I3420:J3420"/>
    <mergeCell ref="D3616:F3616"/>
    <mergeCell ref="I3616:J3616"/>
    <mergeCell ref="D3631:F3631"/>
    <mergeCell ref="I3631:J3631"/>
    <mergeCell ref="D3646:F3646"/>
    <mergeCell ref="I3646:J3646"/>
    <mergeCell ref="D3567:F3567"/>
    <mergeCell ref="I3567:J3567"/>
    <mergeCell ref="D3586:F3586"/>
    <mergeCell ref="I3586:J3586"/>
    <mergeCell ref="D3601:F3601"/>
    <mergeCell ref="I3601:J3601"/>
    <mergeCell ref="D3512:F3512"/>
    <mergeCell ref="I3512:J3512"/>
    <mergeCell ref="D3529:F3529"/>
    <mergeCell ref="I3529:J3529"/>
    <mergeCell ref="D3548:F3548"/>
    <mergeCell ref="I3548:J3548"/>
    <mergeCell ref="D3741:F3741"/>
    <mergeCell ref="I3741:J3741"/>
    <mergeCell ref="D3755:F3755"/>
    <mergeCell ref="I3755:J3755"/>
    <mergeCell ref="D3771:F3771"/>
    <mergeCell ref="I3771:J3771"/>
    <mergeCell ref="D3697:F3697"/>
    <mergeCell ref="I3697:J3697"/>
    <mergeCell ref="D3712:F3712"/>
    <mergeCell ref="I3712:J3712"/>
    <mergeCell ref="D3726:F3726"/>
    <mergeCell ref="I3726:J3726"/>
    <mergeCell ref="D3661:F3661"/>
    <mergeCell ref="I3661:J3661"/>
    <mergeCell ref="D3673:F3673"/>
    <mergeCell ref="I3673:J3673"/>
    <mergeCell ref="D3685:F3685"/>
    <mergeCell ref="I3685:J3685"/>
    <mergeCell ref="D3872:F3872"/>
    <mergeCell ref="I3872:J3872"/>
    <mergeCell ref="D3886:F3886"/>
    <mergeCell ref="I3886:J3886"/>
    <mergeCell ref="D3900:F3900"/>
    <mergeCell ref="I3900:J3900"/>
    <mergeCell ref="D3827:F3827"/>
    <mergeCell ref="I3827:J3827"/>
    <mergeCell ref="D3842:F3842"/>
    <mergeCell ref="I3842:J3842"/>
    <mergeCell ref="D3857:F3857"/>
    <mergeCell ref="I3857:J3857"/>
    <mergeCell ref="D3785:F3785"/>
    <mergeCell ref="I3785:J3785"/>
    <mergeCell ref="D3799:F3799"/>
    <mergeCell ref="I3799:J3799"/>
    <mergeCell ref="D3813:F3813"/>
    <mergeCell ref="I3813:J3813"/>
    <mergeCell ref="D3998:F3998"/>
    <mergeCell ref="I3998:J3998"/>
    <mergeCell ref="D4013:F4013"/>
    <mergeCell ref="I4013:J4013"/>
    <mergeCell ref="D4028:F4028"/>
    <mergeCell ref="I4028:J4028"/>
    <mergeCell ref="D3956:F3956"/>
    <mergeCell ref="I3956:J3956"/>
    <mergeCell ref="D3970:F3970"/>
    <mergeCell ref="I3970:J3970"/>
    <mergeCell ref="D3984:F3984"/>
    <mergeCell ref="I3984:J3984"/>
    <mergeCell ref="D3914:F3914"/>
    <mergeCell ref="I3914:J3914"/>
    <mergeCell ref="D3928:F3928"/>
    <mergeCell ref="I3928:J3928"/>
    <mergeCell ref="D3942:F3942"/>
    <mergeCell ref="I3942:J3942"/>
    <mergeCell ref="D4132:F4132"/>
    <mergeCell ref="I4132:J4132"/>
    <mergeCell ref="D4147:F4147"/>
    <mergeCell ref="I4147:J4147"/>
    <mergeCell ref="D4161:F4161"/>
    <mergeCell ref="I4161:J4161"/>
    <mergeCell ref="D4089:F4089"/>
    <mergeCell ref="I4089:J4089"/>
    <mergeCell ref="D4103:F4103"/>
    <mergeCell ref="I4103:J4103"/>
    <mergeCell ref="D4117:F4117"/>
    <mergeCell ref="I4117:J4117"/>
    <mergeCell ref="D4043:F4043"/>
    <mergeCell ref="I4043:J4043"/>
    <mergeCell ref="D4058:F4058"/>
    <mergeCell ref="I4058:J4058"/>
    <mergeCell ref="D4073:F4073"/>
    <mergeCell ref="I4073:J4073"/>
    <mergeCell ref="D4262:F4262"/>
    <mergeCell ref="I4262:J4262"/>
    <mergeCell ref="D4277:F4277"/>
    <mergeCell ref="I4277:J4277"/>
    <mergeCell ref="D4292:F4292"/>
    <mergeCell ref="I4292:J4292"/>
    <mergeCell ref="D4220:F4220"/>
    <mergeCell ref="I4220:J4220"/>
    <mergeCell ref="D4234:F4234"/>
    <mergeCell ref="I4234:J4234"/>
    <mergeCell ref="D4248:F4248"/>
    <mergeCell ref="I4248:J4248"/>
    <mergeCell ref="D4176:F4176"/>
    <mergeCell ref="I4176:J4176"/>
    <mergeCell ref="D4191:F4191"/>
    <mergeCell ref="I4191:J4191"/>
    <mergeCell ref="D4206:F4206"/>
    <mergeCell ref="I4206:J4206"/>
    <mergeCell ref="D4371:F4371"/>
    <mergeCell ref="I4371:J4371"/>
    <mergeCell ref="D4385:F4385"/>
    <mergeCell ref="I4385:J4385"/>
    <mergeCell ref="D4399:F4399"/>
    <mergeCell ref="I4399:J4399"/>
    <mergeCell ref="D4331:F4331"/>
    <mergeCell ref="I4331:J4331"/>
    <mergeCell ref="D4343:F4343"/>
    <mergeCell ref="I4343:J4343"/>
    <mergeCell ref="D4357:F4357"/>
    <mergeCell ref="I4357:J4357"/>
    <mergeCell ref="D4306:F4306"/>
    <mergeCell ref="I4306:J4306"/>
    <mergeCell ref="D4307:F4307"/>
    <mergeCell ref="I4307:J4307"/>
    <mergeCell ref="D4319:F4319"/>
    <mergeCell ref="I4319:J4319"/>
    <mergeCell ref="D4497:F4497"/>
    <mergeCell ref="I4497:J4497"/>
    <mergeCell ref="D4512:F4512"/>
    <mergeCell ref="I4512:J4512"/>
    <mergeCell ref="D4529:F4529"/>
    <mergeCell ref="I4529:J4529"/>
    <mergeCell ref="D4455:F4455"/>
    <mergeCell ref="I4455:J4455"/>
    <mergeCell ref="D4469:F4469"/>
    <mergeCell ref="I4469:J4469"/>
    <mergeCell ref="D4483:F4483"/>
    <mergeCell ref="I4483:J4483"/>
    <mergeCell ref="D4413:F4413"/>
    <mergeCell ref="I4413:J4413"/>
    <mergeCell ref="D4427:F4427"/>
    <mergeCell ref="I4427:J4427"/>
    <mergeCell ref="D4441:F4441"/>
    <mergeCell ref="I4441:J4441"/>
    <mergeCell ref="D4644:F4644"/>
    <mergeCell ref="I4644:J4644"/>
    <mergeCell ref="D4658:F4658"/>
    <mergeCell ref="I4658:J4658"/>
    <mergeCell ref="D4672:F4672"/>
    <mergeCell ref="I4672:J4672"/>
    <mergeCell ref="D4599:F4599"/>
    <mergeCell ref="I4599:J4599"/>
    <mergeCell ref="D4614:F4614"/>
    <mergeCell ref="I4614:J4614"/>
    <mergeCell ref="D4630:F4630"/>
    <mergeCell ref="I4630:J4630"/>
    <mergeCell ref="D4549:F4549"/>
    <mergeCell ref="I4549:J4549"/>
    <mergeCell ref="D4569:F4569"/>
    <mergeCell ref="I4569:J4569"/>
    <mergeCell ref="D4584:F4584"/>
    <mergeCell ref="I4584:J4584"/>
    <mergeCell ref="D4769:F4769"/>
    <mergeCell ref="I4769:J4769"/>
    <mergeCell ref="D4782:F4782"/>
    <mergeCell ref="I4782:J4782"/>
    <mergeCell ref="D4795:F4795"/>
    <mergeCell ref="I4795:J4795"/>
    <mergeCell ref="D4728:F4728"/>
    <mergeCell ref="I4728:J4728"/>
    <mergeCell ref="D4742:F4742"/>
    <mergeCell ref="I4742:J4742"/>
    <mergeCell ref="D4756:F4756"/>
    <mergeCell ref="I4756:J4756"/>
    <mergeCell ref="D4686:F4686"/>
    <mergeCell ref="I4686:J4686"/>
    <mergeCell ref="D4700:F4700"/>
    <mergeCell ref="I4700:J4700"/>
    <mergeCell ref="D4714:F4714"/>
    <mergeCell ref="I4714:J4714"/>
    <mergeCell ref="D4889:F4889"/>
    <mergeCell ref="I4889:J4889"/>
    <mergeCell ref="D4903:F4903"/>
    <mergeCell ref="I4903:J4903"/>
    <mergeCell ref="D4918:F4918"/>
    <mergeCell ref="I4918:J4918"/>
    <mergeCell ref="D4847:F4847"/>
    <mergeCell ref="I4847:J4847"/>
    <mergeCell ref="D4863:F4863"/>
    <mergeCell ref="I4863:J4863"/>
    <mergeCell ref="D4876:F4876"/>
    <mergeCell ref="I4876:J4876"/>
    <mergeCell ref="D4808:F4808"/>
    <mergeCell ref="I4808:J4808"/>
    <mergeCell ref="D4821:F4821"/>
    <mergeCell ref="I4821:J4821"/>
    <mergeCell ref="D4834:F4834"/>
    <mergeCell ref="I4834:J4834"/>
    <mergeCell ref="D5016:F5016"/>
    <mergeCell ref="I5016:J5016"/>
    <mergeCell ref="D5029:F5029"/>
    <mergeCell ref="I5029:J5029"/>
    <mergeCell ref="D5043:F5043"/>
    <mergeCell ref="I5043:J5043"/>
    <mergeCell ref="D4976:F4976"/>
    <mergeCell ref="I4976:J4976"/>
    <mergeCell ref="D4990:F4990"/>
    <mergeCell ref="I4990:J4990"/>
    <mergeCell ref="D5003:F5003"/>
    <mergeCell ref="I5003:J5003"/>
    <mergeCell ref="D4933:F4933"/>
    <mergeCell ref="I4933:J4933"/>
    <mergeCell ref="D4947:F4947"/>
    <mergeCell ref="I4947:J4947"/>
    <mergeCell ref="D4962:F4962"/>
    <mergeCell ref="I4962:J4962"/>
    <mergeCell ref="D5102:F5102"/>
    <mergeCell ref="I5102:J5102"/>
    <mergeCell ref="D5116:F5116"/>
    <mergeCell ref="I5116:J5116"/>
    <mergeCell ref="D5130:F5130"/>
    <mergeCell ref="I5130:J5130"/>
    <mergeCell ref="D5060:F5060"/>
    <mergeCell ref="I5060:J5060"/>
    <mergeCell ref="D5074:F5074"/>
    <mergeCell ref="I5074:J5074"/>
    <mergeCell ref="D5088:F5088"/>
    <mergeCell ref="I5088:J5088"/>
    <mergeCell ref="D5044:F5044"/>
    <mergeCell ref="I5044:J5044"/>
    <mergeCell ref="D5045:F5045"/>
    <mergeCell ref="I5045:J5045"/>
    <mergeCell ref="D5046:F5046"/>
    <mergeCell ref="I5046:J5046"/>
    <mergeCell ref="D5224:F5224"/>
    <mergeCell ref="I5224:J5224"/>
    <mergeCell ref="D5237:F5237"/>
    <mergeCell ref="I5237:J5237"/>
    <mergeCell ref="D5251:F5251"/>
    <mergeCell ref="I5251:J5251"/>
    <mergeCell ref="D5184:F5184"/>
    <mergeCell ref="I5184:J5184"/>
    <mergeCell ref="D5197:F5197"/>
    <mergeCell ref="I5197:J5197"/>
    <mergeCell ref="D5211:F5211"/>
    <mergeCell ref="I5211:J5211"/>
    <mergeCell ref="D5144:F5144"/>
    <mergeCell ref="I5144:J5144"/>
    <mergeCell ref="D5158:F5158"/>
    <mergeCell ref="I5158:J5158"/>
    <mergeCell ref="D5172:F5172"/>
    <mergeCell ref="I5172:J5172"/>
    <mergeCell ref="D5271:F5271"/>
    <mergeCell ref="I5271:J5271"/>
    <mergeCell ref="D5272:F5272"/>
    <mergeCell ref="I5272:J5272"/>
    <mergeCell ref="D5349:F5349"/>
    <mergeCell ref="I5349:J5349"/>
    <mergeCell ref="D5273:F5273"/>
    <mergeCell ref="I5273:J5273"/>
    <mergeCell ref="D5268:F5268"/>
    <mergeCell ref="I5268:J5268"/>
    <mergeCell ref="D5269:F5269"/>
    <mergeCell ref="I5269:J5269"/>
    <mergeCell ref="D5270:F5270"/>
    <mergeCell ref="I5270:J5270"/>
    <mergeCell ref="D5252:F5252"/>
    <mergeCell ref="I5252:J5252"/>
    <mergeCell ref="D5266:F5266"/>
    <mergeCell ref="I5266:J5266"/>
    <mergeCell ref="D5267:F5267"/>
    <mergeCell ref="I5267:J5267"/>
    <mergeCell ref="D5345:F5345"/>
    <mergeCell ref="I5345:J5345"/>
    <mergeCell ref="D5346:F5346"/>
    <mergeCell ref="I5346:J5346"/>
    <mergeCell ref="D5355:F5355"/>
    <mergeCell ref="I5355:J5355"/>
    <mergeCell ref="D5347:F5347"/>
    <mergeCell ref="I5347:J5347"/>
    <mergeCell ref="D5314:F5314"/>
    <mergeCell ref="I5314:J5314"/>
    <mergeCell ref="D5333:F5333"/>
    <mergeCell ref="I5333:J5333"/>
    <mergeCell ref="D5344:F5344"/>
    <mergeCell ref="I5344:J5344"/>
    <mergeCell ref="D5274:F5274"/>
    <mergeCell ref="I5274:J5274"/>
    <mergeCell ref="D5288:F5288"/>
    <mergeCell ref="I5288:J5288"/>
    <mergeCell ref="D5301:F5301"/>
    <mergeCell ref="I5301:J5301"/>
    <mergeCell ref="D5429:F5429"/>
    <mergeCell ref="I5429:J5429"/>
    <mergeCell ref="D5389:F5389"/>
    <mergeCell ref="I5389:J5389"/>
    <mergeCell ref="D5401:F5401"/>
    <mergeCell ref="I5401:J5401"/>
    <mergeCell ref="D5416:F5416"/>
    <mergeCell ref="I5416:J5416"/>
    <mergeCell ref="D5356:F5356"/>
    <mergeCell ref="I5356:J5356"/>
    <mergeCell ref="D5358:F5358"/>
    <mergeCell ref="I5358:J5358"/>
    <mergeCell ref="D5376:F5376"/>
    <mergeCell ref="I5376:J5376"/>
    <mergeCell ref="D5348:F5348"/>
    <mergeCell ref="I5348:J5348"/>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6A137-E4EE-A742-AC80-5B2211E9789E}">
  <dimension ref="A1:G496"/>
  <sheetViews>
    <sheetView workbookViewId="0">
      <selection sqref="A1:XFD1048576"/>
    </sheetView>
  </sheetViews>
  <sheetFormatPr baseColWidth="10" defaultColWidth="9.1640625" defaultRowHeight="15" x14ac:dyDescent="0.2"/>
  <cols>
    <col min="1" max="1" width="14.6640625" customWidth="1"/>
    <col min="2" max="2" width="6.1640625" customWidth="1"/>
    <col min="3" max="3" width="65.6640625" customWidth="1"/>
    <col min="4" max="4" width="13.6640625" customWidth="1"/>
    <col min="5" max="5" width="65.6640625" customWidth="1"/>
    <col min="6" max="7" width="13.6640625" customWidth="1"/>
  </cols>
  <sheetData>
    <row r="1" spans="1:7" x14ac:dyDescent="0.2">
      <c r="A1" s="100" t="s">
        <v>0</v>
      </c>
      <c r="B1" s="100" t="s">
        <v>0</v>
      </c>
      <c r="C1" s="100" t="s">
        <v>0</v>
      </c>
      <c r="D1" s="100" t="s">
        <v>0</v>
      </c>
    </row>
    <row r="2" spans="1:7" x14ac:dyDescent="0.2">
      <c r="A2" s="100" t="s">
        <v>1</v>
      </c>
      <c r="B2" s="100" t="s">
        <v>1</v>
      </c>
      <c r="C2" s="100" t="s">
        <v>1</v>
      </c>
      <c r="D2" s="100" t="s">
        <v>1</v>
      </c>
    </row>
    <row r="3" spans="1:7" x14ac:dyDescent="0.2">
      <c r="A3" s="100"/>
      <c r="B3" s="100"/>
      <c r="C3" s="100"/>
      <c r="D3" s="100"/>
    </row>
    <row r="4" spans="1:7" x14ac:dyDescent="0.2">
      <c r="A4" s="100"/>
      <c r="B4" s="100"/>
      <c r="C4" s="100"/>
      <c r="D4" s="100"/>
    </row>
    <row r="6" spans="1:7" ht="19" x14ac:dyDescent="0.25">
      <c r="A6" s="101" t="s">
        <v>1057</v>
      </c>
      <c r="B6" s="101" t="s">
        <v>1057</v>
      </c>
      <c r="C6" s="101" t="s">
        <v>1057</v>
      </c>
      <c r="D6" s="101" t="s">
        <v>1057</v>
      </c>
    </row>
    <row r="8" spans="1:7" x14ac:dyDescent="0.2">
      <c r="A8" s="16" t="s">
        <v>1059</v>
      </c>
      <c r="B8" s="16" t="s">
        <v>1060</v>
      </c>
      <c r="C8" s="16" t="s">
        <v>1061</v>
      </c>
      <c r="D8" s="16" t="s">
        <v>3</v>
      </c>
      <c r="E8" s="16" t="s">
        <v>1062</v>
      </c>
      <c r="F8" s="16" t="s">
        <v>2836</v>
      </c>
      <c r="G8" s="16" t="s">
        <v>2837</v>
      </c>
    </row>
    <row r="10" spans="1:7" x14ac:dyDescent="0.2">
      <c r="A10" s="15" t="s">
        <v>1068</v>
      </c>
    </row>
    <row r="11" spans="1:7" x14ac:dyDescent="0.2">
      <c r="A11" t="s">
        <v>1378</v>
      </c>
      <c r="B11" t="s">
        <v>1070</v>
      </c>
      <c r="C11" t="s">
        <v>1379</v>
      </c>
      <c r="D11" s="21">
        <v>26.12</v>
      </c>
      <c r="E11" t="s">
        <v>1379</v>
      </c>
      <c r="F11" s="27">
        <v>0</v>
      </c>
      <c r="G11" s="27">
        <v>0</v>
      </c>
    </row>
    <row r="12" spans="1:7" x14ac:dyDescent="0.2">
      <c r="A12" t="s">
        <v>1125</v>
      </c>
      <c r="B12" t="s">
        <v>1070</v>
      </c>
      <c r="C12" t="s">
        <v>1126</v>
      </c>
      <c r="D12" s="21">
        <v>26.12</v>
      </c>
      <c r="E12" t="s">
        <v>1126</v>
      </c>
      <c r="F12" s="27">
        <v>0</v>
      </c>
      <c r="G12" s="27">
        <v>0</v>
      </c>
    </row>
    <row r="13" spans="1:7" x14ac:dyDescent="0.2">
      <c r="A13" t="s">
        <v>1460</v>
      </c>
      <c r="B13" t="s">
        <v>1070</v>
      </c>
      <c r="C13" t="s">
        <v>1461</v>
      </c>
      <c r="D13" s="21">
        <v>26.12</v>
      </c>
      <c r="E13" t="s">
        <v>1461</v>
      </c>
      <c r="F13" s="27">
        <v>0</v>
      </c>
      <c r="G13" s="27">
        <v>0</v>
      </c>
    </row>
    <row r="14" spans="1:7" x14ac:dyDescent="0.2">
      <c r="A14" t="s">
        <v>1527</v>
      </c>
      <c r="B14" t="s">
        <v>1070</v>
      </c>
      <c r="C14" t="s">
        <v>1528</v>
      </c>
      <c r="D14" s="21">
        <v>26.12</v>
      </c>
      <c r="E14" t="s">
        <v>1528</v>
      </c>
      <c r="F14" s="27">
        <v>0</v>
      </c>
      <c r="G14" s="27">
        <v>0</v>
      </c>
    </row>
    <row r="15" spans="1:7" x14ac:dyDescent="0.2">
      <c r="A15" t="s">
        <v>1245</v>
      </c>
      <c r="B15" t="s">
        <v>1070</v>
      </c>
      <c r="C15" t="s">
        <v>1246</v>
      </c>
      <c r="D15" s="21">
        <v>26.33</v>
      </c>
      <c r="E15" t="s">
        <v>1246</v>
      </c>
      <c r="F15" s="27">
        <v>0</v>
      </c>
      <c r="G15" s="27">
        <v>0</v>
      </c>
    </row>
    <row r="16" spans="1:7" x14ac:dyDescent="0.2">
      <c r="A16" t="s">
        <v>1635</v>
      </c>
      <c r="B16" t="s">
        <v>1070</v>
      </c>
      <c r="C16" t="s">
        <v>1636</v>
      </c>
      <c r="D16" s="21">
        <v>26.12</v>
      </c>
      <c r="E16" t="s">
        <v>1636</v>
      </c>
      <c r="F16" s="27">
        <v>0</v>
      </c>
      <c r="G16" s="27">
        <v>0</v>
      </c>
    </row>
    <row r="17" spans="1:7" x14ac:dyDescent="0.2">
      <c r="A17" t="s">
        <v>1569</v>
      </c>
      <c r="B17" t="s">
        <v>1070</v>
      </c>
      <c r="C17" t="s">
        <v>1570</v>
      </c>
      <c r="D17" s="21">
        <v>26.12</v>
      </c>
      <c r="E17" t="s">
        <v>1570</v>
      </c>
      <c r="F17" s="27">
        <v>0</v>
      </c>
      <c r="G17" s="27">
        <v>0</v>
      </c>
    </row>
    <row r="18" spans="1:7" x14ac:dyDescent="0.2">
      <c r="A18" t="s">
        <v>1914</v>
      </c>
      <c r="B18" t="s">
        <v>1070</v>
      </c>
      <c r="C18" t="s">
        <v>1915</v>
      </c>
      <c r="D18" s="21">
        <v>26.22</v>
      </c>
      <c r="E18" t="s">
        <v>1915</v>
      </c>
      <c r="F18" s="27">
        <v>0</v>
      </c>
      <c r="G18" s="27">
        <v>0</v>
      </c>
    </row>
    <row r="19" spans="1:7" x14ac:dyDescent="0.2">
      <c r="A19" t="s">
        <v>2163</v>
      </c>
      <c r="B19" t="s">
        <v>1070</v>
      </c>
      <c r="C19" t="s">
        <v>2164</v>
      </c>
      <c r="D19" s="21">
        <v>26.08</v>
      </c>
      <c r="E19" t="s">
        <v>2164</v>
      </c>
      <c r="F19" s="27">
        <v>0</v>
      </c>
      <c r="G19" s="27">
        <v>0</v>
      </c>
    </row>
    <row r="20" spans="1:7" x14ac:dyDescent="0.2">
      <c r="A20" t="s">
        <v>2050</v>
      </c>
      <c r="B20" t="s">
        <v>1070</v>
      </c>
      <c r="C20" t="s">
        <v>2051</v>
      </c>
      <c r="D20" s="21">
        <v>26.08</v>
      </c>
      <c r="E20" t="s">
        <v>2051</v>
      </c>
      <c r="F20" s="27">
        <v>0</v>
      </c>
      <c r="G20" s="27">
        <v>0</v>
      </c>
    </row>
    <row r="21" spans="1:7" x14ac:dyDescent="0.2">
      <c r="A21" t="s">
        <v>2089</v>
      </c>
      <c r="B21" t="s">
        <v>1070</v>
      </c>
      <c r="C21" t="s">
        <v>2090</v>
      </c>
      <c r="D21" s="21">
        <v>26.08</v>
      </c>
      <c r="E21" t="s">
        <v>2090</v>
      </c>
      <c r="F21" s="27">
        <v>0</v>
      </c>
      <c r="G21" s="27">
        <v>0</v>
      </c>
    </row>
    <row r="22" spans="1:7" x14ac:dyDescent="0.2">
      <c r="A22" t="s">
        <v>1138</v>
      </c>
      <c r="B22" t="s">
        <v>1070</v>
      </c>
      <c r="C22" t="s">
        <v>1139</v>
      </c>
      <c r="D22" s="21">
        <v>26.12</v>
      </c>
      <c r="E22" t="s">
        <v>1139</v>
      </c>
      <c r="F22" s="27">
        <v>0</v>
      </c>
      <c r="G22" s="27">
        <v>0</v>
      </c>
    </row>
    <row r="23" spans="1:7" x14ac:dyDescent="0.2">
      <c r="A23" t="s">
        <v>2792</v>
      </c>
      <c r="B23" t="s">
        <v>1070</v>
      </c>
      <c r="C23" t="s">
        <v>2793</v>
      </c>
      <c r="D23" s="21">
        <v>31.11</v>
      </c>
      <c r="E23" t="s">
        <v>2793</v>
      </c>
      <c r="F23" s="27">
        <v>0</v>
      </c>
      <c r="G23" s="27">
        <v>0</v>
      </c>
    </row>
    <row r="24" spans="1:7" x14ac:dyDescent="0.2">
      <c r="A24" t="s">
        <v>1161</v>
      </c>
      <c r="B24" t="s">
        <v>1070</v>
      </c>
      <c r="C24" t="s">
        <v>1162</v>
      </c>
      <c r="D24" s="21">
        <v>30.41</v>
      </c>
      <c r="E24" t="s">
        <v>1162</v>
      </c>
      <c r="F24" s="27">
        <v>0</v>
      </c>
      <c r="G24" s="27">
        <v>0</v>
      </c>
    </row>
    <row r="25" spans="1:7" x14ac:dyDescent="0.2">
      <c r="A25" t="s">
        <v>1159</v>
      </c>
      <c r="B25" t="s">
        <v>1070</v>
      </c>
      <c r="C25" t="s">
        <v>1160</v>
      </c>
      <c r="D25" s="21">
        <v>26.08</v>
      </c>
      <c r="E25" t="s">
        <v>1160</v>
      </c>
      <c r="F25" s="27">
        <v>0</v>
      </c>
      <c r="G25" s="27">
        <v>0</v>
      </c>
    </row>
    <row r="26" spans="1:7" x14ac:dyDescent="0.2">
      <c r="A26" t="s">
        <v>1199</v>
      </c>
      <c r="B26" t="s">
        <v>1070</v>
      </c>
      <c r="C26" t="s">
        <v>1200</v>
      </c>
      <c r="D26" s="21">
        <v>43.38</v>
      </c>
      <c r="E26" t="s">
        <v>1200</v>
      </c>
      <c r="F26" s="27">
        <v>0</v>
      </c>
      <c r="G26" s="27">
        <v>0</v>
      </c>
    </row>
    <row r="27" spans="1:7" x14ac:dyDescent="0.2">
      <c r="A27" t="s">
        <v>1197</v>
      </c>
      <c r="B27" t="s">
        <v>1070</v>
      </c>
      <c r="C27" t="s">
        <v>1198</v>
      </c>
      <c r="D27" s="21">
        <v>38.840000000000003</v>
      </c>
      <c r="E27" t="s">
        <v>1198</v>
      </c>
      <c r="F27" s="27">
        <v>0</v>
      </c>
      <c r="G27" s="27">
        <v>0</v>
      </c>
    </row>
    <row r="28" spans="1:7" x14ac:dyDescent="0.2">
      <c r="A28" t="s">
        <v>1201</v>
      </c>
      <c r="B28" t="s">
        <v>1070</v>
      </c>
      <c r="C28" t="s">
        <v>1202</v>
      </c>
      <c r="D28" s="21">
        <v>36.51</v>
      </c>
      <c r="E28" t="s">
        <v>1202</v>
      </c>
      <c r="F28" s="27">
        <v>0</v>
      </c>
      <c r="G28" s="27">
        <v>0</v>
      </c>
    </row>
    <row r="29" spans="1:7" x14ac:dyDescent="0.2">
      <c r="A29" t="s">
        <v>1205</v>
      </c>
      <c r="B29" t="s">
        <v>1070</v>
      </c>
      <c r="C29" t="s">
        <v>1206</v>
      </c>
      <c r="D29" s="21">
        <v>24.55</v>
      </c>
      <c r="E29" t="s">
        <v>1206</v>
      </c>
      <c r="F29" s="27">
        <v>0</v>
      </c>
      <c r="G29" s="27">
        <v>0</v>
      </c>
    </row>
    <row r="30" spans="1:7" x14ac:dyDescent="0.2">
      <c r="A30" t="s">
        <v>1069</v>
      </c>
      <c r="B30" t="s">
        <v>1070</v>
      </c>
      <c r="C30" t="s">
        <v>1071</v>
      </c>
      <c r="D30" s="21">
        <v>25.38</v>
      </c>
      <c r="E30" t="s">
        <v>1071</v>
      </c>
      <c r="F30" s="27">
        <v>0</v>
      </c>
      <c r="G30" s="27">
        <v>0</v>
      </c>
    </row>
    <row r="31" spans="1:7" x14ac:dyDescent="0.2">
      <c r="A31" t="s">
        <v>1220</v>
      </c>
      <c r="B31" t="s">
        <v>1070</v>
      </c>
      <c r="C31" t="s">
        <v>1221</v>
      </c>
      <c r="D31" s="21">
        <v>29.42</v>
      </c>
      <c r="E31" t="s">
        <v>1221</v>
      </c>
      <c r="F31" s="27">
        <v>0</v>
      </c>
      <c r="G31" s="27">
        <v>0</v>
      </c>
    </row>
    <row r="32" spans="1:7" x14ac:dyDescent="0.2">
      <c r="A32" t="s">
        <v>2161</v>
      </c>
      <c r="B32" t="s">
        <v>1070</v>
      </c>
      <c r="C32" t="s">
        <v>2162</v>
      </c>
      <c r="D32" s="21">
        <v>30.41</v>
      </c>
      <c r="E32" t="s">
        <v>2162</v>
      </c>
      <c r="F32" s="27">
        <v>0</v>
      </c>
      <c r="G32" s="27">
        <v>0</v>
      </c>
    </row>
    <row r="33" spans="1:7" x14ac:dyDescent="0.2">
      <c r="A33" t="s">
        <v>1512</v>
      </c>
      <c r="B33" t="s">
        <v>1070</v>
      </c>
      <c r="C33" t="s">
        <v>1513</v>
      </c>
      <c r="D33" s="21">
        <v>29.42</v>
      </c>
      <c r="E33" t="s">
        <v>1513</v>
      </c>
      <c r="F33" s="27">
        <v>0</v>
      </c>
      <c r="G33" s="27">
        <v>0</v>
      </c>
    </row>
    <row r="34" spans="1:7" x14ac:dyDescent="0.2">
      <c r="A34" t="s">
        <v>1184</v>
      </c>
      <c r="B34" t="s">
        <v>1070</v>
      </c>
      <c r="C34" t="s">
        <v>1185</v>
      </c>
      <c r="D34" s="21">
        <v>30.41</v>
      </c>
      <c r="E34" t="s">
        <v>1185</v>
      </c>
      <c r="F34" s="27">
        <v>0</v>
      </c>
      <c r="G34" s="27">
        <v>0</v>
      </c>
    </row>
    <row r="35" spans="1:7" x14ac:dyDescent="0.2">
      <c r="A35" t="s">
        <v>1380</v>
      </c>
      <c r="B35" t="s">
        <v>1070</v>
      </c>
      <c r="C35" t="s">
        <v>1381</v>
      </c>
      <c r="D35" s="21">
        <v>29.42</v>
      </c>
      <c r="E35" t="s">
        <v>1381</v>
      </c>
      <c r="F35" s="27">
        <v>0</v>
      </c>
      <c r="G35" s="27">
        <v>0</v>
      </c>
    </row>
    <row r="36" spans="1:7" x14ac:dyDescent="0.2">
      <c r="A36" t="s">
        <v>1637</v>
      </c>
      <c r="B36" t="s">
        <v>1070</v>
      </c>
      <c r="C36" t="s">
        <v>1638</v>
      </c>
      <c r="D36" s="21">
        <v>29.42</v>
      </c>
      <c r="E36" t="s">
        <v>1638</v>
      </c>
      <c r="F36" s="27">
        <v>0</v>
      </c>
      <c r="G36" s="27">
        <v>0</v>
      </c>
    </row>
    <row r="37" spans="1:7" x14ac:dyDescent="0.2">
      <c r="A37" t="s">
        <v>1123</v>
      </c>
      <c r="B37" t="s">
        <v>1070</v>
      </c>
      <c r="C37" t="s">
        <v>1124</v>
      </c>
      <c r="D37" s="21">
        <v>29.42</v>
      </c>
      <c r="E37" t="s">
        <v>1124</v>
      </c>
      <c r="F37" s="27">
        <v>0</v>
      </c>
      <c r="G37" s="27">
        <v>0</v>
      </c>
    </row>
    <row r="38" spans="1:7" x14ac:dyDescent="0.2">
      <c r="A38" t="s">
        <v>1414</v>
      </c>
      <c r="B38" t="s">
        <v>1070</v>
      </c>
      <c r="C38" t="s">
        <v>1415</v>
      </c>
      <c r="D38" s="21">
        <v>29.94</v>
      </c>
      <c r="E38" t="s">
        <v>1415</v>
      </c>
      <c r="F38" s="27">
        <v>0</v>
      </c>
      <c r="G38" s="27">
        <v>0</v>
      </c>
    </row>
    <row r="39" spans="1:7" x14ac:dyDescent="0.2">
      <c r="A39" t="s">
        <v>1283</v>
      </c>
      <c r="B39" t="s">
        <v>1070</v>
      </c>
      <c r="C39" t="s">
        <v>1284</v>
      </c>
      <c r="D39" s="21">
        <v>30.41</v>
      </c>
      <c r="E39" t="s">
        <v>1284</v>
      </c>
      <c r="F39" s="27">
        <v>0</v>
      </c>
      <c r="G39" s="27">
        <v>0</v>
      </c>
    </row>
    <row r="40" spans="1:7" x14ac:dyDescent="0.2">
      <c r="A40" t="s">
        <v>1912</v>
      </c>
      <c r="B40" t="s">
        <v>1070</v>
      </c>
      <c r="C40" t="s">
        <v>1913</v>
      </c>
      <c r="D40" s="21">
        <v>29.88</v>
      </c>
      <c r="E40" t="s">
        <v>1913</v>
      </c>
      <c r="F40" s="27">
        <v>0</v>
      </c>
      <c r="G40" s="27">
        <v>0</v>
      </c>
    </row>
    <row r="41" spans="1:7" x14ac:dyDescent="0.2">
      <c r="A41" t="s">
        <v>1136</v>
      </c>
      <c r="B41" t="s">
        <v>1070</v>
      </c>
      <c r="C41" t="s">
        <v>1137</v>
      </c>
      <c r="D41" s="21">
        <v>30.41</v>
      </c>
      <c r="E41" t="s">
        <v>1137</v>
      </c>
      <c r="F41" s="27">
        <v>0</v>
      </c>
      <c r="G41" s="27">
        <v>0</v>
      </c>
    </row>
    <row r="42" spans="1:7" x14ac:dyDescent="0.2">
      <c r="A42" t="s">
        <v>1900</v>
      </c>
      <c r="B42" t="s">
        <v>1070</v>
      </c>
      <c r="C42" t="s">
        <v>1901</v>
      </c>
      <c r="D42" s="21">
        <v>29.42</v>
      </c>
      <c r="E42" t="s">
        <v>1901</v>
      </c>
      <c r="F42" s="27">
        <v>0</v>
      </c>
      <c r="G42" s="27">
        <v>0</v>
      </c>
    </row>
    <row r="43" spans="1:7" x14ac:dyDescent="0.2">
      <c r="A43" t="s">
        <v>1364</v>
      </c>
      <c r="B43" t="s">
        <v>1070</v>
      </c>
      <c r="C43" t="s">
        <v>1365</v>
      </c>
      <c r="D43" s="21">
        <v>29.42</v>
      </c>
      <c r="E43" t="s">
        <v>1365</v>
      </c>
      <c r="F43" s="27">
        <v>0</v>
      </c>
      <c r="G43" s="27">
        <v>0</v>
      </c>
    </row>
    <row r="44" spans="1:7" x14ac:dyDescent="0.2">
      <c r="A44" t="s">
        <v>1571</v>
      </c>
      <c r="B44" t="s">
        <v>1070</v>
      </c>
      <c r="C44" t="s">
        <v>1572</v>
      </c>
      <c r="D44" s="21">
        <v>29.42</v>
      </c>
      <c r="E44" t="s">
        <v>1572</v>
      </c>
      <c r="F44" s="27">
        <v>0</v>
      </c>
      <c r="G44" s="27">
        <v>0</v>
      </c>
    </row>
    <row r="45" spans="1:7" x14ac:dyDescent="0.2">
      <c r="A45" t="s">
        <v>1462</v>
      </c>
      <c r="B45" t="s">
        <v>1070</v>
      </c>
      <c r="C45" t="s">
        <v>1463</v>
      </c>
      <c r="D45" s="21">
        <v>29.9</v>
      </c>
      <c r="E45" t="s">
        <v>1463</v>
      </c>
      <c r="F45" s="27">
        <v>0</v>
      </c>
      <c r="G45" s="27">
        <v>0</v>
      </c>
    </row>
    <row r="46" spans="1:7" x14ac:dyDescent="0.2">
      <c r="A46" t="s">
        <v>2045</v>
      </c>
      <c r="B46" t="s">
        <v>1070</v>
      </c>
      <c r="C46" t="s">
        <v>2046</v>
      </c>
      <c r="D46" s="21">
        <v>28.58</v>
      </c>
      <c r="E46" t="s">
        <v>2046</v>
      </c>
      <c r="F46" s="27">
        <v>0</v>
      </c>
      <c r="G46" s="27">
        <v>0</v>
      </c>
    </row>
    <row r="47" spans="1:7" x14ac:dyDescent="0.2">
      <c r="A47" t="s">
        <v>2794</v>
      </c>
      <c r="B47" t="s">
        <v>1070</v>
      </c>
      <c r="C47" t="s">
        <v>2795</v>
      </c>
      <c r="D47" s="21">
        <v>42.93</v>
      </c>
      <c r="E47" t="s">
        <v>2838</v>
      </c>
      <c r="F47" s="27">
        <v>0</v>
      </c>
      <c r="G47" s="27">
        <v>0</v>
      </c>
    </row>
    <row r="48" spans="1:7" x14ac:dyDescent="0.2">
      <c r="A48" t="s">
        <v>1483</v>
      </c>
      <c r="B48" t="s">
        <v>1070</v>
      </c>
      <c r="C48" t="s">
        <v>1484</v>
      </c>
      <c r="D48" s="21">
        <v>38.840000000000003</v>
      </c>
      <c r="E48" t="s">
        <v>1484</v>
      </c>
      <c r="F48" s="27">
        <v>0</v>
      </c>
      <c r="G48" s="27">
        <v>0</v>
      </c>
    </row>
    <row r="49" spans="1:7" x14ac:dyDescent="0.2">
      <c r="A49" t="s">
        <v>1486</v>
      </c>
      <c r="B49" t="s">
        <v>1070</v>
      </c>
      <c r="C49" t="s">
        <v>1487</v>
      </c>
      <c r="D49" s="21">
        <v>43.38</v>
      </c>
      <c r="E49" t="s">
        <v>2839</v>
      </c>
      <c r="F49" s="27">
        <v>0</v>
      </c>
      <c r="G49" s="27">
        <v>0</v>
      </c>
    </row>
    <row r="50" spans="1:7" x14ac:dyDescent="0.2">
      <c r="A50" s="15" t="s">
        <v>1076</v>
      </c>
    </row>
    <row r="51" spans="1:7" x14ac:dyDescent="0.2">
      <c r="A51" t="s">
        <v>1222</v>
      </c>
      <c r="B51" t="s">
        <v>1070</v>
      </c>
      <c r="C51" t="s">
        <v>1223</v>
      </c>
      <c r="D51" s="21">
        <v>15.22</v>
      </c>
      <c r="E51" t="s">
        <v>2840</v>
      </c>
      <c r="F51" s="27">
        <v>1.6339108118140999</v>
      </c>
      <c r="G51" s="27">
        <v>22.625364735403</v>
      </c>
    </row>
    <row r="52" spans="1:7" x14ac:dyDescent="0.2">
      <c r="A52" t="s">
        <v>1875</v>
      </c>
      <c r="B52" t="s">
        <v>1070</v>
      </c>
      <c r="C52" t="s">
        <v>1876</v>
      </c>
      <c r="D52" s="21">
        <v>79.91</v>
      </c>
      <c r="E52" t="s">
        <v>2841</v>
      </c>
      <c r="F52" s="27">
        <v>18.381496632727</v>
      </c>
      <c r="G52" s="27">
        <v>254.53535327077</v>
      </c>
    </row>
    <row r="53" spans="1:7" x14ac:dyDescent="0.2">
      <c r="A53" t="s">
        <v>1287</v>
      </c>
      <c r="B53" t="s">
        <v>1070</v>
      </c>
      <c r="C53" t="s">
        <v>1288</v>
      </c>
      <c r="D53" s="21">
        <v>53.74</v>
      </c>
      <c r="E53" t="s">
        <v>2842</v>
      </c>
      <c r="F53" s="27">
        <v>41.933363530992999</v>
      </c>
      <c r="G53" s="27">
        <v>2609.8630314173001</v>
      </c>
    </row>
    <row r="54" spans="1:7" x14ac:dyDescent="0.2">
      <c r="A54" t="s">
        <v>1214</v>
      </c>
      <c r="B54" t="s">
        <v>1070</v>
      </c>
      <c r="C54" t="s">
        <v>1215</v>
      </c>
      <c r="D54" s="21">
        <v>52.15</v>
      </c>
      <c r="E54" t="s">
        <v>2843</v>
      </c>
      <c r="F54" s="27">
        <v>41.933363530992999</v>
      </c>
      <c r="G54" s="27">
        <v>2609.8630314173001</v>
      </c>
    </row>
    <row r="55" spans="1:7" x14ac:dyDescent="0.2">
      <c r="A55" t="s">
        <v>1879</v>
      </c>
      <c r="B55" t="s">
        <v>1070</v>
      </c>
      <c r="C55" t="s">
        <v>1880</v>
      </c>
      <c r="D55" s="21">
        <v>90.2</v>
      </c>
      <c r="E55" t="s">
        <v>1880</v>
      </c>
      <c r="F55" s="27">
        <v>15.828510989274999</v>
      </c>
      <c r="G55" s="27">
        <v>219.18322087180999</v>
      </c>
    </row>
    <row r="56" spans="1:7" x14ac:dyDescent="0.2">
      <c r="A56" t="s">
        <v>1308</v>
      </c>
      <c r="B56" t="s">
        <v>1070</v>
      </c>
      <c r="C56" t="s">
        <v>1309</v>
      </c>
      <c r="D56" s="21">
        <v>84.61</v>
      </c>
      <c r="E56" t="s">
        <v>2844</v>
      </c>
      <c r="F56" s="27">
        <v>18.892093761390999</v>
      </c>
      <c r="G56" s="27">
        <v>261.60577975019999</v>
      </c>
    </row>
    <row r="57" spans="1:7" x14ac:dyDescent="0.2">
      <c r="A57" t="s">
        <v>1314</v>
      </c>
      <c r="B57" t="s">
        <v>1070</v>
      </c>
      <c r="C57" t="s">
        <v>1315</v>
      </c>
      <c r="D57" s="21">
        <v>5.57</v>
      </c>
      <c r="E57" t="s">
        <v>2845</v>
      </c>
      <c r="F57" s="27">
        <v>2.3479542886148002E-3</v>
      </c>
      <c r="G57" s="27">
        <v>0.14610772769366001</v>
      </c>
    </row>
    <row r="58" spans="1:7" x14ac:dyDescent="0.2">
      <c r="A58" t="s">
        <v>1299</v>
      </c>
      <c r="B58" t="s">
        <v>1070</v>
      </c>
      <c r="C58" t="s">
        <v>1300</v>
      </c>
      <c r="D58" s="21">
        <v>7.77</v>
      </c>
      <c r="E58" t="s">
        <v>2846</v>
      </c>
      <c r="F58" s="27">
        <v>2.3479542886148002E-3</v>
      </c>
      <c r="G58" s="27">
        <v>0.14610772769366001</v>
      </c>
    </row>
    <row r="59" spans="1:7" x14ac:dyDescent="0.2">
      <c r="A59" t="s">
        <v>1292</v>
      </c>
      <c r="B59" t="s">
        <v>1070</v>
      </c>
      <c r="C59" t="s">
        <v>1293</v>
      </c>
      <c r="D59" s="21">
        <v>56.51</v>
      </c>
      <c r="E59" t="s">
        <v>2847</v>
      </c>
      <c r="F59" s="27">
        <v>12.084132045576</v>
      </c>
      <c r="G59" s="27">
        <v>167.33342668709</v>
      </c>
    </row>
    <row r="60" spans="1:7" x14ac:dyDescent="0.2">
      <c r="A60" t="s">
        <v>1877</v>
      </c>
      <c r="B60" t="s">
        <v>1070</v>
      </c>
      <c r="C60" t="s">
        <v>1878</v>
      </c>
      <c r="D60" s="21">
        <v>59.95</v>
      </c>
      <c r="E60" t="s">
        <v>2848</v>
      </c>
      <c r="F60" s="27">
        <v>22.976870790905998</v>
      </c>
      <c r="G60" s="27">
        <v>318.16919158843001</v>
      </c>
    </row>
    <row r="61" spans="1:7" x14ac:dyDescent="0.2">
      <c r="A61" t="s">
        <v>2796</v>
      </c>
      <c r="B61" t="s">
        <v>1070</v>
      </c>
      <c r="C61" t="s">
        <v>2797</v>
      </c>
      <c r="D61" s="21">
        <v>62.11</v>
      </c>
      <c r="E61" t="s">
        <v>2797</v>
      </c>
      <c r="F61" s="27">
        <v>34.039808579153998</v>
      </c>
      <c r="G61" s="27">
        <v>471.36176531666001</v>
      </c>
    </row>
    <row r="62" spans="1:7" x14ac:dyDescent="0.2">
      <c r="A62" t="s">
        <v>1320</v>
      </c>
      <c r="B62" t="s">
        <v>1070</v>
      </c>
      <c r="C62" t="s">
        <v>1321</v>
      </c>
      <c r="D62" s="21">
        <v>67.89</v>
      </c>
      <c r="E62" t="s">
        <v>2849</v>
      </c>
      <c r="F62" s="27">
        <v>34.890803793574001</v>
      </c>
      <c r="G62" s="27">
        <v>483.14580944877002</v>
      </c>
    </row>
    <row r="63" spans="1:7" x14ac:dyDescent="0.2">
      <c r="A63" t="s">
        <v>1191</v>
      </c>
      <c r="B63" t="s">
        <v>1070</v>
      </c>
      <c r="C63" t="s">
        <v>1192</v>
      </c>
      <c r="D63" s="21">
        <v>45.45</v>
      </c>
      <c r="E63" t="s">
        <v>2850</v>
      </c>
      <c r="F63" s="27">
        <v>14.126520560364</v>
      </c>
      <c r="G63" s="27">
        <v>195.61513260661999</v>
      </c>
    </row>
    <row r="64" spans="1:7" x14ac:dyDescent="0.2">
      <c r="A64" t="s">
        <v>1416</v>
      </c>
      <c r="B64" t="s">
        <v>1070</v>
      </c>
      <c r="C64" t="s">
        <v>1417</v>
      </c>
      <c r="D64" s="21">
        <v>62.06</v>
      </c>
      <c r="E64" t="s">
        <v>2851</v>
      </c>
      <c r="F64" s="27">
        <v>0</v>
      </c>
      <c r="G64" s="27">
        <v>0</v>
      </c>
    </row>
    <row r="65" spans="1:7" x14ac:dyDescent="0.2">
      <c r="A65" t="s">
        <v>1366</v>
      </c>
      <c r="B65" t="s">
        <v>1070</v>
      </c>
      <c r="C65" t="s">
        <v>1367</v>
      </c>
      <c r="D65" s="21">
        <v>168.95</v>
      </c>
      <c r="E65" t="s">
        <v>2852</v>
      </c>
      <c r="F65" s="27">
        <v>26.551050691697</v>
      </c>
      <c r="G65" s="27">
        <v>367.66217694638999</v>
      </c>
    </row>
    <row r="66" spans="1:7" x14ac:dyDescent="0.2">
      <c r="A66" t="s">
        <v>1077</v>
      </c>
      <c r="B66" t="s">
        <v>1070</v>
      </c>
      <c r="C66" t="s">
        <v>1078</v>
      </c>
      <c r="D66" s="21">
        <v>2.0499999999999998</v>
      </c>
      <c r="E66" t="s">
        <v>2853</v>
      </c>
      <c r="F66" s="27">
        <v>1.6881349919294999</v>
      </c>
      <c r="G66" s="27">
        <v>63.198506827496999</v>
      </c>
    </row>
    <row r="67" spans="1:7" x14ac:dyDescent="0.2">
      <c r="A67" t="s">
        <v>1271</v>
      </c>
      <c r="B67" t="s">
        <v>1070</v>
      </c>
      <c r="C67" t="s">
        <v>1272</v>
      </c>
      <c r="D67" s="21">
        <v>8.1999999999999993</v>
      </c>
      <c r="E67" t="s">
        <v>2854</v>
      </c>
      <c r="F67" s="27">
        <v>1.6881349919294999</v>
      </c>
      <c r="G67" s="27">
        <v>63.198506827496999</v>
      </c>
    </row>
    <row r="68" spans="1:7" x14ac:dyDescent="0.2">
      <c r="A68" t="s">
        <v>1326</v>
      </c>
      <c r="B68" t="s">
        <v>15</v>
      </c>
      <c r="C68" t="s">
        <v>1327</v>
      </c>
      <c r="D68" s="21">
        <v>85.6</v>
      </c>
      <c r="E68" t="s">
        <v>2855</v>
      </c>
      <c r="F68" s="27">
        <v>0.32337818151450998</v>
      </c>
      <c r="G68" s="27">
        <v>4.4779367706819997</v>
      </c>
    </row>
    <row r="69" spans="1:7" x14ac:dyDescent="0.2">
      <c r="A69" t="s">
        <v>1275</v>
      </c>
      <c r="B69" t="s">
        <v>1070</v>
      </c>
      <c r="C69" t="s">
        <v>1276</v>
      </c>
      <c r="D69" s="21">
        <v>600</v>
      </c>
      <c r="E69" t="s">
        <v>2856</v>
      </c>
      <c r="F69" s="27">
        <v>32.074564846416997</v>
      </c>
      <c r="G69" s="27">
        <v>1200.7716297132999</v>
      </c>
    </row>
    <row r="70" spans="1:7" x14ac:dyDescent="0.2">
      <c r="A70" t="s">
        <v>1464</v>
      </c>
      <c r="B70" t="s">
        <v>1070</v>
      </c>
      <c r="C70" t="s">
        <v>1465</v>
      </c>
      <c r="D70" s="21">
        <v>3.42</v>
      </c>
      <c r="E70" t="s">
        <v>2857</v>
      </c>
      <c r="F70" s="27">
        <v>0</v>
      </c>
      <c r="G70" s="27">
        <v>0</v>
      </c>
    </row>
    <row r="71" spans="1:7" x14ac:dyDescent="0.2">
      <c r="A71" t="s">
        <v>1224</v>
      </c>
      <c r="B71" t="s">
        <v>1070</v>
      </c>
      <c r="C71" t="s">
        <v>1225</v>
      </c>
      <c r="D71" s="21">
        <v>8.39</v>
      </c>
      <c r="E71" t="s">
        <v>2858</v>
      </c>
      <c r="F71" s="27">
        <v>15.699655424817999</v>
      </c>
      <c r="G71" s="27">
        <v>587.74611349101997</v>
      </c>
    </row>
    <row r="72" spans="1:7" x14ac:dyDescent="0.2">
      <c r="A72" t="s">
        <v>1277</v>
      </c>
      <c r="B72" t="s">
        <v>1070</v>
      </c>
      <c r="C72" t="s">
        <v>1278</v>
      </c>
      <c r="D72" s="21">
        <v>8.65</v>
      </c>
      <c r="E72" t="s">
        <v>2859</v>
      </c>
      <c r="F72" s="27">
        <v>2.8698294862435998</v>
      </c>
      <c r="G72" s="27">
        <v>107.43746160537999</v>
      </c>
    </row>
    <row r="73" spans="1:7" x14ac:dyDescent="0.2">
      <c r="A73" t="s">
        <v>2335</v>
      </c>
      <c r="B73" t="s">
        <v>1070</v>
      </c>
      <c r="C73" t="s">
        <v>2336</v>
      </c>
      <c r="D73" s="21">
        <v>4.32</v>
      </c>
      <c r="E73" t="s">
        <v>2860</v>
      </c>
      <c r="F73" s="27">
        <v>-9999999999</v>
      </c>
      <c r="G73" s="27">
        <v>-9999999999</v>
      </c>
    </row>
    <row r="74" spans="1:7" x14ac:dyDescent="0.2">
      <c r="A74" t="s">
        <v>1226</v>
      </c>
      <c r="B74" t="s">
        <v>1070</v>
      </c>
      <c r="C74" t="s">
        <v>1227</v>
      </c>
      <c r="D74" s="21">
        <v>36.56</v>
      </c>
      <c r="E74" t="s">
        <v>2861</v>
      </c>
      <c r="F74" s="27">
        <v>6.2224770082866003</v>
      </c>
      <c r="G74" s="27">
        <v>86.164930700124003</v>
      </c>
    </row>
    <row r="75" spans="1:7" x14ac:dyDescent="0.2">
      <c r="A75" t="s">
        <v>1216</v>
      </c>
      <c r="B75" t="s">
        <v>1070</v>
      </c>
      <c r="C75" t="s">
        <v>1217</v>
      </c>
      <c r="D75" s="21">
        <v>5.96</v>
      </c>
      <c r="E75" t="s">
        <v>2862</v>
      </c>
      <c r="F75" s="27">
        <v>1.749268383645E-4</v>
      </c>
      <c r="G75" s="27">
        <v>2.4222763515553002E-3</v>
      </c>
    </row>
    <row r="76" spans="1:7" x14ac:dyDescent="0.2">
      <c r="A76" t="s">
        <v>1247</v>
      </c>
      <c r="B76" t="s">
        <v>1070</v>
      </c>
      <c r="C76" t="s">
        <v>1248</v>
      </c>
      <c r="D76" s="21">
        <v>3.51</v>
      </c>
      <c r="E76" t="s">
        <v>1248</v>
      </c>
      <c r="F76" s="27">
        <v>0.42549760721514002</v>
      </c>
      <c r="G76" s="27">
        <v>5.8920220661218998</v>
      </c>
    </row>
    <row r="77" spans="1:7" x14ac:dyDescent="0.2">
      <c r="A77" t="s">
        <v>2798</v>
      </c>
      <c r="B77" t="s">
        <v>1070</v>
      </c>
      <c r="C77" t="s">
        <v>2799</v>
      </c>
      <c r="D77" s="21">
        <v>3.51</v>
      </c>
      <c r="E77" t="s">
        <v>2863</v>
      </c>
      <c r="F77" s="27">
        <v>0.93609473593975001</v>
      </c>
      <c r="G77" s="27">
        <v>12.962448546388</v>
      </c>
    </row>
    <row r="78" spans="1:7" x14ac:dyDescent="0.2">
      <c r="A78" t="s">
        <v>1207</v>
      </c>
      <c r="B78" t="s">
        <v>1070</v>
      </c>
      <c r="C78" t="s">
        <v>1208</v>
      </c>
      <c r="D78" s="21">
        <v>22.6</v>
      </c>
      <c r="E78" t="s">
        <v>2864</v>
      </c>
      <c r="F78" s="27">
        <v>-9999999999</v>
      </c>
      <c r="G78" s="27">
        <v>-9999999999</v>
      </c>
    </row>
    <row r="79" spans="1:7" x14ac:dyDescent="0.2">
      <c r="A79" t="s">
        <v>1619</v>
      </c>
      <c r="B79" t="s">
        <v>1070</v>
      </c>
      <c r="C79" t="s">
        <v>1620</v>
      </c>
      <c r="D79" s="21">
        <v>16.77</v>
      </c>
      <c r="E79" t="s">
        <v>2865</v>
      </c>
      <c r="F79" s="27">
        <v>1.2424530131524001</v>
      </c>
      <c r="G79" s="27">
        <v>17.204704434242</v>
      </c>
    </row>
    <row r="80" spans="1:7" x14ac:dyDescent="0.2">
      <c r="A80" t="s">
        <v>1621</v>
      </c>
      <c r="B80" t="s">
        <v>1070</v>
      </c>
      <c r="C80" t="s">
        <v>1622</v>
      </c>
      <c r="D80" s="21">
        <v>4.95</v>
      </c>
      <c r="E80" t="s">
        <v>2866</v>
      </c>
      <c r="F80" s="27">
        <v>0.17019904290820001</v>
      </c>
      <c r="G80" s="27">
        <v>2.3568088267555001</v>
      </c>
    </row>
    <row r="81" spans="1:7" x14ac:dyDescent="0.2">
      <c r="A81" s="15" t="s">
        <v>1080</v>
      </c>
    </row>
    <row r="82" spans="1:7" x14ac:dyDescent="0.2">
      <c r="A82" t="s">
        <v>1081</v>
      </c>
      <c r="B82" t="s">
        <v>15</v>
      </c>
      <c r="C82" t="s">
        <v>1082</v>
      </c>
      <c r="D82" s="21">
        <v>2.1800000000000002</v>
      </c>
      <c r="E82" t="s">
        <v>1082</v>
      </c>
      <c r="F82" s="27">
        <v>0.3003711</v>
      </c>
      <c r="G82" s="27">
        <v>5.6487081000000003</v>
      </c>
    </row>
    <row r="83" spans="1:7" x14ac:dyDescent="0.2">
      <c r="A83" t="s">
        <v>1631</v>
      </c>
      <c r="B83" t="s">
        <v>1210</v>
      </c>
      <c r="C83" t="s">
        <v>1632</v>
      </c>
      <c r="D83" s="21">
        <v>12.03</v>
      </c>
      <c r="E83" t="s">
        <v>2867</v>
      </c>
      <c r="F83" s="27">
        <v>3.1031406860000001</v>
      </c>
      <c r="G83" s="27">
        <v>71.888133217299995</v>
      </c>
    </row>
    <row r="84" spans="1:7" x14ac:dyDescent="0.2">
      <c r="A84" t="s">
        <v>1881</v>
      </c>
      <c r="B84" t="s">
        <v>15</v>
      </c>
      <c r="C84" t="s">
        <v>1882</v>
      </c>
      <c r="D84" s="21">
        <v>24.6</v>
      </c>
      <c r="E84" t="s">
        <v>2868</v>
      </c>
      <c r="F84" s="27">
        <v>10.680300799999999</v>
      </c>
      <c r="G84" s="27">
        <v>165.85464655999999</v>
      </c>
    </row>
    <row r="85" spans="1:7" x14ac:dyDescent="0.2">
      <c r="A85" t="s">
        <v>1083</v>
      </c>
      <c r="B85" t="s">
        <v>1084</v>
      </c>
      <c r="C85" t="s">
        <v>1085</v>
      </c>
      <c r="D85" s="21">
        <v>19.350000000000001</v>
      </c>
      <c r="E85" t="s">
        <v>2869</v>
      </c>
      <c r="F85" s="27">
        <v>5.3376872999999998</v>
      </c>
      <c r="G85" s="27">
        <v>85.327961999999999</v>
      </c>
    </row>
    <row r="86" spans="1:7" x14ac:dyDescent="0.2">
      <c r="A86" t="s">
        <v>1310</v>
      </c>
      <c r="B86" t="s">
        <v>1084</v>
      </c>
      <c r="C86" t="s">
        <v>1311</v>
      </c>
      <c r="D86" s="21">
        <v>19.75</v>
      </c>
      <c r="E86" t="s">
        <v>2870</v>
      </c>
      <c r="F86" s="27">
        <v>6.6751880000000003</v>
      </c>
      <c r="G86" s="27">
        <v>103.65915409999999</v>
      </c>
    </row>
    <row r="87" spans="1:7" x14ac:dyDescent="0.2">
      <c r="A87" t="s">
        <v>2675</v>
      </c>
      <c r="B87" t="s">
        <v>1084</v>
      </c>
      <c r="C87" t="s">
        <v>2676</v>
      </c>
      <c r="D87" s="21">
        <v>21.41</v>
      </c>
      <c r="E87" t="s">
        <v>2871</v>
      </c>
      <c r="F87" s="27">
        <v>6.6751880000000003</v>
      </c>
      <c r="G87" s="27">
        <v>103.65915409999999</v>
      </c>
    </row>
    <row r="88" spans="1:7" x14ac:dyDescent="0.2">
      <c r="A88" t="s">
        <v>1086</v>
      </c>
      <c r="B88" t="s">
        <v>1084</v>
      </c>
      <c r="C88" t="s">
        <v>1087</v>
      </c>
      <c r="D88" s="21">
        <v>20.350000000000001</v>
      </c>
      <c r="E88" t="s">
        <v>2872</v>
      </c>
      <c r="F88" s="27">
        <v>5.3376872999999998</v>
      </c>
      <c r="G88" s="27">
        <v>85.327961999999999</v>
      </c>
    </row>
    <row r="89" spans="1:7" x14ac:dyDescent="0.2">
      <c r="A89" t="s">
        <v>1623</v>
      </c>
      <c r="B89" t="s">
        <v>1084</v>
      </c>
      <c r="C89" t="s">
        <v>1624</v>
      </c>
      <c r="D89" s="21">
        <v>209.35</v>
      </c>
      <c r="E89" t="s">
        <v>2873</v>
      </c>
      <c r="F89" s="27">
        <v>5.3376872999999998</v>
      </c>
      <c r="G89" s="27">
        <v>85.327961999999999</v>
      </c>
    </row>
    <row r="90" spans="1:7" x14ac:dyDescent="0.2">
      <c r="A90" t="s">
        <v>1897</v>
      </c>
      <c r="B90" t="s">
        <v>1084</v>
      </c>
      <c r="C90" t="s">
        <v>1898</v>
      </c>
      <c r="D90" s="21">
        <v>21.26</v>
      </c>
      <c r="E90" t="s">
        <v>2874</v>
      </c>
      <c r="F90" s="27">
        <v>5.3376872999999998</v>
      </c>
      <c r="G90" s="27">
        <v>85.327961999999999</v>
      </c>
    </row>
    <row r="91" spans="1:7" x14ac:dyDescent="0.2">
      <c r="A91" t="s">
        <v>2137</v>
      </c>
      <c r="B91" t="s">
        <v>1084</v>
      </c>
      <c r="C91" t="s">
        <v>2138</v>
      </c>
      <c r="D91" s="21">
        <v>21.37</v>
      </c>
      <c r="E91" t="s">
        <v>2875</v>
      </c>
      <c r="F91" s="27">
        <v>5.3376872999999998</v>
      </c>
      <c r="G91" s="27">
        <v>85.327961999999999</v>
      </c>
    </row>
    <row r="92" spans="1:7" x14ac:dyDescent="0.2">
      <c r="A92" t="s">
        <v>1098</v>
      </c>
      <c r="B92" t="s">
        <v>1084</v>
      </c>
      <c r="C92" t="s">
        <v>1099</v>
      </c>
      <c r="D92" s="21">
        <v>21.84</v>
      </c>
      <c r="E92" t="s">
        <v>2876</v>
      </c>
      <c r="F92" s="27">
        <v>5.3376872999999998</v>
      </c>
      <c r="G92" s="27">
        <v>85.327961999999999</v>
      </c>
    </row>
    <row r="93" spans="1:7" x14ac:dyDescent="0.2">
      <c r="A93" t="s">
        <v>1889</v>
      </c>
      <c r="B93" t="s">
        <v>103</v>
      </c>
      <c r="C93" t="s">
        <v>1890</v>
      </c>
      <c r="D93" s="21">
        <v>0.47</v>
      </c>
      <c r="E93" t="s">
        <v>2877</v>
      </c>
      <c r="F93" s="27">
        <v>0.44630947155</v>
      </c>
      <c r="G93" s="27">
        <v>1.8851551154199999</v>
      </c>
    </row>
    <row r="94" spans="1:7" x14ac:dyDescent="0.2">
      <c r="A94" t="s">
        <v>1587</v>
      </c>
      <c r="B94" t="s">
        <v>103</v>
      </c>
      <c r="C94" t="s">
        <v>1588</v>
      </c>
      <c r="D94" s="21">
        <v>1.24</v>
      </c>
      <c r="E94" t="s">
        <v>2878</v>
      </c>
      <c r="F94" s="27">
        <v>0.44630947155</v>
      </c>
      <c r="G94" s="27">
        <v>1.8851551154199999</v>
      </c>
    </row>
    <row r="95" spans="1:7" x14ac:dyDescent="0.2">
      <c r="A95" t="s">
        <v>1088</v>
      </c>
      <c r="B95" t="s">
        <v>103</v>
      </c>
      <c r="C95" t="s">
        <v>1089</v>
      </c>
      <c r="D95" s="21">
        <v>0.41</v>
      </c>
      <c r="E95" t="s">
        <v>2879</v>
      </c>
      <c r="F95" s="27">
        <v>0.99786271670000004</v>
      </c>
      <c r="G95" s="27">
        <v>5.6448683077000004</v>
      </c>
    </row>
    <row r="96" spans="1:7" x14ac:dyDescent="0.2">
      <c r="A96" t="s">
        <v>1108</v>
      </c>
      <c r="B96" t="s">
        <v>103</v>
      </c>
      <c r="C96" t="s">
        <v>1109</v>
      </c>
      <c r="D96" s="21">
        <v>0.35</v>
      </c>
      <c r="E96" t="s">
        <v>2880</v>
      </c>
      <c r="F96" s="27">
        <v>0.99786271670000004</v>
      </c>
      <c r="G96" s="27">
        <v>5.6448683077000004</v>
      </c>
    </row>
    <row r="97" spans="1:7" x14ac:dyDescent="0.2">
      <c r="A97" t="s">
        <v>4030</v>
      </c>
      <c r="B97" t="s">
        <v>103</v>
      </c>
      <c r="C97" t="s">
        <v>4031</v>
      </c>
      <c r="D97" s="21">
        <v>0.33</v>
      </c>
      <c r="E97" t="s">
        <v>4224</v>
      </c>
      <c r="F97" s="27">
        <v>0.99786271670000004</v>
      </c>
      <c r="G97" s="27">
        <v>5.6448683077000004</v>
      </c>
    </row>
    <row r="98" spans="1:7" x14ac:dyDescent="0.2">
      <c r="A98" t="s">
        <v>1116</v>
      </c>
      <c r="B98" t="s">
        <v>1084</v>
      </c>
      <c r="C98" t="s">
        <v>1117</v>
      </c>
      <c r="D98" s="21">
        <v>146.66999999999999</v>
      </c>
      <c r="E98" t="s">
        <v>2881</v>
      </c>
      <c r="F98" s="27">
        <v>0</v>
      </c>
      <c r="G98" s="27">
        <v>0</v>
      </c>
    </row>
    <row r="99" spans="1:7" x14ac:dyDescent="0.2">
      <c r="A99" t="s">
        <v>1100</v>
      </c>
      <c r="B99" t="s">
        <v>1084</v>
      </c>
      <c r="C99" t="s">
        <v>1101</v>
      </c>
      <c r="D99" s="21">
        <v>142.1</v>
      </c>
      <c r="E99" t="s">
        <v>2882</v>
      </c>
      <c r="F99" s="27">
        <v>857.58933939999997</v>
      </c>
      <c r="G99" s="27">
        <v>3517.119158</v>
      </c>
    </row>
    <row r="100" spans="1:7" x14ac:dyDescent="0.2">
      <c r="A100" t="s">
        <v>1410</v>
      </c>
      <c r="B100" t="s">
        <v>15</v>
      </c>
      <c r="C100" t="s">
        <v>1411</v>
      </c>
      <c r="D100" s="21">
        <v>98.64</v>
      </c>
      <c r="E100" t="s">
        <v>2883</v>
      </c>
      <c r="F100" s="27">
        <v>0</v>
      </c>
      <c r="G100" s="27">
        <v>0</v>
      </c>
    </row>
    <row r="101" spans="1:7" x14ac:dyDescent="0.2">
      <c r="A101" t="s">
        <v>1406</v>
      </c>
      <c r="B101" t="s">
        <v>15</v>
      </c>
      <c r="C101" t="s">
        <v>1407</v>
      </c>
      <c r="D101" s="21">
        <v>97.62</v>
      </c>
      <c r="E101" t="s">
        <v>2884</v>
      </c>
      <c r="F101" s="27">
        <v>89.485584992777007</v>
      </c>
      <c r="G101" s="27">
        <v>548.83235206151005</v>
      </c>
    </row>
    <row r="102" spans="1:7" x14ac:dyDescent="0.2">
      <c r="A102" t="s">
        <v>2119</v>
      </c>
      <c r="B102" t="s">
        <v>15</v>
      </c>
      <c r="C102" t="s">
        <v>2120</v>
      </c>
      <c r="D102" s="21">
        <v>100.77</v>
      </c>
      <c r="E102" t="s">
        <v>2885</v>
      </c>
      <c r="F102" s="27">
        <v>113.41769725822</v>
      </c>
      <c r="G102" s="27">
        <v>640.21088331198996</v>
      </c>
    </row>
    <row r="103" spans="1:7" x14ac:dyDescent="0.2">
      <c r="A103" t="s">
        <v>1372</v>
      </c>
      <c r="B103" t="s">
        <v>15</v>
      </c>
      <c r="C103" t="s">
        <v>1373</v>
      </c>
      <c r="D103" s="21">
        <v>100.6</v>
      </c>
      <c r="E103" t="s">
        <v>2886</v>
      </c>
      <c r="F103" s="27">
        <v>0</v>
      </c>
      <c r="G103" s="27">
        <v>0</v>
      </c>
    </row>
    <row r="104" spans="1:7" x14ac:dyDescent="0.2">
      <c r="A104" t="s">
        <v>1368</v>
      </c>
      <c r="B104" t="s">
        <v>15</v>
      </c>
      <c r="C104" t="s">
        <v>1369</v>
      </c>
      <c r="D104" s="21">
        <v>103.02</v>
      </c>
      <c r="E104" t="s">
        <v>2887</v>
      </c>
      <c r="F104" s="27">
        <v>0</v>
      </c>
      <c r="G104" s="27">
        <v>0</v>
      </c>
    </row>
    <row r="105" spans="1:7" x14ac:dyDescent="0.2">
      <c r="A105" t="s">
        <v>1470</v>
      </c>
      <c r="B105" t="s">
        <v>15</v>
      </c>
      <c r="C105" t="s">
        <v>1471</v>
      </c>
      <c r="D105" s="21">
        <v>106.89</v>
      </c>
      <c r="E105" t="s">
        <v>2888</v>
      </c>
      <c r="F105" s="27">
        <v>149.55496271473001</v>
      </c>
      <c r="G105" s="27">
        <v>780.97809085138999</v>
      </c>
    </row>
    <row r="106" spans="1:7" x14ac:dyDescent="0.2">
      <c r="A106" t="s">
        <v>1397</v>
      </c>
      <c r="B106" t="s">
        <v>15</v>
      </c>
      <c r="C106" t="s">
        <v>1398</v>
      </c>
      <c r="D106" s="21">
        <v>106.63</v>
      </c>
      <c r="E106" t="s">
        <v>2889</v>
      </c>
      <c r="F106" s="27">
        <v>0</v>
      </c>
      <c r="G106" s="27">
        <v>0</v>
      </c>
    </row>
    <row r="107" spans="1:7" x14ac:dyDescent="0.2">
      <c r="A107" t="s">
        <v>4095</v>
      </c>
      <c r="B107" t="s">
        <v>1084</v>
      </c>
      <c r="C107" t="s">
        <v>4096</v>
      </c>
      <c r="D107" s="21">
        <v>59.47</v>
      </c>
      <c r="E107" t="s">
        <v>4225</v>
      </c>
      <c r="F107" s="27">
        <v>145.9592098965</v>
      </c>
      <c r="G107" s="27">
        <v>651.57350933999999</v>
      </c>
    </row>
    <row r="108" spans="1:7" x14ac:dyDescent="0.2">
      <c r="A108" t="s">
        <v>1118</v>
      </c>
      <c r="B108" t="s">
        <v>103</v>
      </c>
      <c r="C108" t="s">
        <v>1119</v>
      </c>
      <c r="D108" s="21">
        <v>1.73</v>
      </c>
      <c r="E108" t="s">
        <v>2890</v>
      </c>
      <c r="F108" s="27">
        <v>0</v>
      </c>
      <c r="G108" s="27">
        <v>0</v>
      </c>
    </row>
    <row r="109" spans="1:7" x14ac:dyDescent="0.2">
      <c r="A109" t="s">
        <v>4039</v>
      </c>
      <c r="B109" t="s">
        <v>103</v>
      </c>
      <c r="C109" t="s">
        <v>4040</v>
      </c>
      <c r="D109" s="21">
        <v>4.4000000000000004</v>
      </c>
      <c r="E109" t="s">
        <v>4226</v>
      </c>
      <c r="F109" s="27">
        <v>2.4936572740023002</v>
      </c>
      <c r="G109" s="27">
        <v>85.486884181370002</v>
      </c>
    </row>
    <row r="110" spans="1:7" x14ac:dyDescent="0.2">
      <c r="A110" t="s">
        <v>1908</v>
      </c>
      <c r="B110" t="s">
        <v>103</v>
      </c>
      <c r="C110" t="s">
        <v>1909</v>
      </c>
      <c r="D110" s="21">
        <v>5.64</v>
      </c>
      <c r="E110" t="s">
        <v>2891</v>
      </c>
      <c r="F110" s="27">
        <v>2.7600875831999998</v>
      </c>
      <c r="G110" s="27">
        <v>84.237050342900005</v>
      </c>
    </row>
    <row r="111" spans="1:7" x14ac:dyDescent="0.2">
      <c r="A111" t="s">
        <v>1918</v>
      </c>
      <c r="B111" t="s">
        <v>1210</v>
      </c>
      <c r="C111" t="s">
        <v>1919</v>
      </c>
      <c r="D111" s="21">
        <v>16.8</v>
      </c>
      <c r="E111" t="s">
        <v>1919</v>
      </c>
      <c r="F111" s="27">
        <v>-9999999999</v>
      </c>
      <c r="G111" s="27">
        <v>-9999999999</v>
      </c>
    </row>
    <row r="112" spans="1:7" x14ac:dyDescent="0.2">
      <c r="A112" t="s">
        <v>1920</v>
      </c>
      <c r="B112" t="s">
        <v>103</v>
      </c>
      <c r="C112" t="s">
        <v>1921</v>
      </c>
      <c r="D112" s="21">
        <v>3.77</v>
      </c>
      <c r="E112" t="s">
        <v>2892</v>
      </c>
      <c r="F112" s="27">
        <v>2.2089911508000002</v>
      </c>
      <c r="G112" s="27">
        <v>50.487623529099999</v>
      </c>
    </row>
    <row r="113" spans="1:7" x14ac:dyDescent="0.2">
      <c r="A113" t="s">
        <v>1924</v>
      </c>
      <c r="B113" t="s">
        <v>103</v>
      </c>
      <c r="C113" t="s">
        <v>1925</v>
      </c>
      <c r="D113" s="21">
        <v>21.3</v>
      </c>
      <c r="E113" t="s">
        <v>2893</v>
      </c>
      <c r="F113" s="27">
        <v>5.0948661168999996</v>
      </c>
      <c r="G113" s="27">
        <v>109.88731537539999</v>
      </c>
    </row>
    <row r="114" spans="1:7" x14ac:dyDescent="0.2">
      <c r="A114" t="s">
        <v>1891</v>
      </c>
      <c r="B114" t="s">
        <v>103</v>
      </c>
      <c r="C114" t="s">
        <v>1892</v>
      </c>
      <c r="D114" s="21">
        <v>0.37</v>
      </c>
      <c r="E114" t="s">
        <v>2894</v>
      </c>
      <c r="F114" s="27">
        <v>0.81779830545999999</v>
      </c>
      <c r="G114" s="27">
        <v>16.756199649300001</v>
      </c>
    </row>
    <row r="115" spans="1:7" x14ac:dyDescent="0.2">
      <c r="A115" t="s">
        <v>1589</v>
      </c>
      <c r="B115" t="s">
        <v>103</v>
      </c>
      <c r="C115" t="s">
        <v>1590</v>
      </c>
      <c r="D115" s="21">
        <v>0.8</v>
      </c>
      <c r="E115" t="s">
        <v>2895</v>
      </c>
      <c r="F115" s="27">
        <v>0.81779830545999999</v>
      </c>
      <c r="G115" s="27">
        <v>16.756199649300001</v>
      </c>
    </row>
    <row r="116" spans="1:7" x14ac:dyDescent="0.2">
      <c r="A116" t="s">
        <v>2305</v>
      </c>
      <c r="B116" t="s">
        <v>23</v>
      </c>
      <c r="C116" t="s">
        <v>2306</v>
      </c>
      <c r="D116" s="21">
        <v>0.45</v>
      </c>
      <c r="E116" t="s">
        <v>2896</v>
      </c>
      <c r="F116" s="27">
        <v>3.7666471393823002E-2</v>
      </c>
      <c r="G116" s="27">
        <v>0.63653897103790003</v>
      </c>
    </row>
    <row r="117" spans="1:7" x14ac:dyDescent="0.2">
      <c r="A117" t="s">
        <v>2351</v>
      </c>
      <c r="B117" t="s">
        <v>23</v>
      </c>
      <c r="C117" t="s">
        <v>2352</v>
      </c>
      <c r="D117" s="21">
        <v>0.76</v>
      </c>
      <c r="E117" t="s">
        <v>2897</v>
      </c>
      <c r="F117" s="27">
        <v>0.11718581117596</v>
      </c>
      <c r="G117" s="27">
        <v>1.9803643109086</v>
      </c>
    </row>
    <row r="118" spans="1:7" x14ac:dyDescent="0.2">
      <c r="A118" t="s">
        <v>2321</v>
      </c>
      <c r="B118" t="s">
        <v>23</v>
      </c>
      <c r="C118" t="s">
        <v>2322</v>
      </c>
      <c r="D118" s="21">
        <v>0.48</v>
      </c>
      <c r="E118" t="s">
        <v>2898</v>
      </c>
      <c r="F118" s="27">
        <v>4.1433229548771003E-2</v>
      </c>
      <c r="G118" s="27">
        <v>0.70019474423285999</v>
      </c>
    </row>
    <row r="119" spans="1:7" x14ac:dyDescent="0.2">
      <c r="A119" t="s">
        <v>2325</v>
      </c>
      <c r="B119" t="s">
        <v>23</v>
      </c>
      <c r="C119" t="s">
        <v>2326</v>
      </c>
      <c r="D119" s="21">
        <v>0.56000000000000005</v>
      </c>
      <c r="E119" t="s">
        <v>2899</v>
      </c>
      <c r="F119" s="27">
        <v>9.3748204878505006E-2</v>
      </c>
      <c r="G119" s="27">
        <v>1.5842839443622001</v>
      </c>
    </row>
    <row r="120" spans="1:7" x14ac:dyDescent="0.2">
      <c r="A120" t="s">
        <v>2337</v>
      </c>
      <c r="B120" t="s">
        <v>23</v>
      </c>
      <c r="C120" t="s">
        <v>2338</v>
      </c>
      <c r="D120" s="21">
        <v>1.05</v>
      </c>
      <c r="E120" t="s">
        <v>2900</v>
      </c>
      <c r="F120" s="27">
        <v>0.14397053678881999</v>
      </c>
      <c r="G120" s="27">
        <v>2.43300882605</v>
      </c>
    </row>
    <row r="121" spans="1:7" x14ac:dyDescent="0.2">
      <c r="A121" t="s">
        <v>4070</v>
      </c>
      <c r="B121" t="s">
        <v>23</v>
      </c>
      <c r="C121" t="s">
        <v>4071</v>
      </c>
      <c r="D121" s="21">
        <v>0.91</v>
      </c>
      <c r="E121" t="s">
        <v>4227</v>
      </c>
      <c r="F121" s="27">
        <v>0.184685442896</v>
      </c>
      <c r="G121" s="27">
        <v>2.3322962283800002</v>
      </c>
    </row>
    <row r="122" spans="1:7" x14ac:dyDescent="0.2">
      <c r="A122" t="s">
        <v>4100</v>
      </c>
      <c r="B122" t="s">
        <v>1393</v>
      </c>
      <c r="C122" t="s">
        <v>4101</v>
      </c>
      <c r="D122" s="21">
        <v>209.77</v>
      </c>
      <c r="E122" t="s">
        <v>4228</v>
      </c>
      <c r="F122" s="27">
        <v>0.53890504480000001</v>
      </c>
      <c r="G122" s="27">
        <v>8.1046659628000004</v>
      </c>
    </row>
    <row r="123" spans="1:7" x14ac:dyDescent="0.2">
      <c r="A123" t="s">
        <v>1388</v>
      </c>
      <c r="B123" t="s">
        <v>103</v>
      </c>
      <c r="C123" t="s">
        <v>1389</v>
      </c>
      <c r="D123" s="21">
        <v>1.83</v>
      </c>
      <c r="E123" t="s">
        <v>1389</v>
      </c>
      <c r="F123" s="27">
        <v>0</v>
      </c>
      <c r="G123" s="27">
        <v>0</v>
      </c>
    </row>
    <row r="124" spans="1:7" x14ac:dyDescent="0.2">
      <c r="A124" t="s">
        <v>1433</v>
      </c>
      <c r="B124" t="s">
        <v>103</v>
      </c>
      <c r="C124" t="s">
        <v>1434</v>
      </c>
      <c r="D124" s="21">
        <v>2.2599999999999998</v>
      </c>
      <c r="E124" t="s">
        <v>2901</v>
      </c>
      <c r="F124" s="27">
        <v>0.53890504480000001</v>
      </c>
      <c r="G124" s="27">
        <v>8.1046659628000004</v>
      </c>
    </row>
    <row r="125" spans="1:7" x14ac:dyDescent="0.2">
      <c r="A125" t="s">
        <v>1129</v>
      </c>
      <c r="B125" t="s">
        <v>103</v>
      </c>
      <c r="C125" t="s">
        <v>1130</v>
      </c>
      <c r="D125" s="21">
        <v>1.87</v>
      </c>
      <c r="E125" t="s">
        <v>2902</v>
      </c>
      <c r="F125" s="27">
        <v>0.55187715920000002</v>
      </c>
      <c r="G125" s="27">
        <v>8.3391384602999992</v>
      </c>
    </row>
    <row r="126" spans="1:7" x14ac:dyDescent="0.2">
      <c r="A126" t="s">
        <v>1279</v>
      </c>
      <c r="B126" t="s">
        <v>23</v>
      </c>
      <c r="C126" t="s">
        <v>1280</v>
      </c>
      <c r="D126" s="21">
        <v>12.71</v>
      </c>
      <c r="E126" t="s">
        <v>2903</v>
      </c>
      <c r="F126" s="27">
        <v>0.36530017757408001</v>
      </c>
      <c r="G126" s="27">
        <v>7.2874045122146001</v>
      </c>
    </row>
    <row r="127" spans="1:7" x14ac:dyDescent="0.2">
      <c r="A127" t="s">
        <v>1611</v>
      </c>
      <c r="B127" t="s">
        <v>23</v>
      </c>
      <c r="C127" t="s">
        <v>1612</v>
      </c>
      <c r="D127" s="21">
        <v>0.17</v>
      </c>
      <c r="E127" t="s">
        <v>2904</v>
      </c>
      <c r="F127" s="27">
        <v>3.43704165879E-2</v>
      </c>
      <c r="G127" s="27">
        <v>0.56279313488880001</v>
      </c>
    </row>
    <row r="128" spans="1:7" x14ac:dyDescent="0.2">
      <c r="A128" t="s">
        <v>1605</v>
      </c>
      <c r="B128" t="s">
        <v>23</v>
      </c>
      <c r="C128" t="s">
        <v>1606</v>
      </c>
      <c r="D128" s="21">
        <v>0.28000000000000003</v>
      </c>
      <c r="E128" t="s">
        <v>2905</v>
      </c>
      <c r="F128" s="27">
        <v>0.10599532451589</v>
      </c>
      <c r="G128" s="27">
        <v>1.3741169089775001</v>
      </c>
    </row>
    <row r="129" spans="1:7" x14ac:dyDescent="0.2">
      <c r="A129" t="s">
        <v>1603</v>
      </c>
      <c r="B129" t="s">
        <v>1393</v>
      </c>
      <c r="C129" t="s">
        <v>1604</v>
      </c>
      <c r="D129" s="21">
        <v>5.12</v>
      </c>
      <c r="E129" t="s">
        <v>2906</v>
      </c>
      <c r="F129" s="27">
        <v>1.51222354654</v>
      </c>
      <c r="G129" s="27">
        <v>16.800351005900001</v>
      </c>
    </row>
    <row r="130" spans="1:7" x14ac:dyDescent="0.2">
      <c r="A130" t="s">
        <v>1597</v>
      </c>
      <c r="B130" t="s">
        <v>1393</v>
      </c>
      <c r="C130" t="s">
        <v>1598</v>
      </c>
      <c r="D130" s="21">
        <v>13.87</v>
      </c>
      <c r="E130" t="s">
        <v>2907</v>
      </c>
      <c r="F130" s="27">
        <v>1.51222354654</v>
      </c>
      <c r="G130" s="27">
        <v>16.800351005900001</v>
      </c>
    </row>
    <row r="131" spans="1:7" x14ac:dyDescent="0.2">
      <c r="A131" t="s">
        <v>1615</v>
      </c>
      <c r="B131" t="s">
        <v>1393</v>
      </c>
      <c r="C131" t="s">
        <v>1616</v>
      </c>
      <c r="D131" s="21">
        <v>4.92</v>
      </c>
      <c r="E131" t="s">
        <v>2908</v>
      </c>
      <c r="F131" s="27">
        <v>1.51222354654</v>
      </c>
      <c r="G131" s="27">
        <v>16.800351005900001</v>
      </c>
    </row>
    <row r="132" spans="1:7" x14ac:dyDescent="0.2">
      <c r="A132" t="s">
        <v>2648</v>
      </c>
      <c r="B132" t="s">
        <v>103</v>
      </c>
      <c r="C132" t="s">
        <v>2649</v>
      </c>
      <c r="D132" s="21">
        <v>0.98</v>
      </c>
      <c r="E132" t="s">
        <v>2909</v>
      </c>
      <c r="F132" s="27">
        <v>0.98402300500999995</v>
      </c>
      <c r="G132" s="27">
        <v>13.73772923303</v>
      </c>
    </row>
    <row r="133" spans="1:7" x14ac:dyDescent="0.2">
      <c r="A133" t="s">
        <v>1127</v>
      </c>
      <c r="B133" t="s">
        <v>103</v>
      </c>
      <c r="C133" t="s">
        <v>1128</v>
      </c>
      <c r="D133" s="21">
        <v>1.01</v>
      </c>
      <c r="E133" t="s">
        <v>2910</v>
      </c>
      <c r="F133" s="27">
        <v>0</v>
      </c>
      <c r="G133" s="27">
        <v>0</v>
      </c>
    </row>
    <row r="134" spans="1:7" x14ac:dyDescent="0.2">
      <c r="A134" t="s">
        <v>4079</v>
      </c>
      <c r="B134" t="s">
        <v>18</v>
      </c>
      <c r="C134" t="s">
        <v>4080</v>
      </c>
      <c r="D134" s="21">
        <v>5.34</v>
      </c>
      <c r="E134" t="s">
        <v>4080</v>
      </c>
      <c r="F134" s="27">
        <v>0</v>
      </c>
      <c r="G134" s="27">
        <v>0</v>
      </c>
    </row>
    <row r="135" spans="1:7" x14ac:dyDescent="0.2">
      <c r="A135" t="s">
        <v>1401</v>
      </c>
      <c r="B135" t="s">
        <v>18</v>
      </c>
      <c r="C135" t="s">
        <v>1402</v>
      </c>
      <c r="D135" s="21">
        <v>2.65</v>
      </c>
      <c r="E135" t="s">
        <v>2911</v>
      </c>
      <c r="F135" s="27">
        <v>0.23922430373948</v>
      </c>
      <c r="G135" s="27">
        <v>3.5977267065878999</v>
      </c>
    </row>
    <row r="136" spans="1:7" x14ac:dyDescent="0.2">
      <c r="A136" t="s">
        <v>1599</v>
      </c>
      <c r="B136" t="s">
        <v>18</v>
      </c>
      <c r="C136" t="s">
        <v>1600</v>
      </c>
      <c r="D136" s="21">
        <v>15.42</v>
      </c>
      <c r="E136" t="s">
        <v>2912</v>
      </c>
      <c r="F136" s="27">
        <v>-9999999999</v>
      </c>
      <c r="G136" s="27">
        <v>-9999999999</v>
      </c>
    </row>
    <row r="137" spans="1:7" x14ac:dyDescent="0.2">
      <c r="A137" t="s">
        <v>1613</v>
      </c>
      <c r="B137" t="s">
        <v>18</v>
      </c>
      <c r="C137" t="s">
        <v>1614</v>
      </c>
      <c r="D137" s="21">
        <v>20.18</v>
      </c>
      <c r="E137" t="s">
        <v>1610</v>
      </c>
      <c r="F137" s="27">
        <v>1.0506136739762999</v>
      </c>
      <c r="G137" s="27">
        <v>17.719051018992001</v>
      </c>
    </row>
    <row r="138" spans="1:7" x14ac:dyDescent="0.2">
      <c r="A138" t="s">
        <v>1496</v>
      </c>
      <c r="B138" t="s">
        <v>18</v>
      </c>
      <c r="C138" t="s">
        <v>1497</v>
      </c>
      <c r="D138" s="21">
        <v>7.19</v>
      </c>
      <c r="E138" t="s">
        <v>2913</v>
      </c>
      <c r="F138" s="27">
        <v>7.1032668529047003</v>
      </c>
      <c r="G138" s="27">
        <v>116.20248448207001</v>
      </c>
    </row>
    <row r="139" spans="1:7" x14ac:dyDescent="0.2">
      <c r="A139" t="s">
        <v>1390</v>
      </c>
      <c r="B139" t="s">
        <v>36</v>
      </c>
      <c r="C139" t="s">
        <v>1391</v>
      </c>
      <c r="D139" s="21">
        <v>0.45</v>
      </c>
      <c r="E139" t="s">
        <v>2914</v>
      </c>
      <c r="F139" s="27">
        <v>0</v>
      </c>
      <c r="G139" s="27">
        <v>0</v>
      </c>
    </row>
    <row r="140" spans="1:7" x14ac:dyDescent="0.2">
      <c r="A140" t="s">
        <v>1508</v>
      </c>
      <c r="B140" t="s">
        <v>15</v>
      </c>
      <c r="C140" t="s">
        <v>1509</v>
      </c>
      <c r="D140" s="21">
        <v>398.31</v>
      </c>
      <c r="E140" t="s">
        <v>2915</v>
      </c>
      <c r="F140" s="27">
        <v>70.040911598418006</v>
      </c>
      <c r="G140" s="27">
        <v>1181.2700679328</v>
      </c>
    </row>
    <row r="141" spans="1:7" x14ac:dyDescent="0.2">
      <c r="A141" t="s">
        <v>1392</v>
      </c>
      <c r="B141" t="s">
        <v>1393</v>
      </c>
      <c r="C141" t="s">
        <v>1394</v>
      </c>
      <c r="D141" s="21">
        <v>14.48</v>
      </c>
      <c r="E141" t="s">
        <v>2916</v>
      </c>
      <c r="F141" s="27">
        <v>0</v>
      </c>
      <c r="G141" s="27">
        <v>0</v>
      </c>
    </row>
    <row r="142" spans="1:7" x14ac:dyDescent="0.2">
      <c r="A142" t="s">
        <v>1386</v>
      </c>
      <c r="B142" t="s">
        <v>18</v>
      </c>
      <c r="C142" t="s">
        <v>1387</v>
      </c>
      <c r="D142" s="21">
        <v>1.2</v>
      </c>
      <c r="E142" t="s">
        <v>2917</v>
      </c>
      <c r="F142" s="27">
        <v>0</v>
      </c>
      <c r="G142" s="27">
        <v>0</v>
      </c>
    </row>
    <row r="143" spans="1:7" x14ac:dyDescent="0.2">
      <c r="A143" t="s">
        <v>1384</v>
      </c>
      <c r="B143" t="s">
        <v>1210</v>
      </c>
      <c r="C143" t="s">
        <v>1385</v>
      </c>
      <c r="D143" s="21">
        <v>2.89</v>
      </c>
      <c r="E143" t="s">
        <v>1385</v>
      </c>
      <c r="F143" s="27">
        <v>0</v>
      </c>
      <c r="G143" s="27">
        <v>0</v>
      </c>
    </row>
    <row r="144" spans="1:7" x14ac:dyDescent="0.2">
      <c r="A144" t="s">
        <v>1382</v>
      </c>
      <c r="B144" t="s">
        <v>23</v>
      </c>
      <c r="C144" t="s">
        <v>1383</v>
      </c>
      <c r="D144" s="21">
        <v>0.56000000000000005</v>
      </c>
      <c r="E144" t="s">
        <v>2918</v>
      </c>
      <c r="F144" s="27">
        <v>0</v>
      </c>
      <c r="G144" s="27">
        <v>0</v>
      </c>
    </row>
    <row r="145" spans="1:7" x14ac:dyDescent="0.2">
      <c r="A145" t="s">
        <v>1902</v>
      </c>
      <c r="B145" t="s">
        <v>23</v>
      </c>
      <c r="C145" t="s">
        <v>1903</v>
      </c>
      <c r="D145" s="21">
        <v>0.42</v>
      </c>
      <c r="E145" t="s">
        <v>2919</v>
      </c>
      <c r="F145" s="27">
        <v>0.94819944132935996</v>
      </c>
      <c r="G145" s="27">
        <v>9.9447007673380003</v>
      </c>
    </row>
    <row r="146" spans="1:7" x14ac:dyDescent="0.2">
      <c r="A146" t="s">
        <v>1475</v>
      </c>
      <c r="B146" t="s">
        <v>23</v>
      </c>
      <c r="C146" t="s">
        <v>1476</v>
      </c>
      <c r="D146" s="21">
        <v>0.41</v>
      </c>
      <c r="E146" t="s">
        <v>2920</v>
      </c>
      <c r="F146" s="27">
        <v>0</v>
      </c>
      <c r="G146" s="27">
        <v>0</v>
      </c>
    </row>
    <row r="147" spans="1:7" x14ac:dyDescent="0.2">
      <c r="A147" t="s">
        <v>1585</v>
      </c>
      <c r="B147" t="s">
        <v>18</v>
      </c>
      <c r="C147" t="s">
        <v>1586</v>
      </c>
      <c r="D147" s="21">
        <v>31.15</v>
      </c>
      <c r="E147" t="s">
        <v>2921</v>
      </c>
      <c r="F147" s="27">
        <v>9.3935463826679992</v>
      </c>
      <c r="G147" s="27">
        <v>152.32756822945001</v>
      </c>
    </row>
    <row r="148" spans="1:7" x14ac:dyDescent="0.2">
      <c r="A148" t="s">
        <v>1503</v>
      </c>
      <c r="B148" t="s">
        <v>23</v>
      </c>
      <c r="C148" t="s">
        <v>1504</v>
      </c>
      <c r="D148" s="21">
        <v>0.63</v>
      </c>
      <c r="E148" t="s">
        <v>2922</v>
      </c>
      <c r="F148" s="27">
        <v>1.2278743969146999</v>
      </c>
      <c r="G148" s="27">
        <v>12.87792728508</v>
      </c>
    </row>
    <row r="149" spans="1:7" x14ac:dyDescent="0.2">
      <c r="A149" t="s">
        <v>1500</v>
      </c>
      <c r="B149" t="s">
        <v>18</v>
      </c>
      <c r="C149" t="s">
        <v>1501</v>
      </c>
      <c r="D149" s="21">
        <v>17.920000000000002</v>
      </c>
      <c r="E149" t="s">
        <v>2923</v>
      </c>
      <c r="F149" s="27">
        <v>1.5409000551651999</v>
      </c>
      <c r="G149" s="27">
        <v>25.987941494522001</v>
      </c>
    </row>
    <row r="150" spans="1:7" x14ac:dyDescent="0.2">
      <c r="A150" t="s">
        <v>1916</v>
      </c>
      <c r="B150" t="s">
        <v>15</v>
      </c>
      <c r="C150" t="s">
        <v>1917</v>
      </c>
      <c r="D150" s="21">
        <v>1196.7</v>
      </c>
      <c r="E150" t="s">
        <v>2924</v>
      </c>
      <c r="F150" s="27">
        <v>93.387882131224004</v>
      </c>
      <c r="G150" s="27">
        <v>1575.0267572437001</v>
      </c>
    </row>
    <row r="151" spans="1:7" x14ac:dyDescent="0.2">
      <c r="A151" t="s">
        <v>1188</v>
      </c>
      <c r="B151" t="s">
        <v>18</v>
      </c>
      <c r="C151" t="s">
        <v>410</v>
      </c>
      <c r="D151" s="21">
        <v>0.08</v>
      </c>
      <c r="E151" t="s">
        <v>1187</v>
      </c>
      <c r="F151" s="27">
        <v>0</v>
      </c>
      <c r="G151" s="27">
        <v>0</v>
      </c>
    </row>
    <row r="152" spans="1:7" x14ac:dyDescent="0.2">
      <c r="A152" t="s">
        <v>2208</v>
      </c>
      <c r="B152" t="s">
        <v>23</v>
      </c>
      <c r="C152" t="s">
        <v>2209</v>
      </c>
      <c r="D152" s="21">
        <v>550.44000000000005</v>
      </c>
      <c r="E152" t="s">
        <v>2209</v>
      </c>
      <c r="F152" s="27">
        <v>0</v>
      </c>
      <c r="G152" s="27">
        <v>0</v>
      </c>
    </row>
    <row r="153" spans="1:7" x14ac:dyDescent="0.2">
      <c r="A153" t="s">
        <v>2212</v>
      </c>
      <c r="B153" t="s">
        <v>23</v>
      </c>
      <c r="C153" t="s">
        <v>2213</v>
      </c>
      <c r="D153" s="21">
        <v>24</v>
      </c>
      <c r="E153" t="s">
        <v>2925</v>
      </c>
      <c r="F153" s="27">
        <v>0</v>
      </c>
      <c r="G153" s="27">
        <v>0</v>
      </c>
    </row>
    <row r="154" spans="1:7" ht="409.6" x14ac:dyDescent="0.2">
      <c r="A154" t="s">
        <v>1230</v>
      </c>
      <c r="B154" t="s">
        <v>23</v>
      </c>
      <c r="C154" s="26" t="s">
        <v>30</v>
      </c>
      <c r="D154" s="21">
        <v>7126</v>
      </c>
      <c r="E154" t="s">
        <v>1229</v>
      </c>
      <c r="F154" s="27">
        <v>0</v>
      </c>
      <c r="G154" s="27">
        <v>0</v>
      </c>
    </row>
    <row r="155" spans="1:7" x14ac:dyDescent="0.2">
      <c r="A155" t="s">
        <v>1341</v>
      </c>
      <c r="B155" t="s">
        <v>1084</v>
      </c>
      <c r="C155" t="s">
        <v>1024</v>
      </c>
      <c r="D155" s="21">
        <v>76</v>
      </c>
      <c r="E155" t="s">
        <v>1340</v>
      </c>
      <c r="F155" s="27">
        <v>-9999999999</v>
      </c>
      <c r="G155" s="27">
        <v>-9999999999</v>
      </c>
    </row>
    <row r="156" spans="1:7" x14ac:dyDescent="0.2">
      <c r="A156" t="s">
        <v>1350</v>
      </c>
      <c r="B156" t="s">
        <v>1084</v>
      </c>
      <c r="C156" t="s">
        <v>1020</v>
      </c>
      <c r="D156" s="21">
        <v>12</v>
      </c>
      <c r="E156" t="s">
        <v>1349</v>
      </c>
      <c r="F156" s="27">
        <v>-9999999999</v>
      </c>
      <c r="G156" s="27">
        <v>-9999999999</v>
      </c>
    </row>
    <row r="157" spans="1:7" x14ac:dyDescent="0.2">
      <c r="A157" t="s">
        <v>1355</v>
      </c>
      <c r="B157" t="s">
        <v>1084</v>
      </c>
      <c r="C157" t="s">
        <v>1022</v>
      </c>
      <c r="D157" s="21">
        <v>9.5</v>
      </c>
      <c r="E157" t="s">
        <v>1354</v>
      </c>
      <c r="F157" s="27">
        <v>-9999999999</v>
      </c>
      <c r="G157" s="27">
        <v>-9999999999</v>
      </c>
    </row>
    <row r="158" spans="1:7" x14ac:dyDescent="0.2">
      <c r="A158" t="s">
        <v>1333</v>
      </c>
      <c r="B158" t="s">
        <v>1084</v>
      </c>
      <c r="C158" t="s">
        <v>1040</v>
      </c>
      <c r="D158" s="21">
        <v>0</v>
      </c>
      <c r="E158" t="s">
        <v>1332</v>
      </c>
      <c r="F158" s="27">
        <v>-9999999999</v>
      </c>
      <c r="G158" s="27">
        <v>-9999999999</v>
      </c>
    </row>
    <row r="159" spans="1:7" x14ac:dyDescent="0.2">
      <c r="A159" t="s">
        <v>1347</v>
      </c>
      <c r="B159" t="s">
        <v>1084</v>
      </c>
      <c r="C159" t="s">
        <v>1026</v>
      </c>
      <c r="D159" s="21">
        <v>0</v>
      </c>
      <c r="E159" t="s">
        <v>1346</v>
      </c>
      <c r="F159" s="27">
        <v>-9999999999</v>
      </c>
      <c r="G159" s="27">
        <v>-9999999999</v>
      </c>
    </row>
    <row r="160" spans="1:7" x14ac:dyDescent="0.2">
      <c r="A160" t="s">
        <v>2800</v>
      </c>
      <c r="B160" t="s">
        <v>1084</v>
      </c>
      <c r="C160" t="s">
        <v>2801</v>
      </c>
      <c r="D160" s="21">
        <v>50</v>
      </c>
      <c r="E160" t="s">
        <v>2926</v>
      </c>
      <c r="F160" s="27">
        <v>-9999999999</v>
      </c>
      <c r="G160" s="27">
        <v>-9999999999</v>
      </c>
    </row>
    <row r="161" spans="1:7" x14ac:dyDescent="0.2">
      <c r="A161" t="s">
        <v>1344</v>
      </c>
      <c r="B161" t="s">
        <v>1084</v>
      </c>
      <c r="C161" t="s">
        <v>1044</v>
      </c>
      <c r="D161" s="21">
        <v>-200</v>
      </c>
      <c r="E161" t="s">
        <v>1343</v>
      </c>
      <c r="F161" s="27">
        <v>-9999999999</v>
      </c>
      <c r="G161" s="27">
        <v>-9999999999</v>
      </c>
    </row>
    <row r="162" spans="1:7" x14ac:dyDescent="0.2">
      <c r="A162" t="s">
        <v>1336</v>
      </c>
      <c r="B162" t="s">
        <v>1084</v>
      </c>
      <c r="C162" t="s">
        <v>1042</v>
      </c>
      <c r="D162" s="21">
        <v>0</v>
      </c>
      <c r="E162" t="s">
        <v>1335</v>
      </c>
      <c r="F162" s="27">
        <v>-9999999999</v>
      </c>
      <c r="G162" s="27">
        <v>-9999999999</v>
      </c>
    </row>
    <row r="163" spans="1:7" x14ac:dyDescent="0.2">
      <c r="A163" t="s">
        <v>1338</v>
      </c>
      <c r="B163" t="s">
        <v>1084</v>
      </c>
      <c r="C163" t="s">
        <v>1028</v>
      </c>
      <c r="D163" s="21">
        <v>148.30000000000001</v>
      </c>
      <c r="E163" t="s">
        <v>1329</v>
      </c>
      <c r="F163" s="27">
        <v>-9999999999</v>
      </c>
      <c r="G163" s="27">
        <v>-9999999999</v>
      </c>
    </row>
    <row r="164" spans="1:7" x14ac:dyDescent="0.2">
      <c r="A164" t="s">
        <v>1330</v>
      </c>
      <c r="B164" t="s">
        <v>15</v>
      </c>
      <c r="C164" t="s">
        <v>1034</v>
      </c>
      <c r="D164" s="21">
        <v>8.9</v>
      </c>
      <c r="E164" t="s">
        <v>1329</v>
      </c>
      <c r="F164" s="27">
        <v>-9999999999</v>
      </c>
      <c r="G164" s="27">
        <v>-9999999999</v>
      </c>
    </row>
    <row r="165" spans="1:7" x14ac:dyDescent="0.2">
      <c r="A165" t="s">
        <v>1352</v>
      </c>
      <c r="B165" t="s">
        <v>103</v>
      </c>
      <c r="C165" t="s">
        <v>1050</v>
      </c>
      <c r="D165" s="21">
        <v>0.25</v>
      </c>
      <c r="E165" t="s">
        <v>1329</v>
      </c>
      <c r="F165" s="27">
        <v>-9999999999</v>
      </c>
      <c r="G165" s="27">
        <v>-9999999999</v>
      </c>
    </row>
    <row r="166" spans="1:7" x14ac:dyDescent="0.2">
      <c r="A166" t="s">
        <v>1358</v>
      </c>
      <c r="B166" t="s">
        <v>1084</v>
      </c>
      <c r="C166" t="s">
        <v>1036</v>
      </c>
      <c r="D166" s="21">
        <v>5.31</v>
      </c>
      <c r="E166" t="s">
        <v>1357</v>
      </c>
      <c r="F166" s="27">
        <v>-9999999999</v>
      </c>
      <c r="G166" s="27">
        <v>-9999999999</v>
      </c>
    </row>
    <row r="167" spans="1:7" x14ac:dyDescent="0.2">
      <c r="A167" t="s">
        <v>1431</v>
      </c>
      <c r="B167" t="s">
        <v>15</v>
      </c>
      <c r="C167" t="s">
        <v>1432</v>
      </c>
      <c r="D167" s="21">
        <v>562.28</v>
      </c>
      <c r="E167" t="s">
        <v>2927</v>
      </c>
      <c r="F167" s="27">
        <v>0</v>
      </c>
      <c r="G167" s="27">
        <v>0</v>
      </c>
    </row>
    <row r="168" spans="1:7" x14ac:dyDescent="0.2">
      <c r="A168" t="s">
        <v>1426</v>
      </c>
      <c r="B168" t="s">
        <v>15</v>
      </c>
      <c r="C168" t="s">
        <v>1427</v>
      </c>
      <c r="D168" s="21">
        <v>1375.78</v>
      </c>
      <c r="E168" t="s">
        <v>2928</v>
      </c>
      <c r="F168" s="27">
        <v>0</v>
      </c>
      <c r="G168" s="27">
        <v>0</v>
      </c>
    </row>
    <row r="169" spans="1:7" x14ac:dyDescent="0.2">
      <c r="A169" t="s">
        <v>1418</v>
      </c>
      <c r="B169" t="s">
        <v>15</v>
      </c>
      <c r="C169" t="s">
        <v>1419</v>
      </c>
      <c r="D169" s="21">
        <v>1412.51</v>
      </c>
      <c r="E169" t="s">
        <v>2929</v>
      </c>
      <c r="F169" s="27">
        <v>0</v>
      </c>
      <c r="G169" s="27">
        <v>0</v>
      </c>
    </row>
    <row r="170" spans="1:7" x14ac:dyDescent="0.2">
      <c r="A170" t="s">
        <v>1421</v>
      </c>
      <c r="B170" t="s">
        <v>23</v>
      </c>
      <c r="C170" t="s">
        <v>1422</v>
      </c>
      <c r="D170" s="21">
        <v>4.32</v>
      </c>
      <c r="E170" t="s">
        <v>2930</v>
      </c>
      <c r="F170" s="27">
        <v>0</v>
      </c>
      <c r="G170" s="27">
        <v>0</v>
      </c>
    </row>
    <row r="171" spans="1:7" x14ac:dyDescent="0.2">
      <c r="A171" t="s">
        <v>2821</v>
      </c>
      <c r="B171" t="s">
        <v>18</v>
      </c>
      <c r="C171" t="s">
        <v>2822</v>
      </c>
      <c r="D171" s="21">
        <v>64.45</v>
      </c>
      <c r="E171" t="s">
        <v>2931</v>
      </c>
      <c r="F171" s="27">
        <v>0</v>
      </c>
      <c r="G171" s="27">
        <v>0</v>
      </c>
    </row>
    <row r="172" spans="1:7" x14ac:dyDescent="0.2">
      <c r="A172" t="s">
        <v>1447</v>
      </c>
      <c r="B172" t="s">
        <v>18</v>
      </c>
      <c r="C172" t="s">
        <v>1448</v>
      </c>
      <c r="D172" s="21">
        <v>187.61</v>
      </c>
      <c r="E172" t="s">
        <v>2932</v>
      </c>
      <c r="F172" s="27">
        <v>0</v>
      </c>
      <c r="G172" s="27">
        <v>0</v>
      </c>
    </row>
    <row r="173" spans="1:7" x14ac:dyDescent="0.2">
      <c r="A173" t="s">
        <v>1443</v>
      </c>
      <c r="B173" t="s">
        <v>18</v>
      </c>
      <c r="C173" t="s">
        <v>1444</v>
      </c>
      <c r="D173" s="21">
        <v>208.03</v>
      </c>
      <c r="E173" t="s">
        <v>2933</v>
      </c>
      <c r="F173" s="27">
        <v>0</v>
      </c>
      <c r="G173" s="27">
        <v>0</v>
      </c>
    </row>
    <row r="174" spans="1:7" x14ac:dyDescent="0.2">
      <c r="A174" t="s">
        <v>1437</v>
      </c>
      <c r="B174" t="s">
        <v>18</v>
      </c>
      <c r="C174" t="s">
        <v>1438</v>
      </c>
      <c r="D174" s="21">
        <v>187.61</v>
      </c>
      <c r="E174" t="s">
        <v>2934</v>
      </c>
      <c r="F174" s="27">
        <v>0</v>
      </c>
      <c r="G174" s="27">
        <v>0</v>
      </c>
    </row>
    <row r="175" spans="1:7" x14ac:dyDescent="0.2">
      <c r="A175" t="s">
        <v>1466</v>
      </c>
      <c r="B175" t="s">
        <v>103</v>
      </c>
      <c r="C175" t="s">
        <v>1467</v>
      </c>
      <c r="D175" s="21">
        <v>1.42</v>
      </c>
      <c r="E175" t="s">
        <v>2935</v>
      </c>
      <c r="F175" s="27">
        <v>0</v>
      </c>
      <c r="G175" s="27">
        <v>0</v>
      </c>
    </row>
    <row r="176" spans="1:7" x14ac:dyDescent="0.2">
      <c r="A176" t="s">
        <v>4072</v>
      </c>
      <c r="B176" t="s">
        <v>103</v>
      </c>
      <c r="C176" t="s">
        <v>4073</v>
      </c>
      <c r="D176" s="21">
        <v>2.89</v>
      </c>
      <c r="E176" t="s">
        <v>4229</v>
      </c>
      <c r="F176" s="27">
        <v>4.6171360724000001</v>
      </c>
      <c r="G176" s="27">
        <v>58.307405709500003</v>
      </c>
    </row>
    <row r="177" spans="1:7" x14ac:dyDescent="0.2">
      <c r="A177" t="s">
        <v>1479</v>
      </c>
      <c r="B177" t="s">
        <v>36</v>
      </c>
      <c r="C177" t="s">
        <v>1480</v>
      </c>
      <c r="D177" s="21">
        <v>1.24</v>
      </c>
      <c r="E177" t="s">
        <v>2936</v>
      </c>
      <c r="F177" s="27">
        <v>0</v>
      </c>
      <c r="G177" s="27">
        <v>0</v>
      </c>
    </row>
    <row r="178" spans="1:7" x14ac:dyDescent="0.2">
      <c r="A178" t="s">
        <v>1492</v>
      </c>
      <c r="B178" t="s">
        <v>23</v>
      </c>
      <c r="C178" t="s">
        <v>1493</v>
      </c>
      <c r="D178" s="21">
        <v>0.78</v>
      </c>
      <c r="E178" t="s">
        <v>2937</v>
      </c>
      <c r="F178" s="27">
        <v>0.42606969919312998</v>
      </c>
      <c r="G178" s="27">
        <v>4.4686122769330003</v>
      </c>
    </row>
    <row r="179" spans="1:7" x14ac:dyDescent="0.2">
      <c r="A179" t="s">
        <v>1514</v>
      </c>
      <c r="B179" t="s">
        <v>36</v>
      </c>
      <c r="C179" t="s">
        <v>1515</v>
      </c>
      <c r="D179" s="21">
        <v>11.52</v>
      </c>
      <c r="E179" t="s">
        <v>2938</v>
      </c>
      <c r="F179" s="27">
        <v>6.9493067353151998</v>
      </c>
      <c r="G179" s="27">
        <v>112.6540404189</v>
      </c>
    </row>
    <row r="180" spans="1:7" x14ac:dyDescent="0.2">
      <c r="A180" t="s">
        <v>1520</v>
      </c>
      <c r="B180" t="s">
        <v>36</v>
      </c>
      <c r="C180" t="s">
        <v>1521</v>
      </c>
      <c r="D180" s="21">
        <v>22.07</v>
      </c>
      <c r="E180" t="s">
        <v>2939</v>
      </c>
      <c r="F180" s="27">
        <v>6.9493067353151998</v>
      </c>
      <c r="G180" s="27">
        <v>112.6540404189</v>
      </c>
    </row>
    <row r="181" spans="1:7" x14ac:dyDescent="0.2">
      <c r="A181" t="s">
        <v>1522</v>
      </c>
      <c r="B181" t="s">
        <v>23</v>
      </c>
      <c r="C181" t="s">
        <v>1523</v>
      </c>
      <c r="D181" s="21">
        <v>2.72</v>
      </c>
      <c r="E181" t="s">
        <v>2940</v>
      </c>
      <c r="F181" s="27">
        <v>0.77163035889104004</v>
      </c>
      <c r="G181" s="27">
        <v>8.6369571476442992</v>
      </c>
    </row>
    <row r="182" spans="1:7" x14ac:dyDescent="0.2">
      <c r="A182" t="s">
        <v>1516</v>
      </c>
      <c r="B182" t="s">
        <v>23</v>
      </c>
      <c r="C182" t="s">
        <v>1517</v>
      </c>
      <c r="D182" s="21">
        <v>0.1</v>
      </c>
      <c r="E182" t="s">
        <v>2941</v>
      </c>
      <c r="F182" s="27">
        <v>1.0024802392344E-2</v>
      </c>
      <c r="G182" s="27">
        <v>0.12061136481982</v>
      </c>
    </row>
    <row r="183" spans="1:7" x14ac:dyDescent="0.2">
      <c r="A183" t="s">
        <v>1524</v>
      </c>
      <c r="B183" t="s">
        <v>23</v>
      </c>
      <c r="C183" t="s">
        <v>1525</v>
      </c>
      <c r="D183" s="21">
        <v>0.25</v>
      </c>
      <c r="E183" t="s">
        <v>2942</v>
      </c>
      <c r="F183" s="27">
        <v>8.4166158529964993E-2</v>
      </c>
      <c r="G183" s="27">
        <v>1.5501059556600001</v>
      </c>
    </row>
    <row r="184" spans="1:7" x14ac:dyDescent="0.2">
      <c r="A184" t="s">
        <v>4060</v>
      </c>
      <c r="B184" t="s">
        <v>1210</v>
      </c>
      <c r="C184" t="s">
        <v>4061</v>
      </c>
      <c r="D184" s="21">
        <v>33.880000000000003</v>
      </c>
      <c r="E184" t="s">
        <v>4230</v>
      </c>
      <c r="F184" s="27">
        <v>0</v>
      </c>
      <c r="G184" s="27">
        <v>0</v>
      </c>
    </row>
    <row r="185" spans="1:7" x14ac:dyDescent="0.2">
      <c r="A185" t="s">
        <v>1581</v>
      </c>
      <c r="B185" t="s">
        <v>18</v>
      </c>
      <c r="C185" t="s">
        <v>1582</v>
      </c>
      <c r="D185" s="21">
        <v>1.64</v>
      </c>
      <c r="E185" t="s">
        <v>2943</v>
      </c>
      <c r="F185" s="27">
        <v>0</v>
      </c>
      <c r="G185" s="27">
        <v>0</v>
      </c>
    </row>
    <row r="186" spans="1:7" x14ac:dyDescent="0.2">
      <c r="A186" t="s">
        <v>1534</v>
      </c>
      <c r="B186" t="s">
        <v>18</v>
      </c>
      <c r="C186" t="s">
        <v>1535</v>
      </c>
      <c r="D186" s="21">
        <v>0.21</v>
      </c>
      <c r="E186" t="s">
        <v>2944</v>
      </c>
      <c r="F186" s="27">
        <v>0.21912169777919999</v>
      </c>
      <c r="G186" s="27">
        <v>7.8128271317760003</v>
      </c>
    </row>
    <row r="187" spans="1:7" x14ac:dyDescent="0.2">
      <c r="A187" t="s">
        <v>1529</v>
      </c>
      <c r="B187" t="s">
        <v>18</v>
      </c>
      <c r="C187" t="s">
        <v>1530</v>
      </c>
      <c r="D187" s="21">
        <v>1.4</v>
      </c>
      <c r="E187" t="s">
        <v>2945</v>
      </c>
      <c r="F187" s="27">
        <v>2.1445118737760001</v>
      </c>
      <c r="G187" s="27">
        <v>75.333899912193999</v>
      </c>
    </row>
    <row r="188" spans="1:7" x14ac:dyDescent="0.2">
      <c r="A188" t="s">
        <v>4042</v>
      </c>
      <c r="B188" t="s">
        <v>18</v>
      </c>
      <c r="C188" t="s">
        <v>4043</v>
      </c>
      <c r="D188" s="21">
        <v>1.96</v>
      </c>
      <c r="E188" t="s">
        <v>4043</v>
      </c>
      <c r="F188" s="27">
        <v>0</v>
      </c>
      <c r="G188" s="27">
        <v>0</v>
      </c>
    </row>
    <row r="189" spans="1:7" x14ac:dyDescent="0.2">
      <c r="A189" t="s">
        <v>1545</v>
      </c>
      <c r="B189" t="s">
        <v>18</v>
      </c>
      <c r="C189" t="s">
        <v>1546</v>
      </c>
      <c r="D189" s="21">
        <v>1.8</v>
      </c>
      <c r="E189" t="s">
        <v>2946</v>
      </c>
      <c r="F189" s="27">
        <v>0.26937353324160002</v>
      </c>
      <c r="G189" s="27">
        <v>9.6495893330232008</v>
      </c>
    </row>
    <row r="190" spans="1:7" x14ac:dyDescent="0.2">
      <c r="A190" t="s">
        <v>1541</v>
      </c>
      <c r="B190" t="s">
        <v>18</v>
      </c>
      <c r="C190" t="s">
        <v>1542</v>
      </c>
      <c r="D190" s="21">
        <v>1.05</v>
      </c>
      <c r="E190" t="s">
        <v>2947</v>
      </c>
      <c r="F190" s="27">
        <v>0.85321842442649998</v>
      </c>
      <c r="G190" s="27">
        <v>16.726115277184999</v>
      </c>
    </row>
    <row r="191" spans="1:7" x14ac:dyDescent="0.2">
      <c r="A191" t="s">
        <v>1884</v>
      </c>
      <c r="B191" t="s">
        <v>18</v>
      </c>
      <c r="C191" t="s">
        <v>1885</v>
      </c>
      <c r="D191" s="21">
        <v>1.1399999999999999</v>
      </c>
      <c r="E191" t="s">
        <v>2948</v>
      </c>
      <c r="F191" s="27">
        <v>0.52904751637500003</v>
      </c>
      <c r="G191" s="27">
        <v>13.639302883455001</v>
      </c>
    </row>
    <row r="192" spans="1:7" x14ac:dyDescent="0.2">
      <c r="A192" t="s">
        <v>1553</v>
      </c>
      <c r="B192" t="s">
        <v>18</v>
      </c>
      <c r="C192" t="s">
        <v>1554</v>
      </c>
      <c r="D192" s="21">
        <v>16.21</v>
      </c>
      <c r="E192" t="s">
        <v>2949</v>
      </c>
      <c r="F192" s="27">
        <v>6.1072142722800002</v>
      </c>
      <c r="G192" s="27">
        <v>133.39453300866001</v>
      </c>
    </row>
    <row r="193" spans="1:7" x14ac:dyDescent="0.2">
      <c r="A193" t="s">
        <v>1557</v>
      </c>
      <c r="B193" t="s">
        <v>18</v>
      </c>
      <c r="C193" t="s">
        <v>1558</v>
      </c>
      <c r="D193" s="21">
        <v>27.02</v>
      </c>
      <c r="E193" t="s">
        <v>2950</v>
      </c>
      <c r="F193" s="27">
        <v>10.1786904538</v>
      </c>
      <c r="G193" s="27">
        <v>222.3242216811</v>
      </c>
    </row>
    <row r="194" spans="1:7" x14ac:dyDescent="0.2">
      <c r="A194" t="s">
        <v>1563</v>
      </c>
      <c r="B194" t="s">
        <v>18</v>
      </c>
      <c r="C194" t="s">
        <v>1564</v>
      </c>
      <c r="D194" s="21">
        <v>2.95</v>
      </c>
      <c r="E194" t="s">
        <v>2951</v>
      </c>
      <c r="F194" s="27">
        <v>0.79848846364000003</v>
      </c>
      <c r="G194" s="27">
        <v>28.049856350285001</v>
      </c>
    </row>
    <row r="195" spans="1:7" x14ac:dyDescent="0.2">
      <c r="A195" t="s">
        <v>1549</v>
      </c>
      <c r="B195" t="s">
        <v>18</v>
      </c>
      <c r="C195" t="s">
        <v>1550</v>
      </c>
      <c r="D195" s="21">
        <v>14.94</v>
      </c>
      <c r="E195" t="s">
        <v>2952</v>
      </c>
      <c r="F195" s="27">
        <v>4.1502031133299999</v>
      </c>
      <c r="G195" s="27">
        <v>56.306871206422002</v>
      </c>
    </row>
    <row r="196" spans="1:7" x14ac:dyDescent="0.2">
      <c r="A196" t="s">
        <v>2199</v>
      </c>
      <c r="B196" t="s">
        <v>18</v>
      </c>
      <c r="C196" t="s">
        <v>2200</v>
      </c>
      <c r="D196" s="21">
        <v>8.9</v>
      </c>
      <c r="E196" t="s">
        <v>2953</v>
      </c>
      <c r="F196" s="27">
        <v>3.1591708594716001</v>
      </c>
      <c r="G196" s="27">
        <v>43.550040566939998</v>
      </c>
    </row>
    <row r="197" spans="1:7" x14ac:dyDescent="0.2">
      <c r="A197" t="s">
        <v>1565</v>
      </c>
      <c r="B197" t="s">
        <v>36</v>
      </c>
      <c r="C197" t="s">
        <v>1566</v>
      </c>
      <c r="D197" s="21">
        <v>1.1399999999999999</v>
      </c>
      <c r="E197" t="s">
        <v>2954</v>
      </c>
      <c r="F197" s="27">
        <v>0.10342845276781</v>
      </c>
      <c r="G197" s="27">
        <v>4.1758989174128001</v>
      </c>
    </row>
    <row r="198" spans="1:7" x14ac:dyDescent="0.2">
      <c r="A198" t="s">
        <v>1536</v>
      </c>
      <c r="B198" t="s">
        <v>23</v>
      </c>
      <c r="C198" t="s">
        <v>1537</v>
      </c>
      <c r="D198" s="21">
        <v>0.44</v>
      </c>
      <c r="E198" t="s">
        <v>2955</v>
      </c>
      <c r="F198" s="27">
        <v>4.0405472108714001E-2</v>
      </c>
      <c r="G198" s="27">
        <v>0.68282630914556997</v>
      </c>
    </row>
    <row r="199" spans="1:7" x14ac:dyDescent="0.2">
      <c r="A199" t="s">
        <v>1559</v>
      </c>
      <c r="B199" t="s">
        <v>23</v>
      </c>
      <c r="C199" t="s">
        <v>1560</v>
      </c>
      <c r="D199" s="21">
        <v>0.62</v>
      </c>
      <c r="E199" t="s">
        <v>2956</v>
      </c>
      <c r="F199" s="27">
        <v>5.9419478152289998E-2</v>
      </c>
      <c r="G199" s="27">
        <v>1.0041506964433</v>
      </c>
    </row>
    <row r="200" spans="1:7" x14ac:dyDescent="0.2">
      <c r="A200" t="s">
        <v>1593</v>
      </c>
      <c r="B200" t="s">
        <v>36</v>
      </c>
      <c r="C200" t="s">
        <v>1594</v>
      </c>
      <c r="D200" s="21">
        <v>0.04</v>
      </c>
      <c r="E200" t="s">
        <v>2957</v>
      </c>
      <c r="F200" s="27">
        <v>4.1157795876786002E-3</v>
      </c>
      <c r="G200" s="27">
        <v>7.2844964336106002E-2</v>
      </c>
    </row>
    <row r="201" spans="1:7" x14ac:dyDescent="0.2">
      <c r="A201" t="s">
        <v>1595</v>
      </c>
      <c r="B201" t="s">
        <v>103</v>
      </c>
      <c r="C201" t="s">
        <v>1596</v>
      </c>
      <c r="D201" s="21">
        <v>1.42</v>
      </c>
      <c r="E201" t="s">
        <v>2958</v>
      </c>
      <c r="F201" s="27">
        <v>0.56966769449999999</v>
      </c>
      <c r="G201" s="27">
        <v>12.0461687566</v>
      </c>
    </row>
    <row r="202" spans="1:7" x14ac:dyDescent="0.2">
      <c r="A202" t="s">
        <v>4110</v>
      </c>
      <c r="B202" t="s">
        <v>4111</v>
      </c>
      <c r="C202" t="s">
        <v>4112</v>
      </c>
      <c r="D202" s="21">
        <v>24.03</v>
      </c>
      <c r="E202" t="s">
        <v>4231</v>
      </c>
      <c r="F202" s="27">
        <v>6.1507607647200002</v>
      </c>
      <c r="G202" s="27">
        <v>125.72958066482001</v>
      </c>
    </row>
    <row r="203" spans="1:7" x14ac:dyDescent="0.2">
      <c r="A203" t="s">
        <v>1579</v>
      </c>
      <c r="B203" t="s">
        <v>36</v>
      </c>
      <c r="C203" t="s">
        <v>1580</v>
      </c>
      <c r="D203" s="21">
        <v>7.44</v>
      </c>
      <c r="E203" t="s">
        <v>2959</v>
      </c>
      <c r="F203" s="27">
        <v>2.0532560493599999E-2</v>
      </c>
      <c r="G203" s="27">
        <v>0.72128202043589995</v>
      </c>
    </row>
    <row r="204" spans="1:7" x14ac:dyDescent="0.2">
      <c r="A204" t="s">
        <v>1607</v>
      </c>
      <c r="B204" t="s">
        <v>36</v>
      </c>
      <c r="C204" t="s">
        <v>1608</v>
      </c>
      <c r="D204" s="21">
        <v>1.76</v>
      </c>
      <c r="E204" t="s">
        <v>2960</v>
      </c>
      <c r="F204" s="27">
        <v>1.9226842234579999</v>
      </c>
      <c r="G204" s="27">
        <v>21.360446278929999</v>
      </c>
    </row>
    <row r="205" spans="1:7" x14ac:dyDescent="0.2">
      <c r="A205" t="s">
        <v>1639</v>
      </c>
      <c r="B205" t="s">
        <v>15</v>
      </c>
      <c r="C205" t="s">
        <v>1640</v>
      </c>
      <c r="D205" s="21">
        <v>96.96</v>
      </c>
      <c r="E205" t="s">
        <v>2961</v>
      </c>
      <c r="F205" s="27">
        <v>254.20373767199999</v>
      </c>
      <c r="G205" s="27">
        <v>1617.523758136</v>
      </c>
    </row>
    <row r="206" spans="1:7" x14ac:dyDescent="0.2">
      <c r="A206" t="s">
        <v>1645</v>
      </c>
      <c r="B206" t="s">
        <v>15</v>
      </c>
      <c r="C206" t="s">
        <v>1646</v>
      </c>
      <c r="D206" s="21">
        <v>84.35</v>
      </c>
      <c r="E206" t="s">
        <v>2962</v>
      </c>
      <c r="F206" s="27">
        <v>254.20373767199999</v>
      </c>
      <c r="G206" s="27">
        <v>1617.523758136</v>
      </c>
    </row>
    <row r="207" spans="1:7" x14ac:dyDescent="0.2">
      <c r="A207" t="s">
        <v>1643</v>
      </c>
      <c r="B207" t="s">
        <v>15</v>
      </c>
      <c r="C207" t="s">
        <v>1644</v>
      </c>
      <c r="D207" s="21">
        <v>94.53</v>
      </c>
      <c r="E207" t="s">
        <v>2963</v>
      </c>
      <c r="F207" s="27">
        <v>254.20373767199999</v>
      </c>
      <c r="G207" s="27">
        <v>1617.523758136</v>
      </c>
    </row>
    <row r="208" spans="1:7" x14ac:dyDescent="0.2">
      <c r="A208" t="s">
        <v>4054</v>
      </c>
      <c r="B208" t="s">
        <v>103</v>
      </c>
      <c r="C208" t="s">
        <v>4055</v>
      </c>
      <c r="D208" s="21">
        <v>13.92</v>
      </c>
      <c r="E208" t="s">
        <v>4232</v>
      </c>
      <c r="F208" s="27">
        <v>2.3997798505999999</v>
      </c>
      <c r="G208" s="27">
        <v>44.9284393322</v>
      </c>
    </row>
    <row r="209" spans="1:7" x14ac:dyDescent="0.2">
      <c r="A209" t="s">
        <v>4049</v>
      </c>
      <c r="B209" t="s">
        <v>1210</v>
      </c>
      <c r="C209" t="s">
        <v>4050</v>
      </c>
      <c r="D209" s="21">
        <v>19.05</v>
      </c>
      <c r="E209" t="s">
        <v>4233</v>
      </c>
      <c r="F209" s="27">
        <v>0</v>
      </c>
      <c r="G209" s="27">
        <v>0</v>
      </c>
    </row>
    <row r="210" spans="1:7" x14ac:dyDescent="0.2">
      <c r="A210" t="s">
        <v>1573</v>
      </c>
      <c r="B210" t="s">
        <v>103</v>
      </c>
      <c r="C210" t="s">
        <v>1574</v>
      </c>
      <c r="D210" s="21">
        <v>10.59</v>
      </c>
      <c r="E210" t="s">
        <v>1574</v>
      </c>
      <c r="F210" s="27">
        <v>0</v>
      </c>
      <c r="G210" s="27">
        <v>0</v>
      </c>
    </row>
    <row r="211" spans="1:7" x14ac:dyDescent="0.2">
      <c r="A211" t="s">
        <v>1629</v>
      </c>
      <c r="B211" t="s">
        <v>1210</v>
      </c>
      <c r="C211" t="s">
        <v>1630</v>
      </c>
      <c r="D211" s="21">
        <v>10.48</v>
      </c>
      <c r="E211" t="s">
        <v>2964</v>
      </c>
      <c r="F211" s="27">
        <v>4.7564354086999998</v>
      </c>
      <c r="G211" s="27">
        <v>68.417365679499994</v>
      </c>
    </row>
    <row r="212" spans="1:7" x14ac:dyDescent="0.2">
      <c r="A212" t="s">
        <v>1651</v>
      </c>
      <c r="B212" t="s">
        <v>1210</v>
      </c>
      <c r="C212" t="s">
        <v>1652</v>
      </c>
      <c r="D212" s="21">
        <v>9.77</v>
      </c>
      <c r="E212" t="s">
        <v>2965</v>
      </c>
      <c r="F212" s="27">
        <v>0</v>
      </c>
      <c r="G212" s="27">
        <v>0</v>
      </c>
    </row>
    <row r="213" spans="1:7" x14ac:dyDescent="0.2">
      <c r="A213" t="s">
        <v>1653</v>
      </c>
      <c r="B213" t="s">
        <v>1210</v>
      </c>
      <c r="C213" t="s">
        <v>1654</v>
      </c>
      <c r="D213" s="21">
        <v>11.27</v>
      </c>
      <c r="E213" t="s">
        <v>2966</v>
      </c>
      <c r="F213" s="27">
        <v>0</v>
      </c>
      <c r="G213" s="27">
        <v>0</v>
      </c>
    </row>
    <row r="214" spans="1:7" x14ac:dyDescent="0.2">
      <c r="A214" t="s">
        <v>4058</v>
      </c>
      <c r="B214" t="s">
        <v>1210</v>
      </c>
      <c r="C214" t="s">
        <v>4056</v>
      </c>
      <c r="D214" s="21">
        <v>17.309999999999999</v>
      </c>
      <c r="E214" t="s">
        <v>4057</v>
      </c>
      <c r="F214" s="27">
        <v>0</v>
      </c>
      <c r="G214" s="27">
        <v>0</v>
      </c>
    </row>
    <row r="215" spans="1:7" x14ac:dyDescent="0.2">
      <c r="A215" t="s">
        <v>1922</v>
      </c>
      <c r="B215" t="s">
        <v>103</v>
      </c>
      <c r="C215" t="s">
        <v>1923</v>
      </c>
      <c r="D215" s="21">
        <v>13.41</v>
      </c>
      <c r="E215" t="s">
        <v>2967</v>
      </c>
      <c r="F215" s="27">
        <v>2.3997798505999999</v>
      </c>
      <c r="G215" s="27">
        <v>44.9284393322</v>
      </c>
    </row>
    <row r="216" spans="1:7" x14ac:dyDescent="0.2">
      <c r="A216" t="s">
        <v>1928</v>
      </c>
      <c r="B216" t="s">
        <v>103</v>
      </c>
      <c r="C216" t="s">
        <v>1929</v>
      </c>
      <c r="D216" s="21">
        <v>7.55</v>
      </c>
      <c r="E216" t="s">
        <v>2968</v>
      </c>
      <c r="F216" s="27">
        <v>3.1031406860000001</v>
      </c>
      <c r="G216" s="27">
        <v>71.888133217299995</v>
      </c>
    </row>
    <row r="217" spans="1:7" x14ac:dyDescent="0.2">
      <c r="A217" t="s">
        <v>4052</v>
      </c>
      <c r="B217" t="s">
        <v>103</v>
      </c>
      <c r="C217" t="s">
        <v>4053</v>
      </c>
      <c r="D217" s="21">
        <v>22.36</v>
      </c>
      <c r="E217" t="s">
        <v>4053</v>
      </c>
      <c r="F217" s="27">
        <v>2.3997798505999999</v>
      </c>
      <c r="G217" s="27">
        <v>44.9284393322</v>
      </c>
    </row>
    <row r="218" spans="1:7" x14ac:dyDescent="0.2">
      <c r="A218" t="s">
        <v>1575</v>
      </c>
      <c r="B218" t="s">
        <v>103</v>
      </c>
      <c r="C218" t="s">
        <v>1576</v>
      </c>
      <c r="D218" s="21">
        <v>21.38</v>
      </c>
      <c r="E218" t="s">
        <v>2969</v>
      </c>
      <c r="F218" s="27">
        <v>0</v>
      </c>
      <c r="G218" s="27">
        <v>0</v>
      </c>
    </row>
    <row r="219" spans="1:7" x14ac:dyDescent="0.2">
      <c r="A219" t="s">
        <v>1657</v>
      </c>
      <c r="B219" t="s">
        <v>1210</v>
      </c>
      <c r="C219" t="s">
        <v>1658</v>
      </c>
      <c r="D219" s="21">
        <v>6.99</v>
      </c>
      <c r="E219" t="s">
        <v>2970</v>
      </c>
      <c r="F219" s="27">
        <v>5.0948661168999996</v>
      </c>
      <c r="G219" s="27">
        <v>109.88731537539999</v>
      </c>
    </row>
    <row r="220" spans="1:7" x14ac:dyDescent="0.2">
      <c r="A220" t="s">
        <v>1895</v>
      </c>
      <c r="B220" t="s">
        <v>103</v>
      </c>
      <c r="C220" t="s">
        <v>1896</v>
      </c>
      <c r="D220" s="21">
        <v>0.98</v>
      </c>
      <c r="E220" t="s">
        <v>2971</v>
      </c>
      <c r="F220" s="27">
        <v>0.44611613915999998</v>
      </c>
      <c r="G220" s="27">
        <v>1.88252221422</v>
      </c>
    </row>
    <row r="221" spans="1:7" x14ac:dyDescent="0.2">
      <c r="A221" t="s">
        <v>4068</v>
      </c>
      <c r="B221" t="s">
        <v>18</v>
      </c>
      <c r="C221" t="s">
        <v>3946</v>
      </c>
      <c r="D221" s="21">
        <v>25.22</v>
      </c>
      <c r="E221" t="s">
        <v>4067</v>
      </c>
      <c r="F221" s="27">
        <v>0</v>
      </c>
      <c r="G221" s="27">
        <v>0</v>
      </c>
    </row>
    <row r="222" spans="1:7" x14ac:dyDescent="0.2">
      <c r="A222" t="s">
        <v>4077</v>
      </c>
      <c r="B222" t="s">
        <v>23</v>
      </c>
      <c r="C222" t="s">
        <v>3995</v>
      </c>
      <c r="D222" s="21">
        <v>32.5</v>
      </c>
      <c r="E222" t="s">
        <v>4234</v>
      </c>
      <c r="F222" s="27">
        <v>0</v>
      </c>
      <c r="G222" s="27">
        <v>0</v>
      </c>
    </row>
    <row r="223" spans="1:7" ht="409.6" x14ac:dyDescent="0.2">
      <c r="A223" t="s">
        <v>1944</v>
      </c>
      <c r="B223" t="s">
        <v>23</v>
      </c>
      <c r="C223" s="26" t="s">
        <v>414</v>
      </c>
      <c r="D223" s="21">
        <v>3187</v>
      </c>
      <c r="E223" t="s">
        <v>1943</v>
      </c>
      <c r="F223" s="27">
        <v>0</v>
      </c>
      <c r="G223" s="27">
        <v>0</v>
      </c>
    </row>
    <row r="224" spans="1:7" ht="409.6" x14ac:dyDescent="0.2">
      <c r="A224" t="s">
        <v>1947</v>
      </c>
      <c r="B224" t="s">
        <v>23</v>
      </c>
      <c r="C224" s="26" t="s">
        <v>479</v>
      </c>
      <c r="D224" s="21">
        <v>2780</v>
      </c>
      <c r="E224" t="s">
        <v>1946</v>
      </c>
      <c r="F224" s="27">
        <v>0</v>
      </c>
      <c r="G224" s="27">
        <v>0</v>
      </c>
    </row>
    <row r="225" spans="1:7" ht="409.6" x14ac:dyDescent="0.2">
      <c r="A225" t="s">
        <v>1950</v>
      </c>
      <c r="B225" t="s">
        <v>23</v>
      </c>
      <c r="C225" s="26" t="s">
        <v>481</v>
      </c>
      <c r="D225" s="21">
        <v>2092</v>
      </c>
      <c r="E225" t="s">
        <v>1949</v>
      </c>
      <c r="F225" s="27">
        <v>0</v>
      </c>
      <c r="G225" s="27">
        <v>0</v>
      </c>
    </row>
    <row r="226" spans="1:7" ht="409.6" x14ac:dyDescent="0.2">
      <c r="A226" t="s">
        <v>1953</v>
      </c>
      <c r="B226" t="s">
        <v>23</v>
      </c>
      <c r="C226" s="26" t="s">
        <v>483</v>
      </c>
      <c r="D226" s="21">
        <v>2092</v>
      </c>
      <c r="E226" t="s">
        <v>1952</v>
      </c>
      <c r="F226" s="27">
        <v>0</v>
      </c>
      <c r="G226" s="27">
        <v>0</v>
      </c>
    </row>
    <row r="227" spans="1:7" ht="409.6" x14ac:dyDescent="0.2">
      <c r="A227" t="s">
        <v>1956</v>
      </c>
      <c r="B227" t="s">
        <v>23</v>
      </c>
      <c r="C227" s="26" t="s">
        <v>485</v>
      </c>
      <c r="D227" s="21">
        <v>2092</v>
      </c>
      <c r="E227" t="s">
        <v>1955</v>
      </c>
      <c r="F227" s="27">
        <v>0</v>
      </c>
      <c r="G227" s="27">
        <v>0</v>
      </c>
    </row>
    <row r="228" spans="1:7" ht="409.6" x14ac:dyDescent="0.2">
      <c r="A228" t="s">
        <v>1959</v>
      </c>
      <c r="B228" t="s">
        <v>23</v>
      </c>
      <c r="C228" s="26" t="s">
        <v>487</v>
      </c>
      <c r="D228" s="21">
        <v>2092</v>
      </c>
      <c r="E228" t="s">
        <v>1958</v>
      </c>
      <c r="F228" s="27">
        <v>0</v>
      </c>
      <c r="G228" s="27">
        <v>0</v>
      </c>
    </row>
    <row r="229" spans="1:7" ht="409.6" x14ac:dyDescent="0.2">
      <c r="A229" t="s">
        <v>1964</v>
      </c>
      <c r="B229" t="s">
        <v>23</v>
      </c>
      <c r="C229" s="26" t="s">
        <v>1965</v>
      </c>
      <c r="D229" s="21">
        <v>3800</v>
      </c>
      <c r="E229" t="s">
        <v>1963</v>
      </c>
      <c r="F229" s="27">
        <v>0</v>
      </c>
      <c r="G229" s="27">
        <v>0</v>
      </c>
    </row>
    <row r="230" spans="1:7" ht="409.6" x14ac:dyDescent="0.2">
      <c r="A230" t="s">
        <v>1968</v>
      </c>
      <c r="B230" t="s">
        <v>23</v>
      </c>
      <c r="C230" s="26" t="s">
        <v>1969</v>
      </c>
      <c r="D230" s="21">
        <v>5395</v>
      </c>
      <c r="E230" t="s">
        <v>1967</v>
      </c>
      <c r="F230" s="27">
        <v>0</v>
      </c>
      <c r="G230" s="27">
        <v>0</v>
      </c>
    </row>
    <row r="231" spans="1:7" ht="409.6" x14ac:dyDescent="0.2">
      <c r="A231" t="s">
        <v>1972</v>
      </c>
      <c r="B231" t="s">
        <v>23</v>
      </c>
      <c r="C231" s="26" t="s">
        <v>1973</v>
      </c>
      <c r="D231" s="21">
        <v>5285</v>
      </c>
      <c r="E231" t="s">
        <v>1971</v>
      </c>
      <c r="F231" s="27">
        <v>0</v>
      </c>
      <c r="G231" s="27">
        <v>0</v>
      </c>
    </row>
    <row r="232" spans="1:7" ht="409.6" x14ac:dyDescent="0.2">
      <c r="A232" t="s">
        <v>1976</v>
      </c>
      <c r="B232" t="s">
        <v>23</v>
      </c>
      <c r="C232" s="26" t="s">
        <v>1977</v>
      </c>
      <c r="D232" s="21">
        <v>18418</v>
      </c>
      <c r="E232" t="s">
        <v>1975</v>
      </c>
      <c r="F232" s="27">
        <v>0</v>
      </c>
      <c r="G232" s="27">
        <v>0</v>
      </c>
    </row>
    <row r="233" spans="1:7" ht="409.6" x14ac:dyDescent="0.2">
      <c r="A233" t="s">
        <v>1980</v>
      </c>
      <c r="B233" t="s">
        <v>23</v>
      </c>
      <c r="C233" s="26" t="s">
        <v>497</v>
      </c>
      <c r="D233" s="21">
        <v>2813</v>
      </c>
      <c r="E233" t="s">
        <v>1979</v>
      </c>
      <c r="F233" s="27">
        <v>0</v>
      </c>
      <c r="G233" s="27">
        <v>0</v>
      </c>
    </row>
    <row r="234" spans="1:7" ht="409.6" x14ac:dyDescent="0.2">
      <c r="A234" t="s">
        <v>1983</v>
      </c>
      <c r="B234" t="s">
        <v>23</v>
      </c>
      <c r="C234" s="26" t="s">
        <v>499</v>
      </c>
      <c r="D234" s="21">
        <v>2813</v>
      </c>
      <c r="E234" t="s">
        <v>1982</v>
      </c>
      <c r="F234" s="27">
        <v>0</v>
      </c>
      <c r="G234" s="27">
        <v>0</v>
      </c>
    </row>
    <row r="235" spans="1:7" ht="409.6" x14ac:dyDescent="0.2">
      <c r="A235" t="s">
        <v>1986</v>
      </c>
      <c r="B235" t="s">
        <v>23</v>
      </c>
      <c r="C235" s="26" t="s">
        <v>501</v>
      </c>
      <c r="D235" s="21">
        <v>2813</v>
      </c>
      <c r="E235" t="s">
        <v>1985</v>
      </c>
      <c r="F235" s="27">
        <v>0</v>
      </c>
      <c r="G235" s="27">
        <v>0</v>
      </c>
    </row>
    <row r="236" spans="1:7" ht="409.6" x14ac:dyDescent="0.2">
      <c r="A236" t="s">
        <v>1989</v>
      </c>
      <c r="B236" t="s">
        <v>23</v>
      </c>
      <c r="C236" s="26" t="s">
        <v>503</v>
      </c>
      <c r="D236" s="21">
        <v>2813</v>
      </c>
      <c r="E236" t="s">
        <v>1988</v>
      </c>
      <c r="F236" s="27">
        <v>0</v>
      </c>
      <c r="G236" s="27">
        <v>0</v>
      </c>
    </row>
    <row r="237" spans="1:7" ht="409.6" x14ac:dyDescent="0.2">
      <c r="A237" t="s">
        <v>1992</v>
      </c>
      <c r="B237" t="s">
        <v>23</v>
      </c>
      <c r="C237" s="26" t="s">
        <v>505</v>
      </c>
      <c r="D237" s="21">
        <v>3368</v>
      </c>
      <c r="E237" t="s">
        <v>1991</v>
      </c>
      <c r="F237" s="27">
        <v>0</v>
      </c>
      <c r="G237" s="27">
        <v>0</v>
      </c>
    </row>
    <row r="238" spans="1:7" ht="409.6" x14ac:dyDescent="0.2">
      <c r="A238" t="s">
        <v>1995</v>
      </c>
      <c r="B238" t="s">
        <v>23</v>
      </c>
      <c r="C238" s="26" t="s">
        <v>507</v>
      </c>
      <c r="D238" s="21">
        <v>10056</v>
      </c>
      <c r="E238" t="s">
        <v>1994</v>
      </c>
      <c r="F238" s="27">
        <v>0</v>
      </c>
      <c r="G238" s="27">
        <v>0</v>
      </c>
    </row>
    <row r="239" spans="1:7" ht="350" x14ac:dyDescent="0.2">
      <c r="A239" t="s">
        <v>1998</v>
      </c>
      <c r="B239" t="s">
        <v>23</v>
      </c>
      <c r="C239" s="26" t="s">
        <v>451</v>
      </c>
      <c r="D239" s="21">
        <v>905</v>
      </c>
      <c r="E239" t="s">
        <v>1997</v>
      </c>
      <c r="F239" s="27">
        <v>0</v>
      </c>
      <c r="G239" s="27">
        <v>0</v>
      </c>
    </row>
    <row r="240" spans="1:7" ht="365" x14ac:dyDescent="0.2">
      <c r="A240" t="s">
        <v>2001</v>
      </c>
      <c r="B240" t="s">
        <v>23</v>
      </c>
      <c r="C240" s="26" t="s">
        <v>455</v>
      </c>
      <c r="D240" s="21">
        <v>250</v>
      </c>
      <c r="E240" t="s">
        <v>2000</v>
      </c>
      <c r="F240" s="27">
        <v>0</v>
      </c>
      <c r="G240" s="27">
        <v>0</v>
      </c>
    </row>
    <row r="241" spans="1:7" ht="350" x14ac:dyDescent="0.2">
      <c r="A241" t="s">
        <v>2004</v>
      </c>
      <c r="B241" t="s">
        <v>23</v>
      </c>
      <c r="C241" s="26" t="s">
        <v>459</v>
      </c>
      <c r="D241" s="21">
        <v>450</v>
      </c>
      <c r="E241" t="s">
        <v>2003</v>
      </c>
      <c r="F241" s="27">
        <v>0</v>
      </c>
      <c r="G241" s="27">
        <v>0</v>
      </c>
    </row>
    <row r="242" spans="1:7" ht="350" x14ac:dyDescent="0.2">
      <c r="A242" t="s">
        <v>2007</v>
      </c>
      <c r="B242" t="s">
        <v>23</v>
      </c>
      <c r="C242" s="26" t="s">
        <v>461</v>
      </c>
      <c r="D242" s="21">
        <v>200</v>
      </c>
      <c r="E242" t="s">
        <v>2006</v>
      </c>
      <c r="F242" s="27">
        <v>0</v>
      </c>
      <c r="G242" s="27">
        <v>0</v>
      </c>
    </row>
    <row r="243" spans="1:7" ht="350" x14ac:dyDescent="0.2">
      <c r="A243" t="s">
        <v>2010</v>
      </c>
      <c r="B243" t="s">
        <v>23</v>
      </c>
      <c r="C243" s="26" t="s">
        <v>463</v>
      </c>
      <c r="D243" s="21">
        <v>436</v>
      </c>
      <c r="E243" t="s">
        <v>2009</v>
      </c>
      <c r="F243" s="27">
        <v>0</v>
      </c>
      <c r="G243" s="27">
        <v>0</v>
      </c>
    </row>
    <row r="244" spans="1:7" ht="350" x14ac:dyDescent="0.2">
      <c r="A244" t="s">
        <v>2013</v>
      </c>
      <c r="B244" t="s">
        <v>23</v>
      </c>
      <c r="C244" s="26" t="s">
        <v>465</v>
      </c>
      <c r="D244" s="21">
        <v>830</v>
      </c>
      <c r="E244" t="s">
        <v>2012</v>
      </c>
      <c r="F244" s="27">
        <v>0</v>
      </c>
      <c r="G244" s="27">
        <v>0</v>
      </c>
    </row>
    <row r="245" spans="1:7" ht="350" x14ac:dyDescent="0.2">
      <c r="A245" t="s">
        <v>2016</v>
      </c>
      <c r="B245" t="s">
        <v>23</v>
      </c>
      <c r="C245" s="26" t="s">
        <v>467</v>
      </c>
      <c r="D245" s="21">
        <v>450</v>
      </c>
      <c r="E245" t="s">
        <v>2015</v>
      </c>
      <c r="F245" s="27">
        <v>0</v>
      </c>
      <c r="G245" s="27">
        <v>0</v>
      </c>
    </row>
    <row r="246" spans="1:7" x14ac:dyDescent="0.2">
      <c r="A246" t="s">
        <v>1926</v>
      </c>
      <c r="B246" t="s">
        <v>23</v>
      </c>
      <c r="C246" t="s">
        <v>1927</v>
      </c>
      <c r="D246" s="21">
        <v>69.88</v>
      </c>
      <c r="E246" t="s">
        <v>2972</v>
      </c>
      <c r="F246" s="27">
        <v>9.8521155169647994</v>
      </c>
      <c r="G246" s="27">
        <v>131.69628610949999</v>
      </c>
    </row>
    <row r="247" spans="1:7" x14ac:dyDescent="0.2">
      <c r="A247" t="s">
        <v>2383</v>
      </c>
      <c r="B247" t="s">
        <v>23</v>
      </c>
      <c r="C247" t="s">
        <v>2384</v>
      </c>
      <c r="D247" s="21">
        <v>5300</v>
      </c>
      <c r="E247" t="s">
        <v>2973</v>
      </c>
      <c r="F247" s="27">
        <v>0</v>
      </c>
      <c r="G247" s="27">
        <v>0</v>
      </c>
    </row>
    <row r="248" spans="1:7" x14ac:dyDescent="0.2">
      <c r="A248" t="s">
        <v>2387</v>
      </c>
      <c r="B248" t="s">
        <v>23</v>
      </c>
      <c r="C248" t="s">
        <v>2388</v>
      </c>
      <c r="D248" s="21">
        <v>540</v>
      </c>
      <c r="E248" t="s">
        <v>2974</v>
      </c>
      <c r="F248" s="27">
        <v>0</v>
      </c>
      <c r="G248" s="27">
        <v>0</v>
      </c>
    </row>
    <row r="249" spans="1:7" x14ac:dyDescent="0.2">
      <c r="A249" t="s">
        <v>2391</v>
      </c>
      <c r="B249" t="s">
        <v>23</v>
      </c>
      <c r="C249" t="s">
        <v>2392</v>
      </c>
      <c r="D249" s="21">
        <v>420</v>
      </c>
      <c r="E249" t="s">
        <v>2975</v>
      </c>
      <c r="F249" s="27">
        <v>0</v>
      </c>
      <c r="G249" s="27">
        <v>0</v>
      </c>
    </row>
    <row r="250" spans="1:7" x14ac:dyDescent="0.2">
      <c r="A250" t="s">
        <v>4093</v>
      </c>
      <c r="B250" t="s">
        <v>36</v>
      </c>
      <c r="C250" t="s">
        <v>4094</v>
      </c>
      <c r="D250" s="21">
        <v>15.06</v>
      </c>
      <c r="E250" t="s">
        <v>4235</v>
      </c>
      <c r="F250" s="27">
        <v>5.7393387271199998</v>
      </c>
      <c r="G250" s="27">
        <v>86.314692503819998</v>
      </c>
    </row>
    <row r="251" spans="1:7" x14ac:dyDescent="0.2">
      <c r="A251" t="s">
        <v>2030</v>
      </c>
      <c r="B251" t="s">
        <v>23</v>
      </c>
      <c r="C251" t="s">
        <v>513</v>
      </c>
      <c r="D251" s="21">
        <v>348</v>
      </c>
      <c r="E251" t="s">
        <v>2029</v>
      </c>
      <c r="F251" s="27">
        <v>0</v>
      </c>
      <c r="G251" s="27">
        <v>0</v>
      </c>
    </row>
    <row r="252" spans="1:7" x14ac:dyDescent="0.2">
      <c r="A252" t="s">
        <v>2033</v>
      </c>
      <c r="B252" t="s">
        <v>23</v>
      </c>
      <c r="C252" t="s">
        <v>515</v>
      </c>
      <c r="D252" s="21">
        <v>162</v>
      </c>
      <c r="E252" t="s">
        <v>2032</v>
      </c>
      <c r="F252" s="27">
        <v>0</v>
      </c>
      <c r="G252" s="27">
        <v>0</v>
      </c>
    </row>
    <row r="253" spans="1:7" x14ac:dyDescent="0.2">
      <c r="A253" t="s">
        <v>2036</v>
      </c>
      <c r="B253" t="s">
        <v>23</v>
      </c>
      <c r="C253" t="s">
        <v>517</v>
      </c>
      <c r="D253" s="21">
        <v>145</v>
      </c>
      <c r="E253" t="s">
        <v>2035</v>
      </c>
      <c r="F253" s="27">
        <v>0</v>
      </c>
      <c r="G253" s="27">
        <v>0</v>
      </c>
    </row>
    <row r="254" spans="1:7" x14ac:dyDescent="0.2">
      <c r="A254" t="s">
        <v>2039</v>
      </c>
      <c r="B254" t="s">
        <v>23</v>
      </c>
      <c r="C254" t="s">
        <v>519</v>
      </c>
      <c r="D254" s="21">
        <v>151</v>
      </c>
      <c r="E254" t="s">
        <v>2038</v>
      </c>
      <c r="F254" s="27">
        <v>0</v>
      </c>
      <c r="G254" s="27">
        <v>0</v>
      </c>
    </row>
    <row r="255" spans="1:7" x14ac:dyDescent="0.2">
      <c r="A255" t="s">
        <v>2042</v>
      </c>
      <c r="B255" t="s">
        <v>23</v>
      </c>
      <c r="C255" t="s">
        <v>521</v>
      </c>
      <c r="D255" s="21">
        <v>5456.5</v>
      </c>
      <c r="E255" t="s">
        <v>2041</v>
      </c>
      <c r="F255" s="27">
        <v>0</v>
      </c>
      <c r="G255" s="27">
        <v>0</v>
      </c>
    </row>
    <row r="256" spans="1:7" ht="128" x14ac:dyDescent="0.2">
      <c r="A256" t="s">
        <v>2047</v>
      </c>
      <c r="B256" t="s">
        <v>18</v>
      </c>
      <c r="C256" s="26" t="s">
        <v>475</v>
      </c>
      <c r="D256" s="21">
        <v>119.18</v>
      </c>
      <c r="E256" t="s">
        <v>2044</v>
      </c>
      <c r="F256" s="27">
        <v>0</v>
      </c>
      <c r="G256" s="27">
        <v>0</v>
      </c>
    </row>
    <row r="257" spans="1:7" x14ac:dyDescent="0.2">
      <c r="A257" t="s">
        <v>2052</v>
      </c>
      <c r="B257" t="s">
        <v>18</v>
      </c>
      <c r="C257" t="s">
        <v>416</v>
      </c>
      <c r="D257" s="21">
        <v>188.33</v>
      </c>
      <c r="E257" t="s">
        <v>2049</v>
      </c>
      <c r="F257" s="27">
        <v>0</v>
      </c>
      <c r="G257" s="27">
        <v>0</v>
      </c>
    </row>
    <row r="258" spans="1:7" x14ac:dyDescent="0.2">
      <c r="A258" t="s">
        <v>4103</v>
      </c>
      <c r="B258" t="s">
        <v>18</v>
      </c>
      <c r="C258" t="s">
        <v>4104</v>
      </c>
      <c r="D258" s="21">
        <v>71.900000000000006</v>
      </c>
      <c r="E258" t="s">
        <v>4236</v>
      </c>
      <c r="F258" s="27">
        <v>16.554900449927999</v>
      </c>
      <c r="G258" s="27">
        <v>201.81389612378001</v>
      </c>
    </row>
    <row r="259" spans="1:7" x14ac:dyDescent="0.2">
      <c r="A259" t="s">
        <v>2055</v>
      </c>
      <c r="B259" t="s">
        <v>18</v>
      </c>
      <c r="C259" t="s">
        <v>2056</v>
      </c>
      <c r="D259" s="21">
        <v>67.42</v>
      </c>
      <c r="E259" t="s">
        <v>2976</v>
      </c>
      <c r="F259" s="27">
        <v>28.408369420461</v>
      </c>
      <c r="G259" s="27">
        <v>343.87547729191999</v>
      </c>
    </row>
    <row r="260" spans="1:7" x14ac:dyDescent="0.2">
      <c r="A260" t="s">
        <v>4098</v>
      </c>
      <c r="B260" t="s">
        <v>18</v>
      </c>
      <c r="C260" t="s">
        <v>4099</v>
      </c>
      <c r="D260" s="21">
        <v>52.94</v>
      </c>
      <c r="E260" t="s">
        <v>4237</v>
      </c>
      <c r="F260" s="27">
        <v>51.023028758860001</v>
      </c>
      <c r="G260" s="27">
        <v>885.65842165867002</v>
      </c>
    </row>
    <row r="261" spans="1:7" x14ac:dyDescent="0.2">
      <c r="A261" t="s">
        <v>2079</v>
      </c>
      <c r="B261" t="s">
        <v>23</v>
      </c>
      <c r="C261" t="s">
        <v>2080</v>
      </c>
      <c r="D261" s="21">
        <v>1.05</v>
      </c>
      <c r="E261" t="s">
        <v>2977</v>
      </c>
      <c r="F261" s="27">
        <v>0.44673336567375999</v>
      </c>
      <c r="G261" s="27">
        <v>5.0003436117940998</v>
      </c>
    </row>
    <row r="262" spans="1:7" x14ac:dyDescent="0.2">
      <c r="A262" t="s">
        <v>2063</v>
      </c>
      <c r="B262" t="s">
        <v>23</v>
      </c>
      <c r="C262" t="s">
        <v>2064</v>
      </c>
      <c r="D262" s="21">
        <v>8.07</v>
      </c>
      <c r="E262" t="s">
        <v>2978</v>
      </c>
      <c r="F262" s="27">
        <v>0.44673336567375999</v>
      </c>
      <c r="G262" s="27">
        <v>5.0003436117940998</v>
      </c>
    </row>
    <row r="263" spans="1:7" x14ac:dyDescent="0.2">
      <c r="A263" t="s">
        <v>2071</v>
      </c>
      <c r="B263" t="s">
        <v>23</v>
      </c>
      <c r="C263" t="s">
        <v>2072</v>
      </c>
      <c r="D263" s="21">
        <v>1.9</v>
      </c>
      <c r="E263" t="s">
        <v>2979</v>
      </c>
      <c r="F263" s="27">
        <v>-9999999999</v>
      </c>
      <c r="G263" s="27">
        <v>-9999999999</v>
      </c>
    </row>
    <row r="264" spans="1:7" x14ac:dyDescent="0.2">
      <c r="A264" t="s">
        <v>2065</v>
      </c>
      <c r="B264" t="s">
        <v>36</v>
      </c>
      <c r="C264" t="s">
        <v>2066</v>
      </c>
      <c r="D264" s="21">
        <v>46.34</v>
      </c>
      <c r="E264" t="s">
        <v>2980</v>
      </c>
      <c r="F264" s="27">
        <v>14.074740028800001</v>
      </c>
      <c r="G264" s="27">
        <v>182.55210174344001</v>
      </c>
    </row>
    <row r="265" spans="1:7" x14ac:dyDescent="0.2">
      <c r="A265" t="s">
        <v>2073</v>
      </c>
      <c r="B265" t="s">
        <v>36</v>
      </c>
      <c r="C265" t="s">
        <v>2074</v>
      </c>
      <c r="D265" s="21">
        <v>8.07</v>
      </c>
      <c r="E265" t="s">
        <v>2981</v>
      </c>
      <c r="F265" s="27">
        <v>114.69301093868</v>
      </c>
      <c r="G265" s="27">
        <v>1859.2690727537999</v>
      </c>
    </row>
    <row r="266" spans="1:7" x14ac:dyDescent="0.2">
      <c r="A266" t="s">
        <v>2081</v>
      </c>
      <c r="B266" t="s">
        <v>36</v>
      </c>
      <c r="C266" t="s">
        <v>2082</v>
      </c>
      <c r="D266" s="21">
        <v>6.02</v>
      </c>
      <c r="E266" t="s">
        <v>2982</v>
      </c>
      <c r="F266" s="27">
        <v>1.5717616899747</v>
      </c>
      <c r="G266" s="27">
        <v>19.863247057349</v>
      </c>
    </row>
    <row r="267" spans="1:7" x14ac:dyDescent="0.2">
      <c r="A267" t="s">
        <v>2095</v>
      </c>
      <c r="B267" t="s">
        <v>36</v>
      </c>
      <c r="C267" t="s">
        <v>2096</v>
      </c>
      <c r="D267" s="21">
        <v>2.0299999999999998</v>
      </c>
      <c r="E267" t="s">
        <v>2983</v>
      </c>
      <c r="F267" s="27">
        <v>0.53582784885501999</v>
      </c>
      <c r="G267" s="27">
        <v>6.7715614968236997</v>
      </c>
    </row>
    <row r="268" spans="1:7" x14ac:dyDescent="0.2">
      <c r="A268" t="s">
        <v>2099</v>
      </c>
      <c r="B268" t="s">
        <v>36</v>
      </c>
      <c r="C268" t="s">
        <v>2100</v>
      </c>
      <c r="D268" s="21">
        <v>2.58</v>
      </c>
      <c r="E268" t="s">
        <v>2984</v>
      </c>
      <c r="F268" s="27">
        <v>0.66978481106877996</v>
      </c>
      <c r="G268" s="27">
        <v>8.4644518710296008</v>
      </c>
    </row>
    <row r="269" spans="1:7" x14ac:dyDescent="0.2">
      <c r="A269" t="s">
        <v>2107</v>
      </c>
      <c r="B269" t="s">
        <v>36</v>
      </c>
      <c r="C269" t="s">
        <v>2108</v>
      </c>
      <c r="D269" s="21">
        <v>3.96</v>
      </c>
      <c r="E269" t="s">
        <v>2985</v>
      </c>
      <c r="F269" s="27">
        <v>1.0046772166032001</v>
      </c>
      <c r="G269" s="27">
        <v>12.696677806544001</v>
      </c>
    </row>
    <row r="270" spans="1:7" x14ac:dyDescent="0.2">
      <c r="A270" t="s">
        <v>2115</v>
      </c>
      <c r="B270" t="s">
        <v>36</v>
      </c>
      <c r="C270" t="s">
        <v>2116</v>
      </c>
      <c r="D270" s="21">
        <v>6.32</v>
      </c>
      <c r="E270" t="s">
        <v>2986</v>
      </c>
      <c r="F270" s="27">
        <v>1.5717616899747</v>
      </c>
      <c r="G270" s="27">
        <v>19.863247057349</v>
      </c>
    </row>
    <row r="271" spans="1:7" x14ac:dyDescent="0.2">
      <c r="A271" t="s">
        <v>2121</v>
      </c>
      <c r="B271" t="s">
        <v>36</v>
      </c>
      <c r="C271" t="s">
        <v>2122</v>
      </c>
      <c r="D271" s="21">
        <v>165.26</v>
      </c>
      <c r="E271" t="s">
        <v>2987</v>
      </c>
      <c r="F271" s="27">
        <v>7.2226344751902998</v>
      </c>
      <c r="G271" s="27">
        <v>25.244557764079001</v>
      </c>
    </row>
    <row r="272" spans="1:7" x14ac:dyDescent="0.2">
      <c r="A272" t="s">
        <v>2126</v>
      </c>
      <c r="B272" t="s">
        <v>18</v>
      </c>
      <c r="C272" t="s">
        <v>2127</v>
      </c>
      <c r="D272" s="21">
        <v>5.55</v>
      </c>
      <c r="E272" t="s">
        <v>2988</v>
      </c>
      <c r="F272" s="27">
        <v>2.2813956104000002</v>
      </c>
      <c r="G272" s="27">
        <v>80.142446715099993</v>
      </c>
    </row>
    <row r="273" spans="1:7" x14ac:dyDescent="0.2">
      <c r="A273" t="s">
        <v>2131</v>
      </c>
      <c r="B273" t="s">
        <v>36</v>
      </c>
      <c r="C273" t="s">
        <v>2132</v>
      </c>
      <c r="D273" s="21">
        <v>5.42</v>
      </c>
      <c r="E273" t="s">
        <v>2989</v>
      </c>
      <c r="F273" s="27">
        <v>0.62117131245629997</v>
      </c>
      <c r="G273" s="27">
        <v>7.8500954202897999</v>
      </c>
    </row>
    <row r="274" spans="1:7" x14ac:dyDescent="0.2">
      <c r="A274" t="s">
        <v>2141</v>
      </c>
      <c r="B274" t="s">
        <v>36</v>
      </c>
      <c r="C274" t="s">
        <v>2142</v>
      </c>
      <c r="D274" s="21">
        <v>5.45</v>
      </c>
      <c r="E274" t="s">
        <v>2990</v>
      </c>
      <c r="F274" s="27">
        <v>2.7148611008654</v>
      </c>
      <c r="G274" s="27">
        <v>34.309244917240001</v>
      </c>
    </row>
    <row r="275" spans="1:7" x14ac:dyDescent="0.2">
      <c r="A275" t="s">
        <v>2153</v>
      </c>
      <c r="B275" t="s">
        <v>36</v>
      </c>
      <c r="C275" t="s">
        <v>2154</v>
      </c>
      <c r="D275" s="21">
        <v>8.24</v>
      </c>
      <c r="E275" t="s">
        <v>2991</v>
      </c>
      <c r="F275" s="27">
        <v>4.0187088664127</v>
      </c>
      <c r="G275" s="27">
        <v>50.786711226176998</v>
      </c>
    </row>
    <row r="276" spans="1:7" x14ac:dyDescent="0.2">
      <c r="A276" t="s">
        <v>2135</v>
      </c>
      <c r="B276" t="s">
        <v>36</v>
      </c>
      <c r="C276" t="s">
        <v>2136</v>
      </c>
      <c r="D276" s="21">
        <v>4.4800000000000004</v>
      </c>
      <c r="E276" t="s">
        <v>2992</v>
      </c>
      <c r="F276" s="27">
        <v>1.866467006845</v>
      </c>
      <c r="G276" s="27">
        <v>23.587605880601998</v>
      </c>
    </row>
    <row r="277" spans="1:7" x14ac:dyDescent="0.2">
      <c r="A277" t="s">
        <v>1145</v>
      </c>
      <c r="B277" t="s">
        <v>23</v>
      </c>
      <c r="C277" t="s">
        <v>1146</v>
      </c>
      <c r="D277" s="21">
        <v>22.89</v>
      </c>
      <c r="E277" t="s">
        <v>1146</v>
      </c>
      <c r="F277" s="27">
        <v>0</v>
      </c>
      <c r="G277" s="27">
        <v>0</v>
      </c>
    </row>
    <row r="278" spans="1:7" x14ac:dyDescent="0.2">
      <c r="A278" t="s">
        <v>1149</v>
      </c>
      <c r="B278" t="s">
        <v>23</v>
      </c>
      <c r="C278" t="s">
        <v>1150</v>
      </c>
      <c r="D278" s="21">
        <v>62.37</v>
      </c>
      <c r="E278" t="s">
        <v>1150</v>
      </c>
      <c r="F278" s="27">
        <v>0</v>
      </c>
      <c r="G278" s="27">
        <v>0</v>
      </c>
    </row>
    <row r="279" spans="1:7" x14ac:dyDescent="0.2">
      <c r="A279" t="s">
        <v>2061</v>
      </c>
      <c r="B279" t="s">
        <v>23</v>
      </c>
      <c r="C279" t="s">
        <v>2062</v>
      </c>
      <c r="D279" s="21">
        <v>2.31</v>
      </c>
      <c r="E279" t="s">
        <v>2993</v>
      </c>
      <c r="F279" s="27">
        <v>11.259792023039999</v>
      </c>
      <c r="G279" s="27">
        <v>146.04168139474999</v>
      </c>
    </row>
    <row r="280" spans="1:7" x14ac:dyDescent="0.2">
      <c r="A280" t="s">
        <v>2075</v>
      </c>
      <c r="B280" t="s">
        <v>23</v>
      </c>
      <c r="C280" t="s">
        <v>2076</v>
      </c>
      <c r="D280" s="21">
        <v>12.11</v>
      </c>
      <c r="E280" t="s">
        <v>2994</v>
      </c>
      <c r="F280" s="27">
        <v>0.39936479340852998</v>
      </c>
      <c r="G280" s="27">
        <v>6.4740353667074997</v>
      </c>
    </row>
    <row r="281" spans="1:7" x14ac:dyDescent="0.2">
      <c r="A281" t="s">
        <v>2109</v>
      </c>
      <c r="B281" t="s">
        <v>23</v>
      </c>
      <c r="C281" t="s">
        <v>2110</v>
      </c>
      <c r="D281" s="21">
        <v>0.03</v>
      </c>
      <c r="E281" t="s">
        <v>2995</v>
      </c>
      <c r="F281" s="27">
        <v>0.63896590700903999</v>
      </c>
      <c r="G281" s="27">
        <v>7.1992605417851996</v>
      </c>
    </row>
    <row r="282" spans="1:7" x14ac:dyDescent="0.2">
      <c r="A282" t="s">
        <v>2083</v>
      </c>
      <c r="B282" t="s">
        <v>23</v>
      </c>
      <c r="C282" t="s">
        <v>2084</v>
      </c>
      <c r="D282" s="21">
        <v>0.09</v>
      </c>
      <c r="E282" t="s">
        <v>2996</v>
      </c>
      <c r="F282" s="27">
        <v>0.99638376916205995</v>
      </c>
      <c r="G282" s="27">
        <v>11.163870992872001</v>
      </c>
    </row>
    <row r="283" spans="1:7" x14ac:dyDescent="0.2">
      <c r="A283" t="s">
        <v>2111</v>
      </c>
      <c r="B283" t="s">
        <v>23</v>
      </c>
      <c r="C283" t="s">
        <v>2112</v>
      </c>
      <c r="D283" s="21">
        <v>2.04</v>
      </c>
      <c r="E283" t="s">
        <v>2997</v>
      </c>
      <c r="F283" s="27">
        <v>0.63896590700903999</v>
      </c>
      <c r="G283" s="27">
        <v>7.1992605417851996</v>
      </c>
    </row>
    <row r="284" spans="1:7" x14ac:dyDescent="0.2">
      <c r="A284" t="s">
        <v>2085</v>
      </c>
      <c r="B284" t="s">
        <v>23</v>
      </c>
      <c r="C284" t="s">
        <v>2086</v>
      </c>
      <c r="D284" s="21">
        <v>5.68</v>
      </c>
      <c r="E284" t="s">
        <v>2998</v>
      </c>
      <c r="F284" s="27">
        <v>0.99638376916205995</v>
      </c>
      <c r="G284" s="27">
        <v>11.163870992872001</v>
      </c>
    </row>
    <row r="285" spans="1:7" x14ac:dyDescent="0.2">
      <c r="A285" t="s">
        <v>2093</v>
      </c>
      <c r="B285" t="s">
        <v>23</v>
      </c>
      <c r="C285" t="s">
        <v>2094</v>
      </c>
      <c r="D285" s="21">
        <v>0.77</v>
      </c>
      <c r="E285" t="s">
        <v>2999</v>
      </c>
      <c r="F285" s="27">
        <v>0.34078172322851003</v>
      </c>
      <c r="G285" s="27">
        <v>3.8396027582257002</v>
      </c>
    </row>
    <row r="286" spans="1:7" x14ac:dyDescent="0.2">
      <c r="A286" t="s">
        <v>2103</v>
      </c>
      <c r="B286" t="s">
        <v>23</v>
      </c>
      <c r="C286" t="s">
        <v>2104</v>
      </c>
      <c r="D286" s="21">
        <v>1.22</v>
      </c>
      <c r="E286" t="s">
        <v>3000</v>
      </c>
      <c r="F286" s="27">
        <v>0.42597727133935998</v>
      </c>
      <c r="G286" s="27">
        <v>4.7995070278567997</v>
      </c>
    </row>
    <row r="287" spans="1:7" x14ac:dyDescent="0.2">
      <c r="A287" t="s">
        <v>2091</v>
      </c>
      <c r="B287" t="s">
        <v>23</v>
      </c>
      <c r="C287" t="s">
        <v>2092</v>
      </c>
      <c r="D287" s="21">
        <v>0.01</v>
      </c>
      <c r="E287" t="s">
        <v>3001</v>
      </c>
      <c r="F287" s="27">
        <v>0.34078172322851003</v>
      </c>
      <c r="G287" s="27">
        <v>3.8396027582257002</v>
      </c>
    </row>
    <row r="288" spans="1:7" x14ac:dyDescent="0.2">
      <c r="A288" t="s">
        <v>2101</v>
      </c>
      <c r="B288" t="s">
        <v>23</v>
      </c>
      <c r="C288" t="s">
        <v>2102</v>
      </c>
      <c r="D288" s="21">
        <v>0.02</v>
      </c>
      <c r="E288" t="s">
        <v>3002</v>
      </c>
      <c r="F288" s="27">
        <v>0.42597727133935998</v>
      </c>
      <c r="G288" s="27">
        <v>4.7995070278567997</v>
      </c>
    </row>
    <row r="289" spans="1:7" x14ac:dyDescent="0.2">
      <c r="A289" t="s">
        <v>2143</v>
      </c>
      <c r="B289" t="s">
        <v>23</v>
      </c>
      <c r="C289" t="s">
        <v>2144</v>
      </c>
      <c r="D289" s="21">
        <v>17.47</v>
      </c>
      <c r="E289" t="s">
        <v>3003</v>
      </c>
      <c r="F289" s="27">
        <v>1.4492854397616</v>
      </c>
      <c r="G289" s="27">
        <v>16.238356505968</v>
      </c>
    </row>
    <row r="290" spans="1:7" x14ac:dyDescent="0.2">
      <c r="A290" t="s">
        <v>2151</v>
      </c>
      <c r="B290" t="s">
        <v>23</v>
      </c>
      <c r="C290" t="s">
        <v>2152</v>
      </c>
      <c r="D290" s="21">
        <v>30.55</v>
      </c>
      <c r="E290" t="s">
        <v>3004</v>
      </c>
      <c r="F290" s="27">
        <v>2.1885482720414</v>
      </c>
      <c r="G290" s="27">
        <v>24.147640845742</v>
      </c>
    </row>
    <row r="291" spans="1:7" x14ac:dyDescent="0.2">
      <c r="A291" t="s">
        <v>2145</v>
      </c>
      <c r="B291" t="s">
        <v>23</v>
      </c>
      <c r="C291" t="s">
        <v>2146</v>
      </c>
      <c r="D291" s="21">
        <v>0.26</v>
      </c>
      <c r="E291" t="s">
        <v>3005</v>
      </c>
      <c r="F291" s="27">
        <v>1.4492854397616</v>
      </c>
      <c r="G291" s="27">
        <v>16.238356505968</v>
      </c>
    </row>
    <row r="292" spans="1:7" x14ac:dyDescent="0.2">
      <c r="A292" t="s">
        <v>2149</v>
      </c>
      <c r="B292" t="s">
        <v>23</v>
      </c>
      <c r="C292" t="s">
        <v>2150</v>
      </c>
      <c r="D292" s="21">
        <v>0.46</v>
      </c>
      <c r="E292" t="s">
        <v>3006</v>
      </c>
      <c r="F292" s="27">
        <v>2.1885482720414</v>
      </c>
      <c r="G292" s="27">
        <v>24.147640845742</v>
      </c>
    </row>
    <row r="293" spans="1:7" x14ac:dyDescent="0.2">
      <c r="A293" t="s">
        <v>2059</v>
      </c>
      <c r="B293" t="s">
        <v>23</v>
      </c>
      <c r="C293" t="s">
        <v>2060</v>
      </c>
      <c r="D293" s="21">
        <v>1.83</v>
      </c>
      <c r="E293" t="s">
        <v>3007</v>
      </c>
      <c r="F293" s="27">
        <v>1.1515696387200001</v>
      </c>
      <c r="G293" s="27">
        <v>14.936081051736</v>
      </c>
    </row>
    <row r="294" spans="1:7" x14ac:dyDescent="0.2">
      <c r="A294" t="s">
        <v>2069</v>
      </c>
      <c r="B294" t="s">
        <v>23</v>
      </c>
      <c r="C294" t="s">
        <v>2070</v>
      </c>
      <c r="D294" s="21">
        <v>1.03</v>
      </c>
      <c r="E294" t="s">
        <v>3008</v>
      </c>
      <c r="F294" s="27">
        <v>-9999999999</v>
      </c>
      <c r="G294" s="27">
        <v>-9999999999</v>
      </c>
    </row>
    <row r="295" spans="1:7" x14ac:dyDescent="0.2">
      <c r="A295" t="s">
        <v>2165</v>
      </c>
      <c r="B295" t="s">
        <v>36</v>
      </c>
      <c r="C295" t="s">
        <v>2166</v>
      </c>
      <c r="D295" s="21">
        <v>2.95</v>
      </c>
      <c r="E295" t="s">
        <v>3009</v>
      </c>
      <c r="F295" s="27">
        <v>0.84374421381441</v>
      </c>
      <c r="G295" s="27">
        <v>14.265561437326999</v>
      </c>
    </row>
    <row r="296" spans="1:7" x14ac:dyDescent="0.2">
      <c r="A296" t="s">
        <v>2169</v>
      </c>
      <c r="B296" t="s">
        <v>36</v>
      </c>
      <c r="C296" t="s">
        <v>2170</v>
      </c>
      <c r="D296" s="21">
        <v>6.04</v>
      </c>
      <c r="E296" t="s">
        <v>3010</v>
      </c>
      <c r="F296" s="27">
        <v>2.0458553389378</v>
      </c>
      <c r="G296" s="27">
        <v>34.492888667098001</v>
      </c>
    </row>
    <row r="297" spans="1:7" x14ac:dyDescent="0.2">
      <c r="A297" t="s">
        <v>2173</v>
      </c>
      <c r="B297" t="s">
        <v>36</v>
      </c>
      <c r="C297" t="s">
        <v>2174</v>
      </c>
      <c r="D297" s="21">
        <v>3.84</v>
      </c>
      <c r="E297" t="s">
        <v>3011</v>
      </c>
      <c r="F297" s="27">
        <v>2.7486780071329999</v>
      </c>
      <c r="G297" s="27">
        <v>30.536990002364</v>
      </c>
    </row>
    <row r="298" spans="1:7" x14ac:dyDescent="0.2">
      <c r="A298" t="s">
        <v>2179</v>
      </c>
      <c r="B298" t="s">
        <v>36</v>
      </c>
      <c r="C298" t="s">
        <v>2180</v>
      </c>
      <c r="D298" s="21">
        <v>4.4800000000000004</v>
      </c>
      <c r="E298" t="s">
        <v>3012</v>
      </c>
      <c r="F298" s="27">
        <v>3.4358475089162002</v>
      </c>
      <c r="G298" s="27">
        <v>38.171237502955002</v>
      </c>
    </row>
    <row r="299" spans="1:7" x14ac:dyDescent="0.2">
      <c r="A299" t="s">
        <v>2185</v>
      </c>
      <c r="B299" t="s">
        <v>36</v>
      </c>
      <c r="C299" t="s">
        <v>2186</v>
      </c>
      <c r="D299" s="21">
        <v>4.78</v>
      </c>
      <c r="E299" t="s">
        <v>3013</v>
      </c>
      <c r="F299" s="27">
        <v>4.1230170106994004</v>
      </c>
      <c r="G299" s="27">
        <v>45.805485003546003</v>
      </c>
    </row>
    <row r="300" spans="1:7" x14ac:dyDescent="0.2">
      <c r="A300" t="s">
        <v>2191</v>
      </c>
      <c r="B300" t="s">
        <v>36</v>
      </c>
      <c r="C300" t="s">
        <v>2192</v>
      </c>
      <c r="D300" s="21">
        <v>7.35</v>
      </c>
      <c r="E300" t="s">
        <v>3014</v>
      </c>
      <c r="F300" s="27">
        <v>6.1845255160491996</v>
      </c>
      <c r="G300" s="27">
        <v>68.708227505319002</v>
      </c>
    </row>
    <row r="301" spans="1:7" x14ac:dyDescent="0.2">
      <c r="A301" t="s">
        <v>2205</v>
      </c>
      <c r="B301" t="s">
        <v>23</v>
      </c>
      <c r="C301" t="s">
        <v>2204</v>
      </c>
      <c r="D301" s="21">
        <v>343.02</v>
      </c>
      <c r="E301" t="s">
        <v>2204</v>
      </c>
      <c r="F301" s="27">
        <v>0</v>
      </c>
      <c r="G301" s="27">
        <v>0</v>
      </c>
    </row>
    <row r="302" spans="1:7" ht="80" x14ac:dyDescent="0.2">
      <c r="A302" t="s">
        <v>2216</v>
      </c>
      <c r="B302" t="s">
        <v>103</v>
      </c>
      <c r="C302" s="26" t="s">
        <v>2217</v>
      </c>
      <c r="D302" s="21">
        <v>7.23</v>
      </c>
      <c r="E302" t="s">
        <v>3015</v>
      </c>
      <c r="F302" s="27">
        <v>0</v>
      </c>
      <c r="G302" s="27">
        <v>0</v>
      </c>
    </row>
    <row r="303" spans="1:7" x14ac:dyDescent="0.2">
      <c r="A303" t="s">
        <v>2220</v>
      </c>
      <c r="B303" t="s">
        <v>23</v>
      </c>
      <c r="C303" t="s">
        <v>2219</v>
      </c>
      <c r="D303" s="21">
        <v>169.46</v>
      </c>
      <c r="E303" t="s">
        <v>2219</v>
      </c>
      <c r="F303" s="27">
        <v>0</v>
      </c>
      <c r="G303" s="27">
        <v>0</v>
      </c>
    </row>
    <row r="304" spans="1:7" x14ac:dyDescent="0.2">
      <c r="A304" t="s">
        <v>2223</v>
      </c>
      <c r="B304" t="s">
        <v>23</v>
      </c>
      <c r="C304" t="s">
        <v>2224</v>
      </c>
      <c r="D304" s="21">
        <v>219.8</v>
      </c>
      <c r="E304" t="s">
        <v>2224</v>
      </c>
      <c r="F304" s="27">
        <v>0</v>
      </c>
      <c r="G304" s="27">
        <v>0</v>
      </c>
    </row>
    <row r="305" spans="1:7" x14ac:dyDescent="0.2">
      <c r="A305" t="s">
        <v>2227</v>
      </c>
      <c r="B305" t="s">
        <v>23</v>
      </c>
      <c r="C305" t="s">
        <v>2226</v>
      </c>
      <c r="D305" s="21">
        <v>2.0099999999999998</v>
      </c>
      <c r="E305" t="s">
        <v>2226</v>
      </c>
      <c r="F305" s="27">
        <v>0</v>
      </c>
      <c r="G305" s="27">
        <v>0</v>
      </c>
    </row>
    <row r="306" spans="1:7" x14ac:dyDescent="0.2">
      <c r="A306" t="s">
        <v>2230</v>
      </c>
      <c r="B306" t="s">
        <v>23</v>
      </c>
      <c r="C306" t="s">
        <v>2231</v>
      </c>
      <c r="D306" s="21">
        <v>1.97</v>
      </c>
      <c r="E306" t="s">
        <v>3016</v>
      </c>
      <c r="F306" s="27">
        <v>0</v>
      </c>
      <c r="G306" s="27">
        <v>0</v>
      </c>
    </row>
    <row r="307" spans="1:7" x14ac:dyDescent="0.2">
      <c r="A307" t="s">
        <v>2234</v>
      </c>
      <c r="B307" t="s">
        <v>23</v>
      </c>
      <c r="C307" t="s">
        <v>2233</v>
      </c>
      <c r="D307" s="21">
        <v>0.31</v>
      </c>
      <c r="E307" t="s">
        <v>2233</v>
      </c>
      <c r="F307" s="27">
        <v>0</v>
      </c>
      <c r="G307" s="27">
        <v>0</v>
      </c>
    </row>
    <row r="308" spans="1:7" x14ac:dyDescent="0.2">
      <c r="A308" t="s">
        <v>2237</v>
      </c>
      <c r="B308" t="s">
        <v>23</v>
      </c>
      <c r="C308" t="s">
        <v>2236</v>
      </c>
      <c r="D308" s="21">
        <v>1.93</v>
      </c>
      <c r="E308" t="s">
        <v>2236</v>
      </c>
      <c r="F308" s="27">
        <v>0</v>
      </c>
      <c r="G308" s="27">
        <v>0</v>
      </c>
    </row>
    <row r="309" spans="1:7" x14ac:dyDescent="0.2">
      <c r="A309" t="s">
        <v>2240</v>
      </c>
      <c r="B309" t="s">
        <v>36</v>
      </c>
      <c r="C309" t="s">
        <v>2239</v>
      </c>
      <c r="D309" s="21">
        <v>11.62</v>
      </c>
      <c r="E309" t="s">
        <v>2239</v>
      </c>
      <c r="F309" s="27">
        <v>0</v>
      </c>
      <c r="G309" s="27">
        <v>0</v>
      </c>
    </row>
    <row r="310" spans="1:7" x14ac:dyDescent="0.2">
      <c r="A310" t="s">
        <v>2243</v>
      </c>
      <c r="B310" t="s">
        <v>23</v>
      </c>
      <c r="C310" t="s">
        <v>2244</v>
      </c>
      <c r="D310" s="21">
        <v>1.88</v>
      </c>
      <c r="E310" t="s">
        <v>3017</v>
      </c>
      <c r="F310" s="27">
        <v>0</v>
      </c>
      <c r="G310" s="27">
        <v>0</v>
      </c>
    </row>
    <row r="311" spans="1:7" ht="128" x14ac:dyDescent="0.2">
      <c r="A311" t="s">
        <v>2247</v>
      </c>
      <c r="B311" t="s">
        <v>23</v>
      </c>
      <c r="C311" s="26" t="s">
        <v>2248</v>
      </c>
      <c r="D311" s="21">
        <v>35</v>
      </c>
      <c r="E311" t="s">
        <v>3018</v>
      </c>
      <c r="F311" s="27">
        <v>0</v>
      </c>
      <c r="G311" s="27">
        <v>0</v>
      </c>
    </row>
    <row r="312" spans="1:7" ht="224" x14ac:dyDescent="0.2">
      <c r="A312" t="s">
        <v>2251</v>
      </c>
      <c r="B312" t="s">
        <v>23</v>
      </c>
      <c r="C312" s="26" t="s">
        <v>2252</v>
      </c>
      <c r="D312" s="21">
        <v>654</v>
      </c>
      <c r="E312" t="s">
        <v>3019</v>
      </c>
      <c r="F312" s="27">
        <v>0</v>
      </c>
      <c r="G312" s="27">
        <v>0</v>
      </c>
    </row>
    <row r="313" spans="1:7" x14ac:dyDescent="0.2">
      <c r="A313" t="s">
        <v>2255</v>
      </c>
      <c r="B313" t="s">
        <v>742</v>
      </c>
      <c r="C313" t="s">
        <v>2256</v>
      </c>
      <c r="D313" s="21">
        <v>170.61</v>
      </c>
      <c r="E313" t="s">
        <v>2256</v>
      </c>
      <c r="F313" s="27">
        <v>0</v>
      </c>
      <c r="G313" s="27">
        <v>0</v>
      </c>
    </row>
    <row r="314" spans="1:7" x14ac:dyDescent="0.2">
      <c r="A314" t="s">
        <v>1140</v>
      </c>
      <c r="B314" t="s">
        <v>23</v>
      </c>
      <c r="C314" t="s">
        <v>1141</v>
      </c>
      <c r="D314" s="21">
        <v>661.33</v>
      </c>
      <c r="E314" t="s">
        <v>1141</v>
      </c>
      <c r="F314" s="27">
        <v>0</v>
      </c>
      <c r="G314" s="27">
        <v>0</v>
      </c>
    </row>
    <row r="315" spans="1:7" ht="409.6" x14ac:dyDescent="0.2">
      <c r="A315" t="s">
        <v>2259</v>
      </c>
      <c r="B315" t="s">
        <v>23</v>
      </c>
      <c r="C315" s="26" t="s">
        <v>856</v>
      </c>
      <c r="D315" s="21">
        <v>9318.4</v>
      </c>
      <c r="E315" t="s">
        <v>2258</v>
      </c>
      <c r="F315" s="27">
        <v>0</v>
      </c>
      <c r="G315" s="27">
        <v>0</v>
      </c>
    </row>
    <row r="316" spans="1:7" x14ac:dyDescent="0.2">
      <c r="A316" t="s">
        <v>2272</v>
      </c>
      <c r="B316" t="s">
        <v>625</v>
      </c>
      <c r="C316" t="s">
        <v>2271</v>
      </c>
      <c r="D316" s="21">
        <v>7045.03</v>
      </c>
      <c r="E316" t="s">
        <v>2271</v>
      </c>
      <c r="F316" s="27">
        <v>0</v>
      </c>
      <c r="G316" s="27">
        <v>0</v>
      </c>
    </row>
    <row r="317" spans="1:7" x14ac:dyDescent="0.2">
      <c r="A317" t="s">
        <v>2277</v>
      </c>
      <c r="B317" t="s">
        <v>625</v>
      </c>
      <c r="C317" t="s">
        <v>2278</v>
      </c>
      <c r="D317" s="21">
        <v>4339.57</v>
      </c>
      <c r="E317" t="s">
        <v>2278</v>
      </c>
      <c r="F317" s="27">
        <v>0</v>
      </c>
      <c r="G317" s="27">
        <v>0</v>
      </c>
    </row>
    <row r="318" spans="1:7" x14ac:dyDescent="0.2">
      <c r="A318" t="s">
        <v>2285</v>
      </c>
      <c r="B318" t="s">
        <v>23</v>
      </c>
      <c r="C318" t="s">
        <v>2286</v>
      </c>
      <c r="D318" s="21">
        <v>64.81</v>
      </c>
      <c r="E318" t="s">
        <v>2284</v>
      </c>
      <c r="F318" s="27">
        <v>-9999999999</v>
      </c>
      <c r="G318" s="27">
        <v>-9999999999</v>
      </c>
    </row>
    <row r="319" spans="1:7" x14ac:dyDescent="0.2">
      <c r="A319" t="s">
        <v>2289</v>
      </c>
      <c r="B319" t="s">
        <v>23</v>
      </c>
      <c r="C319" t="s">
        <v>2290</v>
      </c>
      <c r="D319" s="21">
        <v>14.34</v>
      </c>
      <c r="E319" t="s">
        <v>3020</v>
      </c>
      <c r="F319" s="27">
        <v>0.92525080031619999</v>
      </c>
      <c r="G319" s="27">
        <v>14.694263028935</v>
      </c>
    </row>
    <row r="320" spans="1:7" x14ac:dyDescent="0.2">
      <c r="A320" t="s">
        <v>2293</v>
      </c>
      <c r="B320" t="s">
        <v>23</v>
      </c>
      <c r="C320" t="s">
        <v>2294</v>
      </c>
      <c r="D320" s="21">
        <v>8.01</v>
      </c>
      <c r="E320" t="s">
        <v>3021</v>
      </c>
      <c r="F320" s="27">
        <v>-9999999999</v>
      </c>
      <c r="G320" s="27">
        <v>-9999999999</v>
      </c>
    </row>
    <row r="321" spans="1:7" x14ac:dyDescent="0.2">
      <c r="A321" t="s">
        <v>2299</v>
      </c>
      <c r="B321" t="s">
        <v>23</v>
      </c>
      <c r="C321" t="s">
        <v>2300</v>
      </c>
      <c r="D321" s="21">
        <v>226.84</v>
      </c>
      <c r="E321" t="s">
        <v>2300</v>
      </c>
      <c r="F321" s="27">
        <v>0</v>
      </c>
      <c r="G321" s="27">
        <v>0</v>
      </c>
    </row>
    <row r="322" spans="1:7" x14ac:dyDescent="0.2">
      <c r="A322" t="s">
        <v>2717</v>
      </c>
      <c r="B322" t="s">
        <v>23</v>
      </c>
      <c r="C322" t="s">
        <v>640</v>
      </c>
      <c r="D322" s="21">
        <v>7.8</v>
      </c>
      <c r="E322" t="s">
        <v>3022</v>
      </c>
      <c r="F322" s="27">
        <v>0</v>
      </c>
      <c r="G322" s="27">
        <v>0</v>
      </c>
    </row>
    <row r="323" spans="1:7" x14ac:dyDescent="0.2">
      <c r="A323" t="s">
        <v>2175</v>
      </c>
      <c r="B323" t="s">
        <v>23</v>
      </c>
      <c r="C323" t="s">
        <v>2176</v>
      </c>
      <c r="D323" s="21">
        <v>5.19</v>
      </c>
      <c r="E323" t="s">
        <v>3023</v>
      </c>
      <c r="F323" s="27">
        <v>0.76053046633141996</v>
      </c>
      <c r="G323" s="27">
        <v>8.5127146327196002</v>
      </c>
    </row>
    <row r="324" spans="1:7" x14ac:dyDescent="0.2">
      <c r="A324" t="s">
        <v>2181</v>
      </c>
      <c r="B324" t="s">
        <v>23</v>
      </c>
      <c r="C324" t="s">
        <v>2182</v>
      </c>
      <c r="D324" s="21">
        <v>5.25</v>
      </c>
      <c r="E324" t="s">
        <v>3024</v>
      </c>
      <c r="F324" s="27">
        <v>0.94785241679375998</v>
      </c>
      <c r="G324" s="27">
        <v>10.609433146078</v>
      </c>
    </row>
    <row r="325" spans="1:7" x14ac:dyDescent="0.2">
      <c r="A325" t="s">
        <v>2187</v>
      </c>
      <c r="B325" t="s">
        <v>23</v>
      </c>
      <c r="C325" t="s">
        <v>2188</v>
      </c>
      <c r="D325" s="21">
        <v>5.73</v>
      </c>
      <c r="E325" t="s">
        <v>3025</v>
      </c>
      <c r="F325" s="27">
        <v>2.2378816155314998</v>
      </c>
      <c r="G325" s="27">
        <v>25.048894709929002</v>
      </c>
    </row>
    <row r="326" spans="1:7" x14ac:dyDescent="0.2">
      <c r="A326" t="s">
        <v>2193</v>
      </c>
      <c r="B326" t="s">
        <v>23</v>
      </c>
      <c r="C326" t="s">
        <v>2194</v>
      </c>
      <c r="D326" s="21">
        <v>7</v>
      </c>
      <c r="E326" t="s">
        <v>3026</v>
      </c>
      <c r="F326" s="27">
        <v>3.3421000003344998</v>
      </c>
      <c r="G326" s="27">
        <v>37.408552104553998</v>
      </c>
    </row>
    <row r="327" spans="1:7" x14ac:dyDescent="0.2">
      <c r="A327" t="s">
        <v>2201</v>
      </c>
      <c r="B327" t="s">
        <v>23</v>
      </c>
      <c r="C327" t="s">
        <v>2202</v>
      </c>
      <c r="D327" s="21">
        <v>5.39</v>
      </c>
      <c r="E327" t="s">
        <v>3027</v>
      </c>
      <c r="F327" s="27">
        <v>2.4404153548996002</v>
      </c>
      <c r="G327" s="27">
        <v>27.315880719121999</v>
      </c>
    </row>
    <row r="328" spans="1:7" x14ac:dyDescent="0.2">
      <c r="A328" t="s">
        <v>2297</v>
      </c>
      <c r="B328" t="s">
        <v>23</v>
      </c>
      <c r="C328" t="s">
        <v>2298</v>
      </c>
      <c r="D328" s="21">
        <v>17.149999999999999</v>
      </c>
      <c r="E328" t="s">
        <v>3028</v>
      </c>
      <c r="F328" s="27">
        <v>0</v>
      </c>
      <c r="G328" s="27">
        <v>0</v>
      </c>
    </row>
    <row r="329" spans="1:7" x14ac:dyDescent="0.2">
      <c r="A329" t="s">
        <v>2197</v>
      </c>
      <c r="B329" t="s">
        <v>23</v>
      </c>
      <c r="C329" t="s">
        <v>2198</v>
      </c>
      <c r="D329" s="21">
        <v>0.26</v>
      </c>
      <c r="E329" t="s">
        <v>3029</v>
      </c>
      <c r="F329" s="27">
        <v>-9999999999</v>
      </c>
      <c r="G329" s="27">
        <v>-9999999999</v>
      </c>
    </row>
    <row r="330" spans="1:7" x14ac:dyDescent="0.2">
      <c r="A330" t="s">
        <v>2307</v>
      </c>
      <c r="B330" t="s">
        <v>36</v>
      </c>
      <c r="C330" t="s">
        <v>2308</v>
      </c>
      <c r="D330" s="21">
        <v>3.39</v>
      </c>
      <c r="E330" t="s">
        <v>3030</v>
      </c>
      <c r="F330" s="27">
        <v>1.0377087674115</v>
      </c>
      <c r="G330" s="27">
        <v>14.700702856688</v>
      </c>
    </row>
    <row r="331" spans="1:7" x14ac:dyDescent="0.2">
      <c r="A331" t="s">
        <v>2319</v>
      </c>
      <c r="B331" t="s">
        <v>36</v>
      </c>
      <c r="C331" t="s">
        <v>2320</v>
      </c>
      <c r="D331" s="21">
        <v>2.62</v>
      </c>
      <c r="E331" t="s">
        <v>3031</v>
      </c>
      <c r="F331" s="27">
        <v>0.44500233408728002</v>
      </c>
      <c r="G331" s="27">
        <v>12.24871868788</v>
      </c>
    </row>
    <row r="332" spans="1:7" x14ac:dyDescent="0.2">
      <c r="A332" t="s">
        <v>2331</v>
      </c>
      <c r="B332" t="s">
        <v>36</v>
      </c>
      <c r="C332" t="s">
        <v>2332</v>
      </c>
      <c r="D332" s="21">
        <v>4.6900000000000004</v>
      </c>
      <c r="E332" t="s">
        <v>3032</v>
      </c>
      <c r="F332" s="27">
        <v>0.59614560940071004</v>
      </c>
      <c r="G332" s="27">
        <v>16.756797966505999</v>
      </c>
    </row>
    <row r="333" spans="1:7" x14ac:dyDescent="0.2">
      <c r="A333" t="s">
        <v>2347</v>
      </c>
      <c r="B333" t="s">
        <v>36</v>
      </c>
      <c r="C333" t="s">
        <v>2348</v>
      </c>
      <c r="D333" s="21">
        <v>0.76</v>
      </c>
      <c r="E333" t="s">
        <v>3033</v>
      </c>
      <c r="F333" s="27">
        <v>0.34800712180728</v>
      </c>
      <c r="G333" s="27">
        <v>12.225035451447001</v>
      </c>
    </row>
    <row r="334" spans="1:7" x14ac:dyDescent="0.2">
      <c r="A334" t="s">
        <v>2353</v>
      </c>
      <c r="B334" t="s">
        <v>36</v>
      </c>
      <c r="C334" t="s">
        <v>2354</v>
      </c>
      <c r="D334" s="21">
        <v>0.83</v>
      </c>
      <c r="E334" t="s">
        <v>3034</v>
      </c>
      <c r="F334" s="27">
        <v>0.39993157068950003</v>
      </c>
      <c r="G334" s="27">
        <v>14.049073491489001</v>
      </c>
    </row>
    <row r="335" spans="1:7" x14ac:dyDescent="0.2">
      <c r="A335" t="s">
        <v>2339</v>
      </c>
      <c r="B335" t="s">
        <v>36</v>
      </c>
      <c r="C335" t="s">
        <v>2340</v>
      </c>
      <c r="D335" s="21">
        <v>1.36</v>
      </c>
      <c r="E335" t="s">
        <v>3035</v>
      </c>
      <c r="F335" s="27">
        <v>0.60149708227137999</v>
      </c>
      <c r="G335" s="27">
        <v>21.129806529595999</v>
      </c>
    </row>
    <row r="336" spans="1:7" x14ac:dyDescent="0.2">
      <c r="A336" t="s">
        <v>2361</v>
      </c>
      <c r="B336" t="s">
        <v>36</v>
      </c>
      <c r="C336" t="s">
        <v>2362</v>
      </c>
      <c r="D336" s="21">
        <v>1.53</v>
      </c>
      <c r="E336" t="s">
        <v>3036</v>
      </c>
      <c r="F336" s="27">
        <v>0.14047167665237001</v>
      </c>
      <c r="G336" s="27">
        <v>4.2871537011875001</v>
      </c>
    </row>
    <row r="337" spans="1:7" x14ac:dyDescent="0.2">
      <c r="A337" t="s">
        <v>2365</v>
      </c>
      <c r="B337" t="s">
        <v>36</v>
      </c>
      <c r="C337" t="s">
        <v>2366</v>
      </c>
      <c r="D337" s="21">
        <v>5.55</v>
      </c>
      <c r="E337" t="s">
        <v>3037</v>
      </c>
      <c r="F337" s="27">
        <v>0.39019910181215001</v>
      </c>
      <c r="G337" s="27">
        <v>11.908760281076001</v>
      </c>
    </row>
    <row r="338" spans="1:7" x14ac:dyDescent="0.2">
      <c r="A338" t="s">
        <v>2371</v>
      </c>
      <c r="B338" t="s">
        <v>36</v>
      </c>
      <c r="C338" t="s">
        <v>2372</v>
      </c>
      <c r="D338" s="21">
        <v>1.71</v>
      </c>
      <c r="E338" t="s">
        <v>3038</v>
      </c>
      <c r="F338" s="27">
        <v>0.17168760479735001</v>
      </c>
      <c r="G338" s="27">
        <v>5.2398545236735998</v>
      </c>
    </row>
    <row r="339" spans="1:7" x14ac:dyDescent="0.2">
      <c r="A339" t="s">
        <v>2375</v>
      </c>
      <c r="B339" t="s">
        <v>36</v>
      </c>
      <c r="C339" t="s">
        <v>2376</v>
      </c>
      <c r="D339" s="21">
        <v>5.63</v>
      </c>
      <c r="E339" t="s">
        <v>3039</v>
      </c>
      <c r="F339" s="27">
        <v>0.47691001332596</v>
      </c>
      <c r="G339" s="27">
        <v>14.555151454649</v>
      </c>
    </row>
    <row r="340" spans="1:7" x14ac:dyDescent="0.2">
      <c r="A340" t="s">
        <v>2379</v>
      </c>
      <c r="B340" t="s">
        <v>36</v>
      </c>
      <c r="C340" t="s">
        <v>2380</v>
      </c>
      <c r="D340" s="21">
        <v>6.74</v>
      </c>
      <c r="E340" t="s">
        <v>3040</v>
      </c>
      <c r="F340" s="27">
        <v>0.60697638059668002</v>
      </c>
      <c r="G340" s="27">
        <v>18.524738215008</v>
      </c>
    </row>
    <row r="341" spans="1:7" x14ac:dyDescent="0.2">
      <c r="A341" t="s">
        <v>2309</v>
      </c>
      <c r="B341" t="s">
        <v>23</v>
      </c>
      <c r="C341" t="s">
        <v>2310</v>
      </c>
      <c r="D341" s="21">
        <v>2.0299999999999998</v>
      </c>
      <c r="E341" t="s">
        <v>3041</v>
      </c>
      <c r="F341" s="27">
        <v>0.30772469392439999</v>
      </c>
      <c r="G341" s="27">
        <v>4.3532979896255997</v>
      </c>
    </row>
    <row r="342" spans="1:7" x14ac:dyDescent="0.2">
      <c r="A342" t="s">
        <v>2315</v>
      </c>
      <c r="B342" t="s">
        <v>23</v>
      </c>
      <c r="C342" t="s">
        <v>2316</v>
      </c>
      <c r="D342" s="21">
        <v>2.79</v>
      </c>
      <c r="E342" t="s">
        <v>3042</v>
      </c>
      <c r="F342" s="27">
        <v>0.70031469312990002</v>
      </c>
      <c r="G342" s="27">
        <v>9.6069646614344997</v>
      </c>
    </row>
    <row r="343" spans="1:7" x14ac:dyDescent="0.2">
      <c r="A343" t="s">
        <v>2329</v>
      </c>
      <c r="B343" t="s">
        <v>23</v>
      </c>
      <c r="C343" t="s">
        <v>2330</v>
      </c>
      <c r="D343" s="21">
        <v>3.51</v>
      </c>
      <c r="E343" t="s">
        <v>3043</v>
      </c>
      <c r="F343" s="27">
        <v>1.0675528858687</v>
      </c>
      <c r="G343" s="27">
        <v>14.644763203406001</v>
      </c>
    </row>
    <row r="344" spans="1:7" x14ac:dyDescent="0.2">
      <c r="A344" t="s">
        <v>2345</v>
      </c>
      <c r="B344" t="s">
        <v>23</v>
      </c>
      <c r="C344" t="s">
        <v>2346</v>
      </c>
      <c r="D344" s="21">
        <v>6.13</v>
      </c>
      <c r="E344" t="s">
        <v>3044</v>
      </c>
      <c r="F344" s="27">
        <v>-9999999999</v>
      </c>
      <c r="G344" s="27">
        <v>-9999999999</v>
      </c>
    </row>
    <row r="345" spans="1:7" x14ac:dyDescent="0.2">
      <c r="A345" t="s">
        <v>2355</v>
      </c>
      <c r="B345" t="s">
        <v>23</v>
      </c>
      <c r="C345" t="s">
        <v>2356</v>
      </c>
      <c r="D345" s="21">
        <v>6.16</v>
      </c>
      <c r="E345" t="s">
        <v>3045</v>
      </c>
      <c r="F345" s="27">
        <v>-9999999999</v>
      </c>
      <c r="G345" s="27">
        <v>-9999999999</v>
      </c>
    </row>
    <row r="346" spans="1:7" x14ac:dyDescent="0.2">
      <c r="A346" t="s">
        <v>2341</v>
      </c>
      <c r="B346" t="s">
        <v>23</v>
      </c>
      <c r="C346" t="s">
        <v>2342</v>
      </c>
      <c r="D346" s="21">
        <v>7.39</v>
      </c>
      <c r="E346" t="s">
        <v>3046</v>
      </c>
      <c r="F346" s="27">
        <v>-9999999999</v>
      </c>
      <c r="G346" s="27">
        <v>-9999999999</v>
      </c>
    </row>
    <row r="347" spans="1:7" x14ac:dyDescent="0.2">
      <c r="A347" t="s">
        <v>2359</v>
      </c>
      <c r="B347" t="s">
        <v>23</v>
      </c>
      <c r="C347" t="s">
        <v>2360</v>
      </c>
      <c r="D347" s="21">
        <v>0.05</v>
      </c>
      <c r="E347" t="s">
        <v>3047</v>
      </c>
      <c r="F347" s="27">
        <v>-9999999999</v>
      </c>
      <c r="G347" s="27">
        <v>-9999999999</v>
      </c>
    </row>
    <row r="348" spans="1:7" x14ac:dyDescent="0.2">
      <c r="A348" t="s">
        <v>2367</v>
      </c>
      <c r="B348" t="s">
        <v>23</v>
      </c>
      <c r="C348" t="s">
        <v>2368</v>
      </c>
      <c r="D348" s="21">
        <v>0.16</v>
      </c>
      <c r="E348" t="s">
        <v>3048</v>
      </c>
      <c r="F348" s="27">
        <v>-9999999999</v>
      </c>
      <c r="G348" s="27">
        <v>-9999999999</v>
      </c>
    </row>
    <row r="349" spans="1:7" x14ac:dyDescent="0.2">
      <c r="A349" t="s">
        <v>2311</v>
      </c>
      <c r="B349" t="s">
        <v>23</v>
      </c>
      <c r="C349" t="s">
        <v>2312</v>
      </c>
      <c r="D349" s="21">
        <v>0.4</v>
      </c>
      <c r="E349" t="s">
        <v>3049</v>
      </c>
      <c r="F349" s="27">
        <v>1.2308987756976E-2</v>
      </c>
      <c r="G349" s="27">
        <v>0.17413191958502</v>
      </c>
    </row>
    <row r="350" spans="1:7" x14ac:dyDescent="0.2">
      <c r="A350" t="s">
        <v>2650</v>
      </c>
      <c r="B350" t="s">
        <v>23</v>
      </c>
      <c r="C350" t="s">
        <v>2651</v>
      </c>
      <c r="D350" s="21">
        <v>0.02</v>
      </c>
      <c r="E350" t="s">
        <v>3050</v>
      </c>
      <c r="F350" s="27">
        <v>1.24203941244E-3</v>
      </c>
      <c r="G350" s="27">
        <v>3.7906672654305001E-2</v>
      </c>
    </row>
    <row r="351" spans="1:7" x14ac:dyDescent="0.2">
      <c r="A351" t="s">
        <v>2317</v>
      </c>
      <c r="B351" t="s">
        <v>23</v>
      </c>
      <c r="C351" t="s">
        <v>2318</v>
      </c>
      <c r="D351" s="21">
        <v>7.0000000000000007E-2</v>
      </c>
      <c r="E351" t="s">
        <v>3051</v>
      </c>
      <c r="F351" s="27">
        <v>1.51804817076E-3</v>
      </c>
      <c r="G351" s="27">
        <v>4.6330377688594999E-2</v>
      </c>
    </row>
    <row r="352" spans="1:7" x14ac:dyDescent="0.2">
      <c r="A352" t="s">
        <v>2327</v>
      </c>
      <c r="B352" t="s">
        <v>23</v>
      </c>
      <c r="C352" t="s">
        <v>2328</v>
      </c>
      <c r="D352" s="21">
        <v>0.09</v>
      </c>
      <c r="E352" t="s">
        <v>3052</v>
      </c>
      <c r="F352" s="27">
        <v>2.0700656874E-3</v>
      </c>
      <c r="G352" s="27">
        <v>6.3177787757175002E-2</v>
      </c>
    </row>
    <row r="353" spans="1:7" x14ac:dyDescent="0.2">
      <c r="A353" t="s">
        <v>2395</v>
      </c>
      <c r="B353" t="s">
        <v>23</v>
      </c>
      <c r="C353" t="s">
        <v>2396</v>
      </c>
      <c r="D353" s="21">
        <v>3.61</v>
      </c>
      <c r="E353" t="s">
        <v>3053</v>
      </c>
      <c r="F353" s="27">
        <v>1.1802654105320001</v>
      </c>
      <c r="G353" s="27">
        <v>26.171970058155999</v>
      </c>
    </row>
    <row r="354" spans="1:7" x14ac:dyDescent="0.2">
      <c r="A354" t="s">
        <v>2402</v>
      </c>
      <c r="B354" t="s">
        <v>23</v>
      </c>
      <c r="C354" t="s">
        <v>2403</v>
      </c>
      <c r="D354" s="21">
        <v>4.59</v>
      </c>
      <c r="E354" t="s">
        <v>3054</v>
      </c>
      <c r="F354" s="27">
        <v>2.5965839031704001</v>
      </c>
      <c r="G354" s="27">
        <v>57.578334127943002</v>
      </c>
    </row>
    <row r="355" spans="1:7" x14ac:dyDescent="0.2">
      <c r="A355" t="s">
        <v>2406</v>
      </c>
      <c r="B355" t="s">
        <v>23</v>
      </c>
      <c r="C355" t="s">
        <v>2407</v>
      </c>
      <c r="D355" s="21">
        <v>116.37</v>
      </c>
      <c r="E355" t="s">
        <v>3055</v>
      </c>
      <c r="F355" s="27">
        <v>15.363694348038999</v>
      </c>
      <c r="G355" s="27">
        <v>278.95658145247</v>
      </c>
    </row>
    <row r="356" spans="1:7" x14ac:dyDescent="0.2">
      <c r="A356" t="s">
        <v>2412</v>
      </c>
      <c r="B356" t="s">
        <v>23</v>
      </c>
      <c r="C356" t="s">
        <v>2413</v>
      </c>
      <c r="D356" s="21">
        <v>228.36</v>
      </c>
      <c r="E356" t="s">
        <v>3056</v>
      </c>
      <c r="F356" s="27">
        <v>-9999999999</v>
      </c>
      <c r="G356" s="27">
        <v>-9999999999</v>
      </c>
    </row>
    <row r="357" spans="1:7" x14ac:dyDescent="0.2">
      <c r="A357" t="s">
        <v>2420</v>
      </c>
      <c r="B357" t="s">
        <v>36</v>
      </c>
      <c r="C357" t="s">
        <v>2421</v>
      </c>
      <c r="D357" s="21">
        <v>19.739999999999998</v>
      </c>
      <c r="E357" t="s">
        <v>3057</v>
      </c>
      <c r="F357" s="27">
        <v>4.4286546720100004</v>
      </c>
      <c r="G357" s="27">
        <v>49.201027945850001</v>
      </c>
    </row>
    <row r="358" spans="1:7" x14ac:dyDescent="0.2">
      <c r="A358" t="s">
        <v>2448</v>
      </c>
      <c r="B358" t="s">
        <v>36</v>
      </c>
      <c r="C358" t="s">
        <v>2449</v>
      </c>
      <c r="D358" s="21">
        <v>7.39</v>
      </c>
      <c r="E358" t="s">
        <v>3058</v>
      </c>
      <c r="F358" s="27">
        <v>2.1453379568475999</v>
      </c>
      <c r="G358" s="27">
        <v>24.013041719977998</v>
      </c>
    </row>
    <row r="359" spans="1:7" x14ac:dyDescent="0.2">
      <c r="A359" t="s">
        <v>2441</v>
      </c>
      <c r="B359" t="s">
        <v>36</v>
      </c>
      <c r="C359" t="s">
        <v>2442</v>
      </c>
      <c r="D359" s="21">
        <v>3.78</v>
      </c>
      <c r="E359" t="s">
        <v>3059</v>
      </c>
      <c r="F359" s="27">
        <v>0.95148041968065</v>
      </c>
      <c r="G359" s="27">
        <v>10.650041845703001</v>
      </c>
    </row>
    <row r="360" spans="1:7" x14ac:dyDescent="0.2">
      <c r="A360" t="s">
        <v>2453</v>
      </c>
      <c r="B360" t="s">
        <v>36</v>
      </c>
      <c r="C360" t="s">
        <v>2454</v>
      </c>
      <c r="D360" s="21">
        <v>2.29</v>
      </c>
      <c r="E360" t="s">
        <v>3060</v>
      </c>
      <c r="F360" s="27">
        <v>0.53589186108519005</v>
      </c>
      <c r="G360" s="27">
        <v>6.7723704558093001</v>
      </c>
    </row>
    <row r="361" spans="1:7" x14ac:dyDescent="0.2">
      <c r="A361" t="s">
        <v>2429</v>
      </c>
      <c r="B361" t="s">
        <v>36</v>
      </c>
      <c r="C361" t="s">
        <v>2430</v>
      </c>
      <c r="D361" s="21">
        <v>0.53</v>
      </c>
      <c r="E361" t="s">
        <v>3061</v>
      </c>
      <c r="F361" s="27">
        <v>0.11160026969554</v>
      </c>
      <c r="G361" s="27">
        <v>1.4103561263572</v>
      </c>
    </row>
    <row r="362" spans="1:7" x14ac:dyDescent="0.2">
      <c r="A362" t="s">
        <v>2433</v>
      </c>
      <c r="B362" t="s">
        <v>36</v>
      </c>
      <c r="C362" t="s">
        <v>2434</v>
      </c>
      <c r="D362" s="21">
        <v>1.05</v>
      </c>
      <c r="E362" t="s">
        <v>3062</v>
      </c>
      <c r="F362" s="27">
        <v>0.11160026969554</v>
      </c>
      <c r="G362" s="27">
        <v>1.4103561263572</v>
      </c>
    </row>
    <row r="363" spans="1:7" x14ac:dyDescent="0.2">
      <c r="A363" t="s">
        <v>2437</v>
      </c>
      <c r="B363" t="s">
        <v>36</v>
      </c>
      <c r="C363" t="s">
        <v>2438</v>
      </c>
      <c r="D363" s="21">
        <v>1.4</v>
      </c>
      <c r="E363" t="s">
        <v>3063</v>
      </c>
      <c r="F363" s="27">
        <v>0.16740040454331001</v>
      </c>
      <c r="G363" s="27">
        <v>2.1155341895356998</v>
      </c>
    </row>
    <row r="364" spans="1:7" x14ac:dyDescent="0.2">
      <c r="A364" t="s">
        <v>2424</v>
      </c>
      <c r="B364" t="s">
        <v>36</v>
      </c>
      <c r="C364" t="s">
        <v>2425</v>
      </c>
      <c r="D364" s="21">
        <v>1.1100000000000001</v>
      </c>
      <c r="E364" t="s">
        <v>3064</v>
      </c>
      <c r="F364" s="27">
        <v>0.63993146871719997</v>
      </c>
      <c r="G364" s="27">
        <v>22.479956303586</v>
      </c>
    </row>
    <row r="365" spans="1:7" x14ac:dyDescent="0.2">
      <c r="A365" t="s">
        <v>2463</v>
      </c>
      <c r="B365" t="s">
        <v>36</v>
      </c>
      <c r="C365" t="s">
        <v>2464</v>
      </c>
      <c r="D365" s="21">
        <v>2.77</v>
      </c>
      <c r="E365" t="s">
        <v>3065</v>
      </c>
      <c r="F365" s="27">
        <v>0.38477789030144999</v>
      </c>
      <c r="G365" s="27">
        <v>9.9104562021204003</v>
      </c>
    </row>
    <row r="366" spans="1:7" x14ac:dyDescent="0.2">
      <c r="A366" t="s">
        <v>2459</v>
      </c>
      <c r="B366" t="s">
        <v>36</v>
      </c>
      <c r="C366" t="s">
        <v>2460</v>
      </c>
      <c r="D366" s="21">
        <v>2</v>
      </c>
      <c r="E366" t="s">
        <v>3066</v>
      </c>
      <c r="F366" s="27">
        <v>0.28562022883047</v>
      </c>
      <c r="G366" s="27">
        <v>7.8696924424347001</v>
      </c>
    </row>
    <row r="367" spans="1:7" x14ac:dyDescent="0.2">
      <c r="A367" t="s">
        <v>2467</v>
      </c>
      <c r="B367" t="s">
        <v>36</v>
      </c>
      <c r="C367" t="s">
        <v>2468</v>
      </c>
      <c r="D367" s="21">
        <v>5.45</v>
      </c>
      <c r="E367" t="s">
        <v>3067</v>
      </c>
      <c r="F367" s="27">
        <v>0.69076458446266997</v>
      </c>
      <c r="G367" s="27">
        <v>15.610565320149</v>
      </c>
    </row>
    <row r="368" spans="1:7" x14ac:dyDescent="0.2">
      <c r="A368" t="s">
        <v>2487</v>
      </c>
      <c r="B368" t="s">
        <v>36</v>
      </c>
      <c r="C368" t="s">
        <v>2488</v>
      </c>
      <c r="D368" s="21">
        <v>48.6</v>
      </c>
      <c r="E368" t="s">
        <v>3068</v>
      </c>
      <c r="F368" s="27">
        <v>5.3887550133377999</v>
      </c>
      <c r="G368" s="27">
        <v>105.15319521772</v>
      </c>
    </row>
    <row r="369" spans="1:7" x14ac:dyDescent="0.2">
      <c r="A369" t="s">
        <v>2471</v>
      </c>
      <c r="B369" t="s">
        <v>36</v>
      </c>
      <c r="C369" t="s">
        <v>2472</v>
      </c>
      <c r="D369" s="21">
        <v>2.99</v>
      </c>
      <c r="E369" t="s">
        <v>3069</v>
      </c>
      <c r="F369" s="27">
        <v>0.40759184640544999</v>
      </c>
      <c r="G369" s="27">
        <v>10.711880669271</v>
      </c>
    </row>
    <row r="370" spans="1:7" x14ac:dyDescent="0.2">
      <c r="A370" t="s">
        <v>2475</v>
      </c>
      <c r="B370" t="s">
        <v>36</v>
      </c>
      <c r="C370" t="s">
        <v>2476</v>
      </c>
      <c r="D370" s="21">
        <v>19.53</v>
      </c>
      <c r="E370" t="s">
        <v>3070</v>
      </c>
      <c r="F370" s="27">
        <v>2.4692973090954</v>
      </c>
      <c r="G370" s="27">
        <v>48.276112676795996</v>
      </c>
    </row>
    <row r="371" spans="1:7" x14ac:dyDescent="0.2">
      <c r="A371" t="s">
        <v>2483</v>
      </c>
      <c r="B371" t="s">
        <v>36</v>
      </c>
      <c r="C371" t="s">
        <v>2484</v>
      </c>
      <c r="D371" s="21">
        <v>12.95</v>
      </c>
      <c r="E371" t="s">
        <v>3071</v>
      </c>
      <c r="F371" s="27">
        <v>1.6374183871136001</v>
      </c>
      <c r="G371" s="27">
        <v>33.478446349995998</v>
      </c>
    </row>
    <row r="372" spans="1:7" x14ac:dyDescent="0.2">
      <c r="A372" t="s">
        <v>2479</v>
      </c>
      <c r="B372" t="s">
        <v>36</v>
      </c>
      <c r="C372" t="s">
        <v>2480</v>
      </c>
      <c r="D372" s="21">
        <v>0.62</v>
      </c>
      <c r="E372" t="s">
        <v>3072</v>
      </c>
      <c r="F372" s="27">
        <v>0.15357942833388999</v>
      </c>
      <c r="G372" s="27">
        <v>3.1867355521809002</v>
      </c>
    </row>
    <row r="373" spans="1:7" x14ac:dyDescent="0.2">
      <c r="A373" t="s">
        <v>2492</v>
      </c>
      <c r="B373" t="s">
        <v>36</v>
      </c>
      <c r="C373" t="s">
        <v>2493</v>
      </c>
      <c r="D373" s="21">
        <v>0.55000000000000004</v>
      </c>
      <c r="E373" t="s">
        <v>3073</v>
      </c>
      <c r="F373" s="27">
        <v>7.7878477037482005E-2</v>
      </c>
      <c r="G373" s="27">
        <v>1.5336730357484001</v>
      </c>
    </row>
    <row r="374" spans="1:7" x14ac:dyDescent="0.2">
      <c r="A374" t="s">
        <v>4105</v>
      </c>
      <c r="B374" t="s">
        <v>36</v>
      </c>
      <c r="C374" t="s">
        <v>4106</v>
      </c>
      <c r="D374" s="21">
        <v>0.46</v>
      </c>
      <c r="E374" t="s">
        <v>4238</v>
      </c>
      <c r="F374" s="27">
        <v>0.24384514688789999</v>
      </c>
      <c r="G374" s="27">
        <v>3.3489447368556999</v>
      </c>
    </row>
    <row r="375" spans="1:7" x14ac:dyDescent="0.2">
      <c r="A375" t="s">
        <v>2496</v>
      </c>
      <c r="B375" t="s">
        <v>36</v>
      </c>
      <c r="C375" t="s">
        <v>2497</v>
      </c>
      <c r="D375" s="21">
        <v>1.19</v>
      </c>
      <c r="E375" t="s">
        <v>3074</v>
      </c>
      <c r="F375" s="27">
        <v>0.36701386588085</v>
      </c>
      <c r="G375" s="27">
        <v>5.1993024979996996</v>
      </c>
    </row>
    <row r="376" spans="1:7" x14ac:dyDescent="0.2">
      <c r="A376" t="s">
        <v>2502</v>
      </c>
      <c r="B376" t="s">
        <v>36</v>
      </c>
      <c r="C376" t="s">
        <v>2503</v>
      </c>
      <c r="D376" s="21">
        <v>3.71</v>
      </c>
      <c r="E376" t="s">
        <v>3075</v>
      </c>
      <c r="F376" s="27">
        <v>1.1469183308776001</v>
      </c>
      <c r="G376" s="27">
        <v>16.247820306249</v>
      </c>
    </row>
    <row r="377" spans="1:7" x14ac:dyDescent="0.2">
      <c r="A377" t="s">
        <v>2507</v>
      </c>
      <c r="B377" t="s">
        <v>23</v>
      </c>
      <c r="C377" t="s">
        <v>2508</v>
      </c>
      <c r="D377" s="21">
        <v>26.02</v>
      </c>
      <c r="E377" t="s">
        <v>3076</v>
      </c>
      <c r="F377" s="27">
        <v>1.3881303068510999</v>
      </c>
      <c r="G377" s="27">
        <v>30.090673900909</v>
      </c>
    </row>
    <row r="378" spans="1:7" x14ac:dyDescent="0.2">
      <c r="A378" t="s">
        <v>2517</v>
      </c>
      <c r="B378" t="s">
        <v>23</v>
      </c>
      <c r="C378" t="s">
        <v>2518</v>
      </c>
      <c r="D378" s="21">
        <v>15.39</v>
      </c>
      <c r="E378" t="s">
        <v>3077</v>
      </c>
      <c r="F378" s="27">
        <v>1.5649053252208001</v>
      </c>
      <c r="G378" s="27">
        <v>32.471310450086001</v>
      </c>
    </row>
    <row r="379" spans="1:7" x14ac:dyDescent="0.2">
      <c r="A379" t="s">
        <v>2522</v>
      </c>
      <c r="B379" t="s">
        <v>23</v>
      </c>
      <c r="C379" t="s">
        <v>2523</v>
      </c>
      <c r="D379" s="21">
        <v>21.06</v>
      </c>
      <c r="E379" t="s">
        <v>3078</v>
      </c>
      <c r="F379" s="27">
        <v>0.65607668782824002</v>
      </c>
      <c r="G379" s="27">
        <v>6.7602098755219</v>
      </c>
    </row>
    <row r="380" spans="1:7" x14ac:dyDescent="0.2">
      <c r="A380" t="s">
        <v>2527</v>
      </c>
      <c r="B380" t="s">
        <v>23</v>
      </c>
      <c r="C380" t="s">
        <v>2528</v>
      </c>
      <c r="D380" s="21">
        <v>2.23</v>
      </c>
      <c r="E380" t="s">
        <v>3079</v>
      </c>
      <c r="F380" s="27">
        <v>0.16068978499639999</v>
      </c>
      <c r="G380" s="27">
        <v>3.9285788506447998</v>
      </c>
    </row>
    <row r="381" spans="1:7" x14ac:dyDescent="0.2">
      <c r="A381" t="s">
        <v>2546</v>
      </c>
      <c r="B381" t="s">
        <v>23</v>
      </c>
      <c r="C381" t="s">
        <v>2547</v>
      </c>
      <c r="D381" s="21">
        <v>1.01</v>
      </c>
      <c r="E381" t="s">
        <v>3080</v>
      </c>
      <c r="F381" s="27">
        <v>0.100049300898</v>
      </c>
      <c r="G381" s="27">
        <v>1.6218823569794001</v>
      </c>
    </row>
    <row r="382" spans="1:7" x14ac:dyDescent="0.2">
      <c r="A382" t="s">
        <v>2533</v>
      </c>
      <c r="B382" t="s">
        <v>23</v>
      </c>
      <c r="C382" t="s">
        <v>2534</v>
      </c>
      <c r="D382" s="21">
        <v>3.73</v>
      </c>
      <c r="E382" t="s">
        <v>3081</v>
      </c>
      <c r="F382" s="27">
        <v>3.4589866114479999E-2</v>
      </c>
      <c r="G382" s="27">
        <v>0.37316862209183999</v>
      </c>
    </row>
    <row r="383" spans="1:7" x14ac:dyDescent="0.2">
      <c r="A383" t="s">
        <v>2537</v>
      </c>
      <c r="B383" t="s">
        <v>23</v>
      </c>
      <c r="C383" t="s">
        <v>2538</v>
      </c>
      <c r="D383" s="21">
        <v>7.16</v>
      </c>
      <c r="E383" t="s">
        <v>3082</v>
      </c>
      <c r="F383" s="27">
        <v>3.4589866114479999E-2</v>
      </c>
      <c r="G383" s="27">
        <v>0.37316862209183999</v>
      </c>
    </row>
    <row r="384" spans="1:7" ht="64" x14ac:dyDescent="0.2">
      <c r="A384" t="s">
        <v>2541</v>
      </c>
      <c r="B384" t="s">
        <v>23</v>
      </c>
      <c r="C384" s="26" t="s">
        <v>2542</v>
      </c>
      <c r="D384" s="21">
        <v>410</v>
      </c>
      <c r="E384" t="s">
        <v>3083</v>
      </c>
      <c r="F384" s="27">
        <v>0</v>
      </c>
      <c r="G384" s="27">
        <v>0</v>
      </c>
    </row>
    <row r="385" spans="1:7" x14ac:dyDescent="0.2">
      <c r="A385" t="s">
        <v>2548</v>
      </c>
      <c r="B385" t="s">
        <v>23</v>
      </c>
      <c r="C385" t="s">
        <v>2549</v>
      </c>
      <c r="D385" s="21">
        <v>1.89</v>
      </c>
      <c r="E385" t="s">
        <v>3084</v>
      </c>
      <c r="F385" s="27">
        <v>1.9045072051199999E-2</v>
      </c>
      <c r="G385" s="27">
        <v>0.1945070348016</v>
      </c>
    </row>
    <row r="386" spans="1:7" x14ac:dyDescent="0.2">
      <c r="A386" t="s">
        <v>2552</v>
      </c>
      <c r="B386" t="s">
        <v>23</v>
      </c>
      <c r="C386" t="s">
        <v>2553</v>
      </c>
      <c r="D386" s="21">
        <v>3.85</v>
      </c>
      <c r="E386" t="s">
        <v>3085</v>
      </c>
      <c r="F386" s="27">
        <v>3.4589866114479999E-2</v>
      </c>
      <c r="G386" s="27">
        <v>0.37316862209183999</v>
      </c>
    </row>
    <row r="387" spans="1:7" x14ac:dyDescent="0.2">
      <c r="A387" t="s">
        <v>2558</v>
      </c>
      <c r="B387" t="s">
        <v>23</v>
      </c>
      <c r="C387" t="s">
        <v>2559</v>
      </c>
      <c r="D387" s="21">
        <v>8.4700000000000006</v>
      </c>
      <c r="E387" t="s">
        <v>3086</v>
      </c>
      <c r="F387" s="27">
        <v>3.4589866114479999E-2</v>
      </c>
      <c r="G387" s="27">
        <v>0.37316862209183999</v>
      </c>
    </row>
    <row r="388" spans="1:7" x14ac:dyDescent="0.2">
      <c r="A388" t="s">
        <v>2563</v>
      </c>
      <c r="B388" t="s">
        <v>23</v>
      </c>
      <c r="C388" t="s">
        <v>2564</v>
      </c>
      <c r="D388" s="21">
        <v>4.01</v>
      </c>
      <c r="E388" t="s">
        <v>3087</v>
      </c>
      <c r="F388" s="27">
        <v>3.4589866114479999E-2</v>
      </c>
      <c r="G388" s="27">
        <v>0.37316862209183999</v>
      </c>
    </row>
    <row r="389" spans="1:7" x14ac:dyDescent="0.2">
      <c r="A389" t="s">
        <v>2568</v>
      </c>
      <c r="B389" t="s">
        <v>23</v>
      </c>
      <c r="C389" t="s">
        <v>2569</v>
      </c>
      <c r="D389" s="21">
        <v>3.77</v>
      </c>
      <c r="E389" t="s">
        <v>3088</v>
      </c>
      <c r="F389" s="27">
        <v>3.4589866114479999E-2</v>
      </c>
      <c r="G389" s="27">
        <v>0.37316862209183999</v>
      </c>
    </row>
    <row r="390" spans="1:7" x14ac:dyDescent="0.2">
      <c r="A390" t="s">
        <v>2573</v>
      </c>
      <c r="B390" t="s">
        <v>23</v>
      </c>
      <c r="C390" t="s">
        <v>2574</v>
      </c>
      <c r="D390" s="21">
        <v>2.81</v>
      </c>
      <c r="E390" t="s">
        <v>3089</v>
      </c>
      <c r="F390" s="27">
        <v>3.4589866114479999E-2</v>
      </c>
      <c r="G390" s="27">
        <v>0.37316862209183999</v>
      </c>
    </row>
    <row r="391" spans="1:7" x14ac:dyDescent="0.2">
      <c r="A391" t="s">
        <v>2577</v>
      </c>
      <c r="B391" t="s">
        <v>23</v>
      </c>
      <c r="C391" t="s">
        <v>2578</v>
      </c>
      <c r="D391" s="21">
        <v>68</v>
      </c>
      <c r="E391" t="s">
        <v>3090</v>
      </c>
      <c r="F391" s="27">
        <v>-9999999999</v>
      </c>
      <c r="G391" s="27">
        <v>-9999999999</v>
      </c>
    </row>
    <row r="392" spans="1:7" x14ac:dyDescent="0.2">
      <c r="A392" t="s">
        <v>2592</v>
      </c>
      <c r="B392" t="s">
        <v>23</v>
      </c>
      <c r="C392" t="s">
        <v>2593</v>
      </c>
      <c r="D392" s="21">
        <v>41.25</v>
      </c>
      <c r="E392" t="s">
        <v>3091</v>
      </c>
      <c r="F392" s="27">
        <v>4.2568582659542002</v>
      </c>
      <c r="G392" s="27">
        <v>60.220622189821</v>
      </c>
    </row>
    <row r="393" spans="1:7" x14ac:dyDescent="0.2">
      <c r="A393" t="s">
        <v>2584</v>
      </c>
      <c r="B393" t="s">
        <v>23</v>
      </c>
      <c r="C393" t="s">
        <v>2585</v>
      </c>
      <c r="D393" s="21">
        <v>18</v>
      </c>
      <c r="E393" t="s">
        <v>3092</v>
      </c>
      <c r="F393" s="27">
        <v>10.580003490068</v>
      </c>
      <c r="G393" s="27">
        <v>119.386906095</v>
      </c>
    </row>
    <row r="394" spans="1:7" x14ac:dyDescent="0.2">
      <c r="A394" t="s">
        <v>2588</v>
      </c>
      <c r="B394" t="s">
        <v>23</v>
      </c>
      <c r="C394" t="s">
        <v>2589</v>
      </c>
      <c r="D394" s="21">
        <v>27.9</v>
      </c>
      <c r="E394" t="s">
        <v>3093</v>
      </c>
      <c r="F394" s="27">
        <v>5.5228275172968004</v>
      </c>
      <c r="G394" s="27">
        <v>63.634744875283999</v>
      </c>
    </row>
    <row r="395" spans="1:7" x14ac:dyDescent="0.2">
      <c r="A395" t="s">
        <v>1173</v>
      </c>
      <c r="B395" t="s">
        <v>625</v>
      </c>
      <c r="C395" t="s">
        <v>1174</v>
      </c>
      <c r="D395" s="21">
        <v>168.47</v>
      </c>
      <c r="E395" t="s">
        <v>1174</v>
      </c>
      <c r="F395" s="27">
        <v>0</v>
      </c>
      <c r="G395" s="27">
        <v>0</v>
      </c>
    </row>
    <row r="396" spans="1:7" x14ac:dyDescent="0.2">
      <c r="A396" t="s">
        <v>1163</v>
      </c>
      <c r="B396" t="s">
        <v>625</v>
      </c>
      <c r="C396" t="s">
        <v>1164</v>
      </c>
      <c r="D396" s="21">
        <v>577</v>
      </c>
      <c r="E396" t="s">
        <v>1164</v>
      </c>
      <c r="F396" s="27">
        <v>0</v>
      </c>
      <c r="G396" s="27">
        <v>0</v>
      </c>
    </row>
    <row r="397" spans="1:7" x14ac:dyDescent="0.2">
      <c r="A397" t="s">
        <v>1169</v>
      </c>
      <c r="B397" t="s">
        <v>625</v>
      </c>
      <c r="C397" t="s">
        <v>1170</v>
      </c>
      <c r="D397" s="21">
        <v>524</v>
      </c>
      <c r="E397" t="s">
        <v>1170</v>
      </c>
      <c r="F397" s="27">
        <v>0</v>
      </c>
      <c r="G397" s="27">
        <v>0</v>
      </c>
    </row>
    <row r="398" spans="1:7" x14ac:dyDescent="0.2">
      <c r="A398" t="s">
        <v>2408</v>
      </c>
      <c r="B398" t="s">
        <v>23</v>
      </c>
      <c r="C398" t="s">
        <v>2409</v>
      </c>
      <c r="D398" s="21">
        <v>13.88</v>
      </c>
      <c r="E398" t="s">
        <v>3094</v>
      </c>
      <c r="F398" s="27">
        <v>0.2030606207608</v>
      </c>
      <c r="G398" s="27">
        <v>2.2728834599063998</v>
      </c>
    </row>
    <row r="399" spans="1:7" x14ac:dyDescent="0.2">
      <c r="A399" t="s">
        <v>2397</v>
      </c>
      <c r="B399" t="s">
        <v>23</v>
      </c>
      <c r="C399" t="s">
        <v>2398</v>
      </c>
      <c r="D399" s="21">
        <v>0.37</v>
      </c>
      <c r="E399" t="s">
        <v>3095</v>
      </c>
      <c r="F399" s="27">
        <v>0.2030606207608</v>
      </c>
      <c r="G399" s="27">
        <v>2.2728834599063998</v>
      </c>
    </row>
    <row r="400" spans="1:7" x14ac:dyDescent="0.2">
      <c r="A400" t="s">
        <v>2531</v>
      </c>
      <c r="B400" t="s">
        <v>23</v>
      </c>
      <c r="C400" t="s">
        <v>2532</v>
      </c>
      <c r="D400" s="21">
        <v>0.43</v>
      </c>
      <c r="E400" t="s">
        <v>3096</v>
      </c>
      <c r="F400" s="27">
        <v>4.0612124152159999E-2</v>
      </c>
      <c r="G400" s="27">
        <v>0.45457669198127998</v>
      </c>
    </row>
    <row r="401" spans="1:7" x14ac:dyDescent="0.2">
      <c r="A401" t="s">
        <v>2554</v>
      </c>
      <c r="B401" t="s">
        <v>23</v>
      </c>
      <c r="C401" t="s">
        <v>2555</v>
      </c>
      <c r="D401" s="21">
        <v>0.47</v>
      </c>
      <c r="E401" t="s">
        <v>3097</v>
      </c>
      <c r="F401" s="27">
        <v>4.0612124152159999E-2</v>
      </c>
      <c r="G401" s="27">
        <v>0.45457669198127998</v>
      </c>
    </row>
    <row r="402" spans="1:7" x14ac:dyDescent="0.2">
      <c r="A402" t="s">
        <v>2416</v>
      </c>
      <c r="B402" t="s">
        <v>23</v>
      </c>
      <c r="C402" t="s">
        <v>2417</v>
      </c>
      <c r="D402" s="21">
        <v>3.83</v>
      </c>
      <c r="E402" t="s">
        <v>3098</v>
      </c>
      <c r="F402" s="27">
        <v>0.43206387044</v>
      </c>
      <c r="G402" s="27">
        <v>4.8001002874000003</v>
      </c>
    </row>
    <row r="403" spans="1:7" x14ac:dyDescent="0.2">
      <c r="A403" t="s">
        <v>2455</v>
      </c>
      <c r="B403" t="s">
        <v>23</v>
      </c>
      <c r="C403" t="s">
        <v>2456</v>
      </c>
      <c r="D403" s="21">
        <v>0.17</v>
      </c>
      <c r="E403" t="s">
        <v>3099</v>
      </c>
      <c r="F403" s="27">
        <v>0.2030606207608</v>
      </c>
      <c r="G403" s="27">
        <v>2.2728834599063998</v>
      </c>
    </row>
    <row r="404" spans="1:7" x14ac:dyDescent="0.2">
      <c r="A404" t="s">
        <v>2443</v>
      </c>
      <c r="B404" t="s">
        <v>23</v>
      </c>
      <c r="C404" t="s">
        <v>2444</v>
      </c>
      <c r="D404" s="21">
        <v>0.27</v>
      </c>
      <c r="E404" t="s">
        <v>3100</v>
      </c>
      <c r="F404" s="27">
        <v>0.30459093114120001</v>
      </c>
      <c r="G404" s="27">
        <v>3.4093251898596</v>
      </c>
    </row>
    <row r="405" spans="1:7" x14ac:dyDescent="0.2">
      <c r="A405" t="s">
        <v>2509</v>
      </c>
      <c r="B405" t="s">
        <v>23</v>
      </c>
      <c r="C405" t="s">
        <v>2510</v>
      </c>
      <c r="D405" s="21">
        <v>0.47</v>
      </c>
      <c r="E405" t="s">
        <v>3101</v>
      </c>
      <c r="F405" s="27">
        <v>0.14120754382039999</v>
      </c>
      <c r="G405" s="27">
        <v>1.5416647191232</v>
      </c>
    </row>
    <row r="406" spans="1:7" x14ac:dyDescent="0.2">
      <c r="A406" t="s">
        <v>2513</v>
      </c>
      <c r="B406" t="s">
        <v>23</v>
      </c>
      <c r="C406" t="s">
        <v>2514</v>
      </c>
      <c r="D406" s="21">
        <v>0.28000000000000003</v>
      </c>
      <c r="E406" t="s">
        <v>3102</v>
      </c>
      <c r="F406" s="27">
        <v>0.14120754382039999</v>
      </c>
      <c r="G406" s="27">
        <v>1.5416647191232</v>
      </c>
    </row>
    <row r="407" spans="1:7" x14ac:dyDescent="0.2">
      <c r="A407" t="s">
        <v>1165</v>
      </c>
      <c r="B407" t="s">
        <v>23</v>
      </c>
      <c r="C407" t="s">
        <v>1166</v>
      </c>
      <c r="D407" s="21">
        <v>9.1</v>
      </c>
      <c r="E407" t="s">
        <v>3103</v>
      </c>
      <c r="F407" s="27">
        <v>0</v>
      </c>
      <c r="G407" s="27">
        <v>0</v>
      </c>
    </row>
    <row r="408" spans="1:7" x14ac:dyDescent="0.2">
      <c r="A408" t="s">
        <v>2498</v>
      </c>
      <c r="B408" t="s">
        <v>23</v>
      </c>
      <c r="C408" t="s">
        <v>2499</v>
      </c>
      <c r="D408" s="21">
        <v>0.37</v>
      </c>
      <c r="E408" t="s">
        <v>3104</v>
      </c>
      <c r="F408" s="27">
        <v>5.1287448987400001E-2</v>
      </c>
      <c r="G408" s="27">
        <v>0.72554966493759998</v>
      </c>
    </row>
    <row r="409" spans="1:7" x14ac:dyDescent="0.2">
      <c r="A409" t="s">
        <v>2515</v>
      </c>
      <c r="B409" t="s">
        <v>23</v>
      </c>
      <c r="C409" t="s">
        <v>2516</v>
      </c>
      <c r="D409" s="21">
        <v>0.92</v>
      </c>
      <c r="E409" t="s">
        <v>3105</v>
      </c>
      <c r="F409" s="27">
        <v>4.0612124152159999E-2</v>
      </c>
      <c r="G409" s="27">
        <v>0.45457669198127998</v>
      </c>
    </row>
    <row r="410" spans="1:7" x14ac:dyDescent="0.2">
      <c r="A410" t="s">
        <v>2418</v>
      </c>
      <c r="B410" t="s">
        <v>23</v>
      </c>
      <c r="C410" t="s">
        <v>2419</v>
      </c>
      <c r="D410" s="21">
        <v>2.8</v>
      </c>
      <c r="E410" t="s">
        <v>3106</v>
      </c>
      <c r="F410" s="27">
        <v>-9999999999</v>
      </c>
      <c r="G410" s="27">
        <v>-9999999999</v>
      </c>
    </row>
    <row r="411" spans="1:7" x14ac:dyDescent="0.2">
      <c r="A411" t="s">
        <v>4107</v>
      </c>
      <c r="B411" t="s">
        <v>23</v>
      </c>
      <c r="C411" t="s">
        <v>4108</v>
      </c>
      <c r="D411" s="21">
        <v>0.25</v>
      </c>
      <c r="E411" t="s">
        <v>4239</v>
      </c>
      <c r="F411" s="27">
        <v>2.6945252239999998E-2</v>
      </c>
      <c r="G411" s="27">
        <v>0.40523329813999998</v>
      </c>
    </row>
    <row r="412" spans="1:7" x14ac:dyDescent="0.2">
      <c r="A412" t="s">
        <v>2582</v>
      </c>
      <c r="B412" t="s">
        <v>23</v>
      </c>
      <c r="C412" t="s">
        <v>2583</v>
      </c>
      <c r="D412" s="21">
        <v>5.07</v>
      </c>
      <c r="E412" t="s">
        <v>3107</v>
      </c>
      <c r="F412" s="27">
        <v>0.25643724493699999</v>
      </c>
      <c r="G412" s="27">
        <v>3.627748324688</v>
      </c>
    </row>
    <row r="413" spans="1:7" x14ac:dyDescent="0.2">
      <c r="A413" t="s">
        <v>2609</v>
      </c>
      <c r="B413" t="s">
        <v>23</v>
      </c>
      <c r="C413" t="s">
        <v>2608</v>
      </c>
      <c r="D413" s="21">
        <v>217.92</v>
      </c>
      <c r="E413" t="s">
        <v>2608</v>
      </c>
      <c r="F413" s="27">
        <v>0</v>
      </c>
      <c r="G413" s="27">
        <v>0</v>
      </c>
    </row>
    <row r="414" spans="1:7" x14ac:dyDescent="0.2">
      <c r="A414" t="s">
        <v>2598</v>
      </c>
      <c r="B414" t="s">
        <v>23</v>
      </c>
      <c r="C414" t="s">
        <v>2599</v>
      </c>
      <c r="D414" s="21">
        <v>96.2</v>
      </c>
      <c r="E414" t="s">
        <v>2599</v>
      </c>
      <c r="F414" s="27">
        <v>0</v>
      </c>
      <c r="G414" s="27">
        <v>0</v>
      </c>
    </row>
    <row r="415" spans="1:7" x14ac:dyDescent="0.2">
      <c r="A415" t="s">
        <v>2602</v>
      </c>
      <c r="B415" t="s">
        <v>23</v>
      </c>
      <c r="C415" t="s">
        <v>2601</v>
      </c>
      <c r="D415" s="21">
        <v>130</v>
      </c>
      <c r="E415" t="s">
        <v>2601</v>
      </c>
      <c r="F415" s="27">
        <v>0</v>
      </c>
      <c r="G415" s="27">
        <v>0</v>
      </c>
    </row>
    <row r="416" spans="1:7" ht="208" x14ac:dyDescent="0.2">
      <c r="A416" t="s">
        <v>2605</v>
      </c>
      <c r="B416" t="s">
        <v>625</v>
      </c>
      <c r="C416" s="26" t="s">
        <v>2606</v>
      </c>
      <c r="D416" s="21">
        <v>665</v>
      </c>
      <c r="E416" t="s">
        <v>2604</v>
      </c>
      <c r="F416" s="27">
        <v>0</v>
      </c>
      <c r="G416" s="27">
        <v>0</v>
      </c>
    </row>
    <row r="417" spans="1:7" x14ac:dyDescent="0.2">
      <c r="A417" t="s">
        <v>2633</v>
      </c>
      <c r="B417" t="s">
        <v>23</v>
      </c>
      <c r="C417" t="s">
        <v>2634</v>
      </c>
      <c r="D417" s="21">
        <v>85.46</v>
      </c>
      <c r="E417" t="s">
        <v>3108</v>
      </c>
      <c r="F417" s="27">
        <v>174.38528168441999</v>
      </c>
      <c r="G417" s="27">
        <v>3726.0020369398999</v>
      </c>
    </row>
    <row r="418" spans="1:7" x14ac:dyDescent="0.2">
      <c r="A418" t="s">
        <v>2629</v>
      </c>
      <c r="B418" t="s">
        <v>23</v>
      </c>
      <c r="C418" t="s">
        <v>2630</v>
      </c>
      <c r="D418" s="21">
        <v>109.35</v>
      </c>
      <c r="E418" t="s">
        <v>3109</v>
      </c>
      <c r="F418" s="27">
        <v>191.15309723099</v>
      </c>
      <c r="G418" s="27">
        <v>4084.2714635686998</v>
      </c>
    </row>
    <row r="419" spans="1:7" x14ac:dyDescent="0.2">
      <c r="A419" t="s">
        <v>2644</v>
      </c>
      <c r="B419" t="s">
        <v>36</v>
      </c>
      <c r="C419" t="s">
        <v>2645</v>
      </c>
      <c r="D419" s="21">
        <v>0.96</v>
      </c>
      <c r="E419" t="s">
        <v>2643</v>
      </c>
      <c r="F419" s="27">
        <v>-9999999999</v>
      </c>
      <c r="G419" s="27">
        <v>-9999999999</v>
      </c>
    </row>
    <row r="420" spans="1:7" x14ac:dyDescent="0.2">
      <c r="A420" t="s">
        <v>2640</v>
      </c>
      <c r="B420" t="s">
        <v>23</v>
      </c>
      <c r="C420" t="s">
        <v>2641</v>
      </c>
      <c r="D420" s="21">
        <v>83.69</v>
      </c>
      <c r="E420" t="s">
        <v>2639</v>
      </c>
      <c r="F420" s="27">
        <v>-9999999999</v>
      </c>
      <c r="G420" s="27">
        <v>-9999999999</v>
      </c>
    </row>
    <row r="421" spans="1:7" x14ac:dyDescent="0.2">
      <c r="A421" t="s">
        <v>4113</v>
      </c>
      <c r="B421" t="s">
        <v>23</v>
      </c>
      <c r="C421" t="s">
        <v>3903</v>
      </c>
      <c r="D421" s="21">
        <v>128</v>
      </c>
      <c r="E421" t="s">
        <v>4240</v>
      </c>
      <c r="F421" s="27">
        <v>0</v>
      </c>
      <c r="G421" s="27">
        <v>0</v>
      </c>
    </row>
    <row r="422" spans="1:7" x14ac:dyDescent="0.2">
      <c r="A422" t="s">
        <v>4115</v>
      </c>
      <c r="B422" t="s">
        <v>23</v>
      </c>
      <c r="C422" t="s">
        <v>3917</v>
      </c>
      <c r="D422" s="21">
        <v>285</v>
      </c>
      <c r="E422" t="s">
        <v>4114</v>
      </c>
      <c r="F422" s="27">
        <v>0</v>
      </c>
      <c r="G422" s="27">
        <v>0</v>
      </c>
    </row>
    <row r="423" spans="1:7" x14ac:dyDescent="0.2">
      <c r="A423" t="s">
        <v>4119</v>
      </c>
      <c r="B423" t="s">
        <v>23</v>
      </c>
      <c r="C423" t="s">
        <v>3911</v>
      </c>
      <c r="D423" s="21">
        <v>344.8</v>
      </c>
      <c r="E423" t="s">
        <v>4116</v>
      </c>
      <c r="F423" s="27">
        <v>0</v>
      </c>
      <c r="G423" s="27">
        <v>0</v>
      </c>
    </row>
    <row r="424" spans="1:7" x14ac:dyDescent="0.2">
      <c r="A424" t="s">
        <v>4121</v>
      </c>
      <c r="B424" t="s">
        <v>23</v>
      </c>
      <c r="C424" t="s">
        <v>3913</v>
      </c>
      <c r="D424" s="21">
        <v>381</v>
      </c>
      <c r="E424" t="s">
        <v>4120</v>
      </c>
      <c r="F424" s="27">
        <v>0</v>
      </c>
      <c r="G424" s="27">
        <v>0</v>
      </c>
    </row>
    <row r="425" spans="1:7" x14ac:dyDescent="0.2">
      <c r="A425" t="s">
        <v>4125</v>
      </c>
      <c r="B425" t="s">
        <v>23</v>
      </c>
      <c r="C425" t="s">
        <v>3915</v>
      </c>
      <c r="D425" s="21">
        <v>310</v>
      </c>
      <c r="E425" t="s">
        <v>4122</v>
      </c>
      <c r="F425" s="27">
        <v>0</v>
      </c>
      <c r="G425" s="27">
        <v>0</v>
      </c>
    </row>
    <row r="426" spans="1:7" x14ac:dyDescent="0.2">
      <c r="A426" t="s">
        <v>4117</v>
      </c>
      <c r="B426" t="s">
        <v>103</v>
      </c>
      <c r="C426" t="s">
        <v>4118</v>
      </c>
      <c r="D426" s="21">
        <v>4.46</v>
      </c>
      <c r="E426" t="s">
        <v>4241</v>
      </c>
      <c r="F426" s="27">
        <v>5.5916006952000004</v>
      </c>
      <c r="G426" s="27">
        <v>114.2996187862</v>
      </c>
    </row>
    <row r="427" spans="1:7" x14ac:dyDescent="0.2">
      <c r="A427" t="s">
        <v>4129</v>
      </c>
      <c r="B427" t="s">
        <v>23</v>
      </c>
      <c r="C427" t="s">
        <v>3931</v>
      </c>
      <c r="D427" s="21">
        <v>223</v>
      </c>
      <c r="E427" t="s">
        <v>4128</v>
      </c>
      <c r="F427" s="27">
        <v>0</v>
      </c>
      <c r="G427" s="27">
        <v>0</v>
      </c>
    </row>
    <row r="428" spans="1:7" x14ac:dyDescent="0.2">
      <c r="A428" t="s">
        <v>4127</v>
      </c>
      <c r="B428" t="s">
        <v>23</v>
      </c>
      <c r="C428" t="s">
        <v>3927</v>
      </c>
      <c r="D428" s="21">
        <v>135</v>
      </c>
      <c r="E428" t="s">
        <v>4242</v>
      </c>
      <c r="F428" s="27">
        <v>0</v>
      </c>
      <c r="G428" s="27">
        <v>0</v>
      </c>
    </row>
    <row r="429" spans="1:7" x14ac:dyDescent="0.2">
      <c r="A429" t="s">
        <v>4131</v>
      </c>
      <c r="B429" t="s">
        <v>23</v>
      </c>
      <c r="C429" t="s">
        <v>3921</v>
      </c>
      <c r="D429" s="21">
        <v>165</v>
      </c>
      <c r="E429" t="s">
        <v>4130</v>
      </c>
      <c r="F429" s="27">
        <v>0</v>
      </c>
      <c r="G429" s="27">
        <v>0</v>
      </c>
    </row>
    <row r="430" spans="1:7" x14ac:dyDescent="0.2">
      <c r="A430" t="s">
        <v>4133</v>
      </c>
      <c r="B430" t="s">
        <v>23</v>
      </c>
      <c r="C430" t="s">
        <v>4134</v>
      </c>
      <c r="D430" s="21">
        <v>63.37</v>
      </c>
      <c r="E430" t="s">
        <v>4243</v>
      </c>
      <c r="F430" s="27">
        <v>0.59279554928</v>
      </c>
      <c r="G430" s="27">
        <v>8.9151325590799999</v>
      </c>
    </row>
    <row r="431" spans="1:7" x14ac:dyDescent="0.2">
      <c r="A431" t="s">
        <v>4136</v>
      </c>
      <c r="B431" t="s">
        <v>23</v>
      </c>
      <c r="C431" t="s">
        <v>4137</v>
      </c>
      <c r="D431" s="21">
        <v>121.98</v>
      </c>
      <c r="E431" t="s">
        <v>4244</v>
      </c>
      <c r="F431" s="27">
        <v>5.2004336823199999</v>
      </c>
      <c r="G431" s="27">
        <v>78.21002654102</v>
      </c>
    </row>
    <row r="432" spans="1:7" x14ac:dyDescent="0.2">
      <c r="A432" t="s">
        <v>4139</v>
      </c>
      <c r="B432" t="s">
        <v>23</v>
      </c>
      <c r="C432" t="s">
        <v>3935</v>
      </c>
      <c r="D432" s="21">
        <v>209</v>
      </c>
      <c r="E432" t="s">
        <v>4138</v>
      </c>
      <c r="F432" s="27">
        <v>0</v>
      </c>
      <c r="G432" s="27">
        <v>0</v>
      </c>
    </row>
    <row r="433" spans="1:7" x14ac:dyDescent="0.2">
      <c r="A433" t="s">
        <v>4141</v>
      </c>
      <c r="B433" t="s">
        <v>23</v>
      </c>
      <c r="C433" t="s">
        <v>3919</v>
      </c>
      <c r="D433" s="21">
        <v>613</v>
      </c>
      <c r="E433" t="s">
        <v>4140</v>
      </c>
      <c r="F433" s="27">
        <v>0</v>
      </c>
      <c r="G433" s="27">
        <v>0</v>
      </c>
    </row>
    <row r="434" spans="1:7" x14ac:dyDescent="0.2">
      <c r="A434" t="s">
        <v>4143</v>
      </c>
      <c r="B434" t="s">
        <v>23</v>
      </c>
      <c r="C434" t="s">
        <v>4144</v>
      </c>
      <c r="D434" s="21">
        <v>281</v>
      </c>
      <c r="E434" t="s">
        <v>4142</v>
      </c>
      <c r="F434" s="27">
        <v>0</v>
      </c>
      <c r="G434" s="27">
        <v>0</v>
      </c>
    </row>
    <row r="435" spans="1:7" x14ac:dyDescent="0.2">
      <c r="A435" t="s">
        <v>4146</v>
      </c>
      <c r="B435" t="s">
        <v>23</v>
      </c>
      <c r="C435" t="s">
        <v>3925</v>
      </c>
      <c r="D435" s="21">
        <v>72.099999999999994</v>
      </c>
      <c r="E435" t="s">
        <v>4145</v>
      </c>
      <c r="F435" s="27">
        <v>0</v>
      </c>
      <c r="G435" s="27">
        <v>0</v>
      </c>
    </row>
    <row r="436" spans="1:7" x14ac:dyDescent="0.2">
      <c r="A436" t="s">
        <v>4123</v>
      </c>
      <c r="B436" t="s">
        <v>23</v>
      </c>
      <c r="C436" t="s">
        <v>4124</v>
      </c>
      <c r="D436" s="21">
        <v>107</v>
      </c>
      <c r="E436" t="s">
        <v>4245</v>
      </c>
      <c r="F436" s="27">
        <v>1.8157929392800001</v>
      </c>
      <c r="G436" s="27">
        <v>40.26456932024</v>
      </c>
    </row>
    <row r="437" spans="1:7" x14ac:dyDescent="0.2">
      <c r="A437" t="s">
        <v>4148</v>
      </c>
      <c r="B437" t="s">
        <v>23</v>
      </c>
      <c r="C437" t="s">
        <v>3909</v>
      </c>
      <c r="D437" s="21">
        <v>108</v>
      </c>
      <c r="E437" t="s">
        <v>4147</v>
      </c>
      <c r="F437" s="27">
        <v>0</v>
      </c>
      <c r="G437" s="27">
        <v>0</v>
      </c>
    </row>
    <row r="438" spans="1:7" x14ac:dyDescent="0.2">
      <c r="A438" t="s">
        <v>4152</v>
      </c>
      <c r="B438" t="s">
        <v>23</v>
      </c>
      <c r="C438" t="s">
        <v>3929</v>
      </c>
      <c r="D438" s="21">
        <v>7.13</v>
      </c>
      <c r="E438" t="s">
        <v>4151</v>
      </c>
      <c r="F438" s="27">
        <v>0</v>
      </c>
      <c r="G438" s="27">
        <v>0</v>
      </c>
    </row>
    <row r="439" spans="1:7" x14ac:dyDescent="0.2">
      <c r="A439" t="s">
        <v>4150</v>
      </c>
      <c r="B439" t="s">
        <v>23</v>
      </c>
      <c r="C439" t="s">
        <v>3933</v>
      </c>
      <c r="D439" s="21">
        <v>16</v>
      </c>
      <c r="E439" t="s">
        <v>4149</v>
      </c>
      <c r="F439" s="27">
        <v>0</v>
      </c>
      <c r="G439" s="27">
        <v>0</v>
      </c>
    </row>
    <row r="440" spans="1:7" x14ac:dyDescent="0.2">
      <c r="A440" t="s">
        <v>4164</v>
      </c>
      <c r="B440" t="s">
        <v>23</v>
      </c>
      <c r="C440" t="s">
        <v>3967</v>
      </c>
      <c r="D440" s="21">
        <v>175</v>
      </c>
      <c r="E440" t="s">
        <v>4163</v>
      </c>
      <c r="F440" s="27">
        <v>0</v>
      </c>
      <c r="G440" s="27">
        <v>0</v>
      </c>
    </row>
    <row r="441" spans="1:7" x14ac:dyDescent="0.2">
      <c r="A441" t="s">
        <v>4166</v>
      </c>
      <c r="B441" t="s">
        <v>23</v>
      </c>
      <c r="C441" t="s">
        <v>3965</v>
      </c>
      <c r="D441" s="21">
        <v>124</v>
      </c>
      <c r="E441" t="s">
        <v>4165</v>
      </c>
      <c r="F441" s="27">
        <v>0</v>
      </c>
      <c r="G441" s="27">
        <v>0</v>
      </c>
    </row>
    <row r="442" spans="1:7" x14ac:dyDescent="0.2">
      <c r="A442" t="s">
        <v>4160</v>
      </c>
      <c r="B442" t="s">
        <v>23</v>
      </c>
      <c r="C442" t="s">
        <v>3969</v>
      </c>
      <c r="D442" s="21">
        <v>59.7</v>
      </c>
      <c r="E442" t="s">
        <v>4159</v>
      </c>
      <c r="F442" s="27">
        <v>0</v>
      </c>
      <c r="G442" s="27">
        <v>0</v>
      </c>
    </row>
    <row r="443" spans="1:7" x14ac:dyDescent="0.2">
      <c r="A443" t="s">
        <v>4156</v>
      </c>
      <c r="B443" t="s">
        <v>23</v>
      </c>
      <c r="C443" t="s">
        <v>3963</v>
      </c>
      <c r="D443" s="21">
        <v>72.5</v>
      </c>
      <c r="E443" t="s">
        <v>4155</v>
      </c>
      <c r="F443" s="27">
        <v>0</v>
      </c>
      <c r="G443" s="27">
        <v>0</v>
      </c>
    </row>
    <row r="444" spans="1:7" x14ac:dyDescent="0.2">
      <c r="A444" t="s">
        <v>4158</v>
      </c>
      <c r="B444" t="s">
        <v>23</v>
      </c>
      <c r="C444" t="s">
        <v>3973</v>
      </c>
      <c r="D444" s="21">
        <v>342</v>
      </c>
      <c r="E444" t="s">
        <v>4157</v>
      </c>
      <c r="F444" s="27">
        <v>0</v>
      </c>
      <c r="G444" s="27">
        <v>0</v>
      </c>
    </row>
    <row r="445" spans="1:7" x14ac:dyDescent="0.2">
      <c r="A445" t="s">
        <v>4154</v>
      </c>
      <c r="B445" t="s">
        <v>23</v>
      </c>
      <c r="C445" t="s">
        <v>3957</v>
      </c>
      <c r="D445" s="21">
        <v>33.51</v>
      </c>
      <c r="E445" t="s">
        <v>4153</v>
      </c>
      <c r="F445" s="27">
        <v>0</v>
      </c>
      <c r="G445" s="27">
        <v>0</v>
      </c>
    </row>
    <row r="446" spans="1:7" x14ac:dyDescent="0.2">
      <c r="A446" t="s">
        <v>4162</v>
      </c>
      <c r="B446" t="s">
        <v>23</v>
      </c>
      <c r="C446" t="s">
        <v>3971</v>
      </c>
      <c r="D446" s="21">
        <v>136</v>
      </c>
      <c r="E446" t="s">
        <v>4161</v>
      </c>
      <c r="F446" s="27">
        <v>0</v>
      </c>
      <c r="G446" s="27">
        <v>0</v>
      </c>
    </row>
    <row r="447" spans="1:7" x14ac:dyDescent="0.2">
      <c r="A447" t="s">
        <v>2663</v>
      </c>
      <c r="B447" t="s">
        <v>23</v>
      </c>
      <c r="C447" t="s">
        <v>2664</v>
      </c>
      <c r="D447" s="21">
        <v>6.55</v>
      </c>
      <c r="E447" t="s">
        <v>3110</v>
      </c>
      <c r="F447" s="27">
        <v>3.1741786751999998E-2</v>
      </c>
      <c r="G447" s="27">
        <v>0.32417839133600002</v>
      </c>
    </row>
    <row r="448" spans="1:7" x14ac:dyDescent="0.2">
      <c r="A448" t="s">
        <v>2669</v>
      </c>
      <c r="B448" t="s">
        <v>23</v>
      </c>
      <c r="C448" t="s">
        <v>2670</v>
      </c>
      <c r="D448" s="21">
        <v>0.31</v>
      </c>
      <c r="E448" t="s">
        <v>3111</v>
      </c>
      <c r="F448" s="27">
        <v>1.9045072051199999E-2</v>
      </c>
      <c r="G448" s="27">
        <v>0.1945070348016</v>
      </c>
    </row>
    <row r="449" spans="1:7" x14ac:dyDescent="0.2">
      <c r="A449" t="s">
        <v>2656</v>
      </c>
      <c r="B449" t="s">
        <v>23</v>
      </c>
      <c r="C449" t="s">
        <v>2657</v>
      </c>
      <c r="D449" s="21">
        <v>155.15</v>
      </c>
      <c r="E449" t="s">
        <v>3112</v>
      </c>
      <c r="F449" s="27">
        <v>0.87464404439480004</v>
      </c>
      <c r="G449" s="27">
        <v>11.149272065962</v>
      </c>
    </row>
    <row r="450" spans="1:7" x14ac:dyDescent="0.2">
      <c r="A450" t="s">
        <v>2665</v>
      </c>
      <c r="B450" t="s">
        <v>23</v>
      </c>
      <c r="C450" t="s">
        <v>2666</v>
      </c>
      <c r="D450" s="21">
        <v>50.44</v>
      </c>
      <c r="E450" t="s">
        <v>3113</v>
      </c>
      <c r="F450" s="27">
        <v>0.75941434327820001</v>
      </c>
      <c r="G450" s="27">
        <v>9.0631884603975994</v>
      </c>
    </row>
    <row r="451" spans="1:7" x14ac:dyDescent="0.2">
      <c r="A451" t="s">
        <v>2671</v>
      </c>
      <c r="B451" t="s">
        <v>23</v>
      </c>
      <c r="C451" t="s">
        <v>2672</v>
      </c>
      <c r="D451" s="21">
        <v>25.86</v>
      </c>
      <c r="E451" t="s">
        <v>3114</v>
      </c>
      <c r="F451" s="27">
        <v>0.13618447044599999</v>
      </c>
      <c r="G451" s="27">
        <v>3.0198426990180001</v>
      </c>
    </row>
    <row r="452" spans="1:7" x14ac:dyDescent="0.2">
      <c r="A452" t="s">
        <v>2677</v>
      </c>
      <c r="B452" t="s">
        <v>23</v>
      </c>
      <c r="C452" t="s">
        <v>2678</v>
      </c>
      <c r="D452" s="21">
        <v>26.71</v>
      </c>
      <c r="E452" t="s">
        <v>3115</v>
      </c>
      <c r="F452" s="27">
        <v>8.6915630552399996</v>
      </c>
      <c r="G452" s="27">
        <v>311.98974664961997</v>
      </c>
    </row>
    <row r="453" spans="1:7" x14ac:dyDescent="0.2">
      <c r="A453" t="s">
        <v>2652</v>
      </c>
      <c r="B453" t="s">
        <v>36</v>
      </c>
      <c r="C453" t="s">
        <v>2653</v>
      </c>
      <c r="D453" s="21">
        <v>1.55</v>
      </c>
      <c r="E453" t="s">
        <v>3116</v>
      </c>
      <c r="F453" s="27">
        <v>0.10213306240727001</v>
      </c>
      <c r="G453" s="27">
        <v>3.5878010260523001</v>
      </c>
    </row>
    <row r="454" spans="1:7" ht="350" x14ac:dyDescent="0.2">
      <c r="A454" t="s">
        <v>2681</v>
      </c>
      <c r="B454" t="s">
        <v>23</v>
      </c>
      <c r="C454" s="26" t="s">
        <v>592</v>
      </c>
      <c r="D454" s="21">
        <v>15825.78</v>
      </c>
      <c r="E454" t="s">
        <v>2680</v>
      </c>
      <c r="F454" s="27">
        <v>0</v>
      </c>
      <c r="G454" s="27">
        <v>0</v>
      </c>
    </row>
    <row r="455" spans="1:7" x14ac:dyDescent="0.2">
      <c r="A455" t="s">
        <v>2686</v>
      </c>
      <c r="B455" t="s">
        <v>23</v>
      </c>
      <c r="C455" t="s">
        <v>2687</v>
      </c>
      <c r="D455" s="21">
        <v>45.92</v>
      </c>
      <c r="E455" t="s">
        <v>3117</v>
      </c>
      <c r="F455" s="27">
        <v>21.685622866498001</v>
      </c>
      <c r="G455" s="27">
        <v>310.97702301299</v>
      </c>
    </row>
    <row r="456" spans="1:7" x14ac:dyDescent="0.2">
      <c r="A456" t="s">
        <v>2691</v>
      </c>
      <c r="B456" t="s">
        <v>23</v>
      </c>
      <c r="C456" t="s">
        <v>2692</v>
      </c>
      <c r="D456" s="21">
        <v>363.78</v>
      </c>
      <c r="E456" t="s">
        <v>2690</v>
      </c>
      <c r="F456" s="27">
        <v>-9999999999</v>
      </c>
      <c r="G456" s="27">
        <v>-9999999999</v>
      </c>
    </row>
    <row r="457" spans="1:7" x14ac:dyDescent="0.2">
      <c r="A457" t="s">
        <v>2696</v>
      </c>
      <c r="B457" t="s">
        <v>23</v>
      </c>
      <c r="C457" t="s">
        <v>2697</v>
      </c>
      <c r="D457" s="21">
        <v>1936.98</v>
      </c>
      <c r="E457" t="s">
        <v>3118</v>
      </c>
      <c r="F457" s="27">
        <v>18.129732108873</v>
      </c>
      <c r="G457" s="27">
        <v>218.71079344681999</v>
      </c>
    </row>
    <row r="458" spans="1:7" x14ac:dyDescent="0.2">
      <c r="A458" t="s">
        <v>2708</v>
      </c>
      <c r="B458" t="s">
        <v>23</v>
      </c>
      <c r="C458" t="s">
        <v>2709</v>
      </c>
      <c r="D458" s="21">
        <v>5.49</v>
      </c>
      <c r="E458" t="s">
        <v>3119</v>
      </c>
      <c r="F458" s="27">
        <v>4.6178508089302003E-2</v>
      </c>
      <c r="G458" s="27">
        <v>0.90526297547925005</v>
      </c>
    </row>
    <row r="459" spans="1:7" x14ac:dyDescent="0.2">
      <c r="A459" t="s">
        <v>2700</v>
      </c>
      <c r="B459" t="s">
        <v>23</v>
      </c>
      <c r="C459" t="s">
        <v>2701</v>
      </c>
      <c r="D459" s="21">
        <v>4.93</v>
      </c>
      <c r="E459" t="s">
        <v>3120</v>
      </c>
      <c r="F459" s="27">
        <v>2.3089254044651002E-2</v>
      </c>
      <c r="G459" s="27">
        <v>0.45263148773963002</v>
      </c>
    </row>
    <row r="460" spans="1:7" x14ac:dyDescent="0.2">
      <c r="A460" t="s">
        <v>2704</v>
      </c>
      <c r="B460" t="s">
        <v>23</v>
      </c>
      <c r="C460" t="s">
        <v>2705</v>
      </c>
      <c r="D460" s="21">
        <v>5.27</v>
      </c>
      <c r="E460" t="s">
        <v>3121</v>
      </c>
      <c r="F460" s="27">
        <v>3.4482046970084002E-2</v>
      </c>
      <c r="G460" s="27">
        <v>0.67597074336806995</v>
      </c>
    </row>
    <row r="461" spans="1:7" x14ac:dyDescent="0.2">
      <c r="A461" t="s">
        <v>2684</v>
      </c>
      <c r="B461" t="s">
        <v>23</v>
      </c>
      <c r="C461" t="s">
        <v>2685</v>
      </c>
      <c r="D461" s="21">
        <v>0.35</v>
      </c>
      <c r="E461" t="s">
        <v>3122</v>
      </c>
      <c r="F461" s="27">
        <v>0.12183637245648</v>
      </c>
      <c r="G461" s="27">
        <v>1.3637300759438</v>
      </c>
    </row>
    <row r="462" spans="1:7" x14ac:dyDescent="0.2">
      <c r="A462" t="s">
        <v>2712</v>
      </c>
      <c r="B462" t="s">
        <v>23</v>
      </c>
      <c r="C462" t="s">
        <v>2713</v>
      </c>
      <c r="D462" s="21">
        <v>15.08</v>
      </c>
      <c r="E462" t="s">
        <v>3123</v>
      </c>
      <c r="F462" s="27">
        <v>5.8208711816005003</v>
      </c>
      <c r="G462" s="27">
        <v>80.322924802065003</v>
      </c>
    </row>
    <row r="463" spans="1:7" x14ac:dyDescent="0.2">
      <c r="A463" t="s">
        <v>2721</v>
      </c>
      <c r="B463" t="s">
        <v>23</v>
      </c>
      <c r="C463" t="s">
        <v>2722</v>
      </c>
      <c r="D463" s="21">
        <v>1.79</v>
      </c>
      <c r="E463" t="s">
        <v>3124</v>
      </c>
      <c r="F463" s="27">
        <v>2.6848684555672002</v>
      </c>
      <c r="G463" s="27">
        <v>37.048833470566997</v>
      </c>
    </row>
    <row r="464" spans="1:7" x14ac:dyDescent="0.2">
      <c r="A464" t="s">
        <v>2725</v>
      </c>
      <c r="B464" t="s">
        <v>23</v>
      </c>
      <c r="C464" t="s">
        <v>2726</v>
      </c>
      <c r="D464" s="21">
        <v>4.2300000000000004</v>
      </c>
      <c r="E464" t="s">
        <v>3125</v>
      </c>
      <c r="F464" s="27">
        <v>1.6392226644826999</v>
      </c>
      <c r="G464" s="27">
        <v>22.619837258025999</v>
      </c>
    </row>
    <row r="465" spans="1:7" x14ac:dyDescent="0.2">
      <c r="A465" t="s">
        <v>2729</v>
      </c>
      <c r="B465" t="s">
        <v>23</v>
      </c>
      <c r="C465" t="s">
        <v>2730</v>
      </c>
      <c r="D465" s="21">
        <v>2.14</v>
      </c>
      <c r="E465" t="s">
        <v>3126</v>
      </c>
      <c r="F465" s="27">
        <v>3.9877010783041</v>
      </c>
      <c r="G465" s="27">
        <v>55.026782736778998</v>
      </c>
    </row>
    <row r="466" spans="1:7" x14ac:dyDescent="0.2">
      <c r="A466" t="s">
        <v>2745</v>
      </c>
      <c r="B466" t="s">
        <v>36</v>
      </c>
      <c r="C466" t="s">
        <v>2746</v>
      </c>
      <c r="D466" s="21">
        <v>0.87</v>
      </c>
      <c r="E466" t="s">
        <v>3127</v>
      </c>
      <c r="F466" s="27">
        <v>1.4757443846671E-3</v>
      </c>
      <c r="G466" s="27">
        <v>3.4742920613219E-2</v>
      </c>
    </row>
    <row r="467" spans="1:7" x14ac:dyDescent="0.2">
      <c r="A467" t="s">
        <v>2749</v>
      </c>
      <c r="B467" t="s">
        <v>23</v>
      </c>
      <c r="C467" t="s">
        <v>2750</v>
      </c>
      <c r="D467" s="21">
        <v>921.41</v>
      </c>
      <c r="E467" t="s">
        <v>3128</v>
      </c>
      <c r="F467" s="27">
        <v>130.90423665039</v>
      </c>
      <c r="G467" s="27">
        <v>1477.990031673</v>
      </c>
    </row>
    <row r="468" spans="1:7" x14ac:dyDescent="0.2">
      <c r="A468" t="s">
        <v>2753</v>
      </c>
      <c r="B468" t="s">
        <v>742</v>
      </c>
      <c r="C468" t="s">
        <v>2754</v>
      </c>
      <c r="D468" s="21">
        <v>6.31</v>
      </c>
      <c r="E468" t="s">
        <v>3129</v>
      </c>
      <c r="F468" s="27">
        <v>0</v>
      </c>
      <c r="G468" s="27">
        <v>0</v>
      </c>
    </row>
    <row r="469" spans="1:7" x14ac:dyDescent="0.2">
      <c r="A469" t="s">
        <v>2757</v>
      </c>
      <c r="B469" t="s">
        <v>23</v>
      </c>
      <c r="C469" t="s">
        <v>2758</v>
      </c>
      <c r="D469" s="21">
        <v>25.75</v>
      </c>
      <c r="E469" t="s">
        <v>3130</v>
      </c>
      <c r="F469" s="27">
        <v>2.5698758041398002</v>
      </c>
      <c r="G469" s="27">
        <v>49.498663383257004</v>
      </c>
    </row>
    <row r="470" spans="1:7" x14ac:dyDescent="0.2">
      <c r="A470" t="s">
        <v>2761</v>
      </c>
      <c r="B470" t="s">
        <v>23</v>
      </c>
      <c r="C470" t="s">
        <v>2762</v>
      </c>
      <c r="D470" s="21">
        <v>173.48</v>
      </c>
      <c r="E470" t="s">
        <v>3131</v>
      </c>
      <c r="F470" s="27">
        <v>10.064329121315</v>
      </c>
      <c r="G470" s="27">
        <v>134.86283727737001</v>
      </c>
    </row>
    <row r="471" spans="1:7" x14ac:dyDescent="0.2">
      <c r="A471" t="s">
        <v>2766</v>
      </c>
      <c r="B471" t="s">
        <v>23</v>
      </c>
      <c r="C471" t="s">
        <v>2767</v>
      </c>
      <c r="D471" s="21">
        <v>31.17</v>
      </c>
      <c r="E471" t="s">
        <v>3132</v>
      </c>
      <c r="F471" s="27">
        <v>0.44269716027974998</v>
      </c>
      <c r="G471" s="27">
        <v>9.0010409999412992</v>
      </c>
    </row>
    <row r="472" spans="1:7" x14ac:dyDescent="0.2">
      <c r="A472" t="s">
        <v>2770</v>
      </c>
      <c r="B472" t="s">
        <v>23</v>
      </c>
      <c r="C472" t="s">
        <v>2771</v>
      </c>
      <c r="D472" s="21">
        <v>12</v>
      </c>
      <c r="E472" t="s">
        <v>3133</v>
      </c>
      <c r="F472" s="27">
        <v>0.19675429345767001</v>
      </c>
      <c r="G472" s="27">
        <v>4.0004626666406002</v>
      </c>
    </row>
    <row r="473" spans="1:7" x14ac:dyDescent="0.2">
      <c r="A473" t="s">
        <v>2774</v>
      </c>
      <c r="B473" t="s">
        <v>23</v>
      </c>
      <c r="C473" t="s">
        <v>2775</v>
      </c>
      <c r="D473" s="21">
        <v>47.91</v>
      </c>
      <c r="E473" t="s">
        <v>3134</v>
      </c>
      <c r="F473" s="27">
        <v>3.6520405680999999</v>
      </c>
      <c r="G473" s="27">
        <v>89.285882969200003</v>
      </c>
    </row>
    <row r="474" spans="1:7" x14ac:dyDescent="0.2">
      <c r="A474" t="s">
        <v>1153</v>
      </c>
      <c r="B474" t="s">
        <v>23</v>
      </c>
      <c r="C474" t="s">
        <v>1154</v>
      </c>
      <c r="D474" s="21">
        <v>350</v>
      </c>
      <c r="E474" t="s">
        <v>1154</v>
      </c>
      <c r="F474" s="27">
        <v>0</v>
      </c>
      <c r="G474" s="27">
        <v>0</v>
      </c>
    </row>
    <row r="475" spans="1:7" x14ac:dyDescent="0.2">
      <c r="A475" t="s">
        <v>4194</v>
      </c>
      <c r="B475" t="s">
        <v>23</v>
      </c>
      <c r="C475" t="s">
        <v>4195</v>
      </c>
      <c r="D475" s="21">
        <v>335</v>
      </c>
      <c r="E475" t="s">
        <v>4195</v>
      </c>
      <c r="F475" s="27">
        <v>0</v>
      </c>
      <c r="G475" s="27">
        <v>0</v>
      </c>
    </row>
    <row r="476" spans="1:7" x14ac:dyDescent="0.2">
      <c r="A476" t="s">
        <v>4209</v>
      </c>
      <c r="B476" t="s">
        <v>23</v>
      </c>
      <c r="C476" t="s">
        <v>3959</v>
      </c>
      <c r="D476" s="21">
        <v>269.58999999999997</v>
      </c>
      <c r="E476" t="s">
        <v>4208</v>
      </c>
      <c r="F476" s="27">
        <v>0</v>
      </c>
      <c r="G476" s="27">
        <v>0</v>
      </c>
    </row>
    <row r="477" spans="1:7" x14ac:dyDescent="0.2">
      <c r="A477" t="s">
        <v>4215</v>
      </c>
      <c r="B477" t="s">
        <v>23</v>
      </c>
      <c r="C477" t="s">
        <v>3975</v>
      </c>
      <c r="D477" s="21">
        <v>29.2</v>
      </c>
      <c r="E477" t="s">
        <v>4214</v>
      </c>
      <c r="F477" s="27">
        <v>0</v>
      </c>
      <c r="G477" s="27">
        <v>0</v>
      </c>
    </row>
    <row r="478" spans="1:7" x14ac:dyDescent="0.2">
      <c r="A478" t="s">
        <v>4212</v>
      </c>
      <c r="B478" t="s">
        <v>23</v>
      </c>
      <c r="C478" t="s">
        <v>3977</v>
      </c>
      <c r="D478" s="21">
        <v>68.5</v>
      </c>
      <c r="E478" t="s">
        <v>4211</v>
      </c>
      <c r="F478" s="27">
        <v>0</v>
      </c>
      <c r="G478" s="27">
        <v>0</v>
      </c>
    </row>
    <row r="479" spans="1:7" x14ac:dyDescent="0.2">
      <c r="A479" t="s">
        <v>1209</v>
      </c>
      <c r="B479" t="s">
        <v>1210</v>
      </c>
      <c r="C479" t="s">
        <v>1211</v>
      </c>
      <c r="D479" s="21">
        <v>12.2</v>
      </c>
      <c r="E479" t="s">
        <v>3135</v>
      </c>
      <c r="F479" s="27">
        <v>-9999999999</v>
      </c>
      <c r="G479" s="27">
        <v>-9999999999</v>
      </c>
    </row>
    <row r="480" spans="1:7" x14ac:dyDescent="0.2">
      <c r="A480" s="15" t="s">
        <v>2262</v>
      </c>
    </row>
    <row r="481" spans="1:7" x14ac:dyDescent="0.2">
      <c r="A481" t="s">
        <v>2279</v>
      </c>
      <c r="B481" t="s">
        <v>625</v>
      </c>
      <c r="C481" t="s">
        <v>2274</v>
      </c>
      <c r="D481" s="21">
        <v>498.81</v>
      </c>
      <c r="E481" t="s">
        <v>2274</v>
      </c>
      <c r="F481" s="27">
        <v>0</v>
      </c>
      <c r="G481" s="27">
        <v>0</v>
      </c>
    </row>
    <row r="482" spans="1:7" x14ac:dyDescent="0.2">
      <c r="A482" t="s">
        <v>2273</v>
      </c>
      <c r="B482" t="s">
        <v>625</v>
      </c>
      <c r="C482" t="s">
        <v>2274</v>
      </c>
      <c r="D482" s="21">
        <v>498.91</v>
      </c>
      <c r="E482" t="s">
        <v>2274</v>
      </c>
      <c r="F482" s="27">
        <v>0</v>
      </c>
      <c r="G482" s="27">
        <v>0</v>
      </c>
    </row>
    <row r="483" spans="1:7" x14ac:dyDescent="0.2">
      <c r="A483" t="s">
        <v>2263</v>
      </c>
      <c r="B483" t="s">
        <v>23</v>
      </c>
      <c r="C483" t="s">
        <v>2264</v>
      </c>
      <c r="D483" s="21">
        <v>1391</v>
      </c>
      <c r="E483" t="s">
        <v>2264</v>
      </c>
      <c r="F483" s="27">
        <v>0</v>
      </c>
      <c r="G483" s="27">
        <v>0</v>
      </c>
    </row>
    <row r="484" spans="1:7" x14ac:dyDescent="0.2">
      <c r="A484" t="s">
        <v>2268</v>
      </c>
      <c r="B484" t="s">
        <v>598</v>
      </c>
      <c r="C484" t="s">
        <v>2269</v>
      </c>
      <c r="D484" s="21">
        <v>8000</v>
      </c>
      <c r="E484" t="s">
        <v>3136</v>
      </c>
      <c r="F484" s="27">
        <v>0</v>
      </c>
      <c r="G484" s="27">
        <v>0</v>
      </c>
    </row>
    <row r="485" spans="1:7" x14ac:dyDescent="0.2">
      <c r="A485" t="s">
        <v>2282</v>
      </c>
      <c r="B485" t="s">
        <v>625</v>
      </c>
      <c r="C485" t="s">
        <v>2281</v>
      </c>
      <c r="D485" s="21">
        <v>1833.4</v>
      </c>
      <c r="E485" t="s">
        <v>2281</v>
      </c>
      <c r="F485" s="27">
        <v>0</v>
      </c>
      <c r="G485" s="27">
        <v>0</v>
      </c>
    </row>
    <row r="486" spans="1:7" x14ac:dyDescent="0.2">
      <c r="A486" t="s">
        <v>2615</v>
      </c>
      <c r="B486" t="s">
        <v>625</v>
      </c>
      <c r="C486" t="s">
        <v>2614</v>
      </c>
      <c r="D486" s="21">
        <v>83.6</v>
      </c>
      <c r="E486" t="s">
        <v>2614</v>
      </c>
      <c r="F486" s="27">
        <v>0</v>
      </c>
      <c r="G486" s="27">
        <v>0</v>
      </c>
    </row>
    <row r="487" spans="1:7" x14ac:dyDescent="0.2">
      <c r="A487" t="s">
        <v>2618</v>
      </c>
      <c r="B487" t="s">
        <v>625</v>
      </c>
      <c r="C487" t="s">
        <v>2619</v>
      </c>
      <c r="D487" s="21">
        <v>31.98</v>
      </c>
      <c r="E487" t="s">
        <v>2619</v>
      </c>
      <c r="F487" s="27">
        <v>0</v>
      </c>
      <c r="G487" s="27">
        <v>0</v>
      </c>
    </row>
    <row r="488" spans="1:7" x14ac:dyDescent="0.2">
      <c r="A488" t="s">
        <v>2612</v>
      </c>
      <c r="B488" t="s">
        <v>625</v>
      </c>
      <c r="C488" t="s">
        <v>2611</v>
      </c>
      <c r="D488" s="21">
        <v>192.29</v>
      </c>
      <c r="E488" t="s">
        <v>2611</v>
      </c>
      <c r="F488" s="27">
        <v>0</v>
      </c>
      <c r="G488" s="27">
        <v>0</v>
      </c>
    </row>
    <row r="489" spans="1:7" x14ac:dyDescent="0.2">
      <c r="A489" t="s">
        <v>2622</v>
      </c>
      <c r="B489" t="s">
        <v>625</v>
      </c>
      <c r="C489" t="s">
        <v>2621</v>
      </c>
      <c r="D489" s="21">
        <v>72.64</v>
      </c>
      <c r="E489" t="s">
        <v>3137</v>
      </c>
      <c r="F489" s="27">
        <v>0</v>
      </c>
      <c r="G489" s="27">
        <v>0</v>
      </c>
    </row>
    <row r="490" spans="1:7" x14ac:dyDescent="0.2">
      <c r="A490" t="s">
        <v>2625</v>
      </c>
      <c r="B490" t="s">
        <v>625</v>
      </c>
      <c r="C490" t="s">
        <v>2626</v>
      </c>
      <c r="D490" s="21">
        <v>131.22999999999999</v>
      </c>
      <c r="E490" t="s">
        <v>2626</v>
      </c>
      <c r="F490" s="27">
        <v>0</v>
      </c>
      <c r="G490" s="27">
        <v>0</v>
      </c>
    </row>
    <row r="491" spans="1:7" x14ac:dyDescent="0.2">
      <c r="A491" t="s">
        <v>2637</v>
      </c>
      <c r="B491" t="s">
        <v>625</v>
      </c>
      <c r="C491" t="s">
        <v>2636</v>
      </c>
      <c r="D491" s="21">
        <v>154</v>
      </c>
      <c r="E491" t="s">
        <v>2636</v>
      </c>
      <c r="F491" s="27">
        <v>0</v>
      </c>
      <c r="G491" s="27">
        <v>0</v>
      </c>
    </row>
    <row r="492" spans="1:7" x14ac:dyDescent="0.2">
      <c r="A492" t="s">
        <v>2659</v>
      </c>
      <c r="B492" t="s">
        <v>625</v>
      </c>
      <c r="C492" t="s">
        <v>2660</v>
      </c>
      <c r="D492" s="21">
        <v>355</v>
      </c>
      <c r="E492" t="s">
        <v>2660</v>
      </c>
      <c r="F492" s="27">
        <v>0</v>
      </c>
      <c r="G492" s="27">
        <v>0</v>
      </c>
    </row>
    <row r="493" spans="1:7" x14ac:dyDescent="0.2">
      <c r="A493" t="s">
        <v>2733</v>
      </c>
      <c r="B493" t="s">
        <v>625</v>
      </c>
      <c r="C493" t="s">
        <v>2734</v>
      </c>
      <c r="D493" s="21">
        <v>361.2</v>
      </c>
      <c r="E493" t="s">
        <v>2734</v>
      </c>
      <c r="F493" s="27">
        <v>0</v>
      </c>
      <c r="G493" s="27">
        <v>0</v>
      </c>
    </row>
    <row r="494" spans="1:7" x14ac:dyDescent="0.2">
      <c r="A494" t="s">
        <v>2737</v>
      </c>
      <c r="B494" t="s">
        <v>625</v>
      </c>
      <c r="C494" t="s">
        <v>2738</v>
      </c>
      <c r="D494" s="21">
        <v>1647.6</v>
      </c>
      <c r="E494" t="s">
        <v>2738</v>
      </c>
      <c r="F494" s="27">
        <v>0</v>
      </c>
      <c r="G494" s="27">
        <v>0</v>
      </c>
    </row>
    <row r="495" spans="1:7" x14ac:dyDescent="0.2">
      <c r="A495" t="s">
        <v>2741</v>
      </c>
      <c r="B495" t="s">
        <v>625</v>
      </c>
      <c r="C495" t="s">
        <v>2742</v>
      </c>
      <c r="D495" s="21">
        <v>1383</v>
      </c>
      <c r="E495" t="s">
        <v>2742</v>
      </c>
      <c r="F495" s="27">
        <v>0</v>
      </c>
      <c r="G495" s="27">
        <v>0</v>
      </c>
    </row>
    <row r="496" spans="1:7" x14ac:dyDescent="0.2">
      <c r="A496" t="s">
        <v>2830</v>
      </c>
      <c r="B496" t="s">
        <v>23</v>
      </c>
      <c r="C496" t="s">
        <v>2831</v>
      </c>
      <c r="D496" s="21">
        <v>60</v>
      </c>
      <c r="E496" t="s">
        <v>2831</v>
      </c>
      <c r="F496" s="27">
        <v>0</v>
      </c>
      <c r="G496" s="27">
        <v>0</v>
      </c>
    </row>
  </sheetData>
  <mergeCells count="5">
    <mergeCell ref="A1:D1"/>
    <mergeCell ref="A2:D2"/>
    <mergeCell ref="A3:D3"/>
    <mergeCell ref="A4:D4"/>
    <mergeCell ref="A6:D6"/>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774F-38EE-444F-8C84-20A627F423B0}">
  <dimension ref="A1:H2996"/>
  <sheetViews>
    <sheetView workbookViewId="0">
      <selection activeCell="I36" sqref="I36"/>
    </sheetView>
  </sheetViews>
  <sheetFormatPr baseColWidth="10" defaultColWidth="9.1640625" defaultRowHeight="15" x14ac:dyDescent="0.2"/>
  <cols>
    <col min="1" max="1" width="25.6640625" customWidth="1"/>
    <col min="2" max="2" width="3.5" customWidth="1"/>
    <col min="3" max="7" width="13.6640625" customWidth="1"/>
    <col min="8" max="8" width="25.6640625" customWidth="1"/>
  </cols>
  <sheetData>
    <row r="1" spans="1:8" x14ac:dyDescent="0.2">
      <c r="E1" s="87" t="s">
        <v>0</v>
      </c>
      <c r="F1" s="87" t="s">
        <v>0</v>
      </c>
      <c r="G1" s="87" t="s">
        <v>0</v>
      </c>
      <c r="H1" s="87" t="s">
        <v>0</v>
      </c>
    </row>
    <row r="2" spans="1:8" x14ac:dyDescent="0.2">
      <c r="E2" s="87" t="s">
        <v>1</v>
      </c>
      <c r="F2" s="87" t="s">
        <v>1</v>
      </c>
      <c r="G2" s="87" t="s">
        <v>1</v>
      </c>
      <c r="H2" s="87" t="s">
        <v>1</v>
      </c>
    </row>
    <row r="3" spans="1:8" x14ac:dyDescent="0.2">
      <c r="E3" s="87"/>
      <c r="F3" s="87"/>
      <c r="G3" s="87"/>
      <c r="H3" s="87"/>
    </row>
    <row r="4" spans="1:8" x14ac:dyDescent="0.2">
      <c r="E4" s="87"/>
      <c r="F4" s="87"/>
      <c r="G4" s="87"/>
      <c r="H4" s="87"/>
    </row>
    <row r="6" spans="1:8" ht="19" x14ac:dyDescent="0.25">
      <c r="C6" s="101" t="s">
        <v>3138</v>
      </c>
      <c r="D6" s="101" t="s">
        <v>3138</v>
      </c>
      <c r="E6" s="101" t="s">
        <v>3138</v>
      </c>
      <c r="F6" s="101" t="s">
        <v>3138</v>
      </c>
      <c r="G6" s="101" t="s">
        <v>3138</v>
      </c>
    </row>
    <row r="10" spans="1:8" x14ac:dyDescent="0.2">
      <c r="B10" t="s">
        <v>3139</v>
      </c>
      <c r="C10" s="6" t="s">
        <v>6</v>
      </c>
      <c r="D10" s="7" t="s">
        <v>7</v>
      </c>
      <c r="E10" s="6" t="s">
        <v>8</v>
      </c>
    </row>
    <row r="11" spans="1:8" x14ac:dyDescent="0.2">
      <c r="B11" t="s">
        <v>3139</v>
      </c>
      <c r="C11" s="6" t="s">
        <v>9</v>
      </c>
      <c r="D11" s="7" t="s">
        <v>7</v>
      </c>
      <c r="E11" s="6" t="s">
        <v>10</v>
      </c>
    </row>
    <row r="12" spans="1:8" x14ac:dyDescent="0.2">
      <c r="B12" t="s">
        <v>3139</v>
      </c>
      <c r="C12" s="6" t="s">
        <v>11</v>
      </c>
      <c r="D12" s="7" t="s">
        <v>7</v>
      </c>
      <c r="E12" s="6" t="s">
        <v>12</v>
      </c>
    </row>
    <row r="14" spans="1:8" ht="45" customHeight="1" x14ac:dyDescent="0.2">
      <c r="A14" s="17" t="s">
        <v>3140</v>
      </c>
      <c r="B14" s="17" t="s">
        <v>3141</v>
      </c>
      <c r="C14" s="17" t="s">
        <v>14</v>
      </c>
      <c r="D14" s="83" t="s">
        <v>15</v>
      </c>
      <c r="E14" s="102" t="s">
        <v>16</v>
      </c>
      <c r="F14" s="102" t="s">
        <v>16</v>
      </c>
      <c r="G14" s="84">
        <f>SUM(G15:G16)</f>
        <v>15</v>
      </c>
    </row>
    <row r="15" spans="1:8" x14ac:dyDescent="0.2">
      <c r="A15" s="28"/>
      <c r="B15" s="28" t="s">
        <v>3142</v>
      </c>
      <c r="C15" s="29" t="s">
        <v>3143</v>
      </c>
      <c r="D15" s="29" t="s">
        <v>3144</v>
      </c>
      <c r="E15" s="29"/>
      <c r="F15" s="29"/>
      <c r="G15" s="30"/>
    </row>
    <row r="16" spans="1:8" x14ac:dyDescent="0.2">
      <c r="A16" s="31"/>
      <c r="B16" s="31"/>
      <c r="C16" s="32">
        <v>1</v>
      </c>
      <c r="D16" s="32">
        <v>15</v>
      </c>
      <c r="E16" s="32"/>
      <c r="F16" s="32"/>
      <c r="G16" s="32">
        <f>PRODUCT(C16:F16)</f>
        <v>15</v>
      </c>
    </row>
    <row r="18" spans="1:7" ht="45" customHeight="1" x14ac:dyDescent="0.2">
      <c r="A18" s="17" t="s">
        <v>3145</v>
      </c>
      <c r="B18" s="17" t="s">
        <v>3141</v>
      </c>
      <c r="C18" s="17" t="s">
        <v>17</v>
      </c>
      <c r="D18" s="83" t="s">
        <v>18</v>
      </c>
      <c r="E18" s="102" t="s">
        <v>19</v>
      </c>
      <c r="F18" s="102" t="s">
        <v>19</v>
      </c>
      <c r="G18" s="84">
        <f>SUM(G19:G28)</f>
        <v>219.45</v>
      </c>
    </row>
    <row r="19" spans="1:7" x14ac:dyDescent="0.2">
      <c r="A19" s="28"/>
      <c r="B19" s="28" t="s">
        <v>3142</v>
      </c>
      <c r="C19" s="29" t="s">
        <v>3143</v>
      </c>
      <c r="D19" s="29" t="s">
        <v>3146</v>
      </c>
      <c r="E19" s="29" t="s">
        <v>3147</v>
      </c>
      <c r="F19" s="29" t="s">
        <v>3148</v>
      </c>
      <c r="G19" s="30"/>
    </row>
    <row r="20" spans="1:7" x14ac:dyDescent="0.2">
      <c r="A20" s="33" t="s">
        <v>3149</v>
      </c>
      <c r="B20" s="33" t="s">
        <v>3150</v>
      </c>
      <c r="C20" s="34"/>
      <c r="D20" s="34"/>
      <c r="E20" s="34"/>
      <c r="F20" s="34"/>
      <c r="G20" s="35"/>
    </row>
    <row r="21" spans="1:7" x14ac:dyDescent="0.2">
      <c r="A21" s="31" t="s">
        <v>3151</v>
      </c>
      <c r="B21" s="31"/>
      <c r="C21" s="32"/>
      <c r="D21" s="32"/>
      <c r="E21" s="32"/>
      <c r="F21" s="32"/>
      <c r="G21" s="32"/>
    </row>
    <row r="22" spans="1:7" x14ac:dyDescent="0.2">
      <c r="A22" s="31" t="s">
        <v>3152</v>
      </c>
      <c r="B22" s="31"/>
      <c r="C22" s="32">
        <v>1</v>
      </c>
      <c r="D22" s="32">
        <v>15</v>
      </c>
      <c r="E22" s="32"/>
      <c r="F22" s="32">
        <v>3.5</v>
      </c>
      <c r="G22" s="32">
        <f t="shared" ref="G22:G28" si="0">PRODUCT(C22:F22)</f>
        <v>52.5</v>
      </c>
    </row>
    <row r="23" spans="1:7" x14ac:dyDescent="0.2">
      <c r="A23" s="31" t="s">
        <v>3152</v>
      </c>
      <c r="B23" s="31"/>
      <c r="C23" s="32">
        <v>1</v>
      </c>
      <c r="D23" s="32">
        <v>6</v>
      </c>
      <c r="E23" s="32"/>
      <c r="F23" s="32">
        <v>3.5</v>
      </c>
      <c r="G23" s="32">
        <f t="shared" si="0"/>
        <v>21</v>
      </c>
    </row>
    <row r="24" spans="1:7" x14ac:dyDescent="0.2">
      <c r="A24" s="31" t="s">
        <v>3152</v>
      </c>
      <c r="B24" s="31"/>
      <c r="C24" s="32">
        <v>1</v>
      </c>
      <c r="D24" s="32">
        <v>6</v>
      </c>
      <c r="E24" s="32"/>
      <c r="F24" s="32">
        <v>3.5</v>
      </c>
      <c r="G24" s="32">
        <f t="shared" si="0"/>
        <v>21</v>
      </c>
    </row>
    <row r="25" spans="1:7" x14ac:dyDescent="0.2">
      <c r="A25" s="31" t="s">
        <v>3153</v>
      </c>
      <c r="B25" s="31"/>
      <c r="C25" s="32">
        <v>1</v>
      </c>
      <c r="D25" s="32">
        <v>15</v>
      </c>
      <c r="E25" s="32">
        <v>6</v>
      </c>
      <c r="F25" s="32"/>
      <c r="G25" s="32">
        <f t="shared" si="0"/>
        <v>90</v>
      </c>
    </row>
    <row r="26" spans="1:7" x14ac:dyDescent="0.2">
      <c r="A26" s="31"/>
      <c r="B26" s="31"/>
      <c r="C26" s="32">
        <v>1</v>
      </c>
      <c r="D26" s="32">
        <v>6</v>
      </c>
      <c r="E26" s="32">
        <v>4</v>
      </c>
      <c r="F26" s="32"/>
      <c r="G26" s="32">
        <f t="shared" si="0"/>
        <v>24</v>
      </c>
    </row>
    <row r="27" spans="1:7" x14ac:dyDescent="0.2">
      <c r="A27" s="31" t="s">
        <v>3154</v>
      </c>
      <c r="B27" s="31"/>
      <c r="C27" s="32">
        <v>1</v>
      </c>
      <c r="D27" s="32">
        <v>1.5</v>
      </c>
      <c r="E27" s="32"/>
      <c r="F27" s="32">
        <v>1.3</v>
      </c>
      <c r="G27" s="32">
        <f t="shared" si="0"/>
        <v>1.9500000000000002</v>
      </c>
    </row>
    <row r="28" spans="1:7" x14ac:dyDescent="0.2">
      <c r="A28" s="31" t="s">
        <v>3155</v>
      </c>
      <c r="B28" s="31"/>
      <c r="C28" s="32">
        <v>1</v>
      </c>
      <c r="D28" s="32">
        <v>3</v>
      </c>
      <c r="E28" s="32"/>
      <c r="F28" s="32">
        <v>3</v>
      </c>
      <c r="G28" s="32">
        <f t="shared" si="0"/>
        <v>9</v>
      </c>
    </row>
    <row r="30" spans="1:7" ht="45" customHeight="1" x14ac:dyDescent="0.2">
      <c r="A30" s="17" t="s">
        <v>3156</v>
      </c>
      <c r="B30" s="17" t="s">
        <v>3141</v>
      </c>
      <c r="C30" s="17" t="s">
        <v>20</v>
      </c>
      <c r="D30" s="83" t="s">
        <v>18</v>
      </c>
      <c r="E30" s="102" t="s">
        <v>21</v>
      </c>
      <c r="F30" s="102" t="s">
        <v>21</v>
      </c>
      <c r="G30" s="84">
        <f>SUM(G31:G33)</f>
        <v>232</v>
      </c>
    </row>
    <row r="31" spans="1:7" x14ac:dyDescent="0.2">
      <c r="A31" s="28"/>
      <c r="B31" s="28" t="s">
        <v>3142</v>
      </c>
      <c r="C31" s="29" t="s">
        <v>3143</v>
      </c>
      <c r="D31" s="29" t="s">
        <v>3157</v>
      </c>
      <c r="E31" s="29"/>
      <c r="F31" s="29"/>
      <c r="G31" s="30"/>
    </row>
    <row r="32" spans="1:7" x14ac:dyDescent="0.2">
      <c r="A32" s="31" t="s">
        <v>3158</v>
      </c>
      <c r="B32" s="31"/>
      <c r="C32" s="32">
        <v>1</v>
      </c>
      <c r="D32" s="32">
        <v>195</v>
      </c>
      <c r="E32" s="32"/>
      <c r="F32" s="32"/>
      <c r="G32" s="32">
        <f>PRODUCT(C32:F32)</f>
        <v>195</v>
      </c>
    </row>
    <row r="33" spans="1:7" x14ac:dyDescent="0.2">
      <c r="A33" s="31" t="s">
        <v>3159</v>
      </c>
      <c r="B33" s="31"/>
      <c r="C33" s="32">
        <v>1</v>
      </c>
      <c r="D33" s="32">
        <v>37</v>
      </c>
      <c r="E33" s="32"/>
      <c r="F33" s="32"/>
      <c r="G33" s="32">
        <f>PRODUCT(C33:F33)</f>
        <v>37</v>
      </c>
    </row>
    <row r="35" spans="1:7" ht="45" customHeight="1" x14ac:dyDescent="0.2">
      <c r="A35" s="17" t="s">
        <v>3160</v>
      </c>
      <c r="B35" s="17" t="s">
        <v>3141</v>
      </c>
      <c r="C35" s="17" t="s">
        <v>22</v>
      </c>
      <c r="D35" s="83" t="s">
        <v>23</v>
      </c>
      <c r="E35" s="102" t="s">
        <v>24</v>
      </c>
      <c r="F35" s="102" t="s">
        <v>24</v>
      </c>
      <c r="G35" s="84">
        <f>SUM(G36:G38)</f>
        <v>2</v>
      </c>
    </row>
    <row r="36" spans="1:7" x14ac:dyDescent="0.2">
      <c r="A36" s="28"/>
      <c r="B36" s="28" t="s">
        <v>3142</v>
      </c>
      <c r="C36" s="29" t="s">
        <v>3143</v>
      </c>
      <c r="D36" s="29"/>
      <c r="E36" s="29"/>
      <c r="F36" s="29"/>
      <c r="G36" s="30"/>
    </row>
    <row r="37" spans="1:7" x14ac:dyDescent="0.2">
      <c r="A37" s="31" t="s">
        <v>3161</v>
      </c>
      <c r="B37" s="31"/>
      <c r="C37" s="32">
        <v>1</v>
      </c>
      <c r="D37" s="32"/>
      <c r="E37" s="32"/>
      <c r="F37" s="32"/>
      <c r="G37" s="32">
        <f>PRODUCT(C37:F37)</f>
        <v>1</v>
      </c>
    </row>
    <row r="38" spans="1:7" x14ac:dyDescent="0.2">
      <c r="A38" s="31" t="s">
        <v>3162</v>
      </c>
      <c r="B38" s="31"/>
      <c r="C38" s="32">
        <v>1</v>
      </c>
      <c r="D38" s="32"/>
      <c r="E38" s="32"/>
      <c r="F38" s="32"/>
      <c r="G38" s="32">
        <f>PRODUCT(C38:F38)</f>
        <v>1</v>
      </c>
    </row>
    <row r="40" spans="1:7" x14ac:dyDescent="0.2">
      <c r="B40" t="s">
        <v>3139</v>
      </c>
      <c r="C40" s="6" t="s">
        <v>6</v>
      </c>
      <c r="D40" s="7" t="s">
        <v>7</v>
      </c>
      <c r="E40" s="6" t="s">
        <v>8</v>
      </c>
    </row>
    <row r="41" spans="1:7" x14ac:dyDescent="0.2">
      <c r="B41" t="s">
        <v>3139</v>
      </c>
      <c r="C41" s="6" t="s">
        <v>9</v>
      </c>
      <c r="D41" s="7" t="s">
        <v>7</v>
      </c>
      <c r="E41" s="6" t="s">
        <v>10</v>
      </c>
    </row>
    <row r="42" spans="1:7" x14ac:dyDescent="0.2">
      <c r="B42" t="s">
        <v>3139</v>
      </c>
      <c r="C42" s="6" t="s">
        <v>11</v>
      </c>
      <c r="D42" s="7" t="s">
        <v>26</v>
      </c>
      <c r="E42" s="6" t="s">
        <v>27</v>
      </c>
    </row>
    <row r="44" spans="1:7" ht="45" customHeight="1" x14ac:dyDescent="0.2">
      <c r="A44" s="17" t="s">
        <v>3163</v>
      </c>
      <c r="B44" s="17" t="s">
        <v>3141</v>
      </c>
      <c r="C44" s="17" t="s">
        <v>29</v>
      </c>
      <c r="D44" s="83" t="s">
        <v>23</v>
      </c>
      <c r="E44" s="102" t="s">
        <v>30</v>
      </c>
      <c r="F44" s="102" t="s">
        <v>30</v>
      </c>
      <c r="G44" s="84">
        <f>SUM(G45:G46)</f>
        <v>1</v>
      </c>
    </row>
    <row r="45" spans="1:7" x14ac:dyDescent="0.2">
      <c r="A45" s="28"/>
      <c r="B45" s="28" t="s">
        <v>3142</v>
      </c>
      <c r="C45" s="29" t="s">
        <v>3143</v>
      </c>
      <c r="D45" s="29"/>
      <c r="E45" s="29"/>
      <c r="F45" s="29"/>
      <c r="G45" s="30"/>
    </row>
    <row r="46" spans="1:7" x14ac:dyDescent="0.2">
      <c r="A46" s="31" t="s">
        <v>3164</v>
      </c>
      <c r="B46" s="31"/>
      <c r="C46" s="32">
        <v>1</v>
      </c>
      <c r="D46" s="32"/>
      <c r="E46" s="32"/>
      <c r="F46" s="32"/>
      <c r="G46" s="32">
        <f>PRODUCT(C46:F46)</f>
        <v>1</v>
      </c>
    </row>
    <row r="48" spans="1:7" ht="45" customHeight="1" x14ac:dyDescent="0.2">
      <c r="A48" s="17" t="s">
        <v>3165</v>
      </c>
      <c r="B48" s="17" t="s">
        <v>3141</v>
      </c>
      <c r="C48" s="17" t="s">
        <v>31</v>
      </c>
      <c r="D48" s="83" t="s">
        <v>18</v>
      </c>
      <c r="E48" s="102" t="s">
        <v>32</v>
      </c>
      <c r="F48" s="102" t="s">
        <v>32</v>
      </c>
      <c r="G48" s="84">
        <f>SUM(G49:G60)</f>
        <v>30.760900000000003</v>
      </c>
    </row>
    <row r="49" spans="1:7" x14ac:dyDescent="0.2">
      <c r="A49" s="28"/>
      <c r="B49" s="28" t="s">
        <v>3142</v>
      </c>
      <c r="C49" s="29" t="s">
        <v>3143</v>
      </c>
      <c r="D49" s="29" t="s">
        <v>3146</v>
      </c>
      <c r="E49" s="29" t="s">
        <v>3148</v>
      </c>
      <c r="F49" s="29"/>
      <c r="G49" s="30"/>
    </row>
    <row r="50" spans="1:7" x14ac:dyDescent="0.2">
      <c r="A50" s="31" t="s">
        <v>3166</v>
      </c>
      <c r="B50" s="31"/>
      <c r="C50" s="32">
        <v>1</v>
      </c>
      <c r="D50" s="32">
        <v>1</v>
      </c>
      <c r="E50" s="32">
        <v>0.8</v>
      </c>
      <c r="F50" s="32"/>
      <c r="G50" s="32">
        <f t="shared" ref="G50:G60" si="1">PRODUCT(C50:F50)</f>
        <v>0.8</v>
      </c>
    </row>
    <row r="51" spans="1:7" x14ac:dyDescent="0.2">
      <c r="A51" s="31" t="s">
        <v>3167</v>
      </c>
      <c r="B51" s="31"/>
      <c r="C51" s="32">
        <v>1</v>
      </c>
      <c r="D51" s="32">
        <v>0.83</v>
      </c>
      <c r="E51" s="32">
        <v>0.83</v>
      </c>
      <c r="F51" s="32"/>
      <c r="G51" s="32">
        <f t="shared" si="1"/>
        <v>0.68889999999999996</v>
      </c>
    </row>
    <row r="52" spans="1:7" x14ac:dyDescent="0.2">
      <c r="A52" s="31" t="s">
        <v>3168</v>
      </c>
      <c r="B52" s="31"/>
      <c r="C52" s="32">
        <v>1</v>
      </c>
      <c r="D52" s="32">
        <v>1.33</v>
      </c>
      <c r="E52" s="32">
        <v>0.88</v>
      </c>
      <c r="F52" s="32"/>
      <c r="G52" s="32">
        <f t="shared" si="1"/>
        <v>1.1704000000000001</v>
      </c>
    </row>
    <row r="53" spans="1:7" x14ac:dyDescent="0.2">
      <c r="A53" s="31" t="s">
        <v>3169</v>
      </c>
      <c r="B53" s="31"/>
      <c r="C53" s="32">
        <v>1</v>
      </c>
      <c r="D53" s="32">
        <v>0.62</v>
      </c>
      <c r="E53" s="32">
        <v>0.92</v>
      </c>
      <c r="F53" s="32"/>
      <c r="G53" s="32">
        <f t="shared" si="1"/>
        <v>0.57040000000000002</v>
      </c>
    </row>
    <row r="54" spans="1:7" x14ac:dyDescent="0.2">
      <c r="A54" s="31" t="s">
        <v>3170</v>
      </c>
      <c r="B54" s="31"/>
      <c r="C54" s="32">
        <v>1</v>
      </c>
      <c r="D54" s="32">
        <v>0.91</v>
      </c>
      <c r="E54" s="32">
        <v>1.24</v>
      </c>
      <c r="F54" s="32"/>
      <c r="G54" s="32">
        <f t="shared" si="1"/>
        <v>1.1284000000000001</v>
      </c>
    </row>
    <row r="55" spans="1:7" x14ac:dyDescent="0.2">
      <c r="A55" s="31" t="s">
        <v>3171</v>
      </c>
      <c r="B55" s="31"/>
      <c r="C55" s="32">
        <v>1</v>
      </c>
      <c r="D55" s="32">
        <v>1.28</v>
      </c>
      <c r="E55" s="32">
        <v>1.79</v>
      </c>
      <c r="F55" s="32"/>
      <c r="G55" s="32">
        <f t="shared" si="1"/>
        <v>2.2911999999999999</v>
      </c>
    </row>
    <row r="56" spans="1:7" x14ac:dyDescent="0.2">
      <c r="A56" s="31" t="s">
        <v>3172</v>
      </c>
      <c r="B56" s="31"/>
      <c r="C56" s="32">
        <v>4</v>
      </c>
      <c r="D56" s="32">
        <v>0.88</v>
      </c>
      <c r="E56" s="32">
        <v>1.33</v>
      </c>
      <c r="F56" s="32"/>
      <c r="G56" s="32">
        <f t="shared" si="1"/>
        <v>4.6816000000000004</v>
      </c>
    </row>
    <row r="57" spans="1:7" x14ac:dyDescent="0.2">
      <c r="A57" s="31" t="s">
        <v>3173</v>
      </c>
      <c r="B57" s="31"/>
      <c r="C57" s="32">
        <v>3</v>
      </c>
      <c r="D57" s="32">
        <v>3.1</v>
      </c>
      <c r="E57" s="32">
        <v>0.9</v>
      </c>
      <c r="F57" s="32"/>
      <c r="G57" s="32">
        <f t="shared" si="1"/>
        <v>8.370000000000001</v>
      </c>
    </row>
    <row r="58" spans="1:7" x14ac:dyDescent="0.2">
      <c r="A58" s="31"/>
      <c r="B58" s="31"/>
      <c r="C58" s="32">
        <v>3</v>
      </c>
      <c r="D58" s="32">
        <v>2.2000000000000002</v>
      </c>
      <c r="E58" s="32">
        <v>0.9</v>
      </c>
      <c r="F58" s="32"/>
      <c r="G58" s="32">
        <f t="shared" si="1"/>
        <v>5.94</v>
      </c>
    </row>
    <row r="59" spans="1:7" x14ac:dyDescent="0.2">
      <c r="A59" s="31"/>
      <c r="B59" s="31"/>
      <c r="C59" s="32">
        <v>2</v>
      </c>
      <c r="D59" s="32">
        <v>1.2</v>
      </c>
      <c r="E59" s="32">
        <v>1.3</v>
      </c>
      <c r="F59" s="32"/>
      <c r="G59" s="32">
        <f t="shared" si="1"/>
        <v>3.12</v>
      </c>
    </row>
    <row r="60" spans="1:7" x14ac:dyDescent="0.2">
      <c r="A60" s="31" t="s">
        <v>3174</v>
      </c>
      <c r="B60" s="31"/>
      <c r="C60" s="32">
        <v>1</v>
      </c>
      <c r="D60" s="32">
        <v>1</v>
      </c>
      <c r="E60" s="32">
        <v>2</v>
      </c>
      <c r="F60" s="32"/>
      <c r="G60" s="32">
        <f t="shared" si="1"/>
        <v>2</v>
      </c>
    </row>
    <row r="62" spans="1:7" ht="45" customHeight="1" x14ac:dyDescent="0.2">
      <c r="A62" s="17" t="s">
        <v>3175</v>
      </c>
      <c r="B62" s="17" t="s">
        <v>3141</v>
      </c>
      <c r="C62" s="17" t="s">
        <v>33</v>
      </c>
      <c r="D62" s="83" t="s">
        <v>15</v>
      </c>
      <c r="E62" s="102" t="s">
        <v>34</v>
      </c>
      <c r="F62" s="102" t="s">
        <v>34</v>
      </c>
      <c r="G62" s="84">
        <f>SUM(G63:G71)</f>
        <v>244.36</v>
      </c>
    </row>
    <row r="63" spans="1:7" x14ac:dyDescent="0.2">
      <c r="A63" s="28"/>
      <c r="B63" s="28" t="s">
        <v>3142</v>
      </c>
      <c r="C63" s="29" t="s">
        <v>3143</v>
      </c>
      <c r="D63" s="29" t="s">
        <v>3157</v>
      </c>
      <c r="E63" s="29" t="s">
        <v>3148</v>
      </c>
      <c r="F63" s="29"/>
      <c r="G63" s="30"/>
    </row>
    <row r="64" spans="1:7" x14ac:dyDescent="0.2">
      <c r="A64" s="31" t="s">
        <v>3176</v>
      </c>
      <c r="B64" s="31"/>
      <c r="C64" s="32">
        <v>1</v>
      </c>
      <c r="D64" s="32">
        <v>67</v>
      </c>
      <c r="E64" s="32">
        <v>3</v>
      </c>
      <c r="F64" s="32"/>
      <c r="G64" s="32">
        <f t="shared" ref="G64:G71" si="2">PRODUCT(C64:F64)</f>
        <v>201</v>
      </c>
    </row>
    <row r="65" spans="1:7" x14ac:dyDescent="0.2">
      <c r="A65" s="31" t="s">
        <v>3177</v>
      </c>
      <c r="B65" s="31"/>
      <c r="C65" s="32">
        <v>2</v>
      </c>
      <c r="D65" s="32">
        <v>1</v>
      </c>
      <c r="E65" s="32">
        <v>1.5</v>
      </c>
      <c r="F65" s="32"/>
      <c r="G65" s="32">
        <f t="shared" si="2"/>
        <v>3</v>
      </c>
    </row>
    <row r="66" spans="1:7" x14ac:dyDescent="0.2">
      <c r="A66" s="31" t="s">
        <v>3174</v>
      </c>
      <c r="B66" s="31"/>
      <c r="C66" s="32">
        <v>1</v>
      </c>
      <c r="D66" s="32">
        <v>4.2</v>
      </c>
      <c r="E66" s="32">
        <v>1.2</v>
      </c>
      <c r="F66" s="32"/>
      <c r="G66" s="32">
        <f t="shared" si="2"/>
        <v>5.04</v>
      </c>
    </row>
    <row r="67" spans="1:7" x14ac:dyDescent="0.2">
      <c r="A67" s="31" t="s">
        <v>3178</v>
      </c>
      <c r="B67" s="31"/>
      <c r="C67" s="32">
        <v>3</v>
      </c>
      <c r="D67" s="32">
        <v>3.5</v>
      </c>
      <c r="E67" s="32">
        <v>1</v>
      </c>
      <c r="F67" s="32"/>
      <c r="G67" s="32">
        <f t="shared" si="2"/>
        <v>10.5</v>
      </c>
    </row>
    <row r="68" spans="1:7" x14ac:dyDescent="0.2">
      <c r="A68" s="31"/>
      <c r="B68" s="31"/>
      <c r="C68" s="32">
        <v>2</v>
      </c>
      <c r="D68" s="32">
        <v>2.4</v>
      </c>
      <c r="E68" s="32">
        <v>1</v>
      </c>
      <c r="F68" s="32"/>
      <c r="G68" s="32">
        <f t="shared" si="2"/>
        <v>4.8</v>
      </c>
    </row>
    <row r="69" spans="1:7" x14ac:dyDescent="0.2">
      <c r="A69" s="31"/>
      <c r="B69" s="31"/>
      <c r="C69" s="32">
        <v>1</v>
      </c>
      <c r="D69" s="32">
        <v>1</v>
      </c>
      <c r="E69" s="32">
        <v>1</v>
      </c>
      <c r="F69" s="32"/>
      <c r="G69" s="32">
        <f t="shared" si="2"/>
        <v>1</v>
      </c>
    </row>
    <row r="70" spans="1:7" x14ac:dyDescent="0.2">
      <c r="A70" s="31" t="s">
        <v>3179</v>
      </c>
      <c r="B70" s="31"/>
      <c r="C70" s="32">
        <v>1</v>
      </c>
      <c r="D70" s="32">
        <v>2.9</v>
      </c>
      <c r="E70" s="32">
        <v>1.8</v>
      </c>
      <c r="F70" s="32"/>
      <c r="G70" s="32">
        <f t="shared" si="2"/>
        <v>5.22</v>
      </c>
    </row>
    <row r="71" spans="1:7" x14ac:dyDescent="0.2">
      <c r="A71" s="31"/>
      <c r="B71" s="31"/>
      <c r="C71" s="32">
        <v>1</v>
      </c>
      <c r="D71" s="32">
        <v>4.5999999999999996</v>
      </c>
      <c r="E71" s="32">
        <v>3</v>
      </c>
      <c r="F71" s="32"/>
      <c r="G71" s="32">
        <f t="shared" si="2"/>
        <v>13.799999999999999</v>
      </c>
    </row>
    <row r="73" spans="1:7" ht="45" customHeight="1" x14ac:dyDescent="0.2">
      <c r="A73" s="17" t="s">
        <v>3180</v>
      </c>
      <c r="B73" s="17" t="s">
        <v>3141</v>
      </c>
      <c r="C73" s="17" t="s">
        <v>35</v>
      </c>
      <c r="D73" s="83" t="s">
        <v>36</v>
      </c>
      <c r="E73" s="102" t="s">
        <v>37</v>
      </c>
      <c r="F73" s="102" t="s">
        <v>37</v>
      </c>
      <c r="G73" s="84">
        <f>SUM(G74:G76)</f>
        <v>9.6</v>
      </c>
    </row>
    <row r="74" spans="1:7" x14ac:dyDescent="0.2">
      <c r="A74" s="28"/>
      <c r="B74" s="28" t="s">
        <v>3142</v>
      </c>
      <c r="C74" s="29" t="s">
        <v>3143</v>
      </c>
      <c r="D74" s="29" t="s">
        <v>3146</v>
      </c>
      <c r="E74" s="29"/>
      <c r="F74" s="29"/>
      <c r="G74" s="30"/>
    </row>
    <row r="75" spans="1:7" x14ac:dyDescent="0.2">
      <c r="A75" s="31" t="s">
        <v>3181</v>
      </c>
      <c r="B75" s="31"/>
      <c r="C75" s="32">
        <v>1</v>
      </c>
      <c r="D75" s="32">
        <v>8</v>
      </c>
      <c r="E75" s="32"/>
      <c r="F75" s="32"/>
      <c r="G75" s="32">
        <f>PRODUCT(C75:F75)</f>
        <v>8</v>
      </c>
    </row>
    <row r="76" spans="1:7" x14ac:dyDescent="0.2">
      <c r="A76" s="31"/>
      <c r="B76" s="31"/>
      <c r="C76" s="32">
        <v>2</v>
      </c>
      <c r="D76" s="32">
        <v>0.8</v>
      </c>
      <c r="E76" s="32"/>
      <c r="F76" s="32"/>
      <c r="G76" s="32">
        <f>PRODUCT(C76:F76)</f>
        <v>1.6</v>
      </c>
    </row>
    <row r="78" spans="1:7" ht="45" customHeight="1" x14ac:dyDescent="0.2">
      <c r="A78" s="17" t="s">
        <v>3182</v>
      </c>
      <c r="B78" s="17" t="s">
        <v>3141</v>
      </c>
      <c r="C78" s="17" t="s">
        <v>38</v>
      </c>
      <c r="D78" s="83" t="s">
        <v>18</v>
      </c>
      <c r="E78" s="102" t="s">
        <v>39</v>
      </c>
      <c r="F78" s="102" t="s">
        <v>39</v>
      </c>
      <c r="G78" s="84">
        <f>SUM(G79:G81)</f>
        <v>12.16</v>
      </c>
    </row>
    <row r="79" spans="1:7" x14ac:dyDescent="0.2">
      <c r="A79" s="28"/>
      <c r="B79" s="28" t="s">
        <v>3142</v>
      </c>
      <c r="C79" s="29" t="s">
        <v>3143</v>
      </c>
      <c r="D79" s="29" t="s">
        <v>3146</v>
      </c>
      <c r="E79" s="29" t="s">
        <v>3147</v>
      </c>
      <c r="F79" s="29"/>
      <c r="G79" s="30"/>
    </row>
    <row r="80" spans="1:7" x14ac:dyDescent="0.2">
      <c r="A80" s="31" t="s">
        <v>3181</v>
      </c>
      <c r="B80" s="31"/>
      <c r="C80" s="32">
        <v>1</v>
      </c>
      <c r="D80" s="32">
        <v>8</v>
      </c>
      <c r="E80" s="32">
        <v>0.8</v>
      </c>
      <c r="F80" s="32"/>
      <c r="G80" s="32">
        <f>PRODUCT(C80:F80)</f>
        <v>6.4</v>
      </c>
    </row>
    <row r="81" spans="1:7" x14ac:dyDescent="0.2">
      <c r="A81" s="31"/>
      <c r="B81" s="31"/>
      <c r="C81" s="32">
        <v>1</v>
      </c>
      <c r="D81" s="32">
        <v>7.2</v>
      </c>
      <c r="E81" s="32">
        <v>0.8</v>
      </c>
      <c r="F81" s="32"/>
      <c r="G81" s="32">
        <f>PRODUCT(C81:F81)</f>
        <v>5.7600000000000007</v>
      </c>
    </row>
    <row r="83" spans="1:7" ht="45" customHeight="1" x14ac:dyDescent="0.2">
      <c r="A83" s="17" t="s">
        <v>3183</v>
      </c>
      <c r="B83" s="17" t="s">
        <v>3141</v>
      </c>
      <c r="C83" s="17" t="s">
        <v>40</v>
      </c>
      <c r="D83" s="83" t="s">
        <v>18</v>
      </c>
      <c r="E83" s="102" t="s">
        <v>41</v>
      </c>
      <c r="F83" s="102" t="s">
        <v>41</v>
      </c>
      <c r="G83" s="84">
        <f>SUM(G84:G88)</f>
        <v>399</v>
      </c>
    </row>
    <row r="84" spans="1:7" x14ac:dyDescent="0.2">
      <c r="A84" s="28"/>
      <c r="B84" s="28" t="s">
        <v>3142</v>
      </c>
      <c r="C84" s="29" t="s">
        <v>3143</v>
      </c>
      <c r="D84" s="29" t="s">
        <v>3157</v>
      </c>
      <c r="E84" s="29"/>
      <c r="F84" s="29"/>
      <c r="G84" s="30"/>
    </row>
    <row r="85" spans="1:7" x14ac:dyDescent="0.2">
      <c r="A85" s="31" t="s">
        <v>3181</v>
      </c>
      <c r="B85" s="31"/>
      <c r="C85" s="32">
        <v>1</v>
      </c>
      <c r="D85" s="32">
        <v>62</v>
      </c>
      <c r="E85" s="32"/>
      <c r="F85" s="32"/>
      <c r="G85" s="32">
        <f>PRODUCT(C85:F85)</f>
        <v>62</v>
      </c>
    </row>
    <row r="86" spans="1:7" x14ac:dyDescent="0.2">
      <c r="A86" s="31" t="s">
        <v>3184</v>
      </c>
      <c r="B86" s="31"/>
      <c r="C86" s="32">
        <v>1</v>
      </c>
      <c r="D86" s="32">
        <v>59</v>
      </c>
      <c r="E86" s="32"/>
      <c r="F86" s="32"/>
      <c r="G86" s="32">
        <f>PRODUCT(C86:F86)</f>
        <v>59</v>
      </c>
    </row>
    <row r="87" spans="1:7" x14ac:dyDescent="0.2">
      <c r="A87" s="31" t="s">
        <v>3185</v>
      </c>
      <c r="B87" s="31"/>
      <c r="C87" s="32">
        <v>1</v>
      </c>
      <c r="D87" s="32">
        <v>40</v>
      </c>
      <c r="E87" s="32"/>
      <c r="F87" s="32"/>
      <c r="G87" s="32">
        <f>PRODUCT(C87:F87)</f>
        <v>40</v>
      </c>
    </row>
    <row r="88" spans="1:7" x14ac:dyDescent="0.2">
      <c r="A88" s="31" t="s">
        <v>3186</v>
      </c>
      <c r="B88" s="31"/>
      <c r="C88" s="32">
        <v>1</v>
      </c>
      <c r="D88" s="32">
        <v>238</v>
      </c>
      <c r="E88" s="32"/>
      <c r="F88" s="32"/>
      <c r="G88" s="32">
        <f>PRODUCT(C88:F88)</f>
        <v>238</v>
      </c>
    </row>
    <row r="90" spans="1:7" ht="45" customHeight="1" x14ac:dyDescent="0.2">
      <c r="A90" s="17" t="s">
        <v>3187</v>
      </c>
      <c r="B90" s="17" t="s">
        <v>3141</v>
      </c>
      <c r="C90" s="17" t="s">
        <v>42</v>
      </c>
      <c r="D90" s="83" t="s">
        <v>23</v>
      </c>
      <c r="E90" s="102" t="s">
        <v>43</v>
      </c>
      <c r="F90" s="102" t="s">
        <v>43</v>
      </c>
      <c r="G90" s="84">
        <f>SUM(G91:G92)</f>
        <v>5</v>
      </c>
    </row>
    <row r="91" spans="1:7" x14ac:dyDescent="0.2">
      <c r="A91" s="28"/>
      <c r="B91" s="28" t="s">
        <v>3142</v>
      </c>
      <c r="C91" s="29" t="s">
        <v>3143</v>
      </c>
      <c r="D91" s="29"/>
      <c r="E91" s="29"/>
      <c r="F91" s="29"/>
      <c r="G91" s="30"/>
    </row>
    <row r="92" spans="1:7" x14ac:dyDescent="0.2">
      <c r="A92" s="31" t="s">
        <v>3186</v>
      </c>
      <c r="B92" s="31"/>
      <c r="C92" s="32">
        <v>5</v>
      </c>
      <c r="D92" s="32"/>
      <c r="E92" s="32"/>
      <c r="F92" s="32"/>
      <c r="G92" s="32">
        <f>PRODUCT(C92:F92)</f>
        <v>5</v>
      </c>
    </row>
    <row r="94" spans="1:7" ht="45" customHeight="1" x14ac:dyDescent="0.2">
      <c r="A94" s="17" t="s">
        <v>3188</v>
      </c>
      <c r="B94" s="17" t="s">
        <v>3141</v>
      </c>
      <c r="C94" s="17" t="s">
        <v>44</v>
      </c>
      <c r="D94" s="83" t="s">
        <v>18</v>
      </c>
      <c r="E94" s="102" t="s">
        <v>45</v>
      </c>
      <c r="F94" s="102" t="s">
        <v>45</v>
      </c>
      <c r="G94" s="84">
        <f>SUM(G95:G97)</f>
        <v>260</v>
      </c>
    </row>
    <row r="95" spans="1:7" x14ac:dyDescent="0.2">
      <c r="A95" s="28"/>
      <c r="B95" s="28" t="s">
        <v>3142</v>
      </c>
      <c r="C95" s="29" t="s">
        <v>3143</v>
      </c>
      <c r="D95" s="29" t="s">
        <v>3157</v>
      </c>
      <c r="E95" s="29"/>
      <c r="F95" s="29"/>
      <c r="G95" s="30"/>
    </row>
    <row r="96" spans="1:7" x14ac:dyDescent="0.2">
      <c r="A96" s="31" t="s">
        <v>3186</v>
      </c>
      <c r="B96" s="31"/>
      <c r="C96" s="32">
        <v>1</v>
      </c>
      <c r="D96" s="32">
        <v>238</v>
      </c>
      <c r="E96" s="32"/>
      <c r="F96" s="32"/>
      <c r="G96" s="32">
        <f>PRODUCT(C96:F96)</f>
        <v>238</v>
      </c>
    </row>
    <row r="97" spans="1:7" x14ac:dyDescent="0.2">
      <c r="A97" s="31" t="s">
        <v>3189</v>
      </c>
      <c r="B97" s="31"/>
      <c r="C97" s="32">
        <v>1</v>
      </c>
      <c r="D97" s="32">
        <v>22</v>
      </c>
      <c r="E97" s="32"/>
      <c r="F97" s="32"/>
      <c r="G97" s="32">
        <f>PRODUCT(C97:F97)</f>
        <v>22</v>
      </c>
    </row>
    <row r="99" spans="1:7" ht="45" customHeight="1" x14ac:dyDescent="0.2">
      <c r="A99" s="17" t="s">
        <v>3190</v>
      </c>
      <c r="B99" s="17" t="s">
        <v>3141</v>
      </c>
      <c r="C99" s="17" t="s">
        <v>46</v>
      </c>
      <c r="D99" s="83" t="s">
        <v>18</v>
      </c>
      <c r="E99" s="102" t="s">
        <v>47</v>
      </c>
      <c r="F99" s="102" t="s">
        <v>47</v>
      </c>
      <c r="G99" s="84">
        <f>SUM(G100:G103)</f>
        <v>420</v>
      </c>
    </row>
    <row r="100" spans="1:7" x14ac:dyDescent="0.2">
      <c r="A100" s="28"/>
      <c r="B100" s="28" t="s">
        <v>3142</v>
      </c>
      <c r="C100" s="29" t="s">
        <v>3143</v>
      </c>
      <c r="D100" s="29" t="s">
        <v>3157</v>
      </c>
      <c r="E100" s="29"/>
      <c r="F100" s="29"/>
      <c r="G100" s="30"/>
    </row>
    <row r="101" spans="1:7" x14ac:dyDescent="0.2">
      <c r="A101" s="31" t="s">
        <v>3186</v>
      </c>
      <c r="B101" s="31"/>
      <c r="C101" s="32">
        <v>1</v>
      </c>
      <c r="D101" s="32">
        <v>290</v>
      </c>
      <c r="E101" s="32"/>
      <c r="F101" s="32"/>
      <c r="G101" s="32">
        <f>PRODUCT(C101:F101)</f>
        <v>290</v>
      </c>
    </row>
    <row r="102" spans="1:7" x14ac:dyDescent="0.2">
      <c r="A102" s="31" t="s">
        <v>3191</v>
      </c>
      <c r="B102" s="31"/>
      <c r="C102" s="32">
        <v>1</v>
      </c>
      <c r="D102" s="32">
        <v>72</v>
      </c>
      <c r="E102" s="32"/>
      <c r="F102" s="32"/>
      <c r="G102" s="32">
        <f>PRODUCT(C102:F102)</f>
        <v>72</v>
      </c>
    </row>
    <row r="103" spans="1:7" x14ac:dyDescent="0.2">
      <c r="A103" s="31" t="s">
        <v>3192</v>
      </c>
      <c r="B103" s="31"/>
      <c r="C103" s="32">
        <v>1</v>
      </c>
      <c r="D103" s="32">
        <v>58</v>
      </c>
      <c r="E103" s="32"/>
      <c r="F103" s="32"/>
      <c r="G103" s="32">
        <f>PRODUCT(C103:F103)</f>
        <v>58</v>
      </c>
    </row>
    <row r="105" spans="1:7" ht="45" customHeight="1" x14ac:dyDescent="0.2">
      <c r="A105" s="17" t="s">
        <v>3193</v>
      </c>
      <c r="B105" s="17" t="s">
        <v>3141</v>
      </c>
      <c r="C105" s="17" t="s">
        <v>48</v>
      </c>
      <c r="D105" s="83" t="s">
        <v>18</v>
      </c>
      <c r="E105" s="102" t="s">
        <v>49</v>
      </c>
      <c r="F105" s="102" t="s">
        <v>49</v>
      </c>
      <c r="G105" s="84">
        <f>SUM(G106:G108)</f>
        <v>67</v>
      </c>
    </row>
    <row r="106" spans="1:7" x14ac:dyDescent="0.2">
      <c r="A106" s="28"/>
      <c r="B106" s="28" t="s">
        <v>3142</v>
      </c>
      <c r="C106" s="29" t="s">
        <v>3143</v>
      </c>
      <c r="D106" s="29" t="s">
        <v>3157</v>
      </c>
      <c r="E106" s="29"/>
      <c r="F106" s="29"/>
      <c r="G106" s="30"/>
    </row>
    <row r="107" spans="1:7" x14ac:dyDescent="0.2">
      <c r="A107" s="31" t="s">
        <v>3186</v>
      </c>
      <c r="B107" s="31"/>
      <c r="C107" s="32">
        <v>1</v>
      </c>
      <c r="D107" s="32">
        <v>22</v>
      </c>
      <c r="E107" s="32"/>
      <c r="F107" s="32"/>
      <c r="G107" s="32">
        <f>PRODUCT(C107:F107)</f>
        <v>22</v>
      </c>
    </row>
    <row r="108" spans="1:7" x14ac:dyDescent="0.2">
      <c r="A108" s="31"/>
      <c r="B108" s="31"/>
      <c r="C108" s="32">
        <v>1</v>
      </c>
      <c r="D108" s="32">
        <v>45</v>
      </c>
      <c r="E108" s="32"/>
      <c r="F108" s="32"/>
      <c r="G108" s="32">
        <f>PRODUCT(C108:F108)</f>
        <v>45</v>
      </c>
    </row>
    <row r="110" spans="1:7" ht="45" customHeight="1" x14ac:dyDescent="0.2">
      <c r="A110" s="17" t="s">
        <v>3194</v>
      </c>
      <c r="B110" s="17" t="s">
        <v>3141</v>
      </c>
      <c r="C110" s="17" t="s">
        <v>50</v>
      </c>
      <c r="D110" s="83" t="s">
        <v>18</v>
      </c>
      <c r="E110" s="102" t="s">
        <v>51</v>
      </c>
      <c r="F110" s="102" t="s">
        <v>51</v>
      </c>
      <c r="G110" s="84">
        <f>SUM(G111:G113)</f>
        <v>67</v>
      </c>
    </row>
    <row r="111" spans="1:7" x14ac:dyDescent="0.2">
      <c r="A111" s="28"/>
      <c r="B111" s="28" t="s">
        <v>3142</v>
      </c>
      <c r="C111" s="29" t="s">
        <v>3143</v>
      </c>
      <c r="D111" s="29" t="s">
        <v>3157</v>
      </c>
      <c r="E111" s="29"/>
      <c r="F111" s="29"/>
      <c r="G111" s="30"/>
    </row>
    <row r="112" spans="1:7" x14ac:dyDescent="0.2">
      <c r="A112" s="31" t="s">
        <v>3186</v>
      </c>
      <c r="B112" s="31"/>
      <c r="C112" s="32">
        <v>1</v>
      </c>
      <c r="D112" s="32">
        <v>22</v>
      </c>
      <c r="E112" s="32"/>
      <c r="F112" s="32"/>
      <c r="G112" s="32">
        <f>PRODUCT(C112:F112)</f>
        <v>22</v>
      </c>
    </row>
    <row r="113" spans="1:7" x14ac:dyDescent="0.2">
      <c r="A113" s="31"/>
      <c r="B113" s="31"/>
      <c r="C113" s="32">
        <v>1</v>
      </c>
      <c r="D113" s="32">
        <v>45</v>
      </c>
      <c r="E113" s="32"/>
      <c r="F113" s="32"/>
      <c r="G113" s="32">
        <f>PRODUCT(C113:F113)</f>
        <v>45</v>
      </c>
    </row>
    <row r="115" spans="1:7" ht="45" customHeight="1" x14ac:dyDescent="0.2">
      <c r="A115" s="17" t="s">
        <v>3195</v>
      </c>
      <c r="B115" s="17" t="s">
        <v>3141</v>
      </c>
      <c r="C115" s="17" t="s">
        <v>52</v>
      </c>
      <c r="D115" s="83" t="s">
        <v>18</v>
      </c>
      <c r="E115" s="102" t="s">
        <v>53</v>
      </c>
      <c r="F115" s="102" t="s">
        <v>53</v>
      </c>
      <c r="G115" s="84">
        <f>SUM(G116:G117)</f>
        <v>3.375</v>
      </c>
    </row>
    <row r="116" spans="1:7" x14ac:dyDescent="0.2">
      <c r="A116" s="28"/>
      <c r="B116" s="28" t="s">
        <v>3142</v>
      </c>
      <c r="C116" s="29" t="s">
        <v>3143</v>
      </c>
      <c r="D116" s="29" t="s">
        <v>3146</v>
      </c>
      <c r="E116" s="29" t="s">
        <v>3196</v>
      </c>
      <c r="F116" s="29"/>
      <c r="G116" s="30"/>
    </row>
    <row r="117" spans="1:7" x14ac:dyDescent="0.2">
      <c r="A117" s="31" t="s">
        <v>3191</v>
      </c>
      <c r="B117" s="31"/>
      <c r="C117" s="32">
        <v>1</v>
      </c>
      <c r="D117" s="32">
        <v>0.75</v>
      </c>
      <c r="E117" s="32">
        <v>4.5</v>
      </c>
      <c r="F117" s="32"/>
      <c r="G117" s="32">
        <f>PRODUCT(C117:F117)</f>
        <v>3.375</v>
      </c>
    </row>
    <row r="119" spans="1:7" ht="45" customHeight="1" x14ac:dyDescent="0.2">
      <c r="A119" s="17" t="s">
        <v>3197</v>
      </c>
      <c r="B119" s="17" t="s">
        <v>3141</v>
      </c>
      <c r="C119" s="17" t="s">
        <v>54</v>
      </c>
      <c r="D119" s="83" t="s">
        <v>18</v>
      </c>
      <c r="E119" s="102" t="s">
        <v>55</v>
      </c>
      <c r="F119" s="102" t="s">
        <v>55</v>
      </c>
      <c r="G119" s="84">
        <f>SUM(G120:G121)</f>
        <v>32</v>
      </c>
    </row>
    <row r="120" spans="1:7" x14ac:dyDescent="0.2">
      <c r="A120" s="28"/>
      <c r="B120" s="28" t="s">
        <v>3142</v>
      </c>
      <c r="C120" s="29" t="s">
        <v>3143</v>
      </c>
      <c r="D120" s="29" t="s">
        <v>3157</v>
      </c>
      <c r="E120" s="29"/>
      <c r="F120" s="29"/>
      <c r="G120" s="30"/>
    </row>
    <row r="121" spans="1:7" x14ac:dyDescent="0.2">
      <c r="A121" s="31" t="s">
        <v>3198</v>
      </c>
      <c r="B121" s="31"/>
      <c r="C121" s="32">
        <v>1</v>
      </c>
      <c r="D121" s="32">
        <v>32</v>
      </c>
      <c r="E121" s="32"/>
      <c r="F121" s="32"/>
      <c r="G121" s="32">
        <f>PRODUCT(C121:F121)</f>
        <v>32</v>
      </c>
    </row>
    <row r="123" spans="1:7" ht="45" customHeight="1" x14ac:dyDescent="0.2">
      <c r="A123" s="17" t="s">
        <v>3199</v>
      </c>
      <c r="B123" s="17" t="s">
        <v>3141</v>
      </c>
      <c r="C123" s="17" t="s">
        <v>56</v>
      </c>
      <c r="D123" s="83" t="s">
        <v>15</v>
      </c>
      <c r="E123" s="102" t="s">
        <v>57</v>
      </c>
      <c r="F123" s="102" t="s">
        <v>57</v>
      </c>
      <c r="G123" s="84">
        <f>SUM(G124:G125)</f>
        <v>2.1000000000000005</v>
      </c>
    </row>
    <row r="124" spans="1:7" x14ac:dyDescent="0.2">
      <c r="A124" s="28"/>
      <c r="B124" s="28" t="s">
        <v>3142</v>
      </c>
      <c r="C124" s="29" t="s">
        <v>3143</v>
      </c>
      <c r="D124" s="29" t="s">
        <v>3157</v>
      </c>
      <c r="E124" s="29" t="s">
        <v>3148</v>
      </c>
      <c r="F124" s="29"/>
      <c r="G124" s="30"/>
    </row>
    <row r="125" spans="1:7" x14ac:dyDescent="0.2">
      <c r="A125" s="31" t="s">
        <v>3191</v>
      </c>
      <c r="B125" s="31"/>
      <c r="C125" s="32">
        <v>3</v>
      </c>
      <c r="D125" s="32">
        <v>0.2</v>
      </c>
      <c r="E125" s="32">
        <v>3.5</v>
      </c>
      <c r="F125" s="32"/>
      <c r="G125" s="32">
        <f>PRODUCT(C125:F125)</f>
        <v>2.1000000000000005</v>
      </c>
    </row>
    <row r="127" spans="1:7" ht="45" customHeight="1" x14ac:dyDescent="0.2">
      <c r="A127" s="17" t="s">
        <v>3200</v>
      </c>
      <c r="B127" s="17" t="s">
        <v>3141</v>
      </c>
      <c r="C127" s="17" t="s">
        <v>58</v>
      </c>
      <c r="D127" s="83" t="s">
        <v>23</v>
      </c>
      <c r="E127" s="102" t="s">
        <v>59</v>
      </c>
      <c r="F127" s="102" t="s">
        <v>59</v>
      </c>
      <c r="G127" s="84">
        <f>SUM(G128:G130)</f>
        <v>9</v>
      </c>
    </row>
    <row r="128" spans="1:7" x14ac:dyDescent="0.2">
      <c r="A128" s="28"/>
      <c r="B128" s="28" t="s">
        <v>3142</v>
      </c>
      <c r="C128" s="29" t="s">
        <v>3143</v>
      </c>
      <c r="D128" s="29"/>
      <c r="E128" s="29"/>
      <c r="F128" s="29"/>
      <c r="G128" s="30"/>
    </row>
    <row r="129" spans="1:7" x14ac:dyDescent="0.2">
      <c r="A129" s="31" t="s">
        <v>3186</v>
      </c>
      <c r="B129" s="31"/>
      <c r="C129" s="32">
        <v>6</v>
      </c>
      <c r="D129" s="32"/>
      <c r="E129" s="32"/>
      <c r="F129" s="32"/>
      <c r="G129" s="32">
        <f>PRODUCT(C129:F129)</f>
        <v>6</v>
      </c>
    </row>
    <row r="130" spans="1:7" x14ac:dyDescent="0.2">
      <c r="A130" s="31" t="s">
        <v>3185</v>
      </c>
      <c r="B130" s="31"/>
      <c r="C130" s="32">
        <v>3</v>
      </c>
      <c r="D130" s="32"/>
      <c r="E130" s="32"/>
      <c r="F130" s="32"/>
      <c r="G130" s="32">
        <f>PRODUCT(C130:F130)</f>
        <v>3</v>
      </c>
    </row>
    <row r="132" spans="1:7" ht="45" customHeight="1" x14ac:dyDescent="0.2">
      <c r="A132" s="17" t="s">
        <v>3201</v>
      </c>
      <c r="B132" s="17" t="s">
        <v>3141</v>
      </c>
      <c r="C132" s="17" t="s">
        <v>60</v>
      </c>
      <c r="D132" s="83" t="s">
        <v>18</v>
      </c>
      <c r="E132" s="102" t="s">
        <v>61</v>
      </c>
      <c r="F132" s="102" t="s">
        <v>61</v>
      </c>
      <c r="G132" s="84">
        <f>SUM(G133:G144)</f>
        <v>145.48750000000001</v>
      </c>
    </row>
    <row r="133" spans="1:7" x14ac:dyDescent="0.2">
      <c r="A133" s="28"/>
      <c r="B133" s="28" t="s">
        <v>3142</v>
      </c>
      <c r="C133" s="29" t="s">
        <v>3143</v>
      </c>
      <c r="D133" s="29" t="s">
        <v>3146</v>
      </c>
      <c r="E133" s="29" t="s">
        <v>3148</v>
      </c>
      <c r="F133" s="29"/>
      <c r="G133" s="30"/>
    </row>
    <row r="134" spans="1:7" x14ac:dyDescent="0.2">
      <c r="A134" s="31" t="s">
        <v>3186</v>
      </c>
      <c r="B134" s="31"/>
      <c r="C134" s="32">
        <v>1</v>
      </c>
      <c r="D134" s="32">
        <v>3.5</v>
      </c>
      <c r="E134" s="32">
        <v>4.45</v>
      </c>
      <c r="F134" s="32"/>
      <c r="G134" s="32">
        <f t="shared" ref="G134:G144" si="3">PRODUCT(C134:F134)</f>
        <v>15.575000000000001</v>
      </c>
    </row>
    <row r="135" spans="1:7" x14ac:dyDescent="0.2">
      <c r="A135" s="31"/>
      <c r="B135" s="31"/>
      <c r="C135" s="32">
        <v>2</v>
      </c>
      <c r="D135" s="32">
        <v>5</v>
      </c>
      <c r="E135" s="32">
        <v>4.45</v>
      </c>
      <c r="F135" s="32"/>
      <c r="G135" s="32">
        <f t="shared" si="3"/>
        <v>44.5</v>
      </c>
    </row>
    <row r="136" spans="1:7" x14ac:dyDescent="0.2">
      <c r="A136" s="31"/>
      <c r="B136" s="31"/>
      <c r="C136" s="32">
        <v>2</v>
      </c>
      <c r="D136" s="32">
        <v>2.6</v>
      </c>
      <c r="E136" s="32">
        <v>4.45</v>
      </c>
      <c r="F136" s="32"/>
      <c r="G136" s="32">
        <f t="shared" si="3"/>
        <v>23.14</v>
      </c>
    </row>
    <row r="137" spans="1:7" x14ac:dyDescent="0.2">
      <c r="A137" s="31"/>
      <c r="B137" s="31"/>
      <c r="C137" s="32">
        <v>1</v>
      </c>
      <c r="D137" s="32">
        <v>2.7</v>
      </c>
      <c r="E137" s="32">
        <v>4.45</v>
      </c>
      <c r="F137" s="32"/>
      <c r="G137" s="32">
        <f t="shared" si="3"/>
        <v>12.015000000000001</v>
      </c>
    </row>
    <row r="138" spans="1:7" x14ac:dyDescent="0.2">
      <c r="A138" s="31"/>
      <c r="B138" s="31"/>
      <c r="C138" s="32">
        <v>2</v>
      </c>
      <c r="D138" s="32">
        <v>1.95</v>
      </c>
      <c r="E138" s="32">
        <v>4.45</v>
      </c>
      <c r="F138" s="32"/>
      <c r="G138" s="32">
        <f t="shared" si="3"/>
        <v>17.355</v>
      </c>
    </row>
    <row r="139" spans="1:7" x14ac:dyDescent="0.2">
      <c r="A139" s="31"/>
      <c r="B139" s="31"/>
      <c r="C139" s="32">
        <v>1</v>
      </c>
      <c r="D139" s="32">
        <v>0.9</v>
      </c>
      <c r="E139" s="32">
        <v>4.45</v>
      </c>
      <c r="F139" s="32"/>
      <c r="G139" s="32">
        <f t="shared" si="3"/>
        <v>4.0049999999999999</v>
      </c>
    </row>
    <row r="140" spans="1:7" x14ac:dyDescent="0.2">
      <c r="A140" s="31"/>
      <c r="B140" s="31"/>
      <c r="C140" s="32">
        <v>1</v>
      </c>
      <c r="D140" s="32">
        <v>0.6</v>
      </c>
      <c r="E140" s="32">
        <v>4.45</v>
      </c>
      <c r="F140" s="32"/>
      <c r="G140" s="32">
        <f t="shared" si="3"/>
        <v>2.67</v>
      </c>
    </row>
    <row r="141" spans="1:7" x14ac:dyDescent="0.2">
      <c r="A141" s="31"/>
      <c r="B141" s="31"/>
      <c r="C141" s="32">
        <v>1</v>
      </c>
      <c r="D141" s="32">
        <v>1.95</v>
      </c>
      <c r="E141" s="32">
        <v>4.45</v>
      </c>
      <c r="F141" s="32"/>
      <c r="G141" s="32">
        <f t="shared" si="3"/>
        <v>8.6775000000000002</v>
      </c>
    </row>
    <row r="142" spans="1:7" x14ac:dyDescent="0.2">
      <c r="A142" s="31" t="s">
        <v>3185</v>
      </c>
      <c r="B142" s="31"/>
      <c r="C142" s="32">
        <v>1</v>
      </c>
      <c r="D142" s="32">
        <v>2.75</v>
      </c>
      <c r="E142" s="32">
        <v>2.7</v>
      </c>
      <c r="F142" s="32"/>
      <c r="G142" s="32">
        <f t="shared" si="3"/>
        <v>7.4250000000000007</v>
      </c>
    </row>
    <row r="143" spans="1:7" x14ac:dyDescent="0.2">
      <c r="A143" s="31"/>
      <c r="B143" s="31"/>
      <c r="C143" s="32">
        <v>1</v>
      </c>
      <c r="D143" s="32">
        <v>3.2</v>
      </c>
      <c r="E143" s="32">
        <v>2.7</v>
      </c>
      <c r="F143" s="32"/>
      <c r="G143" s="32">
        <f t="shared" si="3"/>
        <v>8.64</v>
      </c>
    </row>
    <row r="144" spans="1:7" x14ac:dyDescent="0.2">
      <c r="A144" s="31"/>
      <c r="B144" s="31"/>
      <c r="C144" s="32">
        <v>1</v>
      </c>
      <c r="D144" s="32">
        <v>0.55000000000000004</v>
      </c>
      <c r="E144" s="32">
        <v>2.7</v>
      </c>
      <c r="F144" s="32"/>
      <c r="G144" s="32">
        <f t="shared" si="3"/>
        <v>1.4850000000000003</v>
      </c>
    </row>
    <row r="146" spans="1:7" ht="45" customHeight="1" x14ac:dyDescent="0.2">
      <c r="A146" s="17" t="s">
        <v>3202</v>
      </c>
      <c r="B146" s="17" t="s">
        <v>3141</v>
      </c>
      <c r="C146" s="17" t="s">
        <v>62</v>
      </c>
      <c r="D146" s="83" t="s">
        <v>23</v>
      </c>
      <c r="E146" s="102" t="s">
        <v>63</v>
      </c>
      <c r="F146" s="102" t="s">
        <v>63</v>
      </c>
      <c r="G146" s="84">
        <f>SUM(G147:G148)</f>
        <v>1</v>
      </c>
    </row>
    <row r="147" spans="1:7" x14ac:dyDescent="0.2">
      <c r="A147" s="28"/>
      <c r="B147" s="28" t="s">
        <v>3142</v>
      </c>
      <c r="C147" s="29" t="s">
        <v>3143</v>
      </c>
      <c r="D147" s="29"/>
      <c r="E147" s="29"/>
      <c r="F147" s="29"/>
      <c r="G147" s="30"/>
    </row>
    <row r="148" spans="1:7" x14ac:dyDescent="0.2">
      <c r="A148" s="31" t="s">
        <v>3192</v>
      </c>
      <c r="B148" s="31"/>
      <c r="C148" s="32">
        <v>1</v>
      </c>
      <c r="D148" s="32"/>
      <c r="E148" s="32"/>
      <c r="F148" s="32"/>
      <c r="G148" s="32">
        <f>PRODUCT(C148:F148)</f>
        <v>1</v>
      </c>
    </row>
    <row r="150" spans="1:7" ht="45" customHeight="1" x14ac:dyDescent="0.2">
      <c r="A150" s="17" t="s">
        <v>3203</v>
      </c>
      <c r="B150" s="17" t="s">
        <v>3141</v>
      </c>
      <c r="C150" s="17" t="s">
        <v>64</v>
      </c>
      <c r="D150" s="83" t="s">
        <v>18</v>
      </c>
      <c r="E150" s="102" t="s">
        <v>65</v>
      </c>
      <c r="F150" s="102" t="s">
        <v>65</v>
      </c>
      <c r="G150" s="84">
        <f>SUM(G151:G152)</f>
        <v>40</v>
      </c>
    </row>
    <row r="151" spans="1:7" x14ac:dyDescent="0.2">
      <c r="A151" s="28"/>
      <c r="B151" s="28" t="s">
        <v>3142</v>
      </c>
      <c r="C151" s="29" t="s">
        <v>3143</v>
      </c>
      <c r="D151" s="29" t="s">
        <v>3157</v>
      </c>
      <c r="E151" s="29"/>
      <c r="F151" s="29"/>
      <c r="G151" s="30"/>
    </row>
    <row r="152" spans="1:7" x14ac:dyDescent="0.2">
      <c r="A152" s="31" t="s">
        <v>3185</v>
      </c>
      <c r="B152" s="31"/>
      <c r="C152" s="32">
        <v>1</v>
      </c>
      <c r="D152" s="32">
        <v>40</v>
      </c>
      <c r="E152" s="32"/>
      <c r="F152" s="32"/>
      <c r="G152" s="32">
        <f>PRODUCT(C152:F152)</f>
        <v>40</v>
      </c>
    </row>
    <row r="154" spans="1:7" ht="45" customHeight="1" x14ac:dyDescent="0.2">
      <c r="A154" s="17" t="s">
        <v>3204</v>
      </c>
      <c r="B154" s="17" t="s">
        <v>3141</v>
      </c>
      <c r="C154" s="17" t="s">
        <v>66</v>
      </c>
      <c r="D154" s="83" t="s">
        <v>18</v>
      </c>
      <c r="E154" s="102" t="s">
        <v>67</v>
      </c>
      <c r="F154" s="102" t="s">
        <v>67</v>
      </c>
      <c r="G154" s="84">
        <f>SUM(G155:G165)</f>
        <v>7.9849999999999985</v>
      </c>
    </row>
    <row r="155" spans="1:7" x14ac:dyDescent="0.2">
      <c r="A155" s="28"/>
      <c r="B155" s="28" t="s">
        <v>3142</v>
      </c>
      <c r="C155" s="29" t="s">
        <v>3143</v>
      </c>
      <c r="D155" s="29"/>
      <c r="E155" s="29" t="s">
        <v>3148</v>
      </c>
      <c r="F155" s="29" t="s">
        <v>3205</v>
      </c>
      <c r="G155" s="30"/>
    </row>
    <row r="156" spans="1:7" x14ac:dyDescent="0.2">
      <c r="A156" s="31" t="s">
        <v>3206</v>
      </c>
      <c r="B156" s="31"/>
      <c r="C156" s="32">
        <v>1</v>
      </c>
      <c r="D156" s="32"/>
      <c r="E156" s="32">
        <v>1.7</v>
      </c>
      <c r="F156" s="32">
        <v>0.6</v>
      </c>
      <c r="G156" s="32">
        <f t="shared" ref="G156:G165" si="4">PRODUCT(C156:F156)</f>
        <v>1.02</v>
      </c>
    </row>
    <row r="157" spans="1:7" x14ac:dyDescent="0.2">
      <c r="A157" s="31"/>
      <c r="B157" s="31"/>
      <c r="C157" s="32">
        <v>1</v>
      </c>
      <c r="D157" s="32"/>
      <c r="E157" s="32">
        <v>1.7</v>
      </c>
      <c r="F157" s="32">
        <v>0.55000000000000004</v>
      </c>
      <c r="G157" s="32">
        <f t="shared" si="4"/>
        <v>0.93500000000000005</v>
      </c>
    </row>
    <row r="158" spans="1:7" x14ac:dyDescent="0.2">
      <c r="A158" s="31"/>
      <c r="B158" s="31"/>
      <c r="C158" s="32">
        <v>1</v>
      </c>
      <c r="D158" s="32"/>
      <c r="E158" s="32">
        <v>1.2</v>
      </c>
      <c r="F158" s="32">
        <v>0.6</v>
      </c>
      <c r="G158" s="32">
        <f t="shared" si="4"/>
        <v>0.72</v>
      </c>
    </row>
    <row r="159" spans="1:7" x14ac:dyDescent="0.2">
      <c r="A159" s="31"/>
      <c r="B159" s="31"/>
      <c r="C159" s="32">
        <v>1</v>
      </c>
      <c r="D159" s="32"/>
      <c r="E159" s="32">
        <v>1.2</v>
      </c>
      <c r="F159" s="32">
        <v>0.55000000000000004</v>
      </c>
      <c r="G159" s="32">
        <f t="shared" si="4"/>
        <v>0.66</v>
      </c>
    </row>
    <row r="160" spans="1:7" x14ac:dyDescent="0.2">
      <c r="A160" s="31"/>
      <c r="B160" s="31"/>
      <c r="C160" s="32">
        <v>1</v>
      </c>
      <c r="D160" s="32"/>
      <c r="E160" s="32">
        <v>1.5</v>
      </c>
      <c r="F160" s="32">
        <v>0.6</v>
      </c>
      <c r="G160" s="32">
        <f t="shared" si="4"/>
        <v>0.89999999999999991</v>
      </c>
    </row>
    <row r="161" spans="1:7" x14ac:dyDescent="0.2">
      <c r="A161" s="31"/>
      <c r="B161" s="31"/>
      <c r="C161" s="32">
        <v>1</v>
      </c>
      <c r="D161" s="32"/>
      <c r="E161" s="32">
        <v>1.5</v>
      </c>
      <c r="F161" s="32">
        <v>0.55000000000000004</v>
      </c>
      <c r="G161" s="32">
        <f t="shared" si="4"/>
        <v>0.82500000000000007</v>
      </c>
    </row>
    <row r="162" spans="1:7" x14ac:dyDescent="0.2">
      <c r="A162" s="31"/>
      <c r="B162" s="31"/>
      <c r="C162" s="32">
        <v>1</v>
      </c>
      <c r="D162" s="32"/>
      <c r="E162" s="32">
        <v>1.7</v>
      </c>
      <c r="F162" s="32">
        <v>0.55000000000000004</v>
      </c>
      <c r="G162" s="32">
        <f t="shared" si="4"/>
        <v>0.93500000000000005</v>
      </c>
    </row>
    <row r="163" spans="1:7" x14ac:dyDescent="0.2">
      <c r="A163" s="31"/>
      <c r="B163" s="31"/>
      <c r="C163" s="32">
        <v>1</v>
      </c>
      <c r="D163" s="32"/>
      <c r="E163" s="32">
        <v>1.7</v>
      </c>
      <c r="F163" s="32">
        <v>0.5</v>
      </c>
      <c r="G163" s="32">
        <f t="shared" si="4"/>
        <v>0.85</v>
      </c>
    </row>
    <row r="164" spans="1:7" x14ac:dyDescent="0.2">
      <c r="A164" s="31"/>
      <c r="B164" s="31"/>
      <c r="C164" s="32">
        <v>1</v>
      </c>
      <c r="D164" s="32"/>
      <c r="E164" s="32">
        <v>1.2</v>
      </c>
      <c r="F164" s="32">
        <v>0.5</v>
      </c>
      <c r="G164" s="32">
        <f t="shared" si="4"/>
        <v>0.6</v>
      </c>
    </row>
    <row r="165" spans="1:7" x14ac:dyDescent="0.2">
      <c r="A165" s="31"/>
      <c r="B165" s="31"/>
      <c r="C165" s="32">
        <v>1</v>
      </c>
      <c r="D165" s="32"/>
      <c r="E165" s="32">
        <v>1.2</v>
      </c>
      <c r="F165" s="32">
        <v>0.45</v>
      </c>
      <c r="G165" s="32">
        <f t="shared" si="4"/>
        <v>0.54</v>
      </c>
    </row>
    <row r="167" spans="1:7" ht="45" customHeight="1" x14ac:dyDescent="0.2">
      <c r="A167" s="17" t="s">
        <v>3207</v>
      </c>
      <c r="B167" s="17" t="s">
        <v>3141</v>
      </c>
      <c r="C167" s="17" t="s">
        <v>68</v>
      </c>
      <c r="D167" s="83" t="s">
        <v>15</v>
      </c>
      <c r="E167" s="102" t="s">
        <v>69</v>
      </c>
      <c r="F167" s="102" t="s">
        <v>69</v>
      </c>
      <c r="G167" s="84">
        <f>SUM(G168:G183)</f>
        <v>13.777000000000001</v>
      </c>
    </row>
    <row r="168" spans="1:7" x14ac:dyDescent="0.2">
      <c r="A168" s="28"/>
      <c r="B168" s="28" t="s">
        <v>3142</v>
      </c>
      <c r="C168" s="29" t="s">
        <v>3143</v>
      </c>
      <c r="D168" s="29" t="s">
        <v>3157</v>
      </c>
      <c r="E168" s="29" t="s">
        <v>3205</v>
      </c>
      <c r="F168" s="29"/>
      <c r="G168" s="30"/>
    </row>
    <row r="169" spans="1:7" x14ac:dyDescent="0.2">
      <c r="A169" s="31" t="s">
        <v>3208</v>
      </c>
      <c r="B169" s="31"/>
      <c r="C169" s="32">
        <v>4</v>
      </c>
      <c r="D169" s="32">
        <v>0.8</v>
      </c>
      <c r="E169" s="32">
        <v>0.4</v>
      </c>
      <c r="F169" s="32"/>
      <c r="G169" s="32">
        <f t="shared" ref="G169:G177" si="5">PRODUCT(C169:F169)</f>
        <v>1.2800000000000002</v>
      </c>
    </row>
    <row r="170" spans="1:7" x14ac:dyDescent="0.2">
      <c r="A170" s="31"/>
      <c r="B170" s="31"/>
      <c r="C170" s="32">
        <v>1</v>
      </c>
      <c r="D170" s="32">
        <v>4.5999999999999996</v>
      </c>
      <c r="E170" s="32">
        <v>0.4</v>
      </c>
      <c r="F170" s="32"/>
      <c r="G170" s="32">
        <f t="shared" si="5"/>
        <v>1.8399999999999999</v>
      </c>
    </row>
    <row r="171" spans="1:7" x14ac:dyDescent="0.2">
      <c r="A171" s="31"/>
      <c r="B171" s="31"/>
      <c r="C171" s="32">
        <v>1</v>
      </c>
      <c r="D171" s="32">
        <v>2.5</v>
      </c>
      <c r="E171" s="32">
        <v>0.4</v>
      </c>
      <c r="F171" s="32"/>
      <c r="G171" s="32">
        <f t="shared" si="5"/>
        <v>1</v>
      </c>
    </row>
    <row r="172" spans="1:7" x14ac:dyDescent="0.2">
      <c r="A172" s="31" t="s">
        <v>3209</v>
      </c>
      <c r="B172" s="31"/>
      <c r="C172" s="32">
        <v>4</v>
      </c>
      <c r="D172" s="32">
        <v>1.9</v>
      </c>
      <c r="E172" s="32">
        <v>0.3</v>
      </c>
      <c r="F172" s="32"/>
      <c r="G172" s="32">
        <f t="shared" si="5"/>
        <v>2.2799999999999998</v>
      </c>
    </row>
    <row r="173" spans="1:7" x14ac:dyDescent="0.2">
      <c r="A173" s="31" t="s">
        <v>3210</v>
      </c>
      <c r="B173" s="31"/>
      <c r="C173" s="32">
        <v>1</v>
      </c>
      <c r="D173" s="32">
        <v>2.7</v>
      </c>
      <c r="E173" s="32">
        <v>0.4</v>
      </c>
      <c r="F173" s="32"/>
      <c r="G173" s="32">
        <f t="shared" si="5"/>
        <v>1.08</v>
      </c>
    </row>
    <row r="174" spans="1:7" x14ac:dyDescent="0.2">
      <c r="A174" s="31"/>
      <c r="B174" s="31"/>
      <c r="C174" s="32">
        <v>1</v>
      </c>
      <c r="D174" s="32">
        <v>1.85</v>
      </c>
      <c r="E174" s="32">
        <v>0.4</v>
      </c>
      <c r="F174" s="32"/>
      <c r="G174" s="32">
        <f t="shared" si="5"/>
        <v>0.7400000000000001</v>
      </c>
    </row>
    <row r="175" spans="1:7" x14ac:dyDescent="0.2">
      <c r="A175" s="31" t="s">
        <v>3211</v>
      </c>
      <c r="B175" s="31"/>
      <c r="C175" s="32">
        <v>1</v>
      </c>
      <c r="D175" s="32">
        <v>10</v>
      </c>
      <c r="E175" s="32">
        <v>0.3</v>
      </c>
      <c r="F175" s="32"/>
      <c r="G175" s="32">
        <f t="shared" si="5"/>
        <v>3</v>
      </c>
    </row>
    <row r="176" spans="1:7" x14ac:dyDescent="0.2">
      <c r="A176" s="31" t="s">
        <v>3212</v>
      </c>
      <c r="B176" s="31"/>
      <c r="C176" s="32">
        <v>1</v>
      </c>
      <c r="D176" s="32">
        <v>2.7</v>
      </c>
      <c r="E176" s="32">
        <v>0.3</v>
      </c>
      <c r="F176" s="32"/>
      <c r="G176" s="32">
        <f t="shared" si="5"/>
        <v>0.81</v>
      </c>
    </row>
    <row r="177" spans="1:7" x14ac:dyDescent="0.2">
      <c r="A177" s="31" t="s">
        <v>3213</v>
      </c>
      <c r="B177" s="31"/>
      <c r="C177" s="32">
        <v>1</v>
      </c>
      <c r="D177" s="32">
        <v>1.8</v>
      </c>
      <c r="E177" s="32">
        <v>0.45</v>
      </c>
      <c r="F177" s="32"/>
      <c r="G177" s="32">
        <f t="shared" si="5"/>
        <v>0.81</v>
      </c>
    </row>
    <row r="178" spans="1:7" x14ac:dyDescent="0.2">
      <c r="A178" s="28"/>
      <c r="B178" s="28" t="s">
        <v>3142</v>
      </c>
      <c r="C178" s="29" t="s">
        <v>3143</v>
      </c>
      <c r="D178" s="29" t="s">
        <v>3157</v>
      </c>
      <c r="E178" s="29" t="s">
        <v>3148</v>
      </c>
      <c r="F178" s="29"/>
      <c r="G178" s="30"/>
    </row>
    <row r="179" spans="1:7" x14ac:dyDescent="0.2">
      <c r="A179" s="31" t="s">
        <v>3206</v>
      </c>
      <c r="B179" s="31"/>
      <c r="C179" s="32">
        <v>1</v>
      </c>
      <c r="D179" s="32">
        <v>0.14000000000000001</v>
      </c>
      <c r="E179" s="32">
        <v>1.7</v>
      </c>
      <c r="F179" s="32"/>
      <c r="G179" s="32">
        <f>PRODUCT(C179:F179)</f>
        <v>0.23800000000000002</v>
      </c>
    </row>
    <row r="180" spans="1:7" x14ac:dyDescent="0.2">
      <c r="A180" s="31"/>
      <c r="B180" s="31"/>
      <c r="C180" s="32">
        <v>1</v>
      </c>
      <c r="D180" s="32">
        <v>0.14000000000000001</v>
      </c>
      <c r="E180" s="32">
        <v>1.2</v>
      </c>
      <c r="F180" s="32"/>
      <c r="G180" s="32">
        <f>PRODUCT(C180:F180)</f>
        <v>0.16800000000000001</v>
      </c>
    </row>
    <row r="181" spans="1:7" x14ac:dyDescent="0.2">
      <c r="A181" s="31"/>
      <c r="B181" s="31"/>
      <c r="C181" s="32">
        <v>1</v>
      </c>
      <c r="D181" s="32">
        <v>0.13</v>
      </c>
      <c r="E181" s="32">
        <v>1.5</v>
      </c>
      <c r="F181" s="32"/>
      <c r="G181" s="32">
        <f>PRODUCT(C181:F181)</f>
        <v>0.19500000000000001</v>
      </c>
    </row>
    <row r="182" spans="1:7" x14ac:dyDescent="0.2">
      <c r="A182" s="31"/>
      <c r="B182" s="31"/>
      <c r="C182" s="32">
        <v>1</v>
      </c>
      <c r="D182" s="32">
        <v>0.12</v>
      </c>
      <c r="E182" s="32">
        <v>1.7</v>
      </c>
      <c r="F182" s="32"/>
      <c r="G182" s="32">
        <f>PRODUCT(C182:F182)</f>
        <v>0.20399999999999999</v>
      </c>
    </row>
    <row r="183" spans="1:7" x14ac:dyDescent="0.2">
      <c r="A183" s="31"/>
      <c r="B183" s="31"/>
      <c r="C183" s="32">
        <v>1</v>
      </c>
      <c r="D183" s="32">
        <v>0.11</v>
      </c>
      <c r="E183" s="32">
        <v>1.2</v>
      </c>
      <c r="F183" s="32"/>
      <c r="G183" s="32">
        <f>PRODUCT(C183:F183)</f>
        <v>0.13200000000000001</v>
      </c>
    </row>
    <row r="185" spans="1:7" ht="45" customHeight="1" x14ac:dyDescent="0.2">
      <c r="A185" s="17" t="s">
        <v>3214</v>
      </c>
      <c r="B185" s="17" t="s">
        <v>3141</v>
      </c>
      <c r="C185" s="17" t="s">
        <v>70</v>
      </c>
      <c r="D185" s="83" t="s">
        <v>36</v>
      </c>
      <c r="E185" s="102" t="s">
        <v>71</v>
      </c>
      <c r="F185" s="102" t="s">
        <v>71</v>
      </c>
      <c r="G185" s="84">
        <f>SUM(G186:G188)</f>
        <v>100</v>
      </c>
    </row>
    <row r="186" spans="1:7" x14ac:dyDescent="0.2">
      <c r="A186" s="28"/>
      <c r="B186" s="28" t="s">
        <v>3142</v>
      </c>
      <c r="C186" s="29" t="s">
        <v>3143</v>
      </c>
      <c r="D186" s="29" t="s">
        <v>3148</v>
      </c>
      <c r="E186" s="29"/>
      <c r="F186" s="29"/>
      <c r="G186" s="30"/>
    </row>
    <row r="187" spans="1:7" x14ac:dyDescent="0.2">
      <c r="A187" s="31" t="s">
        <v>3186</v>
      </c>
      <c r="B187" s="31"/>
      <c r="C187" s="32">
        <v>6</v>
      </c>
      <c r="D187" s="32">
        <v>5</v>
      </c>
      <c r="E187" s="32"/>
      <c r="F187" s="32"/>
      <c r="G187" s="32">
        <f>PRODUCT(C187:F187)</f>
        <v>30</v>
      </c>
    </row>
    <row r="188" spans="1:7" x14ac:dyDescent="0.2">
      <c r="A188" s="31"/>
      <c r="B188" s="31"/>
      <c r="C188" s="32">
        <v>14</v>
      </c>
      <c r="D188" s="32">
        <v>5</v>
      </c>
      <c r="E188" s="32"/>
      <c r="F188" s="32"/>
      <c r="G188" s="32">
        <f>PRODUCT(C188:F188)</f>
        <v>70</v>
      </c>
    </row>
    <row r="190" spans="1:7" x14ac:dyDescent="0.2">
      <c r="B190" t="s">
        <v>3139</v>
      </c>
      <c r="C190" s="6" t="s">
        <v>6</v>
      </c>
      <c r="D190" s="7" t="s">
        <v>7</v>
      </c>
      <c r="E190" s="6" t="s">
        <v>8</v>
      </c>
    </row>
    <row r="191" spans="1:7" x14ac:dyDescent="0.2">
      <c r="B191" t="s">
        <v>3139</v>
      </c>
      <c r="C191" s="6" t="s">
        <v>9</v>
      </c>
      <c r="D191" s="7" t="s">
        <v>7</v>
      </c>
      <c r="E191" s="6" t="s">
        <v>10</v>
      </c>
    </row>
    <row r="192" spans="1:7" x14ac:dyDescent="0.2">
      <c r="B192" t="s">
        <v>3139</v>
      </c>
      <c r="C192" s="6" t="s">
        <v>11</v>
      </c>
      <c r="D192" s="7" t="s">
        <v>72</v>
      </c>
      <c r="E192" s="6" t="s">
        <v>73</v>
      </c>
    </row>
    <row r="194" spans="1:7" ht="45" customHeight="1" x14ac:dyDescent="0.2">
      <c r="A194" s="17" t="s">
        <v>3215</v>
      </c>
      <c r="B194" s="17" t="s">
        <v>3141</v>
      </c>
      <c r="C194" s="17" t="s">
        <v>75</v>
      </c>
      <c r="D194" s="83" t="s">
        <v>15</v>
      </c>
      <c r="E194" s="102" t="s">
        <v>76</v>
      </c>
      <c r="F194" s="102" t="s">
        <v>76</v>
      </c>
      <c r="G194" s="84">
        <f>SUM(G195:G199)</f>
        <v>103.55</v>
      </c>
    </row>
    <row r="195" spans="1:7" x14ac:dyDescent="0.2">
      <c r="A195" s="28"/>
      <c r="B195" s="28" t="s">
        <v>3142</v>
      </c>
      <c r="C195" s="29" t="s">
        <v>3143</v>
      </c>
      <c r="D195" s="29" t="s">
        <v>3157</v>
      </c>
      <c r="E195" s="29" t="s">
        <v>3205</v>
      </c>
      <c r="F195" s="29"/>
      <c r="G195" s="30"/>
    </row>
    <row r="196" spans="1:7" x14ac:dyDescent="0.2">
      <c r="A196" s="31" t="s">
        <v>3181</v>
      </c>
      <c r="B196" s="31"/>
      <c r="C196" s="32">
        <v>1</v>
      </c>
      <c r="D196" s="32">
        <v>62</v>
      </c>
      <c r="E196" s="32">
        <v>0.15</v>
      </c>
      <c r="F196" s="32"/>
      <c r="G196" s="32">
        <f>PRODUCT(C196:F196)</f>
        <v>9.2999999999999989</v>
      </c>
    </row>
    <row r="197" spans="1:7" x14ac:dyDescent="0.2">
      <c r="A197" s="31" t="s">
        <v>3184</v>
      </c>
      <c r="B197" s="31"/>
      <c r="C197" s="32">
        <v>1</v>
      </c>
      <c r="D197" s="32">
        <v>59</v>
      </c>
      <c r="E197" s="32">
        <v>0.25</v>
      </c>
      <c r="F197" s="32"/>
      <c r="G197" s="32">
        <f>PRODUCT(C197:F197)</f>
        <v>14.75</v>
      </c>
    </row>
    <row r="198" spans="1:7" x14ac:dyDescent="0.2">
      <c r="A198" s="31" t="s">
        <v>3185</v>
      </c>
      <c r="B198" s="31"/>
      <c r="C198" s="32">
        <v>1</v>
      </c>
      <c r="D198" s="32">
        <v>40</v>
      </c>
      <c r="E198" s="32">
        <v>0.5</v>
      </c>
      <c r="F198" s="32"/>
      <c r="G198" s="32">
        <f>PRODUCT(C198:F198)</f>
        <v>20</v>
      </c>
    </row>
    <row r="199" spans="1:7" x14ac:dyDescent="0.2">
      <c r="A199" s="31" t="s">
        <v>3186</v>
      </c>
      <c r="B199" s="31"/>
      <c r="C199" s="32">
        <v>1</v>
      </c>
      <c r="D199" s="32">
        <v>238</v>
      </c>
      <c r="E199" s="32">
        <v>0.25</v>
      </c>
      <c r="F199" s="32"/>
      <c r="G199" s="32">
        <f>PRODUCT(C199:F199)</f>
        <v>59.5</v>
      </c>
    </row>
    <row r="201" spans="1:7" ht="45" customHeight="1" x14ac:dyDescent="0.2">
      <c r="A201" s="17" t="s">
        <v>3216</v>
      </c>
      <c r="B201" s="17" t="s">
        <v>3141</v>
      </c>
      <c r="C201" s="17" t="s">
        <v>77</v>
      </c>
      <c r="D201" s="83" t="s">
        <v>18</v>
      </c>
      <c r="E201" s="102" t="s">
        <v>78</v>
      </c>
      <c r="F201" s="102" t="s">
        <v>78</v>
      </c>
      <c r="G201" s="84">
        <f>SUM(G202:G206)</f>
        <v>399</v>
      </c>
    </row>
    <row r="202" spans="1:7" x14ac:dyDescent="0.2">
      <c r="A202" s="28"/>
      <c r="B202" s="28" t="s">
        <v>3142</v>
      </c>
      <c r="C202" s="29" t="s">
        <v>3143</v>
      </c>
      <c r="D202" s="29" t="s">
        <v>3157</v>
      </c>
      <c r="E202" s="29"/>
      <c r="F202" s="29"/>
      <c r="G202" s="30"/>
    </row>
    <row r="203" spans="1:7" x14ac:dyDescent="0.2">
      <c r="A203" s="31" t="s">
        <v>3181</v>
      </c>
      <c r="B203" s="31"/>
      <c r="C203" s="32">
        <v>1</v>
      </c>
      <c r="D203" s="32">
        <v>62</v>
      </c>
      <c r="E203" s="32"/>
      <c r="F203" s="32"/>
      <c r="G203" s="32">
        <f>PRODUCT(C203:F203)</f>
        <v>62</v>
      </c>
    </row>
    <row r="204" spans="1:7" x14ac:dyDescent="0.2">
      <c r="A204" s="31" t="s">
        <v>3184</v>
      </c>
      <c r="B204" s="31"/>
      <c r="C204" s="32">
        <v>1</v>
      </c>
      <c r="D204" s="32">
        <v>59</v>
      </c>
      <c r="E204" s="32"/>
      <c r="F204" s="32"/>
      <c r="G204" s="32">
        <f>PRODUCT(C204:F204)</f>
        <v>59</v>
      </c>
    </row>
    <row r="205" spans="1:7" x14ac:dyDescent="0.2">
      <c r="A205" s="31" t="s">
        <v>3185</v>
      </c>
      <c r="B205" s="31"/>
      <c r="C205" s="32">
        <v>1</v>
      </c>
      <c r="D205" s="32">
        <v>40</v>
      </c>
      <c r="E205" s="32"/>
      <c r="F205" s="32"/>
      <c r="G205" s="32">
        <f>PRODUCT(C205:F205)</f>
        <v>40</v>
      </c>
    </row>
    <row r="206" spans="1:7" x14ac:dyDescent="0.2">
      <c r="A206" s="31" t="s">
        <v>3186</v>
      </c>
      <c r="B206" s="31"/>
      <c r="C206" s="32">
        <v>1</v>
      </c>
      <c r="D206" s="32">
        <v>238</v>
      </c>
      <c r="E206" s="32"/>
      <c r="F206" s="32"/>
      <c r="G206" s="32">
        <f>PRODUCT(C206:F206)</f>
        <v>238</v>
      </c>
    </row>
    <row r="208" spans="1:7" ht="45" customHeight="1" x14ac:dyDescent="0.2">
      <c r="A208" s="17" t="s">
        <v>3217</v>
      </c>
      <c r="B208" s="17" t="s">
        <v>3141</v>
      </c>
      <c r="C208" s="17" t="s">
        <v>79</v>
      </c>
      <c r="D208" s="83" t="s">
        <v>15</v>
      </c>
      <c r="E208" s="102" t="s">
        <v>80</v>
      </c>
      <c r="F208" s="102" t="s">
        <v>80</v>
      </c>
      <c r="G208" s="84">
        <f>SUM(G209:G225)</f>
        <v>47.796700000000001</v>
      </c>
    </row>
    <row r="209" spans="1:7" x14ac:dyDescent="0.2">
      <c r="A209" s="28"/>
      <c r="B209" s="28" t="s">
        <v>3142</v>
      </c>
      <c r="C209" s="29" t="s">
        <v>3218</v>
      </c>
      <c r="D209" s="29" t="s">
        <v>3219</v>
      </c>
      <c r="E209" s="29"/>
      <c r="F209" s="29"/>
      <c r="G209" s="30"/>
    </row>
    <row r="210" spans="1:7" x14ac:dyDescent="0.2">
      <c r="A210" s="31" t="s">
        <v>3220</v>
      </c>
      <c r="B210" s="31"/>
      <c r="C210" s="32"/>
      <c r="D210" s="32"/>
      <c r="E210" s="32"/>
      <c r="F210" s="32"/>
      <c r="G210" s="32"/>
    </row>
    <row r="211" spans="1:7" x14ac:dyDescent="0.2">
      <c r="A211" s="31" t="s">
        <v>3221</v>
      </c>
      <c r="B211" s="31"/>
      <c r="C211" s="32">
        <v>3.55</v>
      </c>
      <c r="D211" s="32">
        <v>2.23</v>
      </c>
      <c r="E211" s="32"/>
      <c r="F211" s="32"/>
      <c r="G211" s="32">
        <f>PRODUCT(C211:F211)</f>
        <v>7.9164999999999992</v>
      </c>
    </row>
    <row r="212" spans="1:7" x14ac:dyDescent="0.2">
      <c r="A212" s="28"/>
      <c r="B212" s="28" t="s">
        <v>3142</v>
      </c>
      <c r="C212" s="29" t="s">
        <v>3222</v>
      </c>
      <c r="D212" s="29" t="s">
        <v>3223</v>
      </c>
      <c r="E212" s="29" t="s">
        <v>3224</v>
      </c>
      <c r="F212" s="29"/>
      <c r="G212" s="30"/>
    </row>
    <row r="213" spans="1:7" x14ac:dyDescent="0.2">
      <c r="A213" s="31" t="s">
        <v>3225</v>
      </c>
      <c r="B213" s="31"/>
      <c r="C213" s="32"/>
      <c r="D213" s="32"/>
      <c r="E213" s="32"/>
      <c r="F213" s="32"/>
      <c r="G213" s="32">
        <f t="shared" ref="G213:G218" si="6">PRODUCT(C213:F213)</f>
        <v>0</v>
      </c>
    </row>
    <row r="214" spans="1:7" x14ac:dyDescent="0.2">
      <c r="A214" s="31" t="s">
        <v>3221</v>
      </c>
      <c r="B214" s="31"/>
      <c r="C214" s="32">
        <v>0.8</v>
      </c>
      <c r="D214" s="32">
        <v>5.82</v>
      </c>
      <c r="E214" s="32">
        <v>0.7</v>
      </c>
      <c r="F214" s="32"/>
      <c r="G214" s="32">
        <f t="shared" si="6"/>
        <v>3.2592000000000003</v>
      </c>
    </row>
    <row r="215" spans="1:7" x14ac:dyDescent="0.2">
      <c r="A215" s="31" t="s">
        <v>3226</v>
      </c>
      <c r="B215" s="31"/>
      <c r="C215" s="32"/>
      <c r="D215" s="32"/>
      <c r="E215" s="32"/>
      <c r="F215" s="32"/>
      <c r="G215" s="32">
        <f t="shared" si="6"/>
        <v>0</v>
      </c>
    </row>
    <row r="216" spans="1:7" x14ac:dyDescent="0.2">
      <c r="A216" s="31" t="s">
        <v>3227</v>
      </c>
      <c r="B216" s="31"/>
      <c r="C216" s="32">
        <v>1.1000000000000001</v>
      </c>
      <c r="D216" s="32">
        <v>26.25</v>
      </c>
      <c r="E216" s="32">
        <v>0.7</v>
      </c>
      <c r="F216" s="32"/>
      <c r="G216" s="32">
        <f t="shared" si="6"/>
        <v>20.212500000000002</v>
      </c>
    </row>
    <row r="217" spans="1:7" x14ac:dyDescent="0.2">
      <c r="A217" s="31" t="s">
        <v>3228</v>
      </c>
      <c r="B217" s="31"/>
      <c r="C217" s="32"/>
      <c r="D217" s="32"/>
      <c r="E217" s="32"/>
      <c r="F217" s="32"/>
      <c r="G217" s="32">
        <f t="shared" si="6"/>
        <v>0</v>
      </c>
    </row>
    <row r="218" spans="1:7" x14ac:dyDescent="0.2">
      <c r="A218" s="31" t="s">
        <v>3227</v>
      </c>
      <c r="B218" s="31"/>
      <c r="C218" s="32">
        <v>0.7</v>
      </c>
      <c r="D218" s="32">
        <v>15.25</v>
      </c>
      <c r="E218" s="32">
        <v>0.7</v>
      </c>
      <c r="F218" s="32"/>
      <c r="G218" s="32">
        <f t="shared" si="6"/>
        <v>7.4724999999999984</v>
      </c>
    </row>
    <row r="219" spans="1:7" x14ac:dyDescent="0.2">
      <c r="A219" s="28"/>
      <c r="B219" s="28" t="s">
        <v>3142</v>
      </c>
      <c r="C219" s="29" t="s">
        <v>3229</v>
      </c>
      <c r="D219" s="29" t="s">
        <v>3230</v>
      </c>
      <c r="E219" s="29" t="s">
        <v>3224</v>
      </c>
      <c r="F219" s="29"/>
      <c r="G219" s="30"/>
    </row>
    <row r="220" spans="1:7" x14ac:dyDescent="0.2">
      <c r="A220" s="31" t="s">
        <v>3231</v>
      </c>
      <c r="B220" s="31"/>
      <c r="C220" s="32"/>
      <c r="D220" s="32"/>
      <c r="E220" s="32"/>
      <c r="F220" s="32"/>
      <c r="G220" s="32">
        <f>PRODUCT(C220:F220)</f>
        <v>0</v>
      </c>
    </row>
    <row r="221" spans="1:7" x14ac:dyDescent="0.2">
      <c r="A221" s="31" t="s">
        <v>3221</v>
      </c>
      <c r="B221" s="31"/>
      <c r="C221" s="32">
        <v>2</v>
      </c>
      <c r="D221" s="32">
        <v>0.64</v>
      </c>
      <c r="E221" s="32">
        <v>0.7</v>
      </c>
      <c r="F221" s="32"/>
      <c r="G221" s="32">
        <f>PRODUCT(C221:F221)</f>
        <v>0.89599999999999991</v>
      </c>
    </row>
    <row r="222" spans="1:7" x14ac:dyDescent="0.2">
      <c r="A222" s="31" t="s">
        <v>3232</v>
      </c>
      <c r="B222" s="31"/>
      <c r="C222" s="32"/>
      <c r="D222" s="32"/>
      <c r="E222" s="32"/>
      <c r="F222" s="32"/>
      <c r="G222" s="32"/>
    </row>
    <row r="223" spans="1:7" x14ac:dyDescent="0.2">
      <c r="A223" s="31" t="s">
        <v>3221</v>
      </c>
      <c r="B223" s="31"/>
      <c r="C223" s="32">
        <v>5</v>
      </c>
      <c r="D223" s="32">
        <v>0.64</v>
      </c>
      <c r="E223" s="32">
        <v>1.2</v>
      </c>
      <c r="F223" s="32"/>
      <c r="G223" s="32">
        <f>PRODUCT(C223:F223)</f>
        <v>3.84</v>
      </c>
    </row>
    <row r="224" spans="1:7" x14ac:dyDescent="0.2">
      <c r="A224" s="28"/>
      <c r="B224" s="28" t="s">
        <v>3142</v>
      </c>
      <c r="C224" s="29" t="s">
        <v>3222</v>
      </c>
      <c r="D224" s="29" t="s">
        <v>3223</v>
      </c>
      <c r="E224" s="29" t="s">
        <v>3224</v>
      </c>
      <c r="F224" s="29"/>
      <c r="G224" s="30"/>
    </row>
    <row r="225" spans="1:7" x14ac:dyDescent="0.2">
      <c r="A225" s="31" t="s">
        <v>3181</v>
      </c>
      <c r="B225" s="31"/>
      <c r="C225" s="32">
        <v>0.6</v>
      </c>
      <c r="D225" s="32">
        <v>10</v>
      </c>
      <c r="E225" s="32">
        <v>0.7</v>
      </c>
      <c r="F225" s="32"/>
      <c r="G225" s="32">
        <f>PRODUCT(C225:F225)</f>
        <v>4.1999999999999993</v>
      </c>
    </row>
    <row r="227" spans="1:7" ht="45" customHeight="1" x14ac:dyDescent="0.2">
      <c r="A227" s="17" t="s">
        <v>3233</v>
      </c>
      <c r="B227" s="17" t="s">
        <v>3141</v>
      </c>
      <c r="C227" s="17" t="s">
        <v>81</v>
      </c>
      <c r="D227" s="83" t="s">
        <v>18</v>
      </c>
      <c r="E227" s="102" t="s">
        <v>82</v>
      </c>
      <c r="F227" s="102" t="s">
        <v>82</v>
      </c>
      <c r="G227" s="84">
        <f>SUM(G228:G257)</f>
        <v>158.614</v>
      </c>
    </row>
    <row r="228" spans="1:7" x14ac:dyDescent="0.2">
      <c r="A228" s="31" t="s">
        <v>3234</v>
      </c>
      <c r="B228" s="31"/>
      <c r="C228" s="32"/>
      <c r="D228" s="32"/>
      <c r="E228" s="32"/>
      <c r="F228" s="32"/>
      <c r="G228" s="32"/>
    </row>
    <row r="229" spans="1:7" x14ac:dyDescent="0.2">
      <c r="A229" s="28"/>
      <c r="B229" s="28" t="s">
        <v>3142</v>
      </c>
      <c r="C229" s="29" t="s">
        <v>3222</v>
      </c>
      <c r="D229" s="29" t="s">
        <v>3223</v>
      </c>
      <c r="E229" s="29"/>
      <c r="F229" s="29"/>
      <c r="G229" s="30"/>
    </row>
    <row r="230" spans="1:7" x14ac:dyDescent="0.2">
      <c r="A230" s="31" t="s">
        <v>3225</v>
      </c>
      <c r="B230" s="31"/>
      <c r="C230" s="32"/>
      <c r="D230" s="32"/>
      <c r="E230" s="32"/>
      <c r="F230" s="32"/>
      <c r="G230" s="32"/>
    </row>
    <row r="231" spans="1:7" x14ac:dyDescent="0.2">
      <c r="A231" s="31" t="s">
        <v>3221</v>
      </c>
      <c r="B231" s="31"/>
      <c r="C231" s="32">
        <v>0.8</v>
      </c>
      <c r="D231" s="32">
        <v>5.82</v>
      </c>
      <c r="E231" s="32"/>
      <c r="F231" s="32"/>
      <c r="G231" s="32">
        <f>PRODUCT(C231:F231)</f>
        <v>4.6560000000000006</v>
      </c>
    </row>
    <row r="232" spans="1:7" x14ac:dyDescent="0.2">
      <c r="A232" s="31" t="s">
        <v>3226</v>
      </c>
      <c r="B232" s="31"/>
      <c r="C232" s="32"/>
      <c r="D232" s="32"/>
      <c r="E232" s="32"/>
      <c r="F232" s="32"/>
      <c r="G232" s="32">
        <f>PRODUCT(C232:F232)</f>
        <v>0</v>
      </c>
    </row>
    <row r="233" spans="1:7" x14ac:dyDescent="0.2">
      <c r="A233" s="31" t="s">
        <v>3227</v>
      </c>
      <c r="B233" s="31"/>
      <c r="C233" s="32">
        <v>1.1000000000000001</v>
      </c>
      <c r="D233" s="32">
        <v>26.25</v>
      </c>
      <c r="E233" s="32"/>
      <c r="F233" s="32"/>
      <c r="G233" s="32">
        <f>PRODUCT(C233:F233)</f>
        <v>28.875000000000004</v>
      </c>
    </row>
    <row r="234" spans="1:7" x14ac:dyDescent="0.2">
      <c r="A234" s="31" t="s">
        <v>3228</v>
      </c>
      <c r="B234" s="31"/>
      <c r="C234" s="32"/>
      <c r="D234" s="32"/>
      <c r="E234" s="32"/>
      <c r="F234" s="32"/>
      <c r="G234" s="32">
        <f>PRODUCT(C234:F234)</f>
        <v>0</v>
      </c>
    </row>
    <row r="235" spans="1:7" x14ac:dyDescent="0.2">
      <c r="A235" s="31" t="s">
        <v>3227</v>
      </c>
      <c r="B235" s="31"/>
      <c r="C235" s="32">
        <v>0.7</v>
      </c>
      <c r="D235" s="32">
        <v>15.25</v>
      </c>
      <c r="E235" s="32"/>
      <c r="F235" s="32"/>
      <c r="G235" s="32">
        <f>PRODUCT(C235:F235)</f>
        <v>10.674999999999999</v>
      </c>
    </row>
    <row r="236" spans="1:7" x14ac:dyDescent="0.2">
      <c r="A236" s="28"/>
      <c r="B236" s="28" t="s">
        <v>3142</v>
      </c>
      <c r="C236" s="29" t="s">
        <v>3229</v>
      </c>
      <c r="D236" s="29" t="s">
        <v>3230</v>
      </c>
      <c r="E236" s="29"/>
      <c r="F236" s="29"/>
      <c r="G236" s="30"/>
    </row>
    <row r="237" spans="1:7" x14ac:dyDescent="0.2">
      <c r="A237" s="31" t="s">
        <v>3231</v>
      </c>
      <c r="B237" s="31"/>
      <c r="C237" s="32"/>
      <c r="D237" s="32"/>
      <c r="E237" s="32"/>
      <c r="F237" s="32"/>
      <c r="G237" s="32">
        <f>PRODUCT(C237:F237)</f>
        <v>0</v>
      </c>
    </row>
    <row r="238" spans="1:7" x14ac:dyDescent="0.2">
      <c r="A238" s="31" t="s">
        <v>3221</v>
      </c>
      <c r="B238" s="31"/>
      <c r="C238" s="32">
        <v>2</v>
      </c>
      <c r="D238" s="32">
        <v>0.64</v>
      </c>
      <c r="E238" s="32"/>
      <c r="F238" s="32"/>
      <c r="G238" s="32">
        <f>PRODUCT(C238:F238)</f>
        <v>1.28</v>
      </c>
    </row>
    <row r="239" spans="1:7" x14ac:dyDescent="0.2">
      <c r="A239" s="31" t="s">
        <v>3232</v>
      </c>
      <c r="B239" s="31"/>
      <c r="C239" s="32"/>
      <c r="D239" s="32"/>
      <c r="E239" s="32"/>
      <c r="F239" s="32"/>
      <c r="G239" s="32"/>
    </row>
    <row r="240" spans="1:7" x14ac:dyDescent="0.2">
      <c r="A240" s="31" t="s">
        <v>3221</v>
      </c>
      <c r="B240" s="31"/>
      <c r="C240" s="32">
        <v>5</v>
      </c>
      <c r="D240" s="32">
        <v>0.64</v>
      </c>
      <c r="E240" s="32"/>
      <c r="F240" s="32"/>
      <c r="G240" s="32">
        <f>PRODUCT(C240:F240)</f>
        <v>3.2</v>
      </c>
    </row>
    <row r="241" spans="1:7" x14ac:dyDescent="0.2">
      <c r="A241" s="28"/>
      <c r="B241" s="28" t="s">
        <v>3142</v>
      </c>
      <c r="C241" s="29" t="s">
        <v>3222</v>
      </c>
      <c r="D241" s="29" t="s">
        <v>3223</v>
      </c>
      <c r="E241" s="29"/>
      <c r="F241" s="29"/>
      <c r="G241" s="30"/>
    </row>
    <row r="242" spans="1:7" x14ac:dyDescent="0.2">
      <c r="A242" s="31" t="s">
        <v>3181</v>
      </c>
      <c r="B242" s="31"/>
      <c r="C242" s="32">
        <v>0.6</v>
      </c>
      <c r="D242" s="32">
        <v>10</v>
      </c>
      <c r="E242" s="32"/>
      <c r="F242" s="32"/>
      <c r="G242" s="32">
        <f>PRODUCT(C242:F242)</f>
        <v>6</v>
      </c>
    </row>
    <row r="243" spans="1:7" x14ac:dyDescent="0.2">
      <c r="A243" s="31" t="s">
        <v>3235</v>
      </c>
      <c r="B243" s="31"/>
      <c r="C243" s="32"/>
      <c r="D243" s="32"/>
      <c r="E243" s="32"/>
      <c r="F243" s="32"/>
      <c r="G243" s="32"/>
    </row>
    <row r="244" spans="1:7" x14ac:dyDescent="0.2">
      <c r="A244" s="28"/>
      <c r="B244" s="28" t="s">
        <v>3142</v>
      </c>
      <c r="C244" s="29" t="s">
        <v>3229</v>
      </c>
      <c r="D244" s="29" t="s">
        <v>3223</v>
      </c>
      <c r="E244" s="29" t="s">
        <v>3224</v>
      </c>
      <c r="F244" s="29"/>
      <c r="G244" s="30"/>
    </row>
    <row r="245" spans="1:7" x14ac:dyDescent="0.2">
      <c r="A245" s="31" t="s">
        <v>3225</v>
      </c>
      <c r="B245" s="31"/>
      <c r="C245" s="32"/>
      <c r="D245" s="32"/>
      <c r="E245" s="32"/>
      <c r="F245" s="32"/>
      <c r="G245" s="32"/>
    </row>
    <row r="246" spans="1:7" x14ac:dyDescent="0.2">
      <c r="A246" s="31" t="s">
        <v>3221</v>
      </c>
      <c r="B246" s="31"/>
      <c r="C246" s="32">
        <v>2</v>
      </c>
      <c r="D246" s="32">
        <v>5.82</v>
      </c>
      <c r="E246" s="32">
        <v>0.7</v>
      </c>
      <c r="F246" s="32"/>
      <c r="G246" s="32">
        <f>PRODUCT(C246:F246)</f>
        <v>8.1479999999999997</v>
      </c>
    </row>
    <row r="247" spans="1:7" x14ac:dyDescent="0.2">
      <c r="A247" s="31" t="s">
        <v>3226</v>
      </c>
      <c r="B247" s="31"/>
      <c r="C247" s="32"/>
      <c r="D247" s="32"/>
      <c r="E247" s="32"/>
      <c r="F247" s="32"/>
      <c r="G247" s="32">
        <f>PRODUCT(C247:F247)</f>
        <v>0</v>
      </c>
    </row>
    <row r="248" spans="1:7" x14ac:dyDescent="0.2">
      <c r="A248" s="31" t="s">
        <v>3227</v>
      </c>
      <c r="B248" s="31"/>
      <c r="C248" s="32">
        <v>2</v>
      </c>
      <c r="D248" s="32">
        <v>26.25</v>
      </c>
      <c r="E248" s="32">
        <v>0.7</v>
      </c>
      <c r="F248" s="32"/>
      <c r="G248" s="32">
        <f>PRODUCT(C248:F248)</f>
        <v>36.75</v>
      </c>
    </row>
    <row r="249" spans="1:7" x14ac:dyDescent="0.2">
      <c r="A249" s="31" t="s">
        <v>3228</v>
      </c>
      <c r="B249" s="31"/>
      <c r="C249" s="32"/>
      <c r="D249" s="32"/>
      <c r="E249" s="32"/>
      <c r="F249" s="32"/>
      <c r="G249" s="32">
        <f>PRODUCT(C249:F249)</f>
        <v>0</v>
      </c>
    </row>
    <row r="250" spans="1:7" x14ac:dyDescent="0.2">
      <c r="A250" s="31" t="s">
        <v>3227</v>
      </c>
      <c r="B250" s="31"/>
      <c r="C250" s="32">
        <v>2</v>
      </c>
      <c r="D250" s="32">
        <v>15.25</v>
      </c>
      <c r="E250" s="32">
        <v>0.7</v>
      </c>
      <c r="F250" s="32"/>
      <c r="G250" s="32">
        <f>PRODUCT(C250:F250)</f>
        <v>21.349999999999998</v>
      </c>
    </row>
    <row r="251" spans="1:7" x14ac:dyDescent="0.2">
      <c r="A251" s="28"/>
      <c r="B251" s="28" t="s">
        <v>3142</v>
      </c>
      <c r="C251" s="29" t="s">
        <v>3229</v>
      </c>
      <c r="D251" s="29" t="s">
        <v>3236</v>
      </c>
      <c r="E251" s="29" t="s">
        <v>3224</v>
      </c>
      <c r="F251" s="29"/>
      <c r="G251" s="30"/>
    </row>
    <row r="252" spans="1:7" x14ac:dyDescent="0.2">
      <c r="A252" s="31" t="s">
        <v>3231</v>
      </c>
      <c r="B252" s="31"/>
      <c r="C252" s="32"/>
      <c r="D252" s="32"/>
      <c r="E252" s="32"/>
      <c r="F252" s="32"/>
      <c r="G252" s="32">
        <f>PRODUCT(C252:F252)</f>
        <v>0</v>
      </c>
    </row>
    <row r="253" spans="1:7" x14ac:dyDescent="0.2">
      <c r="A253" s="31" t="s">
        <v>3221</v>
      </c>
      <c r="B253" s="31"/>
      <c r="C253" s="32">
        <v>2</v>
      </c>
      <c r="D253" s="32">
        <v>3.2</v>
      </c>
      <c r="E253" s="32">
        <v>0.7</v>
      </c>
      <c r="F253" s="32"/>
      <c r="G253" s="32">
        <f>PRODUCT(C253:F253)</f>
        <v>4.4799999999999995</v>
      </c>
    </row>
    <row r="254" spans="1:7" x14ac:dyDescent="0.2">
      <c r="A254" s="31" t="s">
        <v>3232</v>
      </c>
      <c r="B254" s="31"/>
      <c r="C254" s="32"/>
      <c r="D254" s="32"/>
      <c r="E254" s="32"/>
      <c r="F254" s="32"/>
      <c r="G254" s="32">
        <f>PRODUCT(C254:F254)</f>
        <v>0</v>
      </c>
    </row>
    <row r="255" spans="1:7" x14ac:dyDescent="0.2">
      <c r="A255" s="31" t="s">
        <v>3221</v>
      </c>
      <c r="B255" s="31"/>
      <c r="C255" s="32">
        <v>5</v>
      </c>
      <c r="D255" s="32">
        <v>3.2</v>
      </c>
      <c r="E255" s="32">
        <v>1.2</v>
      </c>
      <c r="F255" s="32"/>
      <c r="G255" s="32">
        <f>PRODUCT(C255:F255)</f>
        <v>19.2</v>
      </c>
    </row>
    <row r="256" spans="1:7" x14ac:dyDescent="0.2">
      <c r="A256" s="28"/>
      <c r="B256" s="28" t="s">
        <v>3142</v>
      </c>
      <c r="C256" s="29" t="s">
        <v>3229</v>
      </c>
      <c r="D256" s="29" t="s">
        <v>3223</v>
      </c>
      <c r="E256" s="29" t="s">
        <v>3224</v>
      </c>
      <c r="F256" s="29"/>
      <c r="G256" s="30"/>
    </row>
    <row r="257" spans="1:7" x14ac:dyDescent="0.2">
      <c r="A257" s="31" t="s">
        <v>3181</v>
      </c>
      <c r="B257" s="31"/>
      <c r="C257" s="32">
        <v>2</v>
      </c>
      <c r="D257" s="32">
        <v>10</v>
      </c>
      <c r="E257" s="32">
        <v>0.7</v>
      </c>
      <c r="F257" s="32"/>
      <c r="G257" s="32">
        <f>PRODUCT(C257:F257)</f>
        <v>14</v>
      </c>
    </row>
    <row r="259" spans="1:7" ht="45" customHeight="1" x14ac:dyDescent="0.2">
      <c r="A259" s="17" t="s">
        <v>3237</v>
      </c>
      <c r="B259" s="17" t="s">
        <v>3141</v>
      </c>
      <c r="C259" s="17" t="s">
        <v>83</v>
      </c>
      <c r="D259" s="83" t="s">
        <v>18</v>
      </c>
      <c r="E259" s="102" t="s">
        <v>84</v>
      </c>
      <c r="F259" s="102" t="s">
        <v>84</v>
      </c>
      <c r="G259" s="84">
        <f>SUM(G260:G267)</f>
        <v>20.275000000000002</v>
      </c>
    </row>
    <row r="260" spans="1:7" x14ac:dyDescent="0.2">
      <c r="A260" s="31" t="s">
        <v>3234</v>
      </c>
      <c r="B260" s="31"/>
      <c r="C260" s="32"/>
      <c r="D260" s="32"/>
      <c r="E260" s="32"/>
      <c r="F260" s="32"/>
      <c r="G260" s="32"/>
    </row>
    <row r="261" spans="1:7" x14ac:dyDescent="0.2">
      <c r="A261" s="28"/>
      <c r="B261" s="28" t="s">
        <v>3142</v>
      </c>
      <c r="C261" s="29" t="s">
        <v>3218</v>
      </c>
      <c r="D261" s="29"/>
      <c r="E261" s="29"/>
      <c r="F261" s="29"/>
      <c r="G261" s="30"/>
    </row>
    <row r="262" spans="1:7" x14ac:dyDescent="0.2">
      <c r="A262" s="31" t="s">
        <v>3220</v>
      </c>
      <c r="B262" s="31"/>
      <c r="C262" s="32"/>
      <c r="D262" s="32"/>
      <c r="E262" s="32"/>
      <c r="F262" s="32"/>
      <c r="G262" s="32"/>
    </row>
    <row r="263" spans="1:7" x14ac:dyDescent="0.2">
      <c r="A263" s="31" t="s">
        <v>3221</v>
      </c>
      <c r="B263" s="31"/>
      <c r="C263" s="32">
        <v>3.55</v>
      </c>
      <c r="D263" s="32"/>
      <c r="E263" s="32"/>
      <c r="F263" s="32"/>
      <c r="G263" s="32">
        <f>PRODUCT(C263:F263)</f>
        <v>3.55</v>
      </c>
    </row>
    <row r="264" spans="1:7" x14ac:dyDescent="0.2">
      <c r="A264" s="31" t="s">
        <v>3235</v>
      </c>
      <c r="B264" s="31"/>
      <c r="C264" s="32"/>
      <c r="D264" s="32"/>
      <c r="E264" s="32"/>
      <c r="F264" s="32"/>
      <c r="G264" s="32"/>
    </row>
    <row r="265" spans="1:7" x14ac:dyDescent="0.2">
      <c r="A265" s="28"/>
      <c r="B265" s="28" t="s">
        <v>3142</v>
      </c>
      <c r="C265" s="29" t="s">
        <v>3236</v>
      </c>
      <c r="D265" s="29" t="s">
        <v>3219</v>
      </c>
      <c r="E265" s="29"/>
      <c r="F265" s="29"/>
      <c r="G265" s="30"/>
    </row>
    <row r="266" spans="1:7" x14ac:dyDescent="0.2">
      <c r="A266" s="31" t="s">
        <v>3220</v>
      </c>
      <c r="B266" s="31"/>
      <c r="C266" s="32"/>
      <c r="D266" s="32"/>
      <c r="E266" s="32"/>
      <c r="F266" s="32"/>
      <c r="G266" s="32"/>
    </row>
    <row r="267" spans="1:7" x14ac:dyDescent="0.2">
      <c r="A267" s="31" t="s">
        <v>3221</v>
      </c>
      <c r="B267" s="31"/>
      <c r="C267" s="32">
        <v>7.5</v>
      </c>
      <c r="D267" s="32">
        <v>2.23</v>
      </c>
      <c r="E267" s="32"/>
      <c r="F267" s="32"/>
      <c r="G267" s="32">
        <f>PRODUCT(C267:F267)</f>
        <v>16.725000000000001</v>
      </c>
    </row>
    <row r="269" spans="1:7" ht="45" customHeight="1" x14ac:dyDescent="0.2">
      <c r="A269" s="17" t="s">
        <v>3238</v>
      </c>
      <c r="B269" s="17" t="s">
        <v>3141</v>
      </c>
      <c r="C269" s="17" t="s">
        <v>85</v>
      </c>
      <c r="D269" s="83" t="s">
        <v>15</v>
      </c>
      <c r="E269" s="102" t="s">
        <v>86</v>
      </c>
      <c r="F269" s="102" t="s">
        <v>86</v>
      </c>
      <c r="G269" s="84">
        <f>SUM(G270:G298)</f>
        <v>111.2</v>
      </c>
    </row>
    <row r="270" spans="1:7" x14ac:dyDescent="0.2">
      <c r="A270" s="28"/>
      <c r="B270" s="28" t="s">
        <v>3142</v>
      </c>
      <c r="C270" s="29" t="s">
        <v>3229</v>
      </c>
      <c r="D270" s="29" t="s">
        <v>3223</v>
      </c>
      <c r="E270" s="29" t="s">
        <v>3222</v>
      </c>
      <c r="F270" s="29" t="s">
        <v>3224</v>
      </c>
      <c r="G270" s="30"/>
    </row>
    <row r="271" spans="1:7" x14ac:dyDescent="0.2">
      <c r="A271" s="31" t="s">
        <v>3239</v>
      </c>
      <c r="B271" s="31"/>
      <c r="C271" s="32"/>
      <c r="D271" s="32"/>
      <c r="E271" s="32"/>
      <c r="F271" s="32"/>
      <c r="G271" s="32"/>
    </row>
    <row r="272" spans="1:7" x14ac:dyDescent="0.2">
      <c r="A272" s="31" t="s">
        <v>3240</v>
      </c>
      <c r="B272" s="31"/>
      <c r="C272" s="32">
        <v>1</v>
      </c>
      <c r="D272" s="32">
        <v>34</v>
      </c>
      <c r="E272" s="32">
        <v>0.4</v>
      </c>
      <c r="F272" s="32">
        <v>0.4</v>
      </c>
      <c r="G272" s="32">
        <f>PRODUCT(C272:F272)</f>
        <v>5.4400000000000013</v>
      </c>
    </row>
    <row r="273" spans="1:7" x14ac:dyDescent="0.2">
      <c r="A273" s="31" t="s">
        <v>3241</v>
      </c>
      <c r="B273" s="31"/>
      <c r="C273" s="32">
        <v>1</v>
      </c>
      <c r="D273" s="32">
        <v>10</v>
      </c>
      <c r="E273" s="32">
        <v>0.4</v>
      </c>
      <c r="F273" s="32">
        <v>0.4</v>
      </c>
      <c r="G273" s="32">
        <f>PRODUCT(C273:F273)</f>
        <v>1.6</v>
      </c>
    </row>
    <row r="274" spans="1:7" x14ac:dyDescent="0.2">
      <c r="A274" s="31" t="s">
        <v>3242</v>
      </c>
      <c r="B274" s="31"/>
      <c r="C274" s="32">
        <v>1</v>
      </c>
      <c r="D274" s="32">
        <v>11</v>
      </c>
      <c r="E274" s="32">
        <v>0.4</v>
      </c>
      <c r="F274" s="32">
        <v>0.4</v>
      </c>
      <c r="G274" s="32">
        <f>PRODUCT(C274:F274)</f>
        <v>1.7600000000000002</v>
      </c>
    </row>
    <row r="275" spans="1:7" x14ac:dyDescent="0.2">
      <c r="A275" s="31" t="s">
        <v>3243</v>
      </c>
      <c r="B275" s="31"/>
      <c r="C275" s="32"/>
      <c r="D275" s="32"/>
      <c r="E275" s="32"/>
      <c r="F275" s="32"/>
      <c r="G275" s="32"/>
    </row>
    <row r="276" spans="1:7" x14ac:dyDescent="0.2">
      <c r="A276" s="31" t="s">
        <v>3244</v>
      </c>
      <c r="B276" s="31"/>
      <c r="C276" s="32">
        <v>1</v>
      </c>
      <c r="D276" s="32">
        <v>15</v>
      </c>
      <c r="E276" s="32">
        <v>0.4</v>
      </c>
      <c r="F276" s="32">
        <v>0.4</v>
      </c>
      <c r="G276" s="32">
        <f>PRODUCT(C276:F276)</f>
        <v>2.4000000000000004</v>
      </c>
    </row>
    <row r="277" spans="1:7" x14ac:dyDescent="0.2">
      <c r="A277" s="31" t="s">
        <v>3245</v>
      </c>
      <c r="B277" s="31"/>
      <c r="C277" s="32"/>
      <c r="D277" s="32"/>
      <c r="E277" s="32"/>
      <c r="F277" s="32"/>
      <c r="G277" s="32"/>
    </row>
    <row r="278" spans="1:7" x14ac:dyDescent="0.2">
      <c r="A278" s="31" t="s">
        <v>3246</v>
      </c>
      <c r="B278" s="31"/>
      <c r="C278" s="32">
        <v>1</v>
      </c>
      <c r="D278" s="32">
        <v>10</v>
      </c>
      <c r="E278" s="32">
        <v>0.4</v>
      </c>
      <c r="F278" s="32">
        <v>0.4</v>
      </c>
      <c r="G278" s="32">
        <f>PRODUCT(C278:F278)</f>
        <v>1.6</v>
      </c>
    </row>
    <row r="279" spans="1:7" x14ac:dyDescent="0.2">
      <c r="A279" s="31" t="s">
        <v>3247</v>
      </c>
      <c r="B279" s="31"/>
      <c r="C279" s="32">
        <v>1</v>
      </c>
      <c r="D279" s="32">
        <v>8</v>
      </c>
      <c r="E279" s="32">
        <v>0.4</v>
      </c>
      <c r="F279" s="32">
        <v>0.4</v>
      </c>
      <c r="G279" s="32">
        <f>PRODUCT(C279:F279)</f>
        <v>1.2800000000000002</v>
      </c>
    </row>
    <row r="280" spans="1:7" x14ac:dyDescent="0.2">
      <c r="A280" s="31" t="s">
        <v>3186</v>
      </c>
      <c r="B280" s="31"/>
      <c r="C280" s="32">
        <v>1</v>
      </c>
      <c r="D280" s="32">
        <v>10</v>
      </c>
      <c r="E280" s="32">
        <v>0.4</v>
      </c>
      <c r="F280" s="32">
        <v>0.4</v>
      </c>
      <c r="G280" s="32">
        <f>PRODUCT(C280:F280)</f>
        <v>1.6</v>
      </c>
    </row>
    <row r="281" spans="1:7" x14ac:dyDescent="0.2">
      <c r="A281" s="31"/>
      <c r="B281" s="31"/>
      <c r="C281" s="32">
        <v>1</v>
      </c>
      <c r="D281" s="32">
        <v>25</v>
      </c>
      <c r="E281" s="32">
        <v>0.4</v>
      </c>
      <c r="F281" s="32">
        <v>0.4</v>
      </c>
      <c r="G281" s="32">
        <f>PRODUCT(C281:F281)</f>
        <v>4</v>
      </c>
    </row>
    <row r="282" spans="1:7" x14ac:dyDescent="0.2">
      <c r="A282" s="31" t="s">
        <v>3248</v>
      </c>
      <c r="B282" s="31"/>
      <c r="C282" s="32"/>
      <c r="D282" s="32"/>
      <c r="E282" s="32"/>
      <c r="F282" s="32"/>
      <c r="G282" s="32"/>
    </row>
    <row r="283" spans="1:7" x14ac:dyDescent="0.2">
      <c r="A283" s="31" t="s">
        <v>3249</v>
      </c>
      <c r="B283" s="31"/>
      <c r="C283" s="32">
        <v>1</v>
      </c>
      <c r="D283" s="32">
        <v>24</v>
      </c>
      <c r="E283" s="32">
        <v>0.6</v>
      </c>
      <c r="F283" s="32">
        <v>0.6</v>
      </c>
      <c r="G283" s="32">
        <f>PRODUCT(C283:F283)</f>
        <v>8.6399999999999988</v>
      </c>
    </row>
    <row r="284" spans="1:7" x14ac:dyDescent="0.2">
      <c r="A284" s="31"/>
      <c r="B284" s="31"/>
      <c r="C284" s="32">
        <v>1</v>
      </c>
      <c r="D284" s="32">
        <v>14</v>
      </c>
      <c r="E284" s="32">
        <v>0.6</v>
      </c>
      <c r="F284" s="32">
        <v>0.6</v>
      </c>
      <c r="G284" s="32">
        <f>PRODUCT(C284:F284)</f>
        <v>5.04</v>
      </c>
    </row>
    <row r="285" spans="1:7" x14ac:dyDescent="0.2">
      <c r="A285" s="31" t="s">
        <v>3186</v>
      </c>
      <c r="B285" s="31"/>
      <c r="C285" s="32">
        <v>1</v>
      </c>
      <c r="D285" s="32">
        <v>20</v>
      </c>
      <c r="E285" s="32">
        <v>0.6</v>
      </c>
      <c r="F285" s="32">
        <v>0.8</v>
      </c>
      <c r="G285" s="32">
        <f>PRODUCT(C285:F285)</f>
        <v>9.6000000000000014</v>
      </c>
    </row>
    <row r="286" spans="1:7" x14ac:dyDescent="0.2">
      <c r="A286" s="31" t="s">
        <v>3250</v>
      </c>
      <c r="B286" s="31"/>
      <c r="C286" s="32">
        <v>1</v>
      </c>
      <c r="D286" s="32">
        <v>15</v>
      </c>
      <c r="E286" s="32">
        <v>0.6</v>
      </c>
      <c r="F286" s="32">
        <v>0.8</v>
      </c>
      <c r="G286" s="32">
        <f>PRODUCT(C286:F286)</f>
        <v>7.2</v>
      </c>
    </row>
    <row r="287" spans="1:7" x14ac:dyDescent="0.2">
      <c r="A287" s="31"/>
      <c r="B287" s="31"/>
      <c r="C287" s="32">
        <v>1</v>
      </c>
      <c r="D287" s="32">
        <v>5</v>
      </c>
      <c r="E287" s="32">
        <v>0.6</v>
      </c>
      <c r="F287" s="32">
        <v>1</v>
      </c>
      <c r="G287" s="32">
        <f>PRODUCT(C287:F287)</f>
        <v>3</v>
      </c>
    </row>
    <row r="288" spans="1:7" x14ac:dyDescent="0.2">
      <c r="A288" s="31" t="s">
        <v>3251</v>
      </c>
      <c r="B288" s="31"/>
      <c r="C288" s="32"/>
      <c r="D288" s="32"/>
      <c r="E288" s="32"/>
      <c r="F288" s="32"/>
      <c r="G288" s="32"/>
    </row>
    <row r="289" spans="1:7" x14ac:dyDescent="0.2">
      <c r="A289" s="31" t="s">
        <v>3249</v>
      </c>
      <c r="B289" s="31"/>
      <c r="C289" s="32">
        <v>1</v>
      </c>
      <c r="D289" s="32">
        <v>16</v>
      </c>
      <c r="E289" s="32">
        <v>0.6</v>
      </c>
      <c r="F289" s="32">
        <v>0.6</v>
      </c>
      <c r="G289" s="32">
        <f t="shared" ref="G289:G298" si="7">PRODUCT(C289:F289)</f>
        <v>5.76</v>
      </c>
    </row>
    <row r="290" spans="1:7" x14ac:dyDescent="0.2">
      <c r="A290" s="31"/>
      <c r="B290" s="31"/>
      <c r="C290" s="32">
        <v>3</v>
      </c>
      <c r="D290" s="32">
        <v>7</v>
      </c>
      <c r="E290" s="32">
        <v>0.6</v>
      </c>
      <c r="F290" s="32">
        <v>0.6</v>
      </c>
      <c r="G290" s="32">
        <f t="shared" si="7"/>
        <v>7.56</v>
      </c>
    </row>
    <row r="291" spans="1:7" x14ac:dyDescent="0.2">
      <c r="A291" s="31"/>
      <c r="B291" s="31"/>
      <c r="C291" s="32">
        <v>1</v>
      </c>
      <c r="D291" s="32">
        <v>12</v>
      </c>
      <c r="E291" s="32">
        <v>0.6</v>
      </c>
      <c r="F291" s="32">
        <v>0.6</v>
      </c>
      <c r="G291" s="32">
        <f t="shared" si="7"/>
        <v>4.3199999999999994</v>
      </c>
    </row>
    <row r="292" spans="1:7" x14ac:dyDescent="0.2">
      <c r="A292" s="31"/>
      <c r="B292" s="31"/>
      <c r="C292" s="32">
        <v>3</v>
      </c>
      <c r="D292" s="32">
        <v>2</v>
      </c>
      <c r="E292" s="32">
        <v>0.6</v>
      </c>
      <c r="F292" s="32">
        <v>0.6</v>
      </c>
      <c r="G292" s="32">
        <f t="shared" si="7"/>
        <v>2.1599999999999997</v>
      </c>
    </row>
    <row r="293" spans="1:7" x14ac:dyDescent="0.2">
      <c r="A293" s="31" t="s">
        <v>3186</v>
      </c>
      <c r="B293" s="31"/>
      <c r="C293" s="32">
        <v>1</v>
      </c>
      <c r="D293" s="32">
        <v>23</v>
      </c>
      <c r="E293" s="32">
        <v>0.6</v>
      </c>
      <c r="F293" s="32">
        <v>0.8</v>
      </c>
      <c r="G293" s="32">
        <f t="shared" si="7"/>
        <v>11.04</v>
      </c>
    </row>
    <row r="294" spans="1:7" x14ac:dyDescent="0.2">
      <c r="A294" s="31"/>
      <c r="B294" s="31"/>
      <c r="C294" s="32">
        <v>1</v>
      </c>
      <c r="D294" s="32">
        <v>11</v>
      </c>
      <c r="E294" s="32">
        <v>0.6</v>
      </c>
      <c r="F294" s="32">
        <v>0.8</v>
      </c>
      <c r="G294" s="32">
        <f t="shared" si="7"/>
        <v>5.28</v>
      </c>
    </row>
    <row r="295" spans="1:7" x14ac:dyDescent="0.2">
      <c r="A295" s="31"/>
      <c r="B295" s="31"/>
      <c r="C295" s="32">
        <v>1</v>
      </c>
      <c r="D295" s="32">
        <v>15</v>
      </c>
      <c r="E295" s="32">
        <v>0.6</v>
      </c>
      <c r="F295" s="32">
        <v>0.8</v>
      </c>
      <c r="G295" s="32">
        <f t="shared" si="7"/>
        <v>7.2</v>
      </c>
    </row>
    <row r="296" spans="1:7" x14ac:dyDescent="0.2">
      <c r="A296" s="31" t="s">
        <v>3250</v>
      </c>
      <c r="B296" s="31"/>
      <c r="C296" s="32">
        <v>1</v>
      </c>
      <c r="D296" s="32">
        <v>14</v>
      </c>
      <c r="E296" s="32">
        <v>0.6</v>
      </c>
      <c r="F296" s="32">
        <v>0.8</v>
      </c>
      <c r="G296" s="32">
        <f t="shared" si="7"/>
        <v>6.7200000000000006</v>
      </c>
    </row>
    <row r="297" spans="1:7" x14ac:dyDescent="0.2">
      <c r="A297" s="31"/>
      <c r="B297" s="31"/>
      <c r="C297" s="32">
        <v>2</v>
      </c>
      <c r="D297" s="32">
        <v>5</v>
      </c>
      <c r="E297" s="32">
        <v>0.6</v>
      </c>
      <c r="F297" s="32">
        <v>1</v>
      </c>
      <c r="G297" s="32">
        <f t="shared" si="7"/>
        <v>6</v>
      </c>
    </row>
    <row r="298" spans="1:7" x14ac:dyDescent="0.2">
      <c r="A298" s="31" t="s">
        <v>3252</v>
      </c>
      <c r="B298" s="31"/>
      <c r="C298" s="32">
        <v>2</v>
      </c>
      <c r="D298" s="32">
        <v>1</v>
      </c>
      <c r="E298" s="32">
        <v>1</v>
      </c>
      <c r="F298" s="32">
        <v>1</v>
      </c>
      <c r="G298" s="32">
        <f t="shared" si="7"/>
        <v>2</v>
      </c>
    </row>
    <row r="300" spans="1:7" ht="45" customHeight="1" x14ac:dyDescent="0.2">
      <c r="A300" s="17" t="s">
        <v>3253</v>
      </c>
      <c r="B300" s="17" t="s">
        <v>3141</v>
      </c>
      <c r="C300" s="17" t="s">
        <v>87</v>
      </c>
      <c r="D300" s="83" t="s">
        <v>15</v>
      </c>
      <c r="E300" s="102" t="s">
        <v>88</v>
      </c>
      <c r="F300" s="102" t="s">
        <v>88</v>
      </c>
      <c r="G300" s="84">
        <f>SUM(G301:G328)</f>
        <v>91.919999999999987</v>
      </c>
    </row>
    <row r="301" spans="1:7" x14ac:dyDescent="0.2">
      <c r="A301" s="28"/>
      <c r="B301" s="28" t="s">
        <v>3142</v>
      </c>
      <c r="C301" s="29" t="s">
        <v>3229</v>
      </c>
      <c r="D301" s="29" t="s">
        <v>3223</v>
      </c>
      <c r="E301" s="29" t="s">
        <v>3222</v>
      </c>
      <c r="F301" s="29" t="s">
        <v>3224</v>
      </c>
      <c r="G301" s="30"/>
    </row>
    <row r="302" spans="1:7" x14ac:dyDescent="0.2">
      <c r="A302" s="31" t="s">
        <v>3239</v>
      </c>
      <c r="B302" s="31"/>
      <c r="C302" s="32"/>
      <c r="D302" s="32"/>
      <c r="E302" s="32"/>
      <c r="F302" s="32"/>
      <c r="G302" s="32"/>
    </row>
    <row r="303" spans="1:7" x14ac:dyDescent="0.2">
      <c r="A303" s="31" t="s">
        <v>3240</v>
      </c>
      <c r="B303" s="31"/>
      <c r="C303" s="32">
        <v>1</v>
      </c>
      <c r="D303" s="32">
        <v>34</v>
      </c>
      <c r="E303" s="32">
        <v>0.4</v>
      </c>
      <c r="F303" s="32">
        <v>0.3</v>
      </c>
      <c r="G303" s="32">
        <f>PRODUCT(C303:F303)</f>
        <v>4.08</v>
      </c>
    </row>
    <row r="304" spans="1:7" x14ac:dyDescent="0.2">
      <c r="A304" s="31" t="s">
        <v>3241</v>
      </c>
      <c r="B304" s="31"/>
      <c r="C304" s="32">
        <v>1</v>
      </c>
      <c r="D304" s="32">
        <v>10</v>
      </c>
      <c r="E304" s="32">
        <v>0.4</v>
      </c>
      <c r="F304" s="32">
        <v>0.3</v>
      </c>
      <c r="G304" s="32">
        <f>PRODUCT(C304:F304)</f>
        <v>1.2</v>
      </c>
    </row>
    <row r="305" spans="1:7" x14ac:dyDescent="0.2">
      <c r="A305" s="31" t="s">
        <v>3242</v>
      </c>
      <c r="B305" s="31"/>
      <c r="C305" s="32">
        <v>1</v>
      </c>
      <c r="D305" s="32">
        <v>11</v>
      </c>
      <c r="E305" s="32">
        <v>0.4</v>
      </c>
      <c r="F305" s="32">
        <v>0.3</v>
      </c>
      <c r="G305" s="32">
        <f>PRODUCT(C305:F305)</f>
        <v>1.32</v>
      </c>
    </row>
    <row r="306" spans="1:7" x14ac:dyDescent="0.2">
      <c r="A306" s="31" t="s">
        <v>3243</v>
      </c>
      <c r="B306" s="31"/>
      <c r="C306" s="32"/>
      <c r="D306" s="32"/>
      <c r="E306" s="32"/>
      <c r="F306" s="32"/>
      <c r="G306" s="32"/>
    </row>
    <row r="307" spans="1:7" x14ac:dyDescent="0.2">
      <c r="A307" s="31" t="s">
        <v>3244</v>
      </c>
      <c r="B307" s="31"/>
      <c r="C307" s="32">
        <v>1</v>
      </c>
      <c r="D307" s="32">
        <v>15</v>
      </c>
      <c r="E307" s="32">
        <v>0.4</v>
      </c>
      <c r="F307" s="32">
        <v>0.3</v>
      </c>
      <c r="G307" s="32">
        <f>PRODUCT(C307:F307)</f>
        <v>1.7999999999999998</v>
      </c>
    </row>
    <row r="308" spans="1:7" x14ac:dyDescent="0.2">
      <c r="A308" s="31" t="s">
        <v>3245</v>
      </c>
      <c r="B308" s="31"/>
      <c r="C308" s="32"/>
      <c r="D308" s="32"/>
      <c r="E308" s="32"/>
      <c r="F308" s="32"/>
      <c r="G308" s="32"/>
    </row>
    <row r="309" spans="1:7" x14ac:dyDescent="0.2">
      <c r="A309" s="31" t="s">
        <v>3246</v>
      </c>
      <c r="B309" s="31"/>
      <c r="C309" s="32">
        <v>1</v>
      </c>
      <c r="D309" s="32">
        <v>10</v>
      </c>
      <c r="E309" s="32">
        <v>0.4</v>
      </c>
      <c r="F309" s="32">
        <v>0.3</v>
      </c>
      <c r="G309" s="32">
        <f>PRODUCT(C309:F309)</f>
        <v>1.2</v>
      </c>
    </row>
    <row r="310" spans="1:7" x14ac:dyDescent="0.2">
      <c r="A310" s="31" t="s">
        <v>3247</v>
      </c>
      <c r="B310" s="31"/>
      <c r="C310" s="32">
        <v>1</v>
      </c>
      <c r="D310" s="32">
        <v>8</v>
      </c>
      <c r="E310" s="32">
        <v>0.4</v>
      </c>
      <c r="F310" s="32">
        <v>0.3</v>
      </c>
      <c r="G310" s="32">
        <f>PRODUCT(C310:F310)</f>
        <v>0.96</v>
      </c>
    </row>
    <row r="311" spans="1:7" x14ac:dyDescent="0.2">
      <c r="A311" s="31" t="s">
        <v>3186</v>
      </c>
      <c r="B311" s="31"/>
      <c r="C311" s="32">
        <v>1</v>
      </c>
      <c r="D311" s="32">
        <v>10</v>
      </c>
      <c r="E311" s="32">
        <v>0.4</v>
      </c>
      <c r="F311" s="32">
        <v>0.3</v>
      </c>
      <c r="G311" s="32">
        <f>PRODUCT(C311:F311)</f>
        <v>1.2</v>
      </c>
    </row>
    <row r="312" spans="1:7" x14ac:dyDescent="0.2">
      <c r="A312" s="31"/>
      <c r="B312" s="31"/>
      <c r="C312" s="32">
        <v>1</v>
      </c>
      <c r="D312" s="32">
        <v>25</v>
      </c>
      <c r="E312" s="32">
        <v>0.4</v>
      </c>
      <c r="F312" s="32">
        <v>0.3</v>
      </c>
      <c r="G312" s="32">
        <f>PRODUCT(C312:F312)</f>
        <v>3</v>
      </c>
    </row>
    <row r="313" spans="1:7" x14ac:dyDescent="0.2">
      <c r="A313" s="31" t="s">
        <v>3248</v>
      </c>
      <c r="B313" s="31"/>
      <c r="C313" s="32"/>
      <c r="D313" s="32"/>
      <c r="E313" s="32"/>
      <c r="F313" s="32"/>
      <c r="G313" s="32"/>
    </row>
    <row r="314" spans="1:7" x14ac:dyDescent="0.2">
      <c r="A314" s="31" t="s">
        <v>3249</v>
      </c>
      <c r="B314" s="31"/>
      <c r="C314" s="32">
        <v>1</v>
      </c>
      <c r="D314" s="32">
        <v>24</v>
      </c>
      <c r="E314" s="32">
        <v>0.6</v>
      </c>
      <c r="F314" s="32">
        <v>0.5</v>
      </c>
      <c r="G314" s="32">
        <f>PRODUCT(C314:F314)</f>
        <v>7.1999999999999993</v>
      </c>
    </row>
    <row r="315" spans="1:7" x14ac:dyDescent="0.2">
      <c r="A315" s="31"/>
      <c r="B315" s="31"/>
      <c r="C315" s="32">
        <v>1</v>
      </c>
      <c r="D315" s="32">
        <v>14</v>
      </c>
      <c r="E315" s="32">
        <v>0.6</v>
      </c>
      <c r="F315" s="32">
        <v>0.5</v>
      </c>
      <c r="G315" s="32">
        <f>PRODUCT(C315:F315)</f>
        <v>4.2</v>
      </c>
    </row>
    <row r="316" spans="1:7" x14ac:dyDescent="0.2">
      <c r="A316" s="31" t="s">
        <v>3186</v>
      </c>
      <c r="B316" s="31"/>
      <c r="C316" s="32">
        <v>1</v>
      </c>
      <c r="D316" s="32">
        <v>20</v>
      </c>
      <c r="E316" s="32">
        <v>0.6</v>
      </c>
      <c r="F316" s="32">
        <v>0.7</v>
      </c>
      <c r="G316" s="32">
        <f>PRODUCT(C316:F316)</f>
        <v>8.3999999999999986</v>
      </c>
    </row>
    <row r="317" spans="1:7" x14ac:dyDescent="0.2">
      <c r="A317" s="31" t="s">
        <v>3250</v>
      </c>
      <c r="B317" s="31"/>
      <c r="C317" s="32">
        <v>1</v>
      </c>
      <c r="D317" s="32">
        <v>15</v>
      </c>
      <c r="E317" s="32">
        <v>0.6</v>
      </c>
      <c r="F317" s="32">
        <v>0.7</v>
      </c>
      <c r="G317" s="32">
        <f>PRODUCT(C317:F317)</f>
        <v>6.3</v>
      </c>
    </row>
    <row r="318" spans="1:7" x14ac:dyDescent="0.2">
      <c r="A318" s="31"/>
      <c r="B318" s="31"/>
      <c r="C318" s="32">
        <v>1</v>
      </c>
      <c r="D318" s="32">
        <v>5</v>
      </c>
      <c r="E318" s="32">
        <v>0.6</v>
      </c>
      <c r="F318" s="32">
        <v>0.9</v>
      </c>
      <c r="G318" s="32">
        <f>PRODUCT(C318:F318)</f>
        <v>2.7</v>
      </c>
    </row>
    <row r="319" spans="1:7" x14ac:dyDescent="0.2">
      <c r="A319" s="31" t="s">
        <v>3251</v>
      </c>
      <c r="B319" s="31"/>
      <c r="C319" s="32"/>
      <c r="D319" s="32"/>
      <c r="E319" s="32"/>
      <c r="F319" s="32"/>
      <c r="G319" s="32"/>
    </row>
    <row r="320" spans="1:7" x14ac:dyDescent="0.2">
      <c r="A320" s="31" t="s">
        <v>3249</v>
      </c>
      <c r="B320" s="31"/>
      <c r="C320" s="32">
        <v>1</v>
      </c>
      <c r="D320" s="32">
        <v>16</v>
      </c>
      <c r="E320" s="32">
        <v>0.6</v>
      </c>
      <c r="F320" s="32">
        <v>0.5</v>
      </c>
      <c r="G320" s="32">
        <f t="shared" ref="G320:G328" si="8">PRODUCT(C320:F320)</f>
        <v>4.8</v>
      </c>
    </row>
    <row r="321" spans="1:7" x14ac:dyDescent="0.2">
      <c r="A321" s="31"/>
      <c r="B321" s="31"/>
      <c r="C321" s="32">
        <v>3</v>
      </c>
      <c r="D321" s="32">
        <v>7</v>
      </c>
      <c r="E321" s="32">
        <v>0.6</v>
      </c>
      <c r="F321" s="32">
        <v>0.5</v>
      </c>
      <c r="G321" s="32">
        <f t="shared" si="8"/>
        <v>6.3</v>
      </c>
    </row>
    <row r="322" spans="1:7" x14ac:dyDescent="0.2">
      <c r="A322" s="31"/>
      <c r="B322" s="31"/>
      <c r="C322" s="32">
        <v>1</v>
      </c>
      <c r="D322" s="32">
        <v>12</v>
      </c>
      <c r="E322" s="32">
        <v>0.6</v>
      </c>
      <c r="F322" s="32">
        <v>0.5</v>
      </c>
      <c r="G322" s="32">
        <f t="shared" si="8"/>
        <v>3.5999999999999996</v>
      </c>
    </row>
    <row r="323" spans="1:7" x14ac:dyDescent="0.2">
      <c r="A323" s="31"/>
      <c r="B323" s="31"/>
      <c r="C323" s="32">
        <v>3</v>
      </c>
      <c r="D323" s="32">
        <v>2</v>
      </c>
      <c r="E323" s="32">
        <v>0.6</v>
      </c>
      <c r="F323" s="32">
        <v>0.5</v>
      </c>
      <c r="G323" s="32">
        <f t="shared" si="8"/>
        <v>1.7999999999999998</v>
      </c>
    </row>
    <row r="324" spans="1:7" x14ac:dyDescent="0.2">
      <c r="A324" s="31" t="s">
        <v>3186</v>
      </c>
      <c r="B324" s="31"/>
      <c r="C324" s="32">
        <v>1</v>
      </c>
      <c r="D324" s="32">
        <v>23</v>
      </c>
      <c r="E324" s="32">
        <v>0.6</v>
      </c>
      <c r="F324" s="32">
        <v>0.7</v>
      </c>
      <c r="G324" s="32">
        <f t="shared" si="8"/>
        <v>9.6599999999999984</v>
      </c>
    </row>
    <row r="325" spans="1:7" x14ac:dyDescent="0.2">
      <c r="A325" s="31"/>
      <c r="B325" s="31"/>
      <c r="C325" s="32">
        <v>1</v>
      </c>
      <c r="D325" s="32">
        <v>11</v>
      </c>
      <c r="E325" s="32">
        <v>0.6</v>
      </c>
      <c r="F325" s="32">
        <v>0.7</v>
      </c>
      <c r="G325" s="32">
        <f t="shared" si="8"/>
        <v>4.6199999999999992</v>
      </c>
    </row>
    <row r="326" spans="1:7" x14ac:dyDescent="0.2">
      <c r="A326" s="31"/>
      <c r="B326" s="31"/>
      <c r="C326" s="32">
        <v>1</v>
      </c>
      <c r="D326" s="32">
        <v>15</v>
      </c>
      <c r="E326" s="32">
        <v>0.6</v>
      </c>
      <c r="F326" s="32">
        <v>0.7</v>
      </c>
      <c r="G326" s="32">
        <f t="shared" si="8"/>
        <v>6.3</v>
      </c>
    </row>
    <row r="327" spans="1:7" x14ac:dyDescent="0.2">
      <c r="A327" s="31" t="s">
        <v>3250</v>
      </c>
      <c r="B327" s="31"/>
      <c r="C327" s="32">
        <v>1</v>
      </c>
      <c r="D327" s="32">
        <v>14</v>
      </c>
      <c r="E327" s="32">
        <v>0.6</v>
      </c>
      <c r="F327" s="32">
        <v>0.7</v>
      </c>
      <c r="G327" s="32">
        <f t="shared" si="8"/>
        <v>5.88</v>
      </c>
    </row>
    <row r="328" spans="1:7" x14ac:dyDescent="0.2">
      <c r="A328" s="31"/>
      <c r="B328" s="31"/>
      <c r="C328" s="32">
        <v>2</v>
      </c>
      <c r="D328" s="32">
        <v>5</v>
      </c>
      <c r="E328" s="32">
        <v>0.6</v>
      </c>
      <c r="F328" s="32">
        <v>0.9</v>
      </c>
      <c r="G328" s="32">
        <f t="shared" si="8"/>
        <v>5.4</v>
      </c>
    </row>
    <row r="330" spans="1:7" x14ac:dyDescent="0.2">
      <c r="B330" t="s">
        <v>3139</v>
      </c>
      <c r="C330" s="6" t="s">
        <v>6</v>
      </c>
      <c r="D330" s="7" t="s">
        <v>7</v>
      </c>
      <c r="E330" s="6" t="s">
        <v>8</v>
      </c>
    </row>
    <row r="331" spans="1:7" x14ac:dyDescent="0.2">
      <c r="B331" t="s">
        <v>3139</v>
      </c>
      <c r="C331" s="6" t="s">
        <v>9</v>
      </c>
      <c r="D331" s="7" t="s">
        <v>26</v>
      </c>
      <c r="E331" s="6" t="s">
        <v>89</v>
      </c>
    </row>
    <row r="332" spans="1:7" x14ac:dyDescent="0.2">
      <c r="B332" t="s">
        <v>3139</v>
      </c>
      <c r="C332" s="6" t="s">
        <v>11</v>
      </c>
      <c r="D332" s="7" t="s">
        <v>7</v>
      </c>
      <c r="E332" s="6" t="s">
        <v>90</v>
      </c>
    </row>
    <row r="333" spans="1:7" x14ac:dyDescent="0.2">
      <c r="B333" t="s">
        <v>3139</v>
      </c>
      <c r="C333" s="6" t="s">
        <v>91</v>
      </c>
      <c r="D333" s="7" t="s">
        <v>7</v>
      </c>
      <c r="E333" s="6" t="s">
        <v>92</v>
      </c>
    </row>
    <row r="335" spans="1:7" ht="45" customHeight="1" x14ac:dyDescent="0.2">
      <c r="A335" s="17" t="s">
        <v>3254</v>
      </c>
      <c r="B335" s="17" t="s">
        <v>3141</v>
      </c>
      <c r="C335" s="17" t="s">
        <v>94</v>
      </c>
      <c r="D335" s="83" t="s">
        <v>15</v>
      </c>
      <c r="E335" s="102" t="s">
        <v>95</v>
      </c>
      <c r="F335" s="102" t="s">
        <v>95</v>
      </c>
      <c r="G335" s="84">
        <f>SUM(G336:G338)</f>
        <v>3.84</v>
      </c>
    </row>
    <row r="336" spans="1:7" x14ac:dyDescent="0.2">
      <c r="A336" s="28"/>
      <c r="B336" s="28" t="s">
        <v>3142</v>
      </c>
      <c r="C336" s="29" t="s">
        <v>3255</v>
      </c>
      <c r="D336" s="29" t="s">
        <v>3230</v>
      </c>
      <c r="E336" s="29" t="s">
        <v>3256</v>
      </c>
      <c r="F336" s="29"/>
      <c r="G336" s="30"/>
    </row>
    <row r="337" spans="1:7" x14ac:dyDescent="0.2">
      <c r="A337" s="31" t="s">
        <v>3257</v>
      </c>
      <c r="B337" s="31"/>
      <c r="C337" s="32"/>
      <c r="D337" s="32"/>
      <c r="E337" s="32"/>
      <c r="F337" s="32"/>
      <c r="G337" s="32"/>
    </row>
    <row r="338" spans="1:7" x14ac:dyDescent="0.2">
      <c r="A338" s="31"/>
      <c r="B338" s="31"/>
      <c r="C338" s="32">
        <v>5</v>
      </c>
      <c r="D338" s="32">
        <v>0.64</v>
      </c>
      <c r="E338" s="32">
        <v>1.2</v>
      </c>
      <c r="F338" s="32"/>
      <c r="G338" s="32">
        <f>PRODUCT(C338:F338)</f>
        <v>3.84</v>
      </c>
    </row>
    <row r="340" spans="1:7" x14ac:dyDescent="0.2">
      <c r="B340" t="s">
        <v>3139</v>
      </c>
      <c r="C340" s="6" t="s">
        <v>6</v>
      </c>
      <c r="D340" s="7" t="s">
        <v>7</v>
      </c>
      <c r="E340" s="6" t="s">
        <v>8</v>
      </c>
    </row>
    <row r="341" spans="1:7" x14ac:dyDescent="0.2">
      <c r="B341" t="s">
        <v>3139</v>
      </c>
      <c r="C341" s="6" t="s">
        <v>9</v>
      </c>
      <c r="D341" s="7" t="s">
        <v>26</v>
      </c>
      <c r="E341" s="6" t="s">
        <v>89</v>
      </c>
    </row>
    <row r="342" spans="1:7" x14ac:dyDescent="0.2">
      <c r="B342" t="s">
        <v>3139</v>
      </c>
      <c r="C342" s="6" t="s">
        <v>11</v>
      </c>
      <c r="D342" s="7" t="s">
        <v>7</v>
      </c>
      <c r="E342" s="6" t="s">
        <v>90</v>
      </c>
    </row>
    <row r="343" spans="1:7" x14ac:dyDescent="0.2">
      <c r="B343" t="s">
        <v>3139</v>
      </c>
      <c r="C343" s="6" t="s">
        <v>91</v>
      </c>
      <c r="D343" s="7" t="s">
        <v>26</v>
      </c>
      <c r="E343" s="6" t="s">
        <v>96</v>
      </c>
    </row>
    <row r="345" spans="1:7" ht="45" customHeight="1" x14ac:dyDescent="0.2">
      <c r="A345" s="17" t="s">
        <v>3258</v>
      </c>
      <c r="B345" s="17" t="s">
        <v>3141</v>
      </c>
      <c r="C345" s="17" t="s">
        <v>98</v>
      </c>
      <c r="D345" s="83" t="s">
        <v>15</v>
      </c>
      <c r="E345" s="102" t="s">
        <v>99</v>
      </c>
      <c r="F345" s="102" t="s">
        <v>99</v>
      </c>
      <c r="G345" s="84">
        <f>SUM(G346:G358)</f>
        <v>28.711600000000004</v>
      </c>
    </row>
    <row r="346" spans="1:7" x14ac:dyDescent="0.2">
      <c r="A346" s="28"/>
      <c r="B346" s="28" t="s">
        <v>3142</v>
      </c>
      <c r="C346" s="29" t="s">
        <v>3230</v>
      </c>
      <c r="D346" s="29" t="s">
        <v>3219</v>
      </c>
      <c r="E346" s="29"/>
      <c r="F346" s="29"/>
      <c r="G346" s="30"/>
    </row>
    <row r="347" spans="1:7" x14ac:dyDescent="0.2">
      <c r="A347" s="31" t="s">
        <v>3220</v>
      </c>
      <c r="B347" s="31"/>
      <c r="C347" s="32"/>
      <c r="D347" s="32"/>
      <c r="E347" s="32"/>
      <c r="F347" s="32"/>
      <c r="G347" s="32"/>
    </row>
    <row r="348" spans="1:7" x14ac:dyDescent="0.2">
      <c r="A348" s="31" t="s">
        <v>3221</v>
      </c>
      <c r="B348" s="31"/>
      <c r="C348" s="32">
        <v>3.55</v>
      </c>
      <c r="D348" s="32">
        <v>0.4</v>
      </c>
      <c r="E348" s="32"/>
      <c r="F348" s="32"/>
      <c r="G348" s="32">
        <f>PRODUCT(C348:F348)</f>
        <v>1.42</v>
      </c>
    </row>
    <row r="349" spans="1:7" x14ac:dyDescent="0.2">
      <c r="A349" s="28"/>
      <c r="B349" s="28" t="s">
        <v>3142</v>
      </c>
      <c r="C349" s="29" t="s">
        <v>3222</v>
      </c>
      <c r="D349" s="29" t="s">
        <v>3223</v>
      </c>
      <c r="E349" s="29" t="s">
        <v>3224</v>
      </c>
      <c r="F349" s="29"/>
      <c r="G349" s="30"/>
    </row>
    <row r="350" spans="1:7" x14ac:dyDescent="0.2">
      <c r="A350" s="31" t="s">
        <v>3225</v>
      </c>
      <c r="B350" s="31"/>
      <c r="C350" s="32"/>
      <c r="D350" s="32"/>
      <c r="E350" s="32"/>
      <c r="F350" s="32"/>
      <c r="G350" s="32"/>
    </row>
    <row r="351" spans="1:7" x14ac:dyDescent="0.2">
      <c r="A351" s="31" t="s">
        <v>3259</v>
      </c>
      <c r="B351" s="31"/>
      <c r="C351" s="32">
        <v>0.8</v>
      </c>
      <c r="D351" s="32">
        <v>5.82</v>
      </c>
      <c r="E351" s="32">
        <v>0.6</v>
      </c>
      <c r="F351" s="32"/>
      <c r="G351" s="32">
        <f>PRODUCT(C351:F351)</f>
        <v>2.7936000000000001</v>
      </c>
    </row>
    <row r="352" spans="1:7" x14ac:dyDescent="0.2">
      <c r="A352" s="31" t="s">
        <v>3226</v>
      </c>
      <c r="B352" s="31"/>
      <c r="C352" s="32"/>
      <c r="D352" s="32"/>
      <c r="E352" s="32"/>
      <c r="F352" s="32"/>
      <c r="G352" s="32"/>
    </row>
    <row r="353" spans="1:7" x14ac:dyDescent="0.2">
      <c r="A353" s="31" t="s">
        <v>3227</v>
      </c>
      <c r="B353" s="31"/>
      <c r="C353" s="32">
        <v>1.1000000000000001</v>
      </c>
      <c r="D353" s="32">
        <v>26.25</v>
      </c>
      <c r="E353" s="32">
        <v>0.6</v>
      </c>
      <c r="F353" s="32"/>
      <c r="G353" s="32">
        <f>PRODUCT(C353:F353)</f>
        <v>17.325000000000003</v>
      </c>
    </row>
    <row r="354" spans="1:7" x14ac:dyDescent="0.2">
      <c r="A354" s="31" t="s">
        <v>3228</v>
      </c>
      <c r="B354" s="31"/>
      <c r="C354" s="32"/>
      <c r="D354" s="32"/>
      <c r="E354" s="32"/>
      <c r="F354" s="32"/>
      <c r="G354" s="32"/>
    </row>
    <row r="355" spans="1:7" x14ac:dyDescent="0.2">
      <c r="A355" s="31" t="s">
        <v>3227</v>
      </c>
      <c r="B355" s="31"/>
      <c r="C355" s="32">
        <v>0.7</v>
      </c>
      <c r="D355" s="32">
        <v>15.25</v>
      </c>
      <c r="E355" s="32">
        <v>0.6</v>
      </c>
      <c r="F355" s="32"/>
      <c r="G355" s="32">
        <f>PRODUCT(C355:F355)</f>
        <v>6.4049999999999994</v>
      </c>
    </row>
    <row r="356" spans="1:7" x14ac:dyDescent="0.2">
      <c r="A356" s="28"/>
      <c r="B356" s="28" t="s">
        <v>3142</v>
      </c>
      <c r="C356" s="29" t="s">
        <v>3260</v>
      </c>
      <c r="D356" s="29" t="s">
        <v>3230</v>
      </c>
      <c r="E356" s="29" t="s">
        <v>3224</v>
      </c>
      <c r="F356" s="29"/>
      <c r="G356" s="30"/>
    </row>
    <row r="357" spans="1:7" x14ac:dyDescent="0.2">
      <c r="A357" s="31" t="s">
        <v>3231</v>
      </c>
      <c r="B357" s="31"/>
      <c r="C357" s="32"/>
      <c r="D357" s="32"/>
      <c r="E357" s="32"/>
      <c r="F357" s="32"/>
      <c r="G357" s="32"/>
    </row>
    <row r="358" spans="1:7" x14ac:dyDescent="0.2">
      <c r="A358" s="31" t="s">
        <v>3221</v>
      </c>
      <c r="B358" s="31"/>
      <c r="C358" s="32">
        <v>2</v>
      </c>
      <c r="D358" s="32">
        <v>0.64</v>
      </c>
      <c r="E358" s="32">
        <v>0.6</v>
      </c>
      <c r="F358" s="32"/>
      <c r="G358" s="32">
        <f>PRODUCT(C358:F358)</f>
        <v>0.76800000000000002</v>
      </c>
    </row>
    <row r="360" spans="1:7" ht="45" customHeight="1" x14ac:dyDescent="0.2">
      <c r="A360" s="17" t="s">
        <v>3261</v>
      </c>
      <c r="B360" s="17" t="s">
        <v>3141</v>
      </c>
      <c r="C360" s="17" t="s">
        <v>100</v>
      </c>
      <c r="D360" s="83" t="s">
        <v>18</v>
      </c>
      <c r="E360" s="102" t="s">
        <v>101</v>
      </c>
      <c r="F360" s="102" t="s">
        <v>101</v>
      </c>
      <c r="G360" s="84">
        <f>SUM(G361:G373)</f>
        <v>49.036000000000001</v>
      </c>
    </row>
    <row r="361" spans="1:7" x14ac:dyDescent="0.2">
      <c r="A361" s="28"/>
      <c r="B361" s="28" t="s">
        <v>3142</v>
      </c>
      <c r="C361" s="29" t="s">
        <v>3230</v>
      </c>
      <c r="D361" s="29"/>
      <c r="E361" s="29"/>
      <c r="F361" s="29"/>
      <c r="G361" s="30"/>
    </row>
    <row r="362" spans="1:7" x14ac:dyDescent="0.2">
      <c r="A362" s="31" t="s">
        <v>3220</v>
      </c>
      <c r="B362" s="31"/>
      <c r="C362" s="32"/>
      <c r="D362" s="32"/>
      <c r="E362" s="32"/>
      <c r="F362" s="32"/>
      <c r="G362" s="32"/>
    </row>
    <row r="363" spans="1:7" x14ac:dyDescent="0.2">
      <c r="A363" s="31" t="s">
        <v>3221</v>
      </c>
      <c r="B363" s="31"/>
      <c r="C363" s="32">
        <v>3.55</v>
      </c>
      <c r="D363" s="32"/>
      <c r="E363" s="32"/>
      <c r="F363" s="32"/>
      <c r="G363" s="32">
        <f>PRODUCT(C363:F363)</f>
        <v>3.55</v>
      </c>
    </row>
    <row r="364" spans="1:7" x14ac:dyDescent="0.2">
      <c r="A364" s="28"/>
      <c r="B364" s="28" t="s">
        <v>3142</v>
      </c>
      <c r="C364" s="29" t="s">
        <v>3222</v>
      </c>
      <c r="D364" s="29" t="s">
        <v>3223</v>
      </c>
      <c r="E364" s="29"/>
      <c r="F364" s="29"/>
      <c r="G364" s="30"/>
    </row>
    <row r="365" spans="1:7" x14ac:dyDescent="0.2">
      <c r="A365" s="31" t="s">
        <v>3225</v>
      </c>
      <c r="B365" s="31"/>
      <c r="C365" s="32"/>
      <c r="D365" s="32"/>
      <c r="E365" s="32"/>
      <c r="F365" s="32"/>
      <c r="G365" s="32"/>
    </row>
    <row r="366" spans="1:7" x14ac:dyDescent="0.2">
      <c r="A366" s="31" t="s">
        <v>3221</v>
      </c>
      <c r="B366" s="31"/>
      <c r="C366" s="32">
        <v>0.8</v>
      </c>
      <c r="D366" s="32">
        <v>5.82</v>
      </c>
      <c r="E366" s="32"/>
      <c r="F366" s="32"/>
      <c r="G366" s="32">
        <f>PRODUCT(C366:F366)</f>
        <v>4.6560000000000006</v>
      </c>
    </row>
    <row r="367" spans="1:7" x14ac:dyDescent="0.2">
      <c r="A367" s="31" t="s">
        <v>3262</v>
      </c>
      <c r="B367" s="31"/>
      <c r="C367" s="32"/>
      <c r="D367" s="32"/>
      <c r="E367" s="32"/>
      <c r="F367" s="32"/>
      <c r="G367" s="32"/>
    </row>
    <row r="368" spans="1:7" x14ac:dyDescent="0.2">
      <c r="A368" s="31" t="s">
        <v>3227</v>
      </c>
      <c r="B368" s="31"/>
      <c r="C368" s="32">
        <v>1.1000000000000001</v>
      </c>
      <c r="D368" s="32">
        <v>26.25</v>
      </c>
      <c r="E368" s="32"/>
      <c r="F368" s="32"/>
      <c r="G368" s="32">
        <f>PRODUCT(C368:F368)</f>
        <v>28.875000000000004</v>
      </c>
    </row>
    <row r="369" spans="1:7" x14ac:dyDescent="0.2">
      <c r="A369" s="31" t="s">
        <v>3228</v>
      </c>
      <c r="B369" s="31"/>
      <c r="C369" s="32"/>
      <c r="D369" s="32"/>
      <c r="E369" s="32"/>
      <c r="F369" s="32"/>
      <c r="G369" s="32"/>
    </row>
    <row r="370" spans="1:7" x14ac:dyDescent="0.2">
      <c r="A370" s="31" t="s">
        <v>3227</v>
      </c>
      <c r="B370" s="31"/>
      <c r="C370" s="32">
        <v>0.7</v>
      </c>
      <c r="D370" s="32">
        <v>15.25</v>
      </c>
      <c r="E370" s="32"/>
      <c r="F370" s="32"/>
      <c r="G370" s="32">
        <f>PRODUCT(C370:F370)</f>
        <v>10.674999999999999</v>
      </c>
    </row>
    <row r="371" spans="1:7" x14ac:dyDescent="0.2">
      <c r="A371" s="28"/>
      <c r="B371" s="28" t="s">
        <v>3142</v>
      </c>
      <c r="C371" s="29" t="s">
        <v>3260</v>
      </c>
      <c r="D371" s="29" t="s">
        <v>3230</v>
      </c>
      <c r="E371" s="29"/>
      <c r="F371" s="29"/>
      <c r="G371" s="30"/>
    </row>
    <row r="372" spans="1:7" x14ac:dyDescent="0.2">
      <c r="A372" s="31" t="s">
        <v>3231</v>
      </c>
      <c r="B372" s="31"/>
      <c r="C372" s="32"/>
      <c r="D372" s="32"/>
      <c r="E372" s="32"/>
      <c r="F372" s="32"/>
      <c r="G372" s="32"/>
    </row>
    <row r="373" spans="1:7" x14ac:dyDescent="0.2">
      <c r="A373" s="31"/>
      <c r="B373" s="31"/>
      <c r="C373" s="32">
        <v>2</v>
      </c>
      <c r="D373" s="32">
        <v>0.64</v>
      </c>
      <c r="E373" s="32"/>
      <c r="F373" s="32"/>
      <c r="G373" s="32">
        <f>PRODUCT(C373:F373)</f>
        <v>1.28</v>
      </c>
    </row>
    <row r="375" spans="1:7" ht="45" customHeight="1" x14ac:dyDescent="0.2">
      <c r="A375" s="17" t="s">
        <v>3263</v>
      </c>
      <c r="B375" s="17" t="s">
        <v>3141</v>
      </c>
      <c r="C375" s="17" t="s">
        <v>102</v>
      </c>
      <c r="D375" s="83" t="s">
        <v>103</v>
      </c>
      <c r="E375" s="102" t="s">
        <v>104</v>
      </c>
      <c r="F375" s="102" t="s">
        <v>104</v>
      </c>
      <c r="G375" s="84">
        <f>SUM(G376:G389)</f>
        <v>1839.6580000000004</v>
      </c>
    </row>
    <row r="376" spans="1:7" x14ac:dyDescent="0.2">
      <c r="A376" s="28"/>
      <c r="B376" s="28" t="s">
        <v>3142</v>
      </c>
      <c r="C376" s="29" t="s">
        <v>3230</v>
      </c>
      <c r="D376" s="29" t="s">
        <v>3264</v>
      </c>
      <c r="E376" s="29" t="s">
        <v>3147</v>
      </c>
      <c r="F376" s="29" t="s">
        <v>3265</v>
      </c>
      <c r="G376" s="30"/>
    </row>
    <row r="377" spans="1:7" x14ac:dyDescent="0.2">
      <c r="A377" s="31" t="s">
        <v>3266</v>
      </c>
      <c r="B377" s="31"/>
      <c r="C377" s="32"/>
      <c r="D377" s="32"/>
      <c r="E377" s="32"/>
      <c r="F377" s="32"/>
      <c r="G377" s="32"/>
    </row>
    <row r="378" spans="1:7" x14ac:dyDescent="0.2">
      <c r="A378" s="31" t="s">
        <v>3221</v>
      </c>
      <c r="B378" s="31"/>
      <c r="C378" s="32">
        <v>3.55</v>
      </c>
      <c r="D378" s="32">
        <v>0.4</v>
      </c>
      <c r="E378" s="32"/>
      <c r="F378" s="32">
        <v>30</v>
      </c>
      <c r="G378" s="32">
        <f>PRODUCT(C378:F378)</f>
        <v>42.599999999999994</v>
      </c>
    </row>
    <row r="379" spans="1:7" x14ac:dyDescent="0.2">
      <c r="A379" s="28"/>
      <c r="B379" s="28" t="s">
        <v>3142</v>
      </c>
      <c r="C379" s="29" t="s">
        <v>3222</v>
      </c>
      <c r="D379" s="29" t="s">
        <v>3223</v>
      </c>
      <c r="E379" s="29" t="s">
        <v>3224</v>
      </c>
      <c r="F379" s="29"/>
      <c r="G379" s="30"/>
    </row>
    <row r="380" spans="1:7" x14ac:dyDescent="0.2">
      <c r="A380" s="31" t="s">
        <v>3225</v>
      </c>
      <c r="B380" s="31"/>
      <c r="C380" s="32"/>
      <c r="D380" s="32"/>
      <c r="E380" s="32"/>
      <c r="F380" s="32"/>
      <c r="G380" s="32"/>
    </row>
    <row r="381" spans="1:7" x14ac:dyDescent="0.2">
      <c r="A381" s="31" t="s">
        <v>3221</v>
      </c>
      <c r="B381" s="31"/>
      <c r="C381" s="32">
        <v>0.8</v>
      </c>
      <c r="D381" s="32">
        <v>5.82</v>
      </c>
      <c r="E381" s="32">
        <v>0.6</v>
      </c>
      <c r="F381" s="32">
        <v>60</v>
      </c>
      <c r="G381" s="32">
        <f>PRODUCT(C381:F381)</f>
        <v>167.61600000000001</v>
      </c>
    </row>
    <row r="382" spans="1:7" x14ac:dyDescent="0.2">
      <c r="A382" s="31" t="s">
        <v>3226</v>
      </c>
      <c r="B382" s="31"/>
      <c r="C382" s="32"/>
      <c r="D382" s="32"/>
      <c r="E382" s="32"/>
      <c r="F382" s="32"/>
      <c r="G382" s="32"/>
    </row>
    <row r="383" spans="1:7" x14ac:dyDescent="0.2">
      <c r="A383" s="31" t="s">
        <v>3227</v>
      </c>
      <c r="B383" s="31"/>
      <c r="C383" s="32">
        <v>1.1000000000000001</v>
      </c>
      <c r="D383" s="32">
        <v>26.25</v>
      </c>
      <c r="E383" s="32">
        <v>0.6</v>
      </c>
      <c r="F383" s="32">
        <v>60</v>
      </c>
      <c r="G383" s="32">
        <f>PRODUCT(C383:F383)</f>
        <v>1039.5000000000002</v>
      </c>
    </row>
    <row r="384" spans="1:7" x14ac:dyDescent="0.2">
      <c r="A384" s="31" t="s">
        <v>3228</v>
      </c>
      <c r="B384" s="31"/>
      <c r="C384" s="32"/>
      <c r="D384" s="32"/>
      <c r="E384" s="32"/>
      <c r="F384" s="32"/>
      <c r="G384" s="32"/>
    </row>
    <row r="385" spans="1:7" x14ac:dyDescent="0.2">
      <c r="A385" s="31" t="s">
        <v>3227</v>
      </c>
      <c r="B385" s="31"/>
      <c r="C385" s="32">
        <v>0.7</v>
      </c>
      <c r="D385" s="32">
        <v>15.25</v>
      </c>
      <c r="E385" s="32">
        <v>0.6</v>
      </c>
      <c r="F385" s="32">
        <v>60</v>
      </c>
      <c r="G385" s="32">
        <f>PRODUCT(C385:F385)</f>
        <v>384.29999999999995</v>
      </c>
    </row>
    <row r="386" spans="1:7" x14ac:dyDescent="0.2">
      <c r="A386" s="28"/>
      <c r="B386" s="28" t="s">
        <v>3142</v>
      </c>
      <c r="C386" s="29" t="s">
        <v>3260</v>
      </c>
      <c r="D386" s="29" t="s">
        <v>3230</v>
      </c>
      <c r="E386" s="29" t="s">
        <v>3224</v>
      </c>
      <c r="F386" s="29"/>
      <c r="G386" s="30"/>
    </row>
    <row r="387" spans="1:7" x14ac:dyDescent="0.2">
      <c r="A387" s="31" t="s">
        <v>3231</v>
      </c>
      <c r="B387" s="31"/>
      <c r="C387" s="32"/>
      <c r="D387" s="32"/>
      <c r="E387" s="32"/>
      <c r="F387" s="32"/>
      <c r="G387" s="32"/>
    </row>
    <row r="388" spans="1:7" x14ac:dyDescent="0.2">
      <c r="A388" s="31" t="s">
        <v>3221</v>
      </c>
      <c r="B388" s="31"/>
      <c r="C388" s="32">
        <v>2</v>
      </c>
      <c r="D388" s="32">
        <v>0.64</v>
      </c>
      <c r="E388" s="32">
        <v>0.6</v>
      </c>
      <c r="F388" s="32">
        <v>50</v>
      </c>
      <c r="G388" s="32">
        <f>PRODUCT(C388:F388)</f>
        <v>38.4</v>
      </c>
    </row>
    <row r="389" spans="1:7" x14ac:dyDescent="0.2">
      <c r="A389" s="31" t="s">
        <v>3267</v>
      </c>
      <c r="B389" s="31"/>
      <c r="C389" s="32">
        <v>10</v>
      </c>
      <c r="D389" s="32">
        <v>1672.42</v>
      </c>
      <c r="E389" s="32"/>
      <c r="F389" s="32"/>
      <c r="G389" s="32">
        <f>C389 * D389/100</f>
        <v>167.24200000000002</v>
      </c>
    </row>
    <row r="391" spans="1:7" x14ac:dyDescent="0.2">
      <c r="B391" t="s">
        <v>3139</v>
      </c>
      <c r="C391" s="6" t="s">
        <v>6</v>
      </c>
      <c r="D391" s="7" t="s">
        <v>7</v>
      </c>
      <c r="E391" s="6" t="s">
        <v>8</v>
      </c>
    </row>
    <row r="392" spans="1:7" x14ac:dyDescent="0.2">
      <c r="B392" t="s">
        <v>3139</v>
      </c>
      <c r="C392" s="6" t="s">
        <v>9</v>
      </c>
      <c r="D392" s="7" t="s">
        <v>26</v>
      </c>
      <c r="E392" s="6" t="s">
        <v>89</v>
      </c>
    </row>
    <row r="393" spans="1:7" x14ac:dyDescent="0.2">
      <c r="B393" t="s">
        <v>3139</v>
      </c>
      <c r="C393" s="6" t="s">
        <v>11</v>
      </c>
      <c r="D393" s="7" t="s">
        <v>7</v>
      </c>
      <c r="E393" s="6" t="s">
        <v>90</v>
      </c>
    </row>
    <row r="394" spans="1:7" x14ac:dyDescent="0.2">
      <c r="B394" t="s">
        <v>3139</v>
      </c>
      <c r="C394" s="6" t="s">
        <v>91</v>
      </c>
      <c r="D394" s="7" t="s">
        <v>72</v>
      </c>
      <c r="E394" s="6" t="s">
        <v>105</v>
      </c>
    </row>
    <row r="396" spans="1:7" ht="45" customHeight="1" x14ac:dyDescent="0.2">
      <c r="A396" s="17" t="s">
        <v>3268</v>
      </c>
      <c r="B396" s="17" t="s">
        <v>3141</v>
      </c>
      <c r="C396" s="17" t="s">
        <v>107</v>
      </c>
      <c r="D396" s="83" t="s">
        <v>15</v>
      </c>
      <c r="E396" s="102" t="s">
        <v>108</v>
      </c>
      <c r="F396" s="102" t="s">
        <v>108</v>
      </c>
      <c r="G396" s="84">
        <f>SUM(G397:G399)</f>
        <v>1.5920000000000001</v>
      </c>
    </row>
    <row r="397" spans="1:7" x14ac:dyDescent="0.2">
      <c r="A397" s="28"/>
      <c r="B397" s="28" t="s">
        <v>3142</v>
      </c>
      <c r="C397" s="29" t="s">
        <v>3218</v>
      </c>
      <c r="D397" s="29" t="s">
        <v>3219</v>
      </c>
      <c r="E397" s="29"/>
      <c r="F397" s="29"/>
      <c r="G397" s="30"/>
    </row>
    <row r="398" spans="1:7" x14ac:dyDescent="0.2">
      <c r="A398" s="31" t="s">
        <v>3269</v>
      </c>
      <c r="B398" s="31"/>
      <c r="C398" s="32"/>
      <c r="D398" s="32"/>
      <c r="E398" s="32"/>
      <c r="F398" s="32"/>
      <c r="G398" s="32"/>
    </row>
    <row r="399" spans="1:7" x14ac:dyDescent="0.2">
      <c r="A399" s="31" t="s">
        <v>3259</v>
      </c>
      <c r="B399" s="31"/>
      <c r="C399" s="32">
        <v>7.96</v>
      </c>
      <c r="D399" s="32">
        <v>0.2</v>
      </c>
      <c r="E399" s="32"/>
      <c r="F399" s="32"/>
      <c r="G399" s="32">
        <f>PRODUCT(C399:F399)</f>
        <v>1.5920000000000001</v>
      </c>
    </row>
    <row r="401" spans="1:7" ht="45" customHeight="1" x14ac:dyDescent="0.2">
      <c r="A401" s="17" t="s">
        <v>3270</v>
      </c>
      <c r="B401" s="17" t="s">
        <v>3141</v>
      </c>
      <c r="C401" s="17" t="s">
        <v>109</v>
      </c>
      <c r="D401" s="83" t="s">
        <v>103</v>
      </c>
      <c r="E401" s="102" t="s">
        <v>110</v>
      </c>
      <c r="F401" s="102" t="s">
        <v>110</v>
      </c>
      <c r="G401" s="84">
        <f>SUM(G402:G405)</f>
        <v>175.12</v>
      </c>
    </row>
    <row r="402" spans="1:7" x14ac:dyDescent="0.2">
      <c r="A402" s="28"/>
      <c r="B402" s="28" t="s">
        <v>3142</v>
      </c>
      <c r="C402" s="29" t="s">
        <v>3218</v>
      </c>
      <c r="D402" s="29" t="s">
        <v>3264</v>
      </c>
      <c r="E402" s="29" t="s">
        <v>3271</v>
      </c>
      <c r="F402" s="29"/>
      <c r="G402" s="30"/>
    </row>
    <row r="403" spans="1:7" x14ac:dyDescent="0.2">
      <c r="A403" s="31" t="s">
        <v>3269</v>
      </c>
      <c r="B403" s="31"/>
      <c r="C403" s="32"/>
      <c r="D403" s="32"/>
      <c r="E403" s="32"/>
      <c r="F403" s="32"/>
      <c r="G403" s="32"/>
    </row>
    <row r="404" spans="1:7" x14ac:dyDescent="0.2">
      <c r="A404" s="31" t="s">
        <v>3221</v>
      </c>
      <c r="B404" s="31"/>
      <c r="C404" s="32">
        <v>7.96</v>
      </c>
      <c r="D404" s="32">
        <v>0.2</v>
      </c>
      <c r="E404" s="32">
        <v>100</v>
      </c>
      <c r="F404" s="32"/>
      <c r="G404" s="32">
        <f>PRODUCT(C404:F404)</f>
        <v>159.20000000000002</v>
      </c>
    </row>
    <row r="405" spans="1:7" x14ac:dyDescent="0.2">
      <c r="A405" s="31" t="s">
        <v>3267</v>
      </c>
      <c r="B405" s="31"/>
      <c r="C405" s="32">
        <v>10</v>
      </c>
      <c r="D405" s="32">
        <v>159.19999999999999</v>
      </c>
      <c r="E405" s="32"/>
      <c r="F405" s="32"/>
      <c r="G405" s="32">
        <f>C405 * D405/100</f>
        <v>15.92</v>
      </c>
    </row>
    <row r="407" spans="1:7" ht="45" customHeight="1" x14ac:dyDescent="0.2">
      <c r="A407" s="17" t="s">
        <v>3272</v>
      </c>
      <c r="B407" s="17" t="s">
        <v>3141</v>
      </c>
      <c r="C407" s="17" t="s">
        <v>111</v>
      </c>
      <c r="D407" s="83" t="s">
        <v>18</v>
      </c>
      <c r="E407" s="102" t="s">
        <v>112</v>
      </c>
      <c r="F407" s="102" t="s">
        <v>112</v>
      </c>
      <c r="G407" s="84">
        <f>SUM(G408:G410)</f>
        <v>15.92</v>
      </c>
    </row>
    <row r="408" spans="1:7" x14ac:dyDescent="0.2">
      <c r="A408" s="28"/>
      <c r="B408" s="28" t="s">
        <v>3142</v>
      </c>
      <c r="C408" s="29" t="s">
        <v>3230</v>
      </c>
      <c r="D408" s="29" t="s">
        <v>3273</v>
      </c>
      <c r="E408" s="29"/>
      <c r="F408" s="29"/>
      <c r="G408" s="30"/>
    </row>
    <row r="409" spans="1:7" x14ac:dyDescent="0.2">
      <c r="A409" s="31" t="s">
        <v>3269</v>
      </c>
      <c r="B409" s="31"/>
      <c r="C409" s="32"/>
      <c r="D409" s="32"/>
      <c r="E409" s="32"/>
      <c r="F409" s="32"/>
      <c r="G409" s="32"/>
    </row>
    <row r="410" spans="1:7" x14ac:dyDescent="0.2">
      <c r="A410" s="31" t="s">
        <v>3221</v>
      </c>
      <c r="B410" s="31"/>
      <c r="C410" s="32">
        <v>7.96</v>
      </c>
      <c r="D410" s="32">
        <v>2</v>
      </c>
      <c r="E410" s="32"/>
      <c r="F410" s="32"/>
      <c r="G410" s="32">
        <f>PRODUCT(C410:F410)</f>
        <v>15.92</v>
      </c>
    </row>
    <row r="412" spans="1:7" x14ac:dyDescent="0.2">
      <c r="B412" t="s">
        <v>3139</v>
      </c>
      <c r="C412" s="6" t="s">
        <v>6</v>
      </c>
      <c r="D412" s="7" t="s">
        <v>7</v>
      </c>
      <c r="E412" s="6" t="s">
        <v>8</v>
      </c>
    </row>
    <row r="413" spans="1:7" x14ac:dyDescent="0.2">
      <c r="B413" t="s">
        <v>3139</v>
      </c>
      <c r="C413" s="6" t="s">
        <v>9</v>
      </c>
      <c r="D413" s="7" t="s">
        <v>26</v>
      </c>
      <c r="E413" s="6" t="s">
        <v>89</v>
      </c>
    </row>
    <row r="414" spans="1:7" x14ac:dyDescent="0.2">
      <c r="B414" t="s">
        <v>3139</v>
      </c>
      <c r="C414" s="6" t="s">
        <v>11</v>
      </c>
      <c r="D414" s="7" t="s">
        <v>26</v>
      </c>
      <c r="E414" s="6" t="s">
        <v>113</v>
      </c>
    </row>
    <row r="415" spans="1:7" x14ac:dyDescent="0.2">
      <c r="B415" t="s">
        <v>3139</v>
      </c>
      <c r="C415" s="6" t="s">
        <v>91</v>
      </c>
      <c r="D415" s="7" t="s">
        <v>7</v>
      </c>
      <c r="E415" s="6" t="s">
        <v>114</v>
      </c>
    </row>
    <row r="417" spans="1:7" ht="45" customHeight="1" x14ac:dyDescent="0.2">
      <c r="A417" s="17" t="s">
        <v>3274</v>
      </c>
      <c r="B417" s="17" t="s">
        <v>3141</v>
      </c>
      <c r="C417" s="17" t="s">
        <v>116</v>
      </c>
      <c r="D417" s="83" t="s">
        <v>15</v>
      </c>
      <c r="E417" s="102" t="s">
        <v>117</v>
      </c>
      <c r="F417" s="102" t="s">
        <v>117</v>
      </c>
      <c r="G417" s="84">
        <f>SUM(G418:G422)</f>
        <v>0.31</v>
      </c>
    </row>
    <row r="418" spans="1:7" x14ac:dyDescent="0.2">
      <c r="A418" s="28"/>
      <c r="B418" s="28" t="s">
        <v>3142</v>
      </c>
      <c r="C418" s="29" t="s">
        <v>3275</v>
      </c>
      <c r="D418" s="29"/>
      <c r="E418" s="29"/>
      <c r="F418" s="29"/>
      <c r="G418" s="30"/>
    </row>
    <row r="419" spans="1:7" x14ac:dyDescent="0.2">
      <c r="A419" s="31" t="s">
        <v>3276</v>
      </c>
      <c r="B419" s="31"/>
      <c r="C419" s="32"/>
      <c r="D419" s="32"/>
      <c r="E419" s="32"/>
      <c r="F419" s="32"/>
      <c r="G419" s="32"/>
    </row>
    <row r="420" spans="1:7" x14ac:dyDescent="0.2">
      <c r="A420" s="31" t="s">
        <v>3221</v>
      </c>
      <c r="B420" s="31"/>
      <c r="C420" s="32">
        <v>0.09</v>
      </c>
      <c r="D420" s="32"/>
      <c r="E420" s="32"/>
      <c r="F420" s="32"/>
      <c r="G420" s="32">
        <f>PRODUCT(C420:F420)</f>
        <v>0.09</v>
      </c>
    </row>
    <row r="421" spans="1:7" x14ac:dyDescent="0.2">
      <c r="A421" s="31" t="s">
        <v>3277</v>
      </c>
      <c r="B421" s="31"/>
      <c r="C421" s="32"/>
      <c r="D421" s="32"/>
      <c r="E421" s="32"/>
      <c r="F421" s="32"/>
      <c r="G421" s="32"/>
    </row>
    <row r="422" spans="1:7" x14ac:dyDescent="0.2">
      <c r="A422" s="31" t="s">
        <v>3221</v>
      </c>
      <c r="B422" s="31"/>
      <c r="C422" s="32">
        <v>0.22</v>
      </c>
      <c r="D422" s="32"/>
      <c r="E422" s="32"/>
      <c r="F422" s="32"/>
      <c r="G422" s="32">
        <f>PRODUCT(C422:F422)</f>
        <v>0.22</v>
      </c>
    </row>
    <row r="424" spans="1:7" ht="45" customHeight="1" x14ac:dyDescent="0.2">
      <c r="A424" s="17" t="s">
        <v>3278</v>
      </c>
      <c r="B424" s="17" t="s">
        <v>3141</v>
      </c>
      <c r="C424" s="17" t="s">
        <v>118</v>
      </c>
      <c r="D424" s="83" t="s">
        <v>18</v>
      </c>
      <c r="E424" s="102" t="s">
        <v>119</v>
      </c>
      <c r="F424" s="102" t="s">
        <v>119</v>
      </c>
      <c r="G424" s="84">
        <f>SUM(G425:G427)</f>
        <v>16.91</v>
      </c>
    </row>
    <row r="425" spans="1:7" x14ac:dyDescent="0.2">
      <c r="A425" s="28"/>
      <c r="B425" s="28" t="s">
        <v>3142</v>
      </c>
      <c r="C425" s="29" t="s">
        <v>3218</v>
      </c>
      <c r="D425" s="29"/>
      <c r="E425" s="29"/>
      <c r="F425" s="29"/>
      <c r="G425" s="30"/>
    </row>
    <row r="426" spans="1:7" x14ac:dyDescent="0.2">
      <c r="A426" s="31" t="s">
        <v>3279</v>
      </c>
      <c r="B426" s="31"/>
      <c r="C426" s="32"/>
      <c r="D426" s="32"/>
      <c r="E426" s="32"/>
      <c r="F426" s="32"/>
      <c r="G426" s="32"/>
    </row>
    <row r="427" spans="1:7" x14ac:dyDescent="0.2">
      <c r="A427" s="31"/>
      <c r="B427" s="31"/>
      <c r="C427" s="32">
        <v>16.91</v>
      </c>
      <c r="D427" s="32"/>
      <c r="E427" s="32"/>
      <c r="F427" s="32"/>
      <c r="G427" s="32">
        <f>PRODUCT(C427:F427)</f>
        <v>16.91</v>
      </c>
    </row>
    <row r="429" spans="1:7" ht="45" customHeight="1" x14ac:dyDescent="0.2">
      <c r="A429" s="17" t="s">
        <v>3280</v>
      </c>
      <c r="B429" s="17" t="s">
        <v>3141</v>
      </c>
      <c r="C429" s="17" t="s">
        <v>120</v>
      </c>
      <c r="D429" s="83" t="s">
        <v>23</v>
      </c>
      <c r="E429" s="102" t="s">
        <v>121</v>
      </c>
      <c r="F429" s="102" t="s">
        <v>121</v>
      </c>
      <c r="G429" s="84">
        <f>SUM(G430:G431)</f>
        <v>10</v>
      </c>
    </row>
    <row r="430" spans="1:7" x14ac:dyDescent="0.2">
      <c r="A430" s="28"/>
      <c r="B430" s="28" t="s">
        <v>3142</v>
      </c>
      <c r="C430" s="29" t="s">
        <v>3260</v>
      </c>
      <c r="D430" s="29"/>
      <c r="E430" s="29"/>
      <c r="F430" s="29"/>
      <c r="G430" s="30"/>
    </row>
    <row r="431" spans="1:7" x14ac:dyDescent="0.2">
      <c r="A431" s="31"/>
      <c r="B431" s="31"/>
      <c r="C431" s="32">
        <v>10</v>
      </c>
      <c r="D431" s="32"/>
      <c r="E431" s="32"/>
      <c r="F431" s="32"/>
      <c r="G431" s="32">
        <f>PRODUCT(C431:F431)</f>
        <v>10</v>
      </c>
    </row>
    <row r="433" spans="1:7" x14ac:dyDescent="0.2">
      <c r="B433" t="s">
        <v>3139</v>
      </c>
      <c r="C433" s="6" t="s">
        <v>6</v>
      </c>
      <c r="D433" s="7" t="s">
        <v>7</v>
      </c>
      <c r="E433" s="6" t="s">
        <v>8</v>
      </c>
    </row>
    <row r="434" spans="1:7" x14ac:dyDescent="0.2">
      <c r="B434" t="s">
        <v>3139</v>
      </c>
      <c r="C434" s="6" t="s">
        <v>9</v>
      </c>
      <c r="D434" s="7" t="s">
        <v>26</v>
      </c>
      <c r="E434" s="6" t="s">
        <v>89</v>
      </c>
    </row>
    <row r="435" spans="1:7" x14ac:dyDescent="0.2">
      <c r="B435" t="s">
        <v>3139</v>
      </c>
      <c r="C435" s="6" t="s">
        <v>11</v>
      </c>
      <c r="D435" s="7" t="s">
        <v>72</v>
      </c>
      <c r="E435" s="6" t="s">
        <v>122</v>
      </c>
    </row>
    <row r="436" spans="1:7" x14ac:dyDescent="0.2">
      <c r="B436" t="s">
        <v>3139</v>
      </c>
      <c r="C436" s="6" t="s">
        <v>91</v>
      </c>
      <c r="D436" s="7" t="s">
        <v>7</v>
      </c>
      <c r="E436" s="6" t="s">
        <v>114</v>
      </c>
    </row>
    <row r="438" spans="1:7" ht="45" customHeight="1" x14ac:dyDescent="0.2">
      <c r="A438" s="17" t="s">
        <v>3281</v>
      </c>
      <c r="B438" s="17" t="s">
        <v>3141</v>
      </c>
      <c r="C438" s="17" t="s">
        <v>124</v>
      </c>
      <c r="D438" s="83" t="s">
        <v>15</v>
      </c>
      <c r="E438" s="102" t="s">
        <v>125</v>
      </c>
      <c r="F438" s="102" t="s">
        <v>125</v>
      </c>
      <c r="G438" s="84">
        <f>SUM(G439:G442)</f>
        <v>0.4375</v>
      </c>
    </row>
    <row r="439" spans="1:7" x14ac:dyDescent="0.2">
      <c r="A439" s="28"/>
      <c r="B439" s="28" t="s">
        <v>3142</v>
      </c>
      <c r="C439" s="29" t="s">
        <v>3260</v>
      </c>
      <c r="D439" s="29" t="s">
        <v>3230</v>
      </c>
      <c r="E439" s="29" t="s">
        <v>3223</v>
      </c>
      <c r="F439" s="29"/>
      <c r="G439" s="30"/>
    </row>
    <row r="440" spans="1:7" x14ac:dyDescent="0.2">
      <c r="A440" s="31" t="s">
        <v>3282</v>
      </c>
      <c r="B440" s="31"/>
      <c r="C440" s="32"/>
      <c r="D440" s="32"/>
      <c r="E440" s="32"/>
      <c r="F440" s="32"/>
      <c r="G440" s="32"/>
    </row>
    <row r="441" spans="1:7" x14ac:dyDescent="0.2">
      <c r="A441" s="31" t="s">
        <v>3221</v>
      </c>
      <c r="B441" s="31"/>
      <c r="C441" s="32">
        <v>1</v>
      </c>
      <c r="D441" s="32">
        <v>0.05</v>
      </c>
      <c r="E441" s="32">
        <v>7.95</v>
      </c>
      <c r="F441" s="32"/>
      <c r="G441" s="32">
        <f>PRODUCT(C441:F441)</f>
        <v>0.39750000000000002</v>
      </c>
    </row>
    <row r="442" spans="1:7" x14ac:dyDescent="0.2">
      <c r="A442" s="31" t="s">
        <v>3283</v>
      </c>
      <c r="B442" s="31"/>
      <c r="C442" s="32">
        <v>10</v>
      </c>
      <c r="D442" s="32">
        <v>0.4</v>
      </c>
      <c r="E442" s="32"/>
      <c r="F442" s="32"/>
      <c r="G442" s="32">
        <f>C442 * D442/100</f>
        <v>0.04</v>
      </c>
    </row>
    <row r="444" spans="1:7" ht="45" customHeight="1" x14ac:dyDescent="0.2">
      <c r="A444" s="17" t="s">
        <v>3284</v>
      </c>
      <c r="B444" s="17" t="s">
        <v>3141</v>
      </c>
      <c r="C444" s="17" t="s">
        <v>126</v>
      </c>
      <c r="D444" s="83" t="s">
        <v>18</v>
      </c>
      <c r="E444" s="102" t="s">
        <v>127</v>
      </c>
      <c r="F444" s="102" t="s">
        <v>127</v>
      </c>
      <c r="G444" s="84">
        <f>SUM(G445:G447)</f>
        <v>39.25</v>
      </c>
    </row>
    <row r="445" spans="1:7" x14ac:dyDescent="0.2">
      <c r="A445" s="28"/>
      <c r="B445" s="28" t="s">
        <v>3142</v>
      </c>
      <c r="C445" s="29" t="s">
        <v>3218</v>
      </c>
      <c r="D445" s="29"/>
      <c r="E445" s="29"/>
      <c r="F445" s="29"/>
      <c r="G445" s="30"/>
    </row>
    <row r="446" spans="1:7" x14ac:dyDescent="0.2">
      <c r="A446" s="31" t="s">
        <v>3285</v>
      </c>
      <c r="B446" s="31"/>
      <c r="C446" s="32"/>
      <c r="D446" s="32"/>
      <c r="E446" s="32"/>
      <c r="F446" s="32"/>
      <c r="G446" s="32"/>
    </row>
    <row r="447" spans="1:7" x14ac:dyDescent="0.2">
      <c r="A447" s="31" t="s">
        <v>3286</v>
      </c>
      <c r="B447" s="31"/>
      <c r="C447" s="32">
        <v>39.25</v>
      </c>
      <c r="D447" s="32"/>
      <c r="E447" s="32"/>
      <c r="F447" s="32"/>
      <c r="G447" s="32">
        <f>PRODUCT(C447:F447)</f>
        <v>39.25</v>
      </c>
    </row>
    <row r="449" spans="1:7" ht="45" customHeight="1" x14ac:dyDescent="0.2">
      <c r="A449" s="17" t="s">
        <v>3287</v>
      </c>
      <c r="B449" s="17" t="s">
        <v>3141</v>
      </c>
      <c r="C449" s="17" t="s">
        <v>128</v>
      </c>
      <c r="D449" s="83" t="s">
        <v>18</v>
      </c>
      <c r="E449" s="102" t="s">
        <v>129</v>
      </c>
      <c r="F449" s="102" t="s">
        <v>129</v>
      </c>
      <c r="G449" s="84">
        <f>SUM(G450:G452)</f>
        <v>54.92</v>
      </c>
    </row>
    <row r="450" spans="1:7" x14ac:dyDescent="0.2">
      <c r="A450" s="28"/>
      <c r="B450" s="28" t="s">
        <v>3142</v>
      </c>
      <c r="C450" s="29" t="s">
        <v>3218</v>
      </c>
      <c r="D450" s="29"/>
      <c r="E450" s="29"/>
      <c r="F450" s="29"/>
      <c r="G450" s="30"/>
    </row>
    <row r="451" spans="1:7" x14ac:dyDescent="0.2">
      <c r="A451" s="31" t="s">
        <v>3288</v>
      </c>
      <c r="B451" s="31"/>
      <c r="C451" s="32"/>
      <c r="D451" s="32"/>
      <c r="E451" s="32"/>
      <c r="F451" s="32"/>
      <c r="G451" s="32"/>
    </row>
    <row r="452" spans="1:7" x14ac:dyDescent="0.2">
      <c r="A452" s="31" t="s">
        <v>3289</v>
      </c>
      <c r="B452" s="31"/>
      <c r="C452" s="32">
        <v>54.92</v>
      </c>
      <c r="D452" s="32"/>
      <c r="E452" s="32"/>
      <c r="F452" s="32"/>
      <c r="G452" s="32">
        <f>PRODUCT(C452:F452)</f>
        <v>54.92</v>
      </c>
    </row>
    <row r="454" spans="1:7" ht="45" customHeight="1" x14ac:dyDescent="0.2">
      <c r="A454" s="17" t="s">
        <v>3290</v>
      </c>
      <c r="B454" s="17" t="s">
        <v>3141</v>
      </c>
      <c r="C454" s="17" t="s">
        <v>130</v>
      </c>
      <c r="D454" s="83" t="s">
        <v>15</v>
      </c>
      <c r="E454" s="102" t="s">
        <v>131</v>
      </c>
      <c r="F454" s="102" t="s">
        <v>131</v>
      </c>
      <c r="G454" s="84">
        <f>SUM(G455:G458)</f>
        <v>2.218</v>
      </c>
    </row>
    <row r="455" spans="1:7" x14ac:dyDescent="0.2">
      <c r="A455" s="28"/>
      <c r="B455" s="28" t="s">
        <v>3142</v>
      </c>
      <c r="C455" s="29" t="s">
        <v>3260</v>
      </c>
      <c r="D455" s="29" t="s">
        <v>3218</v>
      </c>
      <c r="E455" s="29" t="s">
        <v>3223</v>
      </c>
      <c r="F455" s="29"/>
      <c r="G455" s="30"/>
    </row>
    <row r="456" spans="1:7" x14ac:dyDescent="0.2">
      <c r="A456" s="31" t="s">
        <v>3291</v>
      </c>
      <c r="B456" s="31"/>
      <c r="C456" s="32"/>
      <c r="D456" s="32"/>
      <c r="E456" s="32"/>
      <c r="F456" s="32"/>
      <c r="G456" s="32"/>
    </row>
    <row r="457" spans="1:7" x14ac:dyDescent="0.2">
      <c r="A457" s="31" t="s">
        <v>3186</v>
      </c>
      <c r="B457" s="31"/>
      <c r="C457" s="32">
        <v>21</v>
      </c>
      <c r="D457" s="32">
        <v>0.02</v>
      </c>
      <c r="E457" s="32">
        <v>4.8</v>
      </c>
      <c r="F457" s="32"/>
      <c r="G457" s="32">
        <f>PRODUCT(C457:F457)</f>
        <v>2.016</v>
      </c>
    </row>
    <row r="458" spans="1:7" x14ac:dyDescent="0.2">
      <c r="A458" s="31" t="s">
        <v>3283</v>
      </c>
      <c r="B458" s="31"/>
      <c r="C458" s="32">
        <v>10</v>
      </c>
      <c r="D458" s="32">
        <v>2.02</v>
      </c>
      <c r="E458" s="32"/>
      <c r="F458" s="32"/>
      <c r="G458" s="32">
        <f>C458 * D458/100</f>
        <v>0.20199999999999999</v>
      </c>
    </row>
    <row r="460" spans="1:7" ht="45" customHeight="1" x14ac:dyDescent="0.2">
      <c r="A460" s="17" t="s">
        <v>3292</v>
      </c>
      <c r="B460" s="17" t="s">
        <v>3141</v>
      </c>
      <c r="C460" s="17" t="s">
        <v>132</v>
      </c>
      <c r="D460" s="83" t="s">
        <v>18</v>
      </c>
      <c r="E460" s="102" t="s">
        <v>133</v>
      </c>
      <c r="F460" s="102" t="s">
        <v>133</v>
      </c>
      <c r="G460" s="84">
        <f>SUM(G461:G470)</f>
        <v>399.80899999999997</v>
      </c>
    </row>
    <row r="461" spans="1:7" x14ac:dyDescent="0.2">
      <c r="A461" s="28"/>
      <c r="B461" s="28" t="s">
        <v>3142</v>
      </c>
      <c r="C461" s="29" t="s">
        <v>3260</v>
      </c>
      <c r="D461" s="29" t="s">
        <v>3293</v>
      </c>
      <c r="E461" s="29" t="s">
        <v>3223</v>
      </c>
      <c r="F461" s="29"/>
      <c r="G461" s="30"/>
    </row>
    <row r="462" spans="1:7" x14ac:dyDescent="0.2">
      <c r="A462" s="31" t="s">
        <v>3186</v>
      </c>
      <c r="B462" s="31"/>
      <c r="C462" s="32"/>
      <c r="D462" s="32"/>
      <c r="E462" s="32"/>
      <c r="F462" s="32"/>
      <c r="G462" s="32"/>
    </row>
    <row r="463" spans="1:7" x14ac:dyDescent="0.2">
      <c r="A463" s="31" t="s">
        <v>3291</v>
      </c>
      <c r="B463" s="31"/>
      <c r="C463" s="32">
        <v>59</v>
      </c>
      <c r="D463" s="32">
        <v>0.6</v>
      </c>
      <c r="E463" s="32">
        <v>4.0999999999999996</v>
      </c>
      <c r="F463" s="32"/>
      <c r="G463" s="32">
        <f>PRODUCT(C463:F463)</f>
        <v>145.13999999999999</v>
      </c>
    </row>
    <row r="464" spans="1:7" x14ac:dyDescent="0.2">
      <c r="A464" s="31" t="s">
        <v>3221</v>
      </c>
      <c r="B464" s="31"/>
      <c r="C464" s="32"/>
      <c r="D464" s="32"/>
      <c r="E464" s="32"/>
      <c r="F464" s="32"/>
      <c r="G464" s="32"/>
    </row>
    <row r="465" spans="1:7" x14ac:dyDescent="0.2">
      <c r="A465" s="31" t="s">
        <v>3294</v>
      </c>
      <c r="B465" s="31"/>
      <c r="C465" s="32">
        <v>27</v>
      </c>
      <c r="D465" s="32">
        <v>0.86</v>
      </c>
      <c r="E465" s="32">
        <v>3.75</v>
      </c>
      <c r="F465" s="32"/>
      <c r="G465" s="32">
        <f>PRODUCT(C465:F465)</f>
        <v>87.074999999999989</v>
      </c>
    </row>
    <row r="466" spans="1:7" x14ac:dyDescent="0.2">
      <c r="A466" s="31" t="s">
        <v>3286</v>
      </c>
      <c r="B466" s="31"/>
      <c r="C466" s="32"/>
      <c r="D466" s="32"/>
      <c r="E466" s="32"/>
      <c r="F466" s="32"/>
      <c r="G466" s="32"/>
    </row>
    <row r="467" spans="1:7" x14ac:dyDescent="0.2">
      <c r="A467" s="31" t="s">
        <v>3294</v>
      </c>
      <c r="B467" s="31"/>
      <c r="C467" s="32">
        <v>13</v>
      </c>
      <c r="D467" s="32">
        <v>0.86</v>
      </c>
      <c r="E467" s="32">
        <v>5</v>
      </c>
      <c r="F467" s="32"/>
      <c r="G467" s="32">
        <f>PRODUCT(C467:F467)</f>
        <v>55.9</v>
      </c>
    </row>
    <row r="468" spans="1:7" x14ac:dyDescent="0.2">
      <c r="A468" s="31" t="s">
        <v>3295</v>
      </c>
      <c r="B468" s="31"/>
      <c r="C468" s="32">
        <v>12</v>
      </c>
      <c r="D468" s="32">
        <v>0.66</v>
      </c>
      <c r="E468" s="32">
        <v>5</v>
      </c>
      <c r="F468" s="32"/>
      <c r="G468" s="32">
        <f>PRODUCT(C468:F468)</f>
        <v>39.6</v>
      </c>
    </row>
    <row r="469" spans="1:7" x14ac:dyDescent="0.2">
      <c r="A469" s="31" t="s">
        <v>3296</v>
      </c>
      <c r="B469" s="31"/>
      <c r="C469" s="32"/>
      <c r="D469" s="32"/>
      <c r="E469" s="32"/>
      <c r="F469" s="32"/>
      <c r="G469" s="32"/>
    </row>
    <row r="470" spans="1:7" x14ac:dyDescent="0.2">
      <c r="A470" s="31" t="s">
        <v>3297</v>
      </c>
      <c r="B470" s="31"/>
      <c r="C470" s="32">
        <v>22</v>
      </c>
      <c r="D470" s="32">
        <v>0.57999999999999996</v>
      </c>
      <c r="E470" s="32">
        <v>5.65</v>
      </c>
      <c r="F470" s="32"/>
      <c r="G470" s="32">
        <f>PRODUCT(C470:F470)</f>
        <v>72.094000000000008</v>
      </c>
    </row>
    <row r="472" spans="1:7" ht="45" customHeight="1" x14ac:dyDescent="0.2">
      <c r="A472" s="17" t="s">
        <v>3298</v>
      </c>
      <c r="B472" s="17" t="s">
        <v>3141</v>
      </c>
      <c r="C472" s="17" t="s">
        <v>134</v>
      </c>
      <c r="D472" s="83" t="s">
        <v>15</v>
      </c>
      <c r="E472" s="102" t="s">
        <v>135</v>
      </c>
      <c r="F472" s="102" t="s">
        <v>135</v>
      </c>
      <c r="G472" s="84">
        <f>SUM(G473:G475)</f>
        <v>2.2374000000000001</v>
      </c>
    </row>
    <row r="473" spans="1:7" x14ac:dyDescent="0.2">
      <c r="A473" s="28"/>
      <c r="B473" s="28" t="s">
        <v>3142</v>
      </c>
      <c r="C473" s="29" t="s">
        <v>3260</v>
      </c>
      <c r="D473" s="29" t="s">
        <v>3218</v>
      </c>
      <c r="E473" s="29" t="s">
        <v>3223</v>
      </c>
      <c r="F473" s="29"/>
      <c r="G473" s="30"/>
    </row>
    <row r="474" spans="1:7" x14ac:dyDescent="0.2">
      <c r="A474" s="31" t="s">
        <v>3299</v>
      </c>
      <c r="B474" s="31"/>
      <c r="C474" s="32"/>
      <c r="D474" s="32"/>
      <c r="E474" s="32"/>
      <c r="F474" s="32"/>
      <c r="G474" s="32"/>
    </row>
    <row r="475" spans="1:7" x14ac:dyDescent="0.2">
      <c r="A475" s="31"/>
      <c r="B475" s="31"/>
      <c r="C475" s="32">
        <v>22</v>
      </c>
      <c r="D475" s="32">
        <v>1.7999999999999999E-2</v>
      </c>
      <c r="E475" s="32">
        <v>5.65</v>
      </c>
      <c r="F475" s="32"/>
      <c r="G475" s="32">
        <f>PRODUCT(C475:F475)</f>
        <v>2.2374000000000001</v>
      </c>
    </row>
    <row r="477" spans="1:7" ht="45" customHeight="1" x14ac:dyDescent="0.2">
      <c r="A477" s="17" t="s">
        <v>3300</v>
      </c>
      <c r="B477" s="17" t="s">
        <v>3141</v>
      </c>
      <c r="C477" s="17" t="s">
        <v>136</v>
      </c>
      <c r="D477" s="83" t="s">
        <v>15</v>
      </c>
      <c r="E477" s="102" t="s">
        <v>137</v>
      </c>
      <c r="F477" s="102" t="s">
        <v>137</v>
      </c>
      <c r="G477" s="84">
        <f>SUM(G478:G482)</f>
        <v>0.25600000000000006</v>
      </c>
    </row>
    <row r="478" spans="1:7" x14ac:dyDescent="0.2">
      <c r="A478" s="28"/>
      <c r="B478" s="28" t="s">
        <v>3142</v>
      </c>
      <c r="C478" s="29" t="s">
        <v>3260</v>
      </c>
      <c r="D478" s="29" t="s">
        <v>3301</v>
      </c>
      <c r="E478" s="29" t="s">
        <v>3302</v>
      </c>
      <c r="F478" s="29" t="s">
        <v>3303</v>
      </c>
      <c r="G478" s="30"/>
    </row>
    <row r="479" spans="1:7" x14ac:dyDescent="0.2">
      <c r="A479" s="31" t="s">
        <v>3304</v>
      </c>
      <c r="B479" s="31"/>
      <c r="C479" s="32"/>
      <c r="D479" s="32"/>
      <c r="E479" s="32"/>
      <c r="F479" s="32"/>
      <c r="G479" s="32"/>
    </row>
    <row r="480" spans="1:7" x14ac:dyDescent="0.2">
      <c r="A480" s="31"/>
      <c r="B480" s="31"/>
      <c r="C480" s="32">
        <v>21</v>
      </c>
      <c r="D480" s="32">
        <v>0.2</v>
      </c>
      <c r="E480" s="32">
        <v>0.2</v>
      </c>
      <c r="F480" s="32">
        <v>0.2</v>
      </c>
      <c r="G480" s="32">
        <f>PRODUCT(C480:F480)</f>
        <v>0.16800000000000004</v>
      </c>
    </row>
    <row r="481" spans="1:7" x14ac:dyDescent="0.2">
      <c r="A481" s="31" t="s">
        <v>3305</v>
      </c>
      <c r="B481" s="31"/>
      <c r="C481" s="32"/>
      <c r="D481" s="32"/>
      <c r="E481" s="32"/>
      <c r="F481" s="32"/>
      <c r="G481" s="32"/>
    </row>
    <row r="482" spans="1:7" x14ac:dyDescent="0.2">
      <c r="A482" s="31"/>
      <c r="B482" s="31"/>
      <c r="C482" s="32">
        <v>11</v>
      </c>
      <c r="D482" s="32">
        <v>0.2</v>
      </c>
      <c r="E482" s="32">
        <v>0.2</v>
      </c>
      <c r="F482" s="32">
        <v>0.2</v>
      </c>
      <c r="G482" s="32">
        <f>PRODUCT(C482:F482)</f>
        <v>8.8000000000000023E-2</v>
      </c>
    </row>
    <row r="484" spans="1:7" ht="45" customHeight="1" x14ac:dyDescent="0.2">
      <c r="A484" s="17" t="s">
        <v>3306</v>
      </c>
      <c r="B484" s="17" t="s">
        <v>3141</v>
      </c>
      <c r="C484" s="17" t="s">
        <v>120</v>
      </c>
      <c r="D484" s="83" t="s">
        <v>23</v>
      </c>
      <c r="E484" s="102" t="s">
        <v>121</v>
      </c>
      <c r="F484" s="102" t="s">
        <v>121</v>
      </c>
      <c r="G484" s="84">
        <f>SUM(G485:G486)</f>
        <v>11</v>
      </c>
    </row>
    <row r="485" spans="1:7" x14ac:dyDescent="0.2">
      <c r="A485" s="28"/>
      <c r="B485" s="28" t="s">
        <v>3142</v>
      </c>
      <c r="C485" s="29" t="s">
        <v>3260</v>
      </c>
      <c r="D485" s="29"/>
      <c r="E485" s="29"/>
      <c r="F485" s="29"/>
      <c r="G485" s="30"/>
    </row>
    <row r="486" spans="1:7" x14ac:dyDescent="0.2">
      <c r="A486" s="31"/>
      <c r="B486" s="31"/>
      <c r="C486" s="32">
        <v>11</v>
      </c>
      <c r="D486" s="32"/>
      <c r="E486" s="32"/>
      <c r="F486" s="32"/>
      <c r="G486" s="32">
        <f>PRODUCT(C486:F486)</f>
        <v>11</v>
      </c>
    </row>
    <row r="488" spans="1:7" ht="45" customHeight="1" x14ac:dyDescent="0.2">
      <c r="A488" s="17" t="s">
        <v>3307</v>
      </c>
      <c r="B488" s="17" t="s">
        <v>3141</v>
      </c>
      <c r="C488" s="17" t="s">
        <v>138</v>
      </c>
      <c r="D488" s="83" t="s">
        <v>18</v>
      </c>
      <c r="E488" s="102" t="s">
        <v>139</v>
      </c>
      <c r="F488" s="102" t="s">
        <v>139</v>
      </c>
      <c r="G488" s="84">
        <f>SUM(G489:G490)</f>
        <v>0.56699999999999995</v>
      </c>
    </row>
    <row r="489" spans="1:7" x14ac:dyDescent="0.2">
      <c r="A489" s="28"/>
      <c r="B489" s="28" t="s">
        <v>3142</v>
      </c>
      <c r="C489" s="29" t="s">
        <v>3143</v>
      </c>
      <c r="D489" s="29" t="s">
        <v>3218</v>
      </c>
      <c r="E489" s="29"/>
      <c r="F489" s="29"/>
      <c r="G489" s="30"/>
    </row>
    <row r="490" spans="1:7" x14ac:dyDescent="0.2">
      <c r="A490" s="31"/>
      <c r="B490" s="31"/>
      <c r="C490" s="32">
        <v>21</v>
      </c>
      <c r="D490" s="32">
        <v>2.7E-2</v>
      </c>
      <c r="E490" s="32"/>
      <c r="F490" s="32"/>
      <c r="G490" s="32">
        <f>PRODUCT(C490:F490)</f>
        <v>0.56699999999999995</v>
      </c>
    </row>
    <row r="492" spans="1:7" x14ac:dyDescent="0.2">
      <c r="B492" t="s">
        <v>3139</v>
      </c>
      <c r="C492" s="6" t="s">
        <v>6</v>
      </c>
      <c r="D492" s="7" t="s">
        <v>7</v>
      </c>
      <c r="E492" s="6" t="s">
        <v>8</v>
      </c>
    </row>
    <row r="493" spans="1:7" x14ac:dyDescent="0.2">
      <c r="B493" t="s">
        <v>3139</v>
      </c>
      <c r="C493" s="6" t="s">
        <v>9</v>
      </c>
      <c r="D493" s="7" t="s">
        <v>26</v>
      </c>
      <c r="E493" s="6" t="s">
        <v>89</v>
      </c>
    </row>
    <row r="494" spans="1:7" x14ac:dyDescent="0.2">
      <c r="B494" t="s">
        <v>3139</v>
      </c>
      <c r="C494" s="6" t="s">
        <v>11</v>
      </c>
      <c r="D494" s="7" t="s">
        <v>72</v>
      </c>
      <c r="E494" s="6" t="s">
        <v>122</v>
      </c>
    </row>
    <row r="495" spans="1:7" x14ac:dyDescent="0.2">
      <c r="B495" t="s">
        <v>3139</v>
      </c>
      <c r="C495" s="6" t="s">
        <v>91</v>
      </c>
      <c r="D495" s="7" t="s">
        <v>26</v>
      </c>
      <c r="E495" s="6" t="s">
        <v>140</v>
      </c>
    </row>
    <row r="497" spans="1:7" ht="45" customHeight="1" x14ac:dyDescent="0.2">
      <c r="A497" s="17" t="s">
        <v>3308</v>
      </c>
      <c r="B497" s="17" t="s">
        <v>3141</v>
      </c>
      <c r="C497" s="17" t="s">
        <v>142</v>
      </c>
      <c r="D497" s="83" t="s">
        <v>103</v>
      </c>
      <c r="E497" s="102" t="s">
        <v>143</v>
      </c>
      <c r="F497" s="102" t="s">
        <v>143</v>
      </c>
      <c r="G497" s="84">
        <f>SUM(G498:G506)</f>
        <v>178.96959999999999</v>
      </c>
    </row>
    <row r="498" spans="1:7" x14ac:dyDescent="0.2">
      <c r="A498" s="28"/>
      <c r="B498" s="28" t="s">
        <v>3142</v>
      </c>
      <c r="C498" s="29" t="s">
        <v>3260</v>
      </c>
      <c r="D498" s="29" t="s">
        <v>3223</v>
      </c>
      <c r="E498" s="29" t="s">
        <v>3309</v>
      </c>
      <c r="F498" s="29"/>
      <c r="G498" s="30"/>
    </row>
    <row r="499" spans="1:7" x14ac:dyDescent="0.2">
      <c r="A499" s="31" t="s">
        <v>3310</v>
      </c>
      <c r="B499" s="31"/>
      <c r="C499" s="32"/>
      <c r="D499" s="32"/>
      <c r="E499" s="32"/>
      <c r="F499" s="32"/>
      <c r="G499" s="32"/>
    </row>
    <row r="500" spans="1:7" x14ac:dyDescent="0.2">
      <c r="A500" s="31" t="s">
        <v>3311</v>
      </c>
      <c r="B500" s="31"/>
      <c r="C500" s="32">
        <v>2</v>
      </c>
      <c r="D500" s="32">
        <v>1.52</v>
      </c>
      <c r="E500" s="32">
        <v>16.399999999999999</v>
      </c>
      <c r="F500" s="32"/>
      <c r="G500" s="32">
        <f>PRODUCT(C500:F500)</f>
        <v>49.855999999999995</v>
      </c>
    </row>
    <row r="501" spans="1:7" x14ac:dyDescent="0.2">
      <c r="A501" s="31" t="s">
        <v>3312</v>
      </c>
      <c r="B501" s="31"/>
      <c r="C501" s="32"/>
      <c r="D501" s="32"/>
      <c r="E501" s="32"/>
      <c r="F501" s="32"/>
      <c r="G501" s="32"/>
    </row>
    <row r="502" spans="1:7" x14ac:dyDescent="0.2">
      <c r="A502" s="31" t="s">
        <v>3313</v>
      </c>
      <c r="B502" s="31"/>
      <c r="C502" s="32">
        <v>1</v>
      </c>
      <c r="D502" s="32">
        <v>1.2</v>
      </c>
      <c r="E502" s="32">
        <v>13.74</v>
      </c>
      <c r="F502" s="32"/>
      <c r="G502" s="32">
        <f>PRODUCT(C502:F502)</f>
        <v>16.488</v>
      </c>
    </row>
    <row r="503" spans="1:7" x14ac:dyDescent="0.2">
      <c r="A503" s="31" t="s">
        <v>3314</v>
      </c>
      <c r="B503" s="31"/>
      <c r="C503" s="32">
        <v>1</v>
      </c>
      <c r="D503" s="32">
        <v>1.5</v>
      </c>
      <c r="E503" s="32">
        <v>13.74</v>
      </c>
      <c r="F503" s="32"/>
      <c r="G503" s="32">
        <f>PRODUCT(C503:F503)</f>
        <v>20.61</v>
      </c>
    </row>
    <row r="504" spans="1:7" x14ac:dyDescent="0.2">
      <c r="A504" s="31" t="s">
        <v>3296</v>
      </c>
      <c r="B504" s="31"/>
      <c r="C504" s="32">
        <v>4</v>
      </c>
      <c r="D504" s="32">
        <v>1.1599999999999999</v>
      </c>
      <c r="E504" s="32">
        <v>13.74</v>
      </c>
      <c r="F504" s="32"/>
      <c r="G504" s="32">
        <f>PRODUCT(C504:F504)</f>
        <v>63.753599999999999</v>
      </c>
    </row>
    <row r="505" spans="1:7" x14ac:dyDescent="0.2">
      <c r="A505" s="31" t="s">
        <v>3315</v>
      </c>
      <c r="B505" s="31"/>
      <c r="C505" s="32"/>
      <c r="D505" s="32"/>
      <c r="E505" s="32"/>
      <c r="F505" s="32"/>
      <c r="G505" s="32"/>
    </row>
    <row r="506" spans="1:7" x14ac:dyDescent="0.2">
      <c r="A506" s="31" t="s">
        <v>3311</v>
      </c>
      <c r="B506" s="31"/>
      <c r="C506" s="32">
        <v>4</v>
      </c>
      <c r="D506" s="32">
        <v>0.65</v>
      </c>
      <c r="E506" s="32">
        <v>10.87</v>
      </c>
      <c r="F506" s="32"/>
      <c r="G506" s="32">
        <f>PRODUCT(C506:F506)</f>
        <v>28.262</v>
      </c>
    </row>
    <row r="508" spans="1:7" ht="45" customHeight="1" x14ac:dyDescent="0.2">
      <c r="A508" s="17" t="s">
        <v>3316</v>
      </c>
      <c r="B508" s="17" t="s">
        <v>3141</v>
      </c>
      <c r="C508" s="17" t="s">
        <v>144</v>
      </c>
      <c r="D508" s="83" t="s">
        <v>18</v>
      </c>
      <c r="E508" s="102" t="s">
        <v>145</v>
      </c>
      <c r="F508" s="102" t="s">
        <v>145</v>
      </c>
      <c r="G508" s="84">
        <f>SUM(G509:G517)</f>
        <v>4.1114000000000006</v>
      </c>
    </row>
    <row r="509" spans="1:7" x14ac:dyDescent="0.2">
      <c r="A509" s="28"/>
      <c r="B509" s="28" t="s">
        <v>3142</v>
      </c>
      <c r="C509" s="29" t="s">
        <v>3260</v>
      </c>
      <c r="D509" s="29" t="s">
        <v>3223</v>
      </c>
      <c r="E509" s="29" t="s">
        <v>3317</v>
      </c>
      <c r="F509" s="29"/>
      <c r="G509" s="30"/>
    </row>
    <row r="510" spans="1:7" x14ac:dyDescent="0.2">
      <c r="A510" s="31" t="s">
        <v>3310</v>
      </c>
      <c r="B510" s="31"/>
      <c r="C510" s="32"/>
      <c r="D510" s="32"/>
      <c r="E510" s="32"/>
      <c r="F510" s="32"/>
      <c r="G510" s="32"/>
    </row>
    <row r="511" spans="1:7" x14ac:dyDescent="0.2">
      <c r="A511" s="31"/>
      <c r="B511" s="31"/>
      <c r="C511" s="32">
        <v>2</v>
      </c>
      <c r="D511" s="32">
        <v>1.52</v>
      </c>
      <c r="E511" s="32">
        <v>0.49</v>
      </c>
      <c r="F511" s="32"/>
      <c r="G511" s="32">
        <f>PRODUCT(C511:F511)</f>
        <v>1.4896</v>
      </c>
    </row>
    <row r="512" spans="1:7" x14ac:dyDescent="0.2">
      <c r="A512" s="31" t="s">
        <v>3312</v>
      </c>
      <c r="B512" s="31"/>
      <c r="C512" s="32"/>
      <c r="D512" s="32"/>
      <c r="E512" s="32"/>
      <c r="F512" s="32"/>
      <c r="G512" s="32"/>
    </row>
    <row r="513" spans="1:7" x14ac:dyDescent="0.2">
      <c r="A513" s="31"/>
      <c r="B513" s="31"/>
      <c r="C513" s="32">
        <v>1</v>
      </c>
      <c r="D513" s="32">
        <v>1.2</v>
      </c>
      <c r="E513" s="32">
        <v>0.43</v>
      </c>
      <c r="F513" s="32"/>
      <c r="G513" s="32">
        <f>PRODUCT(C513:F513)</f>
        <v>0.51600000000000001</v>
      </c>
    </row>
    <row r="514" spans="1:7" x14ac:dyDescent="0.2">
      <c r="A514" s="31"/>
      <c r="B514" s="31"/>
      <c r="C514" s="32">
        <v>1</v>
      </c>
      <c r="D514" s="32">
        <v>1.5</v>
      </c>
      <c r="E514" s="32">
        <v>0.43</v>
      </c>
      <c r="F514" s="32"/>
      <c r="G514" s="32">
        <f>PRODUCT(C514:F514)</f>
        <v>0.64500000000000002</v>
      </c>
    </row>
    <row r="515" spans="1:7" x14ac:dyDescent="0.2">
      <c r="A515" s="31"/>
      <c r="B515" s="31"/>
      <c r="C515" s="32">
        <v>1</v>
      </c>
      <c r="D515" s="32">
        <v>1.1599999999999999</v>
      </c>
      <c r="E515" s="32">
        <v>0.43</v>
      </c>
      <c r="F515" s="32"/>
      <c r="G515" s="32">
        <f>PRODUCT(C515:F515)</f>
        <v>0.49879999999999997</v>
      </c>
    </row>
    <row r="516" spans="1:7" x14ac:dyDescent="0.2">
      <c r="A516" s="31" t="s">
        <v>3315</v>
      </c>
      <c r="B516" s="31"/>
      <c r="C516" s="32"/>
      <c r="D516" s="32"/>
      <c r="E516" s="32"/>
      <c r="F516" s="32"/>
      <c r="G516" s="32"/>
    </row>
    <row r="517" spans="1:7" x14ac:dyDescent="0.2">
      <c r="A517" s="31"/>
      <c r="B517" s="31"/>
      <c r="C517" s="32">
        <v>4</v>
      </c>
      <c r="D517" s="32">
        <v>0.65</v>
      </c>
      <c r="E517" s="32">
        <v>0.37</v>
      </c>
      <c r="F517" s="32"/>
      <c r="G517" s="32">
        <f>PRODUCT(C517:F517)</f>
        <v>0.96199999999999997</v>
      </c>
    </row>
    <row r="519" spans="1:7" ht="45" customHeight="1" x14ac:dyDescent="0.2">
      <c r="A519" s="17" t="s">
        <v>3318</v>
      </c>
      <c r="B519" s="17" t="s">
        <v>3141</v>
      </c>
      <c r="C519" s="17" t="s">
        <v>136</v>
      </c>
      <c r="D519" s="83" t="s">
        <v>15</v>
      </c>
      <c r="E519" s="102" t="s">
        <v>137</v>
      </c>
      <c r="F519" s="102" t="s">
        <v>137</v>
      </c>
      <c r="G519" s="84">
        <f>SUM(G520:G521)</f>
        <v>0.19200000000000006</v>
      </c>
    </row>
    <row r="520" spans="1:7" x14ac:dyDescent="0.2">
      <c r="A520" s="28"/>
      <c r="B520" s="28" t="s">
        <v>3142</v>
      </c>
      <c r="C520" s="29" t="s">
        <v>3319</v>
      </c>
      <c r="D520" s="29" t="s">
        <v>3301</v>
      </c>
      <c r="E520" s="29" t="s">
        <v>3302</v>
      </c>
      <c r="F520" s="29" t="s">
        <v>3303</v>
      </c>
      <c r="G520" s="30"/>
    </row>
    <row r="521" spans="1:7" x14ac:dyDescent="0.2">
      <c r="A521" s="31" t="s">
        <v>3320</v>
      </c>
      <c r="B521" s="31"/>
      <c r="C521" s="32">
        <v>24</v>
      </c>
      <c r="D521" s="32">
        <v>0.2</v>
      </c>
      <c r="E521" s="32">
        <v>0.2</v>
      </c>
      <c r="F521" s="32">
        <v>0.2</v>
      </c>
      <c r="G521" s="32">
        <f>PRODUCT(C521:F521)</f>
        <v>0.19200000000000006</v>
      </c>
    </row>
    <row r="523" spans="1:7" ht="45" customHeight="1" x14ac:dyDescent="0.2">
      <c r="A523" s="17" t="s">
        <v>3321</v>
      </c>
      <c r="B523" s="17" t="s">
        <v>3141</v>
      </c>
      <c r="C523" s="17" t="s">
        <v>146</v>
      </c>
      <c r="D523" s="83" t="s">
        <v>18</v>
      </c>
      <c r="E523" s="102" t="s">
        <v>147</v>
      </c>
      <c r="F523" s="102" t="s">
        <v>147</v>
      </c>
      <c r="G523" s="84">
        <f>SUM(G524:G524)</f>
        <v>4.1120000000000001</v>
      </c>
    </row>
    <row r="524" spans="1:7" x14ac:dyDescent="0.2">
      <c r="A524" s="31" t="s">
        <v>3322</v>
      </c>
      <c r="B524" s="31" t="s">
        <v>3323</v>
      </c>
      <c r="C524" s="32">
        <v>4.1120000000000001</v>
      </c>
      <c r="D524" s="32"/>
      <c r="E524" s="32"/>
      <c r="F524" s="32"/>
      <c r="G524" s="32">
        <f>PRODUCT(C524:F524)</f>
        <v>4.1120000000000001</v>
      </c>
    </row>
    <row r="526" spans="1:7" x14ac:dyDescent="0.2">
      <c r="B526" t="s">
        <v>3139</v>
      </c>
      <c r="C526" s="6" t="s">
        <v>6</v>
      </c>
      <c r="D526" s="7" t="s">
        <v>7</v>
      </c>
      <c r="E526" s="6" t="s">
        <v>8</v>
      </c>
    </row>
    <row r="527" spans="1:7" x14ac:dyDescent="0.2">
      <c r="B527" t="s">
        <v>3139</v>
      </c>
      <c r="C527" s="6" t="s">
        <v>9</v>
      </c>
      <c r="D527" s="7" t="s">
        <v>26</v>
      </c>
      <c r="E527" s="6" t="s">
        <v>89</v>
      </c>
    </row>
    <row r="528" spans="1:7" x14ac:dyDescent="0.2">
      <c r="B528" t="s">
        <v>3139</v>
      </c>
      <c r="C528" s="6" t="s">
        <v>11</v>
      </c>
      <c r="D528" s="7" t="s">
        <v>72</v>
      </c>
      <c r="E528" s="6" t="s">
        <v>122</v>
      </c>
    </row>
    <row r="529" spans="1:7" x14ac:dyDescent="0.2">
      <c r="B529" t="s">
        <v>3139</v>
      </c>
      <c r="C529" s="6" t="s">
        <v>91</v>
      </c>
      <c r="D529" s="7" t="s">
        <v>72</v>
      </c>
      <c r="E529" s="6" t="s">
        <v>148</v>
      </c>
    </row>
    <row r="531" spans="1:7" ht="45" customHeight="1" x14ac:dyDescent="0.2">
      <c r="A531" s="17" t="s">
        <v>3324</v>
      </c>
      <c r="B531" s="17" t="s">
        <v>3141</v>
      </c>
      <c r="C531" s="17" t="s">
        <v>3985</v>
      </c>
      <c r="D531" s="83" t="s">
        <v>15</v>
      </c>
      <c r="E531" s="102" t="s">
        <v>3986</v>
      </c>
      <c r="F531" s="102" t="s">
        <v>3986</v>
      </c>
      <c r="G531" s="84">
        <f>SUM(G532:G536)</f>
        <v>15.744</v>
      </c>
    </row>
    <row r="532" spans="1:7" x14ac:dyDescent="0.2">
      <c r="A532" s="28"/>
      <c r="B532" s="28" t="s">
        <v>3142</v>
      </c>
      <c r="C532" s="29" t="s">
        <v>3218</v>
      </c>
      <c r="D532" s="29" t="s">
        <v>3303</v>
      </c>
      <c r="E532" s="29"/>
      <c r="F532" s="29"/>
      <c r="G532" s="30"/>
    </row>
    <row r="533" spans="1:7" x14ac:dyDescent="0.2">
      <c r="A533" s="31" t="s">
        <v>3325</v>
      </c>
      <c r="B533" s="31"/>
      <c r="C533" s="32"/>
      <c r="D533" s="32"/>
      <c r="E533" s="32"/>
      <c r="F533" s="32"/>
      <c r="G533" s="32"/>
    </row>
    <row r="534" spans="1:7" x14ac:dyDescent="0.2">
      <c r="A534" s="31" t="s">
        <v>3186</v>
      </c>
      <c r="B534" s="31"/>
      <c r="C534" s="32">
        <v>28</v>
      </c>
      <c r="D534" s="32">
        <v>0.3</v>
      </c>
      <c r="E534" s="32"/>
      <c r="F534" s="32"/>
      <c r="G534" s="32">
        <f>PRODUCT(C534:F534)</f>
        <v>8.4</v>
      </c>
    </row>
    <row r="535" spans="1:7" x14ac:dyDescent="0.2">
      <c r="A535" s="31" t="s">
        <v>3221</v>
      </c>
      <c r="B535" s="31"/>
      <c r="C535" s="32">
        <v>12.46</v>
      </c>
      <c r="D535" s="32">
        <v>0.3</v>
      </c>
      <c r="E535" s="32"/>
      <c r="F535" s="32"/>
      <c r="G535" s="32">
        <f>PRODUCT(C535:F535)</f>
        <v>3.738</v>
      </c>
    </row>
    <row r="536" spans="1:7" x14ac:dyDescent="0.2">
      <c r="A536" s="31" t="s">
        <v>3286</v>
      </c>
      <c r="B536" s="31"/>
      <c r="C536" s="32">
        <v>12.02</v>
      </c>
      <c r="D536" s="32">
        <v>0.3</v>
      </c>
      <c r="E536" s="32"/>
      <c r="F536" s="32"/>
      <c r="G536" s="32">
        <f>PRODUCT(C536:F536)</f>
        <v>3.6059999999999999</v>
      </c>
    </row>
    <row r="538" spans="1:7" ht="45" customHeight="1" x14ac:dyDescent="0.2">
      <c r="A538" s="17" t="s">
        <v>3326</v>
      </c>
      <c r="B538" s="17" t="s">
        <v>3141</v>
      </c>
      <c r="C538" s="17" t="s">
        <v>151</v>
      </c>
      <c r="D538" s="83" t="s">
        <v>36</v>
      </c>
      <c r="E538" s="102" t="s">
        <v>152</v>
      </c>
      <c r="F538" s="102" t="s">
        <v>152</v>
      </c>
      <c r="G538" s="84">
        <f>SUM(G539:G545)</f>
        <v>127.28999999999999</v>
      </c>
    </row>
    <row r="539" spans="1:7" x14ac:dyDescent="0.2">
      <c r="A539" s="28"/>
      <c r="B539" s="28" t="s">
        <v>3142</v>
      </c>
      <c r="C539" s="29" t="s">
        <v>3327</v>
      </c>
      <c r="D539" s="29" t="s">
        <v>3223</v>
      </c>
      <c r="E539" s="29"/>
      <c r="F539" s="29"/>
      <c r="G539" s="30"/>
    </row>
    <row r="540" spans="1:7" x14ac:dyDescent="0.2">
      <c r="A540" s="31" t="s">
        <v>3328</v>
      </c>
      <c r="B540" s="31"/>
      <c r="C540" s="32"/>
      <c r="D540" s="32"/>
      <c r="E540" s="32"/>
      <c r="F540" s="32"/>
      <c r="G540" s="32"/>
    </row>
    <row r="541" spans="1:7" x14ac:dyDescent="0.2">
      <c r="A541" s="31"/>
      <c r="B541" s="31"/>
      <c r="C541" s="32">
        <v>1</v>
      </c>
      <c r="D541" s="32">
        <v>68.14</v>
      </c>
      <c r="E541" s="32"/>
      <c r="F541" s="32"/>
      <c r="G541" s="32">
        <f>PRODUCT(C541:F541)</f>
        <v>68.14</v>
      </c>
    </row>
    <row r="542" spans="1:7" x14ac:dyDescent="0.2">
      <c r="A542" s="31" t="s">
        <v>3221</v>
      </c>
      <c r="B542" s="31"/>
      <c r="C542" s="32"/>
      <c r="D542" s="32"/>
      <c r="E542" s="32"/>
      <c r="F542" s="32"/>
      <c r="G542" s="32"/>
    </row>
    <row r="543" spans="1:7" x14ac:dyDescent="0.2">
      <c r="A543" s="31"/>
      <c r="B543" s="31"/>
      <c r="C543" s="32">
        <v>1</v>
      </c>
      <c r="D543" s="32">
        <v>32.15</v>
      </c>
      <c r="E543" s="32"/>
      <c r="F543" s="32"/>
      <c r="G543" s="32">
        <f>PRODUCT(C543:F543)</f>
        <v>32.15</v>
      </c>
    </row>
    <row r="544" spans="1:7" x14ac:dyDescent="0.2">
      <c r="A544" s="31" t="s">
        <v>3286</v>
      </c>
      <c r="B544" s="31"/>
      <c r="C544" s="32"/>
      <c r="D544" s="32"/>
      <c r="E544" s="32"/>
      <c r="F544" s="32"/>
      <c r="G544" s="32"/>
    </row>
    <row r="545" spans="1:7" x14ac:dyDescent="0.2">
      <c r="A545" s="31"/>
      <c r="B545" s="31"/>
      <c r="C545" s="32">
        <v>1</v>
      </c>
      <c r="D545" s="32">
        <v>27</v>
      </c>
      <c r="E545" s="32"/>
      <c r="F545" s="32"/>
      <c r="G545" s="32">
        <f>PRODUCT(C545:F545)</f>
        <v>27</v>
      </c>
    </row>
    <row r="547" spans="1:7" x14ac:dyDescent="0.2">
      <c r="B547" t="s">
        <v>3139</v>
      </c>
      <c r="C547" s="6" t="s">
        <v>6</v>
      </c>
      <c r="D547" s="7" t="s">
        <v>7</v>
      </c>
      <c r="E547" s="6" t="s">
        <v>8</v>
      </c>
    </row>
    <row r="548" spans="1:7" x14ac:dyDescent="0.2">
      <c r="B548" t="s">
        <v>3139</v>
      </c>
      <c r="C548" s="6" t="s">
        <v>9</v>
      </c>
      <c r="D548" s="7" t="s">
        <v>26</v>
      </c>
      <c r="E548" s="6" t="s">
        <v>89</v>
      </c>
    </row>
    <row r="549" spans="1:7" x14ac:dyDescent="0.2">
      <c r="B549" t="s">
        <v>3139</v>
      </c>
      <c r="C549" s="6" t="s">
        <v>11</v>
      </c>
      <c r="D549" s="7" t="s">
        <v>153</v>
      </c>
      <c r="E549" s="6" t="s">
        <v>154</v>
      </c>
    </row>
    <row r="550" spans="1:7" x14ac:dyDescent="0.2">
      <c r="B550" t="s">
        <v>3139</v>
      </c>
      <c r="C550" s="6" t="s">
        <v>91</v>
      </c>
      <c r="D550" s="7" t="s">
        <v>7</v>
      </c>
      <c r="E550" s="6" t="s">
        <v>114</v>
      </c>
    </row>
    <row r="552" spans="1:7" ht="45" customHeight="1" x14ac:dyDescent="0.2">
      <c r="A552" s="17" t="s">
        <v>3329</v>
      </c>
      <c r="B552" s="17" t="s">
        <v>3141</v>
      </c>
      <c r="C552" s="17" t="s">
        <v>156</v>
      </c>
      <c r="D552" s="83" t="s">
        <v>18</v>
      </c>
      <c r="E552" s="102" t="s">
        <v>157</v>
      </c>
      <c r="F552" s="102" t="s">
        <v>157</v>
      </c>
      <c r="G552" s="84">
        <f>SUM(G553:G556)</f>
        <v>10.3</v>
      </c>
    </row>
    <row r="553" spans="1:7" x14ac:dyDescent="0.2">
      <c r="A553" s="28"/>
      <c r="B553" s="28" t="s">
        <v>3142</v>
      </c>
      <c r="C553" s="29" t="s">
        <v>3143</v>
      </c>
      <c r="D553" s="29" t="s">
        <v>3218</v>
      </c>
      <c r="E553" s="29"/>
      <c r="F553" s="29"/>
      <c r="G553" s="30"/>
    </row>
    <row r="554" spans="1:7" x14ac:dyDescent="0.2">
      <c r="A554" s="31" t="s">
        <v>3330</v>
      </c>
      <c r="B554" s="31"/>
      <c r="C554" s="32"/>
      <c r="D554" s="32"/>
      <c r="E554" s="32"/>
      <c r="F554" s="32"/>
      <c r="G554" s="32"/>
    </row>
    <row r="555" spans="1:7" x14ac:dyDescent="0.2">
      <c r="A555" s="31" t="s">
        <v>3331</v>
      </c>
      <c r="B555" s="31"/>
      <c r="C555" s="32">
        <v>1</v>
      </c>
      <c r="D555" s="32">
        <v>5.65</v>
      </c>
      <c r="E555" s="32"/>
      <c r="F555" s="32"/>
      <c r="G555" s="32">
        <f>PRODUCT(C555:F555)</f>
        <v>5.65</v>
      </c>
    </row>
    <row r="556" spans="1:7" x14ac:dyDescent="0.2">
      <c r="A556" s="31" t="s">
        <v>3332</v>
      </c>
      <c r="B556" s="31"/>
      <c r="C556" s="32">
        <v>1</v>
      </c>
      <c r="D556" s="32">
        <v>4.6500000000000004</v>
      </c>
      <c r="E556" s="32"/>
      <c r="F556" s="32"/>
      <c r="G556" s="32">
        <f>PRODUCT(C556:F556)</f>
        <v>4.6500000000000004</v>
      </c>
    </row>
    <row r="558" spans="1:7" x14ac:dyDescent="0.2">
      <c r="B558" t="s">
        <v>3139</v>
      </c>
      <c r="C558" s="6" t="s">
        <v>6</v>
      </c>
      <c r="D558" s="7" t="s">
        <v>7</v>
      </c>
      <c r="E558" s="6" t="s">
        <v>8</v>
      </c>
    </row>
    <row r="559" spans="1:7" x14ac:dyDescent="0.2">
      <c r="B559" t="s">
        <v>3139</v>
      </c>
      <c r="C559" s="6" t="s">
        <v>9</v>
      </c>
      <c r="D559" s="7" t="s">
        <v>26</v>
      </c>
      <c r="E559" s="6" t="s">
        <v>89</v>
      </c>
    </row>
    <row r="560" spans="1:7" x14ac:dyDescent="0.2">
      <c r="B560" t="s">
        <v>3139</v>
      </c>
      <c r="C560" s="6" t="s">
        <v>11</v>
      </c>
      <c r="D560" s="7" t="s">
        <v>158</v>
      </c>
      <c r="E560" s="6" t="s">
        <v>159</v>
      </c>
    </row>
    <row r="561" spans="1:7" x14ac:dyDescent="0.2">
      <c r="B561" t="s">
        <v>3139</v>
      </c>
      <c r="C561" s="6" t="s">
        <v>91</v>
      </c>
      <c r="D561" s="7" t="s">
        <v>7</v>
      </c>
      <c r="E561" s="6" t="s">
        <v>159</v>
      </c>
    </row>
    <row r="563" spans="1:7" ht="45" customHeight="1" x14ac:dyDescent="0.2">
      <c r="A563" s="17" t="s">
        <v>3333</v>
      </c>
      <c r="B563" s="17" t="s">
        <v>3141</v>
      </c>
      <c r="C563" s="17" t="s">
        <v>161</v>
      </c>
      <c r="D563" s="83" t="s">
        <v>23</v>
      </c>
      <c r="E563" s="102" t="s">
        <v>4034</v>
      </c>
      <c r="F563" s="102" t="s">
        <v>4034</v>
      </c>
      <c r="G563" s="84">
        <f>SUM(G564:G564)</f>
        <v>1</v>
      </c>
    </row>
    <row r="564" spans="1:7" x14ac:dyDescent="0.2">
      <c r="A564" s="31"/>
      <c r="B564" s="31"/>
      <c r="C564" s="32">
        <v>1</v>
      </c>
      <c r="D564" s="32"/>
      <c r="E564" s="32"/>
      <c r="F564" s="32"/>
      <c r="G564" s="32">
        <f>PRODUCT(C564:F564)</f>
        <v>1</v>
      </c>
    </row>
    <row r="566" spans="1:7" ht="45" customHeight="1" x14ac:dyDescent="0.2">
      <c r="A566" s="17" t="s">
        <v>3334</v>
      </c>
      <c r="B566" s="17" t="s">
        <v>3141</v>
      </c>
      <c r="C566" s="17" t="s">
        <v>3987</v>
      </c>
      <c r="D566" s="83" t="s">
        <v>18</v>
      </c>
      <c r="E566" s="102" t="s">
        <v>163</v>
      </c>
      <c r="F566" s="102" t="s">
        <v>163</v>
      </c>
      <c r="G566" s="84">
        <f>SUM(G567:G576)</f>
        <v>399.80899999999997</v>
      </c>
    </row>
    <row r="567" spans="1:7" x14ac:dyDescent="0.2">
      <c r="A567" s="28"/>
      <c r="B567" s="28" t="s">
        <v>3142</v>
      </c>
      <c r="C567" s="29" t="s">
        <v>3260</v>
      </c>
      <c r="D567" s="29" t="s">
        <v>3293</v>
      </c>
      <c r="E567" s="29" t="s">
        <v>3223</v>
      </c>
      <c r="F567" s="29"/>
      <c r="G567" s="30"/>
    </row>
    <row r="568" spans="1:7" x14ac:dyDescent="0.2">
      <c r="A568" s="31" t="s">
        <v>3186</v>
      </c>
      <c r="B568" s="31"/>
      <c r="C568" s="32"/>
      <c r="D568" s="32"/>
      <c r="E568" s="32"/>
      <c r="F568" s="32"/>
      <c r="G568" s="32"/>
    </row>
    <row r="569" spans="1:7" x14ac:dyDescent="0.2">
      <c r="A569" s="31" t="s">
        <v>3291</v>
      </c>
      <c r="B569" s="31"/>
      <c r="C569" s="32">
        <v>59</v>
      </c>
      <c r="D569" s="32">
        <v>0.6</v>
      </c>
      <c r="E569" s="32">
        <v>4.0999999999999996</v>
      </c>
      <c r="F569" s="32"/>
      <c r="G569" s="32">
        <f>PRODUCT(C569:F569)</f>
        <v>145.13999999999999</v>
      </c>
    </row>
    <row r="570" spans="1:7" x14ac:dyDescent="0.2">
      <c r="A570" s="31" t="s">
        <v>3221</v>
      </c>
      <c r="B570" s="31"/>
      <c r="C570" s="32"/>
      <c r="D570" s="32"/>
      <c r="E570" s="32"/>
      <c r="F570" s="32"/>
      <c r="G570" s="32"/>
    </row>
    <row r="571" spans="1:7" x14ac:dyDescent="0.2">
      <c r="A571" s="31" t="s">
        <v>3294</v>
      </c>
      <c r="B571" s="31"/>
      <c r="C571" s="32">
        <v>27</v>
      </c>
      <c r="D571" s="32">
        <v>0.86</v>
      </c>
      <c r="E571" s="32">
        <v>3.75</v>
      </c>
      <c r="F571" s="32"/>
      <c r="G571" s="32">
        <f>PRODUCT(C571:F571)</f>
        <v>87.074999999999989</v>
      </c>
    </row>
    <row r="572" spans="1:7" x14ac:dyDescent="0.2">
      <c r="A572" s="31" t="s">
        <v>3286</v>
      </c>
      <c r="B572" s="31"/>
      <c r="C572" s="32"/>
      <c r="D572" s="32"/>
      <c r="E572" s="32"/>
      <c r="F572" s="32"/>
      <c r="G572" s="32"/>
    </row>
    <row r="573" spans="1:7" x14ac:dyDescent="0.2">
      <c r="A573" s="31" t="s">
        <v>3294</v>
      </c>
      <c r="B573" s="31"/>
      <c r="C573" s="32">
        <v>13</v>
      </c>
      <c r="D573" s="32">
        <v>0.86</v>
      </c>
      <c r="E573" s="32">
        <v>5</v>
      </c>
      <c r="F573" s="32"/>
      <c r="G573" s="32">
        <f>PRODUCT(C573:F573)</f>
        <v>55.9</v>
      </c>
    </row>
    <row r="574" spans="1:7" x14ac:dyDescent="0.2">
      <c r="A574" s="31" t="s">
        <v>3295</v>
      </c>
      <c r="B574" s="31"/>
      <c r="C574" s="32">
        <v>12</v>
      </c>
      <c r="D574" s="32">
        <v>0.66</v>
      </c>
      <c r="E574" s="32">
        <v>5</v>
      </c>
      <c r="F574" s="32"/>
      <c r="G574" s="32">
        <f>PRODUCT(C574:F574)</f>
        <v>39.6</v>
      </c>
    </row>
    <row r="575" spans="1:7" x14ac:dyDescent="0.2">
      <c r="A575" s="31" t="s">
        <v>3296</v>
      </c>
      <c r="B575" s="31"/>
      <c r="C575" s="32"/>
      <c r="D575" s="32"/>
      <c r="E575" s="32"/>
      <c r="F575" s="32"/>
      <c r="G575" s="32"/>
    </row>
    <row r="576" spans="1:7" x14ac:dyDescent="0.2">
      <c r="A576" s="31" t="s">
        <v>3297</v>
      </c>
      <c r="B576" s="31"/>
      <c r="C576" s="32">
        <v>22</v>
      </c>
      <c r="D576" s="32">
        <v>0.57999999999999996</v>
      </c>
      <c r="E576" s="32">
        <v>5.65</v>
      </c>
      <c r="F576" s="32"/>
      <c r="G576" s="32">
        <f>PRODUCT(C576:F576)</f>
        <v>72.094000000000008</v>
      </c>
    </row>
    <row r="578" spans="1:7" x14ac:dyDescent="0.2">
      <c r="B578" t="s">
        <v>3139</v>
      </c>
      <c r="C578" s="6" t="s">
        <v>6</v>
      </c>
      <c r="D578" s="7" t="s">
        <v>7</v>
      </c>
      <c r="E578" s="6" t="s">
        <v>8</v>
      </c>
    </row>
    <row r="579" spans="1:7" x14ac:dyDescent="0.2">
      <c r="B579" t="s">
        <v>3139</v>
      </c>
      <c r="C579" s="6" t="s">
        <v>9</v>
      </c>
      <c r="D579" s="7" t="s">
        <v>72</v>
      </c>
      <c r="E579" s="6" t="s">
        <v>165</v>
      </c>
    </row>
    <row r="580" spans="1:7" x14ac:dyDescent="0.2">
      <c r="B580" t="s">
        <v>3139</v>
      </c>
      <c r="C580" s="6" t="s">
        <v>11</v>
      </c>
      <c r="D580" s="7" t="s">
        <v>7</v>
      </c>
      <c r="E580" s="6" t="s">
        <v>166</v>
      </c>
    </row>
    <row r="582" spans="1:7" ht="45" customHeight="1" x14ac:dyDescent="0.2">
      <c r="A582" s="17" t="s">
        <v>3335</v>
      </c>
      <c r="B582" s="17" t="s">
        <v>3141</v>
      </c>
      <c r="C582" s="17" t="s">
        <v>168</v>
      </c>
      <c r="D582" s="83" t="s">
        <v>18</v>
      </c>
      <c r="E582" s="102" t="s">
        <v>169</v>
      </c>
      <c r="F582" s="102" t="s">
        <v>169</v>
      </c>
      <c r="G582" s="84">
        <f>SUM(G583:G593)</f>
        <v>396</v>
      </c>
    </row>
    <row r="583" spans="1:7" x14ac:dyDescent="0.2">
      <c r="A583" s="28"/>
      <c r="B583" s="28" t="s">
        <v>3142</v>
      </c>
      <c r="C583" s="29" t="s">
        <v>3143</v>
      </c>
      <c r="D583" s="29" t="s">
        <v>3157</v>
      </c>
      <c r="E583" s="29"/>
      <c r="F583" s="29"/>
      <c r="G583" s="30"/>
    </row>
    <row r="584" spans="1:7" x14ac:dyDescent="0.2">
      <c r="A584" s="31" t="s">
        <v>3336</v>
      </c>
      <c r="B584" s="31"/>
      <c r="C584" s="32"/>
      <c r="D584" s="32"/>
      <c r="E584" s="32"/>
      <c r="F584" s="32"/>
      <c r="G584" s="32">
        <f>PRODUCT(C584:F584)</f>
        <v>0</v>
      </c>
    </row>
    <row r="585" spans="1:7" x14ac:dyDescent="0.2">
      <c r="A585" s="31" t="s">
        <v>3186</v>
      </c>
      <c r="B585" s="31"/>
      <c r="C585" s="32">
        <v>1</v>
      </c>
      <c r="D585" s="32">
        <v>231</v>
      </c>
      <c r="E585" s="32"/>
      <c r="F585" s="32"/>
      <c r="G585" s="32">
        <f>PRODUCT(C585:F585)</f>
        <v>231</v>
      </c>
    </row>
    <row r="586" spans="1:7" x14ac:dyDescent="0.2">
      <c r="A586" s="31" t="s">
        <v>3184</v>
      </c>
      <c r="B586" s="31"/>
      <c r="C586" s="32">
        <v>1</v>
      </c>
      <c r="D586" s="32">
        <v>54</v>
      </c>
      <c r="E586" s="32"/>
      <c r="F586" s="32"/>
      <c r="G586" s="32">
        <f>PRODUCT(C586:F586)</f>
        <v>54</v>
      </c>
    </row>
    <row r="587" spans="1:7" x14ac:dyDescent="0.2">
      <c r="A587" s="31" t="s">
        <v>3337</v>
      </c>
      <c r="B587" s="31"/>
      <c r="C587" s="32"/>
      <c r="D587" s="32"/>
      <c r="E587" s="32"/>
      <c r="F587" s="32"/>
      <c r="G587" s="32">
        <f>PRODUCT(C587:F587)</f>
        <v>0</v>
      </c>
    </row>
    <row r="588" spans="1:7" x14ac:dyDescent="0.2">
      <c r="A588" s="31" t="s">
        <v>3185</v>
      </c>
      <c r="B588" s="31"/>
      <c r="C588" s="32">
        <v>1</v>
      </c>
      <c r="D588" s="32">
        <v>40</v>
      </c>
      <c r="E588" s="32"/>
      <c r="F588" s="32"/>
      <c r="G588" s="32">
        <f>PRODUCT(C588:F588)</f>
        <v>40</v>
      </c>
    </row>
    <row r="589" spans="1:7" x14ac:dyDescent="0.2">
      <c r="A589" s="31" t="s">
        <v>3338</v>
      </c>
      <c r="B589" s="31"/>
      <c r="C589" s="32"/>
      <c r="D589" s="32"/>
      <c r="E589" s="32"/>
      <c r="F589" s="32"/>
      <c r="G589" s="32"/>
    </row>
    <row r="590" spans="1:7" x14ac:dyDescent="0.2">
      <c r="A590" s="31" t="s">
        <v>3186</v>
      </c>
      <c r="B590" s="31"/>
      <c r="C590" s="32">
        <v>1</v>
      </c>
      <c r="D590" s="32">
        <v>7</v>
      </c>
      <c r="E590" s="32"/>
      <c r="F590" s="32"/>
      <c r="G590" s="32">
        <f>PRODUCT(C590:F590)</f>
        <v>7</v>
      </c>
    </row>
    <row r="591" spans="1:7" x14ac:dyDescent="0.2">
      <c r="A591" s="31" t="s">
        <v>3184</v>
      </c>
      <c r="B591" s="31"/>
      <c r="C591" s="32">
        <v>1</v>
      </c>
      <c r="D591" s="32">
        <v>5</v>
      </c>
      <c r="E591" s="32"/>
      <c r="F591" s="32"/>
      <c r="G591" s="32">
        <f>PRODUCT(C591:F591)</f>
        <v>5</v>
      </c>
    </row>
    <row r="592" spans="1:7" x14ac:dyDescent="0.2">
      <c r="A592" s="31" t="s">
        <v>3339</v>
      </c>
      <c r="B592" s="31"/>
      <c r="C592" s="32"/>
      <c r="D592" s="32"/>
      <c r="E592" s="32"/>
      <c r="F592" s="32"/>
      <c r="G592" s="32"/>
    </row>
    <row r="593" spans="1:7" x14ac:dyDescent="0.2">
      <c r="A593" s="31" t="s">
        <v>3340</v>
      </c>
      <c r="B593" s="31"/>
      <c r="C593" s="32">
        <v>1</v>
      </c>
      <c r="D593" s="32">
        <v>59</v>
      </c>
      <c r="E593" s="32"/>
      <c r="F593" s="32"/>
      <c r="G593" s="32">
        <f>PRODUCT(C593:F593)</f>
        <v>59</v>
      </c>
    </row>
    <row r="595" spans="1:7" ht="45" customHeight="1" x14ac:dyDescent="0.2">
      <c r="A595" s="17" t="s">
        <v>3341</v>
      </c>
      <c r="B595" s="17" t="s">
        <v>3141</v>
      </c>
      <c r="C595" s="17" t="s">
        <v>170</v>
      </c>
      <c r="D595" s="83" t="s">
        <v>15</v>
      </c>
      <c r="E595" s="102" t="s">
        <v>171</v>
      </c>
      <c r="F595" s="102" t="s">
        <v>171</v>
      </c>
      <c r="G595" s="84">
        <f>SUM(G596:G606)</f>
        <v>59.4</v>
      </c>
    </row>
    <row r="596" spans="1:7" x14ac:dyDescent="0.2">
      <c r="A596" s="28"/>
      <c r="B596" s="28" t="s">
        <v>3142</v>
      </c>
      <c r="C596" s="29" t="s">
        <v>3143</v>
      </c>
      <c r="D596" s="29" t="s">
        <v>3157</v>
      </c>
      <c r="E596" s="29" t="s">
        <v>3205</v>
      </c>
      <c r="F596" s="29"/>
      <c r="G596" s="30"/>
    </row>
    <row r="597" spans="1:7" x14ac:dyDescent="0.2">
      <c r="A597" s="31" t="s">
        <v>3336</v>
      </c>
      <c r="B597" s="31"/>
      <c r="C597" s="32"/>
      <c r="D597" s="32"/>
      <c r="E597" s="32"/>
      <c r="F597" s="32"/>
      <c r="G597" s="32">
        <f>PRODUCT(C597:F597)</f>
        <v>0</v>
      </c>
    </row>
    <row r="598" spans="1:7" x14ac:dyDescent="0.2">
      <c r="A598" s="31" t="s">
        <v>3186</v>
      </c>
      <c r="B598" s="31"/>
      <c r="C598" s="32">
        <v>1</v>
      </c>
      <c r="D598" s="32">
        <v>231</v>
      </c>
      <c r="E598" s="32">
        <v>0.15</v>
      </c>
      <c r="F598" s="32"/>
      <c r="G598" s="32">
        <f>PRODUCT(C598:F598)</f>
        <v>34.65</v>
      </c>
    </row>
    <row r="599" spans="1:7" x14ac:dyDescent="0.2">
      <c r="A599" s="31" t="s">
        <v>3184</v>
      </c>
      <c r="B599" s="31"/>
      <c r="C599" s="32">
        <v>1</v>
      </c>
      <c r="D599" s="32">
        <v>54</v>
      </c>
      <c r="E599" s="32">
        <v>0.15</v>
      </c>
      <c r="F599" s="32"/>
      <c r="G599" s="32">
        <f>PRODUCT(C599:F599)</f>
        <v>8.1</v>
      </c>
    </row>
    <row r="600" spans="1:7" x14ac:dyDescent="0.2">
      <c r="A600" s="31" t="s">
        <v>3337</v>
      </c>
      <c r="B600" s="31"/>
      <c r="C600" s="32"/>
      <c r="D600" s="32"/>
      <c r="E600" s="32"/>
      <c r="F600" s="32"/>
      <c r="G600" s="32">
        <f>PRODUCT(C600:F600)</f>
        <v>0</v>
      </c>
    </row>
    <row r="601" spans="1:7" x14ac:dyDescent="0.2">
      <c r="A601" s="31" t="s">
        <v>3185</v>
      </c>
      <c r="B601" s="31"/>
      <c r="C601" s="32">
        <v>1</v>
      </c>
      <c r="D601" s="32">
        <v>40</v>
      </c>
      <c r="E601" s="32">
        <v>0.15</v>
      </c>
      <c r="F601" s="32"/>
      <c r="G601" s="32">
        <f>PRODUCT(C601:F601)</f>
        <v>6</v>
      </c>
    </row>
    <row r="602" spans="1:7" x14ac:dyDescent="0.2">
      <c r="A602" s="31" t="s">
        <v>3338</v>
      </c>
      <c r="B602" s="31"/>
      <c r="C602" s="32"/>
      <c r="D602" s="32"/>
      <c r="E602" s="32"/>
      <c r="F602" s="32"/>
      <c r="G602" s="32"/>
    </row>
    <row r="603" spans="1:7" x14ac:dyDescent="0.2">
      <c r="A603" s="31" t="s">
        <v>3186</v>
      </c>
      <c r="B603" s="31"/>
      <c r="C603" s="32">
        <v>1</v>
      </c>
      <c r="D603" s="32">
        <v>7</v>
      </c>
      <c r="E603" s="32">
        <v>0.15</v>
      </c>
      <c r="F603" s="32"/>
      <c r="G603" s="32">
        <f>PRODUCT(C603:F603)</f>
        <v>1.05</v>
      </c>
    </row>
    <row r="604" spans="1:7" x14ac:dyDescent="0.2">
      <c r="A604" s="31" t="s">
        <v>3184</v>
      </c>
      <c r="B604" s="31"/>
      <c r="C604" s="32">
        <v>1</v>
      </c>
      <c r="D604" s="32">
        <v>5</v>
      </c>
      <c r="E604" s="32">
        <v>0.15</v>
      </c>
      <c r="F604" s="32"/>
      <c r="G604" s="32">
        <f>PRODUCT(C604:F604)</f>
        <v>0.75</v>
      </c>
    </row>
    <row r="605" spans="1:7" x14ac:dyDescent="0.2">
      <c r="A605" s="31" t="s">
        <v>3339</v>
      </c>
      <c r="B605" s="31"/>
      <c r="C605" s="32"/>
      <c r="D605" s="32"/>
      <c r="E605" s="32"/>
      <c r="F605" s="32"/>
      <c r="G605" s="32"/>
    </row>
    <row r="606" spans="1:7" x14ac:dyDescent="0.2">
      <c r="A606" s="31" t="s">
        <v>3340</v>
      </c>
      <c r="B606" s="31"/>
      <c r="C606" s="32">
        <v>1</v>
      </c>
      <c r="D606" s="32">
        <v>59</v>
      </c>
      <c r="E606" s="32">
        <v>0.15</v>
      </c>
      <c r="F606" s="32"/>
      <c r="G606" s="32">
        <f>PRODUCT(C606:F606)</f>
        <v>8.85</v>
      </c>
    </row>
    <row r="608" spans="1:7" ht="45" customHeight="1" x14ac:dyDescent="0.2">
      <c r="A608" s="17" t="s">
        <v>3342</v>
      </c>
      <c r="B608" s="17" t="s">
        <v>3141</v>
      </c>
      <c r="C608" s="17" t="s">
        <v>172</v>
      </c>
      <c r="D608" s="83" t="s">
        <v>18</v>
      </c>
      <c r="E608" s="102" t="s">
        <v>173</v>
      </c>
      <c r="F608" s="102" t="s">
        <v>173</v>
      </c>
      <c r="G608" s="84">
        <f>SUM(G609:G619)</f>
        <v>396</v>
      </c>
    </row>
    <row r="609" spans="1:7" x14ac:dyDescent="0.2">
      <c r="A609" s="28"/>
      <c r="B609" s="28" t="s">
        <v>3142</v>
      </c>
      <c r="C609" s="29" t="s">
        <v>3143</v>
      </c>
      <c r="D609" s="29" t="s">
        <v>3157</v>
      </c>
      <c r="E609" s="29"/>
      <c r="F609" s="29"/>
      <c r="G609" s="30"/>
    </row>
    <row r="610" spans="1:7" x14ac:dyDescent="0.2">
      <c r="A610" s="31" t="s">
        <v>3336</v>
      </c>
      <c r="B610" s="31"/>
      <c r="C610" s="32"/>
      <c r="D610" s="32"/>
      <c r="E610" s="32"/>
      <c r="F610" s="32"/>
      <c r="G610" s="32">
        <f>PRODUCT(C610:F610)</f>
        <v>0</v>
      </c>
    </row>
    <row r="611" spans="1:7" x14ac:dyDescent="0.2">
      <c r="A611" s="31" t="s">
        <v>3186</v>
      </c>
      <c r="B611" s="31"/>
      <c r="C611" s="32">
        <v>1</v>
      </c>
      <c r="D611" s="32">
        <v>231</v>
      </c>
      <c r="E611" s="32"/>
      <c r="F611" s="32"/>
      <c r="G611" s="32">
        <f>PRODUCT(C611:F611)</f>
        <v>231</v>
      </c>
    </row>
    <row r="612" spans="1:7" x14ac:dyDescent="0.2">
      <c r="A612" s="31" t="s">
        <v>3184</v>
      </c>
      <c r="B612" s="31"/>
      <c r="C612" s="32">
        <v>1</v>
      </c>
      <c r="D612" s="32">
        <v>54</v>
      </c>
      <c r="E612" s="32"/>
      <c r="F612" s="32"/>
      <c r="G612" s="32">
        <f>PRODUCT(C612:F612)</f>
        <v>54</v>
      </c>
    </row>
    <row r="613" spans="1:7" x14ac:dyDescent="0.2">
      <c r="A613" s="31" t="s">
        <v>3337</v>
      </c>
      <c r="B613" s="31"/>
      <c r="C613" s="32"/>
      <c r="D613" s="32"/>
      <c r="E613" s="32"/>
      <c r="F613" s="32"/>
      <c r="G613" s="32">
        <f>PRODUCT(C613:F613)</f>
        <v>0</v>
      </c>
    </row>
    <row r="614" spans="1:7" x14ac:dyDescent="0.2">
      <c r="A614" s="31" t="s">
        <v>3185</v>
      </c>
      <c r="B614" s="31"/>
      <c r="C614" s="32">
        <v>1</v>
      </c>
      <c r="D614" s="32">
        <v>40</v>
      </c>
      <c r="E614" s="32"/>
      <c r="F614" s="32"/>
      <c r="G614" s="32">
        <f>PRODUCT(C614:F614)</f>
        <v>40</v>
      </c>
    </row>
    <row r="615" spans="1:7" x14ac:dyDescent="0.2">
      <c r="A615" s="31" t="s">
        <v>3338</v>
      </c>
      <c r="B615" s="31"/>
      <c r="C615" s="32"/>
      <c r="D615" s="32"/>
      <c r="E615" s="32"/>
      <c r="F615" s="32"/>
      <c r="G615" s="32"/>
    </row>
    <row r="616" spans="1:7" x14ac:dyDescent="0.2">
      <c r="A616" s="31" t="s">
        <v>3186</v>
      </c>
      <c r="B616" s="31"/>
      <c r="C616" s="32">
        <v>1</v>
      </c>
      <c r="D616" s="32">
        <v>7</v>
      </c>
      <c r="E616" s="32"/>
      <c r="F616" s="32"/>
      <c r="G616" s="32">
        <f>PRODUCT(C616:F616)</f>
        <v>7</v>
      </c>
    </row>
    <row r="617" spans="1:7" x14ac:dyDescent="0.2">
      <c r="A617" s="31" t="s">
        <v>3184</v>
      </c>
      <c r="B617" s="31"/>
      <c r="C617" s="32">
        <v>1</v>
      </c>
      <c r="D617" s="32">
        <v>5</v>
      </c>
      <c r="E617" s="32"/>
      <c r="F617" s="32"/>
      <c r="G617" s="32">
        <f>PRODUCT(C617:F617)</f>
        <v>5</v>
      </c>
    </row>
    <row r="618" spans="1:7" x14ac:dyDescent="0.2">
      <c r="A618" s="31" t="s">
        <v>3339</v>
      </c>
      <c r="B618" s="31"/>
      <c r="C618" s="32"/>
      <c r="D618" s="32"/>
      <c r="E618" s="32"/>
      <c r="F618" s="32"/>
      <c r="G618" s="32"/>
    </row>
    <row r="619" spans="1:7" x14ac:dyDescent="0.2">
      <c r="A619" s="31" t="s">
        <v>3340</v>
      </c>
      <c r="B619" s="31"/>
      <c r="C619" s="32">
        <v>1</v>
      </c>
      <c r="D619" s="32">
        <v>59</v>
      </c>
      <c r="E619" s="32"/>
      <c r="F619" s="32"/>
      <c r="G619" s="32">
        <f>PRODUCT(C619:F619)</f>
        <v>59</v>
      </c>
    </row>
    <row r="621" spans="1:7" ht="45" customHeight="1" x14ac:dyDescent="0.2">
      <c r="A621" s="17" t="s">
        <v>3343</v>
      </c>
      <c r="B621" s="17" t="s">
        <v>3141</v>
      </c>
      <c r="C621" s="17" t="s">
        <v>174</v>
      </c>
      <c r="D621" s="83" t="s">
        <v>15</v>
      </c>
      <c r="E621" s="102" t="s">
        <v>175</v>
      </c>
      <c r="F621" s="102" t="s">
        <v>175</v>
      </c>
      <c r="G621" s="84">
        <f>SUM(G622:G644)</f>
        <v>60.300000000000011</v>
      </c>
    </row>
    <row r="622" spans="1:7" x14ac:dyDescent="0.2">
      <c r="A622" s="28"/>
      <c r="B622" s="28" t="s">
        <v>3142</v>
      </c>
      <c r="C622" s="29" t="s">
        <v>3143</v>
      </c>
      <c r="D622" s="29" t="s">
        <v>3157</v>
      </c>
      <c r="E622" s="29" t="s">
        <v>3205</v>
      </c>
      <c r="F622" s="29"/>
      <c r="G622" s="30"/>
    </row>
    <row r="623" spans="1:7" x14ac:dyDescent="0.2">
      <c r="A623" s="31" t="s">
        <v>3344</v>
      </c>
      <c r="B623" s="31"/>
      <c r="C623" s="32"/>
      <c r="D623" s="32"/>
      <c r="E623" s="32"/>
      <c r="F623" s="32"/>
      <c r="G623" s="32"/>
    </row>
    <row r="624" spans="1:7" x14ac:dyDescent="0.2">
      <c r="A624" s="31" t="s">
        <v>3336</v>
      </c>
      <c r="B624" s="31"/>
      <c r="C624" s="32"/>
      <c r="D624" s="32"/>
      <c r="E624" s="32"/>
      <c r="F624" s="32"/>
      <c r="G624" s="32">
        <f>PRODUCT(C624:F624)</f>
        <v>0</v>
      </c>
    </row>
    <row r="625" spans="1:7" x14ac:dyDescent="0.2">
      <c r="A625" s="31" t="s">
        <v>3186</v>
      </c>
      <c r="B625" s="31"/>
      <c r="C625" s="32">
        <v>1</v>
      </c>
      <c r="D625" s="32">
        <v>231</v>
      </c>
      <c r="E625" s="32">
        <v>0.1</v>
      </c>
      <c r="F625" s="32"/>
      <c r="G625" s="32">
        <f>PRODUCT(C625:F625)</f>
        <v>23.1</v>
      </c>
    </row>
    <row r="626" spans="1:7" x14ac:dyDescent="0.2">
      <c r="A626" s="31" t="s">
        <v>3184</v>
      </c>
      <c r="B626" s="31"/>
      <c r="C626" s="32">
        <v>1</v>
      </c>
      <c r="D626" s="32">
        <v>54</v>
      </c>
      <c r="E626" s="32">
        <v>0.1</v>
      </c>
      <c r="F626" s="32"/>
      <c r="G626" s="32">
        <f>PRODUCT(C626:F626)</f>
        <v>5.4</v>
      </c>
    </row>
    <row r="627" spans="1:7" x14ac:dyDescent="0.2">
      <c r="A627" s="31" t="s">
        <v>3337</v>
      </c>
      <c r="B627" s="31"/>
      <c r="C627" s="32"/>
      <c r="D627" s="32"/>
      <c r="E627" s="32"/>
      <c r="F627" s="32"/>
      <c r="G627" s="32">
        <f>PRODUCT(C627:F627)</f>
        <v>0</v>
      </c>
    </row>
    <row r="628" spans="1:7" x14ac:dyDescent="0.2">
      <c r="A628" s="31" t="s">
        <v>3185</v>
      </c>
      <c r="B628" s="31"/>
      <c r="C628" s="32">
        <v>1</v>
      </c>
      <c r="D628" s="32">
        <v>40</v>
      </c>
      <c r="E628" s="32">
        <v>0.1</v>
      </c>
      <c r="F628" s="32"/>
      <c r="G628" s="32">
        <f>PRODUCT(C628:F628)</f>
        <v>4</v>
      </c>
    </row>
    <row r="629" spans="1:7" x14ac:dyDescent="0.2">
      <c r="A629" s="31" t="s">
        <v>3338</v>
      </c>
      <c r="B629" s="31"/>
      <c r="C629" s="32"/>
      <c r="D629" s="32"/>
      <c r="E629" s="32"/>
      <c r="F629" s="32"/>
      <c r="G629" s="32"/>
    </row>
    <row r="630" spans="1:7" x14ac:dyDescent="0.2">
      <c r="A630" s="31" t="s">
        <v>3186</v>
      </c>
      <c r="B630" s="31"/>
      <c r="C630" s="32">
        <v>1</v>
      </c>
      <c r="D630" s="32">
        <v>7</v>
      </c>
      <c r="E630" s="32">
        <v>0.1</v>
      </c>
      <c r="F630" s="32"/>
      <c r="G630" s="32">
        <f>PRODUCT(C630:F630)</f>
        <v>0.70000000000000007</v>
      </c>
    </row>
    <row r="631" spans="1:7" x14ac:dyDescent="0.2">
      <c r="A631" s="31" t="s">
        <v>3184</v>
      </c>
      <c r="B631" s="31"/>
      <c r="C631" s="32">
        <v>1</v>
      </c>
      <c r="D631" s="32">
        <v>5</v>
      </c>
      <c r="E631" s="32">
        <v>0.1</v>
      </c>
      <c r="F631" s="32"/>
      <c r="G631" s="32">
        <f>PRODUCT(C631:F631)</f>
        <v>0.5</v>
      </c>
    </row>
    <row r="632" spans="1:7" x14ac:dyDescent="0.2">
      <c r="A632" s="31" t="s">
        <v>3339</v>
      </c>
      <c r="B632" s="31"/>
      <c r="C632" s="32"/>
      <c r="D632" s="32"/>
      <c r="E632" s="32"/>
      <c r="F632" s="32"/>
      <c r="G632" s="32"/>
    </row>
    <row r="633" spans="1:7" x14ac:dyDescent="0.2">
      <c r="A633" s="31" t="s">
        <v>3340</v>
      </c>
      <c r="B633" s="31"/>
      <c r="C633" s="32">
        <v>1</v>
      </c>
      <c r="D633" s="32">
        <v>59</v>
      </c>
      <c r="E633" s="32">
        <v>0.1</v>
      </c>
      <c r="F633" s="32"/>
      <c r="G633" s="32">
        <f>PRODUCT(C633:F633)</f>
        <v>5.9</v>
      </c>
    </row>
    <row r="634" spans="1:7" x14ac:dyDescent="0.2">
      <c r="A634" s="31" t="s">
        <v>3345</v>
      </c>
      <c r="B634" s="31"/>
      <c r="C634" s="32"/>
      <c r="D634" s="32"/>
      <c r="E634" s="32"/>
      <c r="F634" s="32"/>
      <c r="G634" s="32"/>
    </row>
    <row r="635" spans="1:7" x14ac:dyDescent="0.2">
      <c r="A635" s="31" t="s">
        <v>3336</v>
      </c>
      <c r="B635" s="31"/>
      <c r="C635" s="32"/>
      <c r="D635" s="32"/>
      <c r="E635" s="32"/>
      <c r="F635" s="32"/>
      <c r="G635" s="32">
        <f t="shared" ref="G635:G642" si="9">PRODUCT(C635:F635)</f>
        <v>0</v>
      </c>
    </row>
    <row r="636" spans="1:7" x14ac:dyDescent="0.2">
      <c r="A636" s="31" t="s">
        <v>3186</v>
      </c>
      <c r="B636" s="31"/>
      <c r="C636" s="32">
        <v>1</v>
      </c>
      <c r="D636" s="32">
        <v>231</v>
      </c>
      <c r="E636" s="32">
        <v>0.05</v>
      </c>
      <c r="F636" s="32"/>
      <c r="G636" s="32">
        <f t="shared" si="9"/>
        <v>11.55</v>
      </c>
    </row>
    <row r="637" spans="1:7" x14ac:dyDescent="0.2">
      <c r="A637" s="31" t="s">
        <v>3184</v>
      </c>
      <c r="B637" s="31"/>
      <c r="C637" s="32">
        <v>1</v>
      </c>
      <c r="D637" s="32">
        <v>54</v>
      </c>
      <c r="E637" s="32">
        <v>0.05</v>
      </c>
      <c r="F637" s="32"/>
      <c r="G637" s="32">
        <f t="shared" si="9"/>
        <v>2.7</v>
      </c>
    </row>
    <row r="638" spans="1:7" x14ac:dyDescent="0.2">
      <c r="A638" s="31" t="s">
        <v>3337</v>
      </c>
      <c r="B638" s="31"/>
      <c r="C638" s="32"/>
      <c r="D638" s="32"/>
      <c r="E638" s="32"/>
      <c r="F638" s="32"/>
      <c r="G638" s="32">
        <f t="shared" si="9"/>
        <v>0</v>
      </c>
    </row>
    <row r="639" spans="1:7" x14ac:dyDescent="0.2">
      <c r="A639" s="31" t="s">
        <v>3185</v>
      </c>
      <c r="B639" s="31"/>
      <c r="C639" s="32">
        <v>1</v>
      </c>
      <c r="D639" s="32">
        <v>40</v>
      </c>
      <c r="E639" s="32">
        <v>0.05</v>
      </c>
      <c r="F639" s="32"/>
      <c r="G639" s="32">
        <f t="shared" si="9"/>
        <v>2</v>
      </c>
    </row>
    <row r="640" spans="1:7" x14ac:dyDescent="0.2">
      <c r="A640" s="31" t="s">
        <v>3338</v>
      </c>
      <c r="B640" s="31"/>
      <c r="C640" s="32"/>
      <c r="D640" s="32"/>
      <c r="E640" s="32"/>
      <c r="F640" s="32"/>
      <c r="G640" s="32">
        <f t="shared" si="9"/>
        <v>0</v>
      </c>
    </row>
    <row r="641" spans="1:7" x14ac:dyDescent="0.2">
      <c r="A641" s="31" t="s">
        <v>3186</v>
      </c>
      <c r="B641" s="31"/>
      <c r="C641" s="32">
        <v>1</v>
      </c>
      <c r="D641" s="32">
        <v>7</v>
      </c>
      <c r="E641" s="32">
        <v>0.125</v>
      </c>
      <c r="F641" s="32"/>
      <c r="G641" s="32">
        <f t="shared" si="9"/>
        <v>0.875</v>
      </c>
    </row>
    <row r="642" spans="1:7" x14ac:dyDescent="0.2">
      <c r="A642" s="31" t="s">
        <v>3184</v>
      </c>
      <c r="B642" s="31"/>
      <c r="C642" s="32">
        <v>1</v>
      </c>
      <c r="D642" s="32">
        <v>5</v>
      </c>
      <c r="E642" s="32">
        <v>0.125</v>
      </c>
      <c r="F642" s="32"/>
      <c r="G642" s="32">
        <f t="shared" si="9"/>
        <v>0.625</v>
      </c>
    </row>
    <row r="643" spans="1:7" x14ac:dyDescent="0.2">
      <c r="A643" s="31" t="s">
        <v>3339</v>
      </c>
      <c r="B643" s="31"/>
      <c r="C643" s="32"/>
      <c r="D643" s="32"/>
      <c r="E643" s="32"/>
      <c r="F643" s="32"/>
      <c r="G643" s="32"/>
    </row>
    <row r="644" spans="1:7" x14ac:dyDescent="0.2">
      <c r="A644" s="31" t="s">
        <v>3340</v>
      </c>
      <c r="B644" s="31"/>
      <c r="C644" s="32">
        <v>1</v>
      </c>
      <c r="D644" s="32">
        <v>59</v>
      </c>
      <c r="E644" s="32">
        <v>0.05</v>
      </c>
      <c r="F644" s="32"/>
      <c r="G644" s="32">
        <f>PRODUCT(C644:F644)</f>
        <v>2.95</v>
      </c>
    </row>
    <row r="646" spans="1:7" ht="45" customHeight="1" x14ac:dyDescent="0.2">
      <c r="A646" s="17" t="s">
        <v>3346</v>
      </c>
      <c r="B646" s="17" t="s">
        <v>3141</v>
      </c>
      <c r="C646" s="17" t="s">
        <v>176</v>
      </c>
      <c r="D646" s="83" t="s">
        <v>18</v>
      </c>
      <c r="E646" s="102" t="s">
        <v>177</v>
      </c>
      <c r="F646" s="102" t="s">
        <v>177</v>
      </c>
      <c r="G646" s="84">
        <f>SUM(G647:G669)</f>
        <v>792</v>
      </c>
    </row>
    <row r="647" spans="1:7" x14ac:dyDescent="0.2">
      <c r="A647" s="28"/>
      <c r="B647" s="28" t="s">
        <v>3142</v>
      </c>
      <c r="C647" s="29" t="s">
        <v>3143</v>
      </c>
      <c r="D647" s="29" t="s">
        <v>3157</v>
      </c>
      <c r="E647" s="29"/>
      <c r="F647" s="29"/>
      <c r="G647" s="30"/>
    </row>
    <row r="648" spans="1:7" x14ac:dyDescent="0.2">
      <c r="A648" s="31" t="s">
        <v>3344</v>
      </c>
      <c r="B648" s="31"/>
      <c r="C648" s="32"/>
      <c r="D648" s="32"/>
      <c r="E648" s="32"/>
      <c r="F648" s="32"/>
      <c r="G648" s="32"/>
    </row>
    <row r="649" spans="1:7" x14ac:dyDescent="0.2">
      <c r="A649" s="31" t="s">
        <v>3336</v>
      </c>
      <c r="B649" s="31"/>
      <c r="C649" s="32"/>
      <c r="D649" s="32"/>
      <c r="E649" s="32"/>
      <c r="F649" s="32"/>
      <c r="G649" s="32">
        <f>PRODUCT(C649:F649)</f>
        <v>0</v>
      </c>
    </row>
    <row r="650" spans="1:7" x14ac:dyDescent="0.2">
      <c r="A650" s="31" t="s">
        <v>3186</v>
      </c>
      <c r="B650" s="31"/>
      <c r="C650" s="32">
        <v>1</v>
      </c>
      <c r="D650" s="32">
        <v>231</v>
      </c>
      <c r="E650" s="32"/>
      <c r="F650" s="32"/>
      <c r="G650" s="32">
        <f>PRODUCT(C650:F650)</f>
        <v>231</v>
      </c>
    </row>
    <row r="651" spans="1:7" x14ac:dyDescent="0.2">
      <c r="A651" s="31" t="s">
        <v>3184</v>
      </c>
      <c r="B651" s="31"/>
      <c r="C651" s="32">
        <v>1</v>
      </c>
      <c r="D651" s="32">
        <v>54</v>
      </c>
      <c r="E651" s="32"/>
      <c r="F651" s="32"/>
      <c r="G651" s="32">
        <f>PRODUCT(C651:F651)</f>
        <v>54</v>
      </c>
    </row>
    <row r="652" spans="1:7" x14ac:dyDescent="0.2">
      <c r="A652" s="31" t="s">
        <v>3337</v>
      </c>
      <c r="B652" s="31"/>
      <c r="C652" s="32"/>
      <c r="D652" s="32"/>
      <c r="E652" s="32"/>
      <c r="F652" s="32"/>
      <c r="G652" s="32">
        <f>PRODUCT(C652:F652)</f>
        <v>0</v>
      </c>
    </row>
    <row r="653" spans="1:7" x14ac:dyDescent="0.2">
      <c r="A653" s="31" t="s">
        <v>3185</v>
      </c>
      <c r="B653" s="31"/>
      <c r="C653" s="32">
        <v>1</v>
      </c>
      <c r="D653" s="32">
        <v>40</v>
      </c>
      <c r="E653" s="32"/>
      <c r="F653" s="32"/>
      <c r="G653" s="32">
        <f>PRODUCT(C653:F653)</f>
        <v>40</v>
      </c>
    </row>
    <row r="654" spans="1:7" x14ac:dyDescent="0.2">
      <c r="A654" s="31" t="s">
        <v>3338</v>
      </c>
      <c r="B654" s="31"/>
      <c r="C654" s="32"/>
      <c r="D654" s="32"/>
      <c r="E654" s="32"/>
      <c r="F654" s="32"/>
      <c r="G654" s="32"/>
    </row>
    <row r="655" spans="1:7" x14ac:dyDescent="0.2">
      <c r="A655" s="31" t="s">
        <v>3186</v>
      </c>
      <c r="B655" s="31"/>
      <c r="C655" s="32">
        <v>1</v>
      </c>
      <c r="D655" s="32">
        <v>7</v>
      </c>
      <c r="E655" s="32"/>
      <c r="F655" s="32"/>
      <c r="G655" s="32">
        <f>PRODUCT(C655:F655)</f>
        <v>7</v>
      </c>
    </row>
    <row r="656" spans="1:7" x14ac:dyDescent="0.2">
      <c r="A656" s="31" t="s">
        <v>3184</v>
      </c>
      <c r="B656" s="31"/>
      <c r="C656" s="32">
        <v>1</v>
      </c>
      <c r="D656" s="32">
        <v>5</v>
      </c>
      <c r="E656" s="32"/>
      <c r="F656" s="32"/>
      <c r="G656" s="32">
        <f>PRODUCT(C656:F656)</f>
        <v>5</v>
      </c>
    </row>
    <row r="657" spans="1:7" x14ac:dyDescent="0.2">
      <c r="A657" s="31" t="s">
        <v>3339</v>
      </c>
      <c r="B657" s="31"/>
      <c r="C657" s="32"/>
      <c r="D657" s="32"/>
      <c r="E657" s="32"/>
      <c r="F657" s="32"/>
      <c r="G657" s="32"/>
    </row>
    <row r="658" spans="1:7" x14ac:dyDescent="0.2">
      <c r="A658" s="31" t="s">
        <v>3340</v>
      </c>
      <c r="B658" s="31"/>
      <c r="C658" s="32">
        <v>1</v>
      </c>
      <c r="D658" s="32">
        <v>59</v>
      </c>
      <c r="E658" s="32"/>
      <c r="F658" s="32"/>
      <c r="G658" s="32">
        <f t="shared" ref="G658:G667" si="10">PRODUCT(C658:F658)</f>
        <v>59</v>
      </c>
    </row>
    <row r="659" spans="1:7" x14ac:dyDescent="0.2">
      <c r="A659" s="31" t="s">
        <v>3345</v>
      </c>
      <c r="B659" s="31"/>
      <c r="C659" s="32"/>
      <c r="D659" s="32"/>
      <c r="E659" s="32"/>
      <c r="F659" s="32"/>
      <c r="G659" s="32">
        <f t="shared" si="10"/>
        <v>0</v>
      </c>
    </row>
    <row r="660" spans="1:7" x14ac:dyDescent="0.2">
      <c r="A660" s="31" t="s">
        <v>3336</v>
      </c>
      <c r="B660" s="31"/>
      <c r="C660" s="32"/>
      <c r="D660" s="32"/>
      <c r="E660" s="32"/>
      <c r="F660" s="32"/>
      <c r="G660" s="32">
        <f t="shared" si="10"/>
        <v>0</v>
      </c>
    </row>
    <row r="661" spans="1:7" x14ac:dyDescent="0.2">
      <c r="A661" s="31" t="s">
        <v>3186</v>
      </c>
      <c r="B661" s="31"/>
      <c r="C661" s="32">
        <v>1</v>
      </c>
      <c r="D661" s="32">
        <v>231</v>
      </c>
      <c r="E661" s="32"/>
      <c r="F661" s="32"/>
      <c r="G661" s="32">
        <f t="shared" si="10"/>
        <v>231</v>
      </c>
    </row>
    <row r="662" spans="1:7" x14ac:dyDescent="0.2">
      <c r="A662" s="31" t="s">
        <v>3184</v>
      </c>
      <c r="B662" s="31"/>
      <c r="C662" s="32">
        <v>1</v>
      </c>
      <c r="D662" s="32">
        <v>54</v>
      </c>
      <c r="E662" s="32"/>
      <c r="F662" s="32"/>
      <c r="G662" s="32">
        <f t="shared" si="10"/>
        <v>54</v>
      </c>
    </row>
    <row r="663" spans="1:7" x14ac:dyDescent="0.2">
      <c r="A663" s="31" t="s">
        <v>3337</v>
      </c>
      <c r="B663" s="31"/>
      <c r="C663" s="32"/>
      <c r="D663" s="32"/>
      <c r="E663" s="32"/>
      <c r="F663" s="32"/>
      <c r="G663" s="32">
        <f t="shared" si="10"/>
        <v>0</v>
      </c>
    </row>
    <row r="664" spans="1:7" x14ac:dyDescent="0.2">
      <c r="A664" s="31" t="s">
        <v>3185</v>
      </c>
      <c r="B664" s="31"/>
      <c r="C664" s="32">
        <v>1</v>
      </c>
      <c r="D664" s="32">
        <v>40</v>
      </c>
      <c r="E664" s="32"/>
      <c r="F664" s="32"/>
      <c r="G664" s="32">
        <f t="shared" si="10"/>
        <v>40</v>
      </c>
    </row>
    <row r="665" spans="1:7" x14ac:dyDescent="0.2">
      <c r="A665" s="31" t="s">
        <v>3338</v>
      </c>
      <c r="B665" s="31"/>
      <c r="C665" s="32"/>
      <c r="D665" s="32"/>
      <c r="E665" s="32"/>
      <c r="F665" s="32"/>
      <c r="G665" s="32">
        <f t="shared" si="10"/>
        <v>0</v>
      </c>
    </row>
    <row r="666" spans="1:7" x14ac:dyDescent="0.2">
      <c r="A666" s="31" t="s">
        <v>3186</v>
      </c>
      <c r="B666" s="31"/>
      <c r="C666" s="32">
        <v>1</v>
      </c>
      <c r="D666" s="32">
        <v>7</v>
      </c>
      <c r="E666" s="32"/>
      <c r="F666" s="32"/>
      <c r="G666" s="32">
        <f t="shared" si="10"/>
        <v>7</v>
      </c>
    </row>
    <row r="667" spans="1:7" x14ac:dyDescent="0.2">
      <c r="A667" s="31" t="s">
        <v>3184</v>
      </c>
      <c r="B667" s="31"/>
      <c r="C667" s="32">
        <v>1</v>
      </c>
      <c r="D667" s="32">
        <v>5</v>
      </c>
      <c r="E667" s="32"/>
      <c r="F667" s="32"/>
      <c r="G667" s="32">
        <f t="shared" si="10"/>
        <v>5</v>
      </c>
    </row>
    <row r="668" spans="1:7" x14ac:dyDescent="0.2">
      <c r="A668" s="31" t="s">
        <v>3339</v>
      </c>
      <c r="B668" s="31"/>
      <c r="C668" s="32"/>
      <c r="D668" s="32"/>
      <c r="E668" s="32"/>
      <c r="F668" s="32"/>
      <c r="G668" s="32"/>
    </row>
    <row r="669" spans="1:7" x14ac:dyDescent="0.2">
      <c r="A669" s="31" t="s">
        <v>3340</v>
      </c>
      <c r="B669" s="31"/>
      <c r="C669" s="32">
        <v>1</v>
      </c>
      <c r="D669" s="32">
        <v>59</v>
      </c>
      <c r="E669" s="32"/>
      <c r="F669" s="32"/>
      <c r="G669" s="32">
        <f>PRODUCT(C669:F669)</f>
        <v>59</v>
      </c>
    </row>
    <row r="671" spans="1:7" x14ac:dyDescent="0.2">
      <c r="B671" t="s">
        <v>3139</v>
      </c>
      <c r="C671" s="6" t="s">
        <v>6</v>
      </c>
      <c r="D671" s="7" t="s">
        <v>7</v>
      </c>
      <c r="E671" s="6" t="s">
        <v>8</v>
      </c>
    </row>
    <row r="672" spans="1:7" x14ac:dyDescent="0.2">
      <c r="B672" t="s">
        <v>3139</v>
      </c>
      <c r="C672" s="6" t="s">
        <v>9</v>
      </c>
      <c r="D672" s="7" t="s">
        <v>72</v>
      </c>
      <c r="E672" s="6" t="s">
        <v>165</v>
      </c>
    </row>
    <row r="673" spans="1:7" x14ac:dyDescent="0.2">
      <c r="B673" t="s">
        <v>3139</v>
      </c>
      <c r="C673" s="6" t="s">
        <v>11</v>
      </c>
      <c r="D673" s="7" t="s">
        <v>26</v>
      </c>
      <c r="E673" s="6" t="s">
        <v>178</v>
      </c>
    </row>
    <row r="674" spans="1:7" x14ac:dyDescent="0.2">
      <c r="B674" t="s">
        <v>3139</v>
      </c>
      <c r="C674" s="6" t="s">
        <v>91</v>
      </c>
      <c r="D674" s="7" t="s">
        <v>7</v>
      </c>
      <c r="E674" s="6" t="s">
        <v>179</v>
      </c>
    </row>
    <row r="676" spans="1:7" ht="45" customHeight="1" x14ac:dyDescent="0.2">
      <c r="A676" s="17" t="s">
        <v>3347</v>
      </c>
      <c r="B676" s="17" t="s">
        <v>3141</v>
      </c>
      <c r="C676" s="17" t="s">
        <v>181</v>
      </c>
      <c r="D676" s="83" t="s">
        <v>23</v>
      </c>
      <c r="E676" s="102" t="s">
        <v>182</v>
      </c>
      <c r="F676" s="102" t="s">
        <v>182</v>
      </c>
      <c r="G676" s="84">
        <f>SUM(G677:G678)</f>
        <v>1</v>
      </c>
    </row>
    <row r="677" spans="1:7" x14ac:dyDescent="0.2">
      <c r="A677" s="28"/>
      <c r="B677" s="28" t="s">
        <v>3142</v>
      </c>
      <c r="C677" s="29" t="s">
        <v>3143</v>
      </c>
      <c r="D677" s="29"/>
      <c r="E677" s="29"/>
      <c r="F677" s="29"/>
      <c r="G677" s="30"/>
    </row>
    <row r="678" spans="1:7" x14ac:dyDescent="0.2">
      <c r="A678" s="31"/>
      <c r="B678" s="31"/>
      <c r="C678" s="32">
        <v>1</v>
      </c>
      <c r="D678" s="32"/>
      <c r="E678" s="32"/>
      <c r="F678" s="32"/>
      <c r="G678" s="32">
        <f>PRODUCT(C678:F678)</f>
        <v>1</v>
      </c>
    </row>
    <row r="680" spans="1:7" ht="45" customHeight="1" x14ac:dyDescent="0.2">
      <c r="A680" s="17" t="s">
        <v>3348</v>
      </c>
      <c r="B680" s="17" t="s">
        <v>3141</v>
      </c>
      <c r="C680" s="17" t="s">
        <v>183</v>
      </c>
      <c r="D680" s="83" t="s">
        <v>23</v>
      </c>
      <c r="E680" s="102" t="s">
        <v>184</v>
      </c>
      <c r="F680" s="102" t="s">
        <v>184</v>
      </c>
      <c r="G680" s="84">
        <f>SUM(G681:G682)</f>
        <v>1</v>
      </c>
    </row>
    <row r="681" spans="1:7" x14ac:dyDescent="0.2">
      <c r="A681" s="28"/>
      <c r="B681" s="28" t="s">
        <v>3142</v>
      </c>
      <c r="C681" s="29" t="s">
        <v>3143</v>
      </c>
      <c r="D681" s="29"/>
      <c r="E681" s="29"/>
      <c r="F681" s="29"/>
      <c r="G681" s="30"/>
    </row>
    <row r="682" spans="1:7" x14ac:dyDescent="0.2">
      <c r="A682" s="31"/>
      <c r="B682" s="31"/>
      <c r="C682" s="32">
        <v>1</v>
      </c>
      <c r="D682" s="32"/>
      <c r="E682" s="32"/>
      <c r="F682" s="32"/>
      <c r="G682" s="32">
        <f>PRODUCT(C682:F682)</f>
        <v>1</v>
      </c>
    </row>
    <row r="684" spans="1:7" ht="45" customHeight="1" x14ac:dyDescent="0.2">
      <c r="A684" s="17" t="s">
        <v>3349</v>
      </c>
      <c r="B684" s="17" t="s">
        <v>3141</v>
      </c>
      <c r="C684" s="17" t="s">
        <v>185</v>
      </c>
      <c r="D684" s="83" t="s">
        <v>23</v>
      </c>
      <c r="E684" s="102" t="s">
        <v>186</v>
      </c>
      <c r="F684" s="102" t="s">
        <v>186</v>
      </c>
      <c r="G684" s="84">
        <f>SUM(G685:G686)</f>
        <v>1</v>
      </c>
    </row>
    <row r="685" spans="1:7" x14ac:dyDescent="0.2">
      <c r="A685" s="28"/>
      <c r="B685" s="28" t="s">
        <v>3142</v>
      </c>
      <c r="C685" s="29" t="s">
        <v>3143</v>
      </c>
      <c r="D685" s="29"/>
      <c r="E685" s="29"/>
      <c r="F685" s="29"/>
      <c r="G685" s="30"/>
    </row>
    <row r="686" spans="1:7" x14ac:dyDescent="0.2">
      <c r="A686" s="31"/>
      <c r="B686" s="31"/>
      <c r="C686" s="32">
        <v>1</v>
      </c>
      <c r="D686" s="32"/>
      <c r="E686" s="32"/>
      <c r="F686" s="32"/>
      <c r="G686" s="32">
        <f>PRODUCT(C686:F686)</f>
        <v>1</v>
      </c>
    </row>
    <row r="688" spans="1:7" ht="45" customHeight="1" x14ac:dyDescent="0.2">
      <c r="A688" s="17" t="s">
        <v>3350</v>
      </c>
      <c r="B688" s="17" t="s">
        <v>3141</v>
      </c>
      <c r="C688" s="17" t="s">
        <v>187</v>
      </c>
      <c r="D688" s="83" t="s">
        <v>23</v>
      </c>
      <c r="E688" s="102" t="s">
        <v>188</v>
      </c>
      <c r="F688" s="102" t="s">
        <v>188</v>
      </c>
      <c r="G688" s="84">
        <f>SUM(G689:G690)</f>
        <v>1</v>
      </c>
    </row>
    <row r="689" spans="1:7" x14ac:dyDescent="0.2">
      <c r="A689" s="28"/>
      <c r="B689" s="28" t="s">
        <v>3142</v>
      </c>
      <c r="C689" s="29" t="s">
        <v>3143</v>
      </c>
      <c r="D689" s="29"/>
      <c r="E689" s="29"/>
      <c r="F689" s="29"/>
      <c r="G689" s="30"/>
    </row>
    <row r="690" spans="1:7" x14ac:dyDescent="0.2">
      <c r="A690" s="31"/>
      <c r="B690" s="31"/>
      <c r="C690" s="32">
        <v>1</v>
      </c>
      <c r="D690" s="32"/>
      <c r="E690" s="32"/>
      <c r="F690" s="32"/>
      <c r="G690" s="32">
        <f>PRODUCT(C690:F690)</f>
        <v>1</v>
      </c>
    </row>
    <row r="692" spans="1:7" ht="45" customHeight="1" x14ac:dyDescent="0.2">
      <c r="A692" s="17" t="s">
        <v>3351</v>
      </c>
      <c r="B692" s="17" t="s">
        <v>3141</v>
      </c>
      <c r="C692" s="17" t="s">
        <v>189</v>
      </c>
      <c r="D692" s="83" t="s">
        <v>23</v>
      </c>
      <c r="E692" s="102" t="s">
        <v>190</v>
      </c>
      <c r="F692" s="102" t="s">
        <v>190</v>
      </c>
      <c r="G692" s="84">
        <f>SUM(G693:G694)</f>
        <v>1</v>
      </c>
    </row>
    <row r="693" spans="1:7" x14ac:dyDescent="0.2">
      <c r="A693" s="28"/>
      <c r="B693" s="28" t="s">
        <v>3142</v>
      </c>
      <c r="C693" s="29" t="s">
        <v>3143</v>
      </c>
      <c r="D693" s="29"/>
      <c r="E693" s="29"/>
      <c r="F693" s="29"/>
      <c r="G693" s="30"/>
    </row>
    <row r="694" spans="1:7" x14ac:dyDescent="0.2">
      <c r="A694" s="31"/>
      <c r="B694" s="31"/>
      <c r="C694" s="32">
        <v>1</v>
      </c>
      <c r="D694" s="32"/>
      <c r="E694" s="32"/>
      <c r="F694" s="32"/>
      <c r="G694" s="32">
        <f>PRODUCT(C694:F694)</f>
        <v>1</v>
      </c>
    </row>
    <row r="696" spans="1:7" ht="45" customHeight="1" x14ac:dyDescent="0.2">
      <c r="A696" s="17" t="s">
        <v>3352</v>
      </c>
      <c r="B696" s="17" t="s">
        <v>3141</v>
      </c>
      <c r="C696" s="17" t="s">
        <v>191</v>
      </c>
      <c r="D696" s="83" t="s">
        <v>23</v>
      </c>
      <c r="E696" s="102" t="s">
        <v>192</v>
      </c>
      <c r="F696" s="102" t="s">
        <v>192</v>
      </c>
      <c r="G696" s="84">
        <f>SUM(G697:G698)</f>
        <v>1</v>
      </c>
    </row>
    <row r="697" spans="1:7" x14ac:dyDescent="0.2">
      <c r="A697" s="28"/>
      <c r="B697" s="28" t="s">
        <v>3142</v>
      </c>
      <c r="C697" s="29" t="s">
        <v>3143</v>
      </c>
      <c r="D697" s="29"/>
      <c r="E697" s="29"/>
      <c r="F697" s="29"/>
      <c r="G697" s="30"/>
    </row>
    <row r="698" spans="1:7" x14ac:dyDescent="0.2">
      <c r="A698" s="31"/>
      <c r="B698" s="31"/>
      <c r="C698" s="32">
        <v>1</v>
      </c>
      <c r="D698" s="32"/>
      <c r="E698" s="32"/>
      <c r="F698" s="32"/>
      <c r="G698" s="32">
        <f>PRODUCT(C698:F698)</f>
        <v>1</v>
      </c>
    </row>
    <row r="700" spans="1:7" ht="45" customHeight="1" x14ac:dyDescent="0.2">
      <c r="A700" s="17" t="s">
        <v>3353</v>
      </c>
      <c r="B700" s="17" t="s">
        <v>3141</v>
      </c>
      <c r="C700" s="17" t="s">
        <v>193</v>
      </c>
      <c r="D700" s="83" t="s">
        <v>23</v>
      </c>
      <c r="E700" s="102" t="s">
        <v>194</v>
      </c>
      <c r="F700" s="102" t="s">
        <v>194</v>
      </c>
      <c r="G700" s="84">
        <f>SUM(G701:G702)</f>
        <v>1</v>
      </c>
    </row>
    <row r="701" spans="1:7" x14ac:dyDescent="0.2">
      <c r="A701" s="28"/>
      <c r="B701" s="28" t="s">
        <v>3142</v>
      </c>
      <c r="C701" s="29" t="s">
        <v>3143</v>
      </c>
      <c r="D701" s="29"/>
      <c r="E701" s="29"/>
      <c r="F701" s="29"/>
      <c r="G701" s="30"/>
    </row>
    <row r="702" spans="1:7" x14ac:dyDescent="0.2">
      <c r="A702" s="31"/>
      <c r="B702" s="31"/>
      <c r="C702" s="32">
        <v>1</v>
      </c>
      <c r="D702" s="32"/>
      <c r="E702" s="32"/>
      <c r="F702" s="32"/>
      <c r="G702" s="32">
        <f>PRODUCT(C702:F702)</f>
        <v>1</v>
      </c>
    </row>
    <row r="704" spans="1:7" ht="45" customHeight="1" x14ac:dyDescent="0.2">
      <c r="A704" s="17" t="s">
        <v>3354</v>
      </c>
      <c r="B704" s="17" t="s">
        <v>3141</v>
      </c>
      <c r="C704" s="17" t="s">
        <v>195</v>
      </c>
      <c r="D704" s="83" t="s">
        <v>23</v>
      </c>
      <c r="E704" s="102" t="s">
        <v>196</v>
      </c>
      <c r="F704" s="102" t="s">
        <v>196</v>
      </c>
      <c r="G704" s="84">
        <f>SUM(G705:G706)</f>
        <v>1</v>
      </c>
    </row>
    <row r="705" spans="1:7" x14ac:dyDescent="0.2">
      <c r="A705" s="28"/>
      <c r="B705" s="28" t="s">
        <v>3142</v>
      </c>
      <c r="C705" s="29" t="s">
        <v>3143</v>
      </c>
      <c r="D705" s="29"/>
      <c r="E705" s="29"/>
      <c r="F705" s="29"/>
      <c r="G705" s="30"/>
    </row>
    <row r="706" spans="1:7" x14ac:dyDescent="0.2">
      <c r="A706" s="31"/>
      <c r="B706" s="31"/>
      <c r="C706" s="32">
        <v>1</v>
      </c>
      <c r="D706" s="32"/>
      <c r="E706" s="32"/>
      <c r="F706" s="32"/>
      <c r="G706" s="32">
        <f>PRODUCT(C706:F706)</f>
        <v>1</v>
      </c>
    </row>
    <row r="708" spans="1:7" ht="45" customHeight="1" x14ac:dyDescent="0.2">
      <c r="A708" s="17" t="s">
        <v>3355</v>
      </c>
      <c r="B708" s="17" t="s">
        <v>3141</v>
      </c>
      <c r="C708" s="17" t="s">
        <v>197</v>
      </c>
      <c r="D708" s="83" t="s">
        <v>23</v>
      </c>
      <c r="E708" s="102" t="s">
        <v>198</v>
      </c>
      <c r="F708" s="102" t="s">
        <v>198</v>
      </c>
      <c r="G708" s="84">
        <f>SUM(G709:G710)</f>
        <v>1</v>
      </c>
    </row>
    <row r="709" spans="1:7" x14ac:dyDescent="0.2">
      <c r="A709" s="28"/>
      <c r="B709" s="28" t="s">
        <v>3142</v>
      </c>
      <c r="C709" s="29" t="s">
        <v>3143</v>
      </c>
      <c r="D709" s="29"/>
      <c r="E709" s="29"/>
      <c r="F709" s="29"/>
      <c r="G709" s="30"/>
    </row>
    <row r="710" spans="1:7" x14ac:dyDescent="0.2">
      <c r="A710" s="31"/>
      <c r="B710" s="31"/>
      <c r="C710" s="32">
        <v>1</v>
      </c>
      <c r="D710" s="32"/>
      <c r="E710" s="32"/>
      <c r="F710" s="32"/>
      <c r="G710" s="32">
        <f>PRODUCT(C710:F710)</f>
        <v>1</v>
      </c>
    </row>
    <row r="712" spans="1:7" ht="45" customHeight="1" x14ac:dyDescent="0.2">
      <c r="A712" s="17" t="s">
        <v>3356</v>
      </c>
      <c r="B712" s="17" t="s">
        <v>3141</v>
      </c>
      <c r="C712" s="17" t="s">
        <v>199</v>
      </c>
      <c r="D712" s="83" t="s">
        <v>23</v>
      </c>
      <c r="E712" s="102" t="s">
        <v>200</v>
      </c>
      <c r="F712" s="102" t="s">
        <v>200</v>
      </c>
      <c r="G712" s="84">
        <f>SUM(G713:G714)</f>
        <v>1</v>
      </c>
    </row>
    <row r="713" spans="1:7" x14ac:dyDescent="0.2">
      <c r="A713" s="28"/>
      <c r="B713" s="28" t="s">
        <v>3142</v>
      </c>
      <c r="C713" s="29" t="s">
        <v>3143</v>
      </c>
      <c r="D713" s="29"/>
      <c r="E713" s="29"/>
      <c r="F713" s="29"/>
      <c r="G713" s="30"/>
    </row>
    <row r="714" spans="1:7" x14ac:dyDescent="0.2">
      <c r="A714" s="31"/>
      <c r="B714" s="31"/>
      <c r="C714" s="32">
        <v>1</v>
      </c>
      <c r="D714" s="32"/>
      <c r="E714" s="32"/>
      <c r="F714" s="32"/>
      <c r="G714" s="32">
        <f>PRODUCT(C714:F714)</f>
        <v>1</v>
      </c>
    </row>
    <row r="716" spans="1:7" ht="45" customHeight="1" x14ac:dyDescent="0.2">
      <c r="A716" s="17" t="s">
        <v>3357</v>
      </c>
      <c r="B716" s="17" t="s">
        <v>3141</v>
      </c>
      <c r="C716" s="17" t="s">
        <v>201</v>
      </c>
      <c r="D716" s="83" t="s">
        <v>23</v>
      </c>
      <c r="E716" s="102" t="s">
        <v>202</v>
      </c>
      <c r="F716" s="102" t="s">
        <v>202</v>
      </c>
      <c r="G716" s="84">
        <f>SUM(G717:G718)</f>
        <v>1</v>
      </c>
    </row>
    <row r="717" spans="1:7" x14ac:dyDescent="0.2">
      <c r="A717" s="28"/>
      <c r="B717" s="28" t="s">
        <v>3142</v>
      </c>
      <c r="C717" s="29" t="s">
        <v>3143</v>
      </c>
      <c r="D717" s="29"/>
      <c r="E717" s="29"/>
      <c r="F717" s="29"/>
      <c r="G717" s="30"/>
    </row>
    <row r="718" spans="1:7" x14ac:dyDescent="0.2">
      <c r="A718" s="31"/>
      <c r="B718" s="31"/>
      <c r="C718" s="32">
        <v>1</v>
      </c>
      <c r="D718" s="32"/>
      <c r="E718" s="32"/>
      <c r="F718" s="32"/>
      <c r="G718" s="32">
        <f>PRODUCT(C718:F718)</f>
        <v>1</v>
      </c>
    </row>
    <row r="720" spans="1:7" ht="45" customHeight="1" x14ac:dyDescent="0.2">
      <c r="A720" s="17" t="s">
        <v>3358</v>
      </c>
      <c r="B720" s="17" t="s">
        <v>3141</v>
      </c>
      <c r="C720" s="17" t="s">
        <v>203</v>
      </c>
      <c r="D720" s="83" t="s">
        <v>23</v>
      </c>
      <c r="E720" s="102" t="s">
        <v>204</v>
      </c>
      <c r="F720" s="102" t="s">
        <v>204</v>
      </c>
      <c r="G720" s="84">
        <f>SUM(G721:G722)</f>
        <v>1</v>
      </c>
    </row>
    <row r="721" spans="1:7" x14ac:dyDescent="0.2">
      <c r="A721" s="28"/>
      <c r="B721" s="28" t="s">
        <v>3142</v>
      </c>
      <c r="C721" s="29" t="s">
        <v>3143</v>
      </c>
      <c r="D721" s="29"/>
      <c r="E721" s="29"/>
      <c r="F721" s="29"/>
      <c r="G721" s="30"/>
    </row>
    <row r="722" spans="1:7" x14ac:dyDescent="0.2">
      <c r="A722" s="31"/>
      <c r="B722" s="31"/>
      <c r="C722" s="32">
        <v>1</v>
      </c>
      <c r="D722" s="32"/>
      <c r="E722" s="32"/>
      <c r="F722" s="32"/>
      <c r="G722" s="32">
        <f>PRODUCT(C722:F722)</f>
        <v>1</v>
      </c>
    </row>
    <row r="724" spans="1:7" ht="45" customHeight="1" x14ac:dyDescent="0.2">
      <c r="A724" s="17" t="s">
        <v>3359</v>
      </c>
      <c r="B724" s="17" t="s">
        <v>3141</v>
      </c>
      <c r="C724" s="17" t="s">
        <v>205</v>
      </c>
      <c r="D724" s="83" t="s">
        <v>23</v>
      </c>
      <c r="E724" s="102" t="s">
        <v>206</v>
      </c>
      <c r="F724" s="102" t="s">
        <v>206</v>
      </c>
      <c r="G724" s="84">
        <f>SUM(G725:G726)</f>
        <v>1</v>
      </c>
    </row>
    <row r="725" spans="1:7" x14ac:dyDescent="0.2">
      <c r="A725" s="28"/>
      <c r="B725" s="28" t="s">
        <v>3142</v>
      </c>
      <c r="C725" s="29" t="s">
        <v>3143</v>
      </c>
      <c r="D725" s="29"/>
      <c r="E725" s="29"/>
      <c r="F725" s="29"/>
      <c r="G725" s="30"/>
    </row>
    <row r="726" spans="1:7" x14ac:dyDescent="0.2">
      <c r="A726" s="31"/>
      <c r="B726" s="31"/>
      <c r="C726" s="32">
        <v>1</v>
      </c>
      <c r="D726" s="32"/>
      <c r="E726" s="32"/>
      <c r="F726" s="32"/>
      <c r="G726" s="32">
        <f>PRODUCT(C726:F726)</f>
        <v>1</v>
      </c>
    </row>
    <row r="728" spans="1:7" ht="45" customHeight="1" x14ac:dyDescent="0.2">
      <c r="A728" s="17" t="s">
        <v>3360</v>
      </c>
      <c r="B728" s="17" t="s">
        <v>3141</v>
      </c>
      <c r="C728" s="17" t="s">
        <v>207</v>
      </c>
      <c r="D728" s="83" t="s">
        <v>23</v>
      </c>
      <c r="E728" s="102" t="s">
        <v>208</v>
      </c>
      <c r="F728" s="102" t="s">
        <v>208</v>
      </c>
      <c r="G728" s="84">
        <f>SUM(G729:G730)</f>
        <v>1</v>
      </c>
    </row>
    <row r="729" spans="1:7" x14ac:dyDescent="0.2">
      <c r="A729" s="28"/>
      <c r="B729" s="28" t="s">
        <v>3142</v>
      </c>
      <c r="C729" s="29" t="s">
        <v>3143</v>
      </c>
      <c r="D729" s="29"/>
      <c r="E729" s="29"/>
      <c r="F729" s="29"/>
      <c r="G729" s="30"/>
    </row>
    <row r="730" spans="1:7" x14ac:dyDescent="0.2">
      <c r="A730" s="31"/>
      <c r="B730" s="31"/>
      <c r="C730" s="32">
        <v>1</v>
      </c>
      <c r="D730" s="32"/>
      <c r="E730" s="32"/>
      <c r="F730" s="32"/>
      <c r="G730" s="32">
        <f>PRODUCT(C730:F730)</f>
        <v>1</v>
      </c>
    </row>
    <row r="732" spans="1:7" ht="45" customHeight="1" x14ac:dyDescent="0.2">
      <c r="A732" s="17" t="s">
        <v>3361</v>
      </c>
      <c r="B732" s="17" t="s">
        <v>3141</v>
      </c>
      <c r="C732" s="17" t="s">
        <v>209</v>
      </c>
      <c r="D732" s="83" t="s">
        <v>23</v>
      </c>
      <c r="E732" s="102" t="s">
        <v>210</v>
      </c>
      <c r="F732" s="102" t="s">
        <v>210</v>
      </c>
      <c r="G732" s="84">
        <f>SUM(G733:G734)</f>
        <v>1</v>
      </c>
    </row>
    <row r="733" spans="1:7" x14ac:dyDescent="0.2">
      <c r="A733" s="28"/>
      <c r="B733" s="28" t="s">
        <v>3142</v>
      </c>
      <c r="C733" s="29" t="s">
        <v>3143</v>
      </c>
      <c r="D733" s="29"/>
      <c r="E733" s="29"/>
      <c r="F733" s="29"/>
      <c r="G733" s="30"/>
    </row>
    <row r="734" spans="1:7" x14ac:dyDescent="0.2">
      <c r="A734" s="31"/>
      <c r="B734" s="31"/>
      <c r="C734" s="32">
        <v>1</v>
      </c>
      <c r="D734" s="32"/>
      <c r="E734" s="32"/>
      <c r="F734" s="32"/>
      <c r="G734" s="32">
        <f>PRODUCT(C734:F734)</f>
        <v>1</v>
      </c>
    </row>
    <row r="736" spans="1:7" ht="45" customHeight="1" x14ac:dyDescent="0.2">
      <c r="A736" s="17" t="s">
        <v>3362</v>
      </c>
      <c r="B736" s="17" t="s">
        <v>3141</v>
      </c>
      <c r="C736" s="17" t="s">
        <v>211</v>
      </c>
      <c r="D736" s="83" t="s">
        <v>23</v>
      </c>
      <c r="E736" s="102" t="s">
        <v>212</v>
      </c>
      <c r="F736" s="102" t="s">
        <v>212</v>
      </c>
      <c r="G736" s="84">
        <f>SUM(G737:G738)</f>
        <v>1</v>
      </c>
    </row>
    <row r="737" spans="1:7" x14ac:dyDescent="0.2">
      <c r="A737" s="28"/>
      <c r="B737" s="28" t="s">
        <v>3142</v>
      </c>
      <c r="C737" s="29" t="s">
        <v>3143</v>
      </c>
      <c r="D737" s="29"/>
      <c r="E737" s="29"/>
      <c r="F737" s="29"/>
      <c r="G737" s="30"/>
    </row>
    <row r="738" spans="1:7" x14ac:dyDescent="0.2">
      <c r="A738" s="31"/>
      <c r="B738" s="31"/>
      <c r="C738" s="32">
        <v>1</v>
      </c>
      <c r="D738" s="32"/>
      <c r="E738" s="32"/>
      <c r="F738" s="32"/>
      <c r="G738" s="32">
        <f>PRODUCT(C738:F738)</f>
        <v>1</v>
      </c>
    </row>
    <row r="740" spans="1:7" ht="45" customHeight="1" x14ac:dyDescent="0.2">
      <c r="A740" s="17" t="s">
        <v>3363</v>
      </c>
      <c r="B740" s="17" t="s">
        <v>3141</v>
      </c>
      <c r="C740" s="17" t="s">
        <v>213</v>
      </c>
      <c r="D740" s="83" t="s">
        <v>23</v>
      </c>
      <c r="E740" s="102" t="s">
        <v>214</v>
      </c>
      <c r="F740" s="102" t="s">
        <v>214</v>
      </c>
      <c r="G740" s="84">
        <f>SUM(G741:G742)</f>
        <v>1</v>
      </c>
    </row>
    <row r="741" spans="1:7" x14ac:dyDescent="0.2">
      <c r="A741" s="28"/>
      <c r="B741" s="28" t="s">
        <v>3142</v>
      </c>
      <c r="C741" s="29" t="s">
        <v>3143</v>
      </c>
      <c r="D741" s="29"/>
      <c r="E741" s="29"/>
      <c r="F741" s="29"/>
      <c r="G741" s="30"/>
    </row>
    <row r="742" spans="1:7" x14ac:dyDescent="0.2">
      <c r="A742" s="31"/>
      <c r="B742" s="31"/>
      <c r="C742" s="32">
        <v>1</v>
      </c>
      <c r="D742" s="32"/>
      <c r="E742" s="32"/>
      <c r="F742" s="32"/>
      <c r="G742" s="32">
        <f>PRODUCT(C742:F742)</f>
        <v>1</v>
      </c>
    </row>
    <row r="744" spans="1:7" ht="45" customHeight="1" x14ac:dyDescent="0.2">
      <c r="A744" s="17" t="s">
        <v>3364</v>
      </c>
      <c r="B744" s="17" t="s">
        <v>3141</v>
      </c>
      <c r="C744" s="17" t="s">
        <v>215</v>
      </c>
      <c r="D744" s="83" t="s">
        <v>23</v>
      </c>
      <c r="E744" s="102" t="s">
        <v>216</v>
      </c>
      <c r="F744" s="102" t="s">
        <v>216</v>
      </c>
      <c r="G744" s="84">
        <f>SUM(G745:G746)</f>
        <v>1</v>
      </c>
    </row>
    <row r="745" spans="1:7" x14ac:dyDescent="0.2">
      <c r="A745" s="28"/>
      <c r="B745" s="28" t="s">
        <v>3142</v>
      </c>
      <c r="C745" s="29" t="s">
        <v>3143</v>
      </c>
      <c r="D745" s="29"/>
      <c r="E745" s="29"/>
      <c r="F745" s="29"/>
      <c r="G745" s="30"/>
    </row>
    <row r="746" spans="1:7" x14ac:dyDescent="0.2">
      <c r="A746" s="31"/>
      <c r="B746" s="31"/>
      <c r="C746" s="32">
        <v>1</v>
      </c>
      <c r="D746" s="32"/>
      <c r="E746" s="32"/>
      <c r="F746" s="32"/>
      <c r="G746" s="32">
        <f>PRODUCT(C746:F746)</f>
        <v>1</v>
      </c>
    </row>
    <row r="748" spans="1:7" ht="45" customHeight="1" x14ac:dyDescent="0.2">
      <c r="A748" s="17" t="s">
        <v>3365</v>
      </c>
      <c r="B748" s="17" t="s">
        <v>3141</v>
      </c>
      <c r="C748" s="17" t="s">
        <v>217</v>
      </c>
      <c r="D748" s="83" t="s">
        <v>23</v>
      </c>
      <c r="E748" s="102" t="s">
        <v>218</v>
      </c>
      <c r="F748" s="102" t="s">
        <v>218</v>
      </c>
      <c r="G748" s="84">
        <f>SUM(G749:G750)</f>
        <v>1</v>
      </c>
    </row>
    <row r="749" spans="1:7" x14ac:dyDescent="0.2">
      <c r="A749" s="28"/>
      <c r="B749" s="28" t="s">
        <v>3142</v>
      </c>
      <c r="C749" s="29" t="s">
        <v>3143</v>
      </c>
      <c r="D749" s="29"/>
      <c r="E749" s="29"/>
      <c r="F749" s="29"/>
      <c r="G749" s="30"/>
    </row>
    <row r="750" spans="1:7" x14ac:dyDescent="0.2">
      <c r="A750" s="31"/>
      <c r="B750" s="31"/>
      <c r="C750" s="32">
        <v>1</v>
      </c>
      <c r="D750" s="32"/>
      <c r="E750" s="32"/>
      <c r="F750" s="32"/>
      <c r="G750" s="32">
        <f>PRODUCT(C750:F750)</f>
        <v>1</v>
      </c>
    </row>
    <row r="752" spans="1:7" ht="45" customHeight="1" x14ac:dyDescent="0.2">
      <c r="A752" s="17" t="s">
        <v>3366</v>
      </c>
      <c r="B752" s="17" t="s">
        <v>3141</v>
      </c>
      <c r="C752" s="17" t="s">
        <v>219</v>
      </c>
      <c r="D752" s="83" t="s">
        <v>23</v>
      </c>
      <c r="E752" s="102" t="s">
        <v>220</v>
      </c>
      <c r="F752" s="102" t="s">
        <v>220</v>
      </c>
      <c r="G752" s="84">
        <f>SUM(G753:G754)</f>
        <v>1</v>
      </c>
    </row>
    <row r="753" spans="1:7" x14ac:dyDescent="0.2">
      <c r="A753" s="28"/>
      <c r="B753" s="28" t="s">
        <v>3142</v>
      </c>
      <c r="C753" s="29" t="s">
        <v>3143</v>
      </c>
      <c r="D753" s="29"/>
      <c r="E753" s="29"/>
      <c r="F753" s="29"/>
      <c r="G753" s="30"/>
    </row>
    <row r="754" spans="1:7" x14ac:dyDescent="0.2">
      <c r="A754" s="31"/>
      <c r="B754" s="31"/>
      <c r="C754" s="32">
        <v>1</v>
      </c>
      <c r="D754" s="32"/>
      <c r="E754" s="32"/>
      <c r="F754" s="32"/>
      <c r="G754" s="32">
        <f>PRODUCT(C754:F754)</f>
        <v>1</v>
      </c>
    </row>
    <row r="756" spans="1:7" x14ac:dyDescent="0.2">
      <c r="B756" t="s">
        <v>3139</v>
      </c>
      <c r="C756" s="6" t="s">
        <v>6</v>
      </c>
      <c r="D756" s="7" t="s">
        <v>7</v>
      </c>
      <c r="E756" s="6" t="s">
        <v>8</v>
      </c>
    </row>
    <row r="757" spans="1:7" x14ac:dyDescent="0.2">
      <c r="B757" t="s">
        <v>3139</v>
      </c>
      <c r="C757" s="6" t="s">
        <v>9</v>
      </c>
      <c r="D757" s="7" t="s">
        <v>72</v>
      </c>
      <c r="E757" s="6" t="s">
        <v>165</v>
      </c>
    </row>
    <row r="758" spans="1:7" x14ac:dyDescent="0.2">
      <c r="B758" t="s">
        <v>3139</v>
      </c>
      <c r="C758" s="6" t="s">
        <v>11</v>
      </c>
      <c r="D758" s="7" t="s">
        <v>26</v>
      </c>
      <c r="E758" s="6" t="s">
        <v>178</v>
      </c>
    </row>
    <row r="759" spans="1:7" x14ac:dyDescent="0.2">
      <c r="B759" t="s">
        <v>3139</v>
      </c>
      <c r="C759" s="6" t="s">
        <v>91</v>
      </c>
      <c r="D759" s="7" t="s">
        <v>26</v>
      </c>
      <c r="E759" s="6" t="s">
        <v>221</v>
      </c>
    </row>
    <row r="761" spans="1:7" ht="45" customHeight="1" x14ac:dyDescent="0.2">
      <c r="A761" s="17" t="s">
        <v>3367</v>
      </c>
      <c r="B761" s="17" t="s">
        <v>3141</v>
      </c>
      <c r="C761" s="17" t="s">
        <v>223</v>
      </c>
      <c r="D761" s="83" t="s">
        <v>23</v>
      </c>
      <c r="E761" s="102" t="s">
        <v>224</v>
      </c>
      <c r="F761" s="102" t="s">
        <v>224</v>
      </c>
      <c r="G761" s="84">
        <f>SUM(G762:G763)</f>
        <v>1</v>
      </c>
    </row>
    <row r="762" spans="1:7" x14ac:dyDescent="0.2">
      <c r="A762" s="28"/>
      <c r="B762" s="28" t="s">
        <v>3142</v>
      </c>
      <c r="C762" s="29" t="s">
        <v>3143</v>
      </c>
      <c r="D762" s="29"/>
      <c r="E762" s="29"/>
      <c r="F762" s="29"/>
      <c r="G762" s="30"/>
    </row>
    <row r="763" spans="1:7" x14ac:dyDescent="0.2">
      <c r="A763" s="31"/>
      <c r="B763" s="31"/>
      <c r="C763" s="32">
        <v>1</v>
      </c>
      <c r="D763" s="32"/>
      <c r="E763" s="32"/>
      <c r="F763" s="32"/>
      <c r="G763" s="32">
        <f>PRODUCT(C763:F763)</f>
        <v>1</v>
      </c>
    </row>
    <row r="765" spans="1:7" ht="45" customHeight="1" x14ac:dyDescent="0.2">
      <c r="A765" s="17" t="s">
        <v>3368</v>
      </c>
      <c r="B765" s="17" t="s">
        <v>3141</v>
      </c>
      <c r="C765" s="17" t="s">
        <v>225</v>
      </c>
      <c r="D765" s="83" t="s">
        <v>23</v>
      </c>
      <c r="E765" s="102" t="s">
        <v>226</v>
      </c>
      <c r="F765" s="102" t="s">
        <v>226</v>
      </c>
      <c r="G765" s="84">
        <f>SUM(G766:G767)</f>
        <v>1</v>
      </c>
    </row>
    <row r="766" spans="1:7" x14ac:dyDescent="0.2">
      <c r="A766" s="28"/>
      <c r="B766" s="28" t="s">
        <v>3142</v>
      </c>
      <c r="C766" s="29" t="s">
        <v>3143</v>
      </c>
      <c r="D766" s="29"/>
      <c r="E766" s="29"/>
      <c r="F766" s="29"/>
      <c r="G766" s="30"/>
    </row>
    <row r="767" spans="1:7" x14ac:dyDescent="0.2">
      <c r="A767" s="31"/>
      <c r="B767" s="31"/>
      <c r="C767" s="32">
        <v>1</v>
      </c>
      <c r="D767" s="32"/>
      <c r="E767" s="32"/>
      <c r="F767" s="32"/>
      <c r="G767" s="32">
        <f>PRODUCT(C767:F767)</f>
        <v>1</v>
      </c>
    </row>
    <row r="769" spans="1:7" ht="45" customHeight="1" x14ac:dyDescent="0.2">
      <c r="A769" s="17" t="s">
        <v>3369</v>
      </c>
      <c r="B769" s="17" t="s">
        <v>3141</v>
      </c>
      <c r="C769" s="17" t="s">
        <v>227</v>
      </c>
      <c r="D769" s="83" t="s">
        <v>23</v>
      </c>
      <c r="E769" s="102" t="s">
        <v>228</v>
      </c>
      <c r="F769" s="102" t="s">
        <v>228</v>
      </c>
      <c r="G769" s="84">
        <f>SUM(G770:G771)</f>
        <v>1</v>
      </c>
    </row>
    <row r="770" spans="1:7" x14ac:dyDescent="0.2">
      <c r="A770" s="28"/>
      <c r="B770" s="28" t="s">
        <v>3142</v>
      </c>
      <c r="C770" s="29" t="s">
        <v>3143</v>
      </c>
      <c r="D770" s="29"/>
      <c r="E770" s="29"/>
      <c r="F770" s="29"/>
      <c r="G770" s="30"/>
    </row>
    <row r="771" spans="1:7" x14ac:dyDescent="0.2">
      <c r="A771" s="31"/>
      <c r="B771" s="31"/>
      <c r="C771" s="32">
        <v>1</v>
      </c>
      <c r="D771" s="32"/>
      <c r="E771" s="32"/>
      <c r="F771" s="32"/>
      <c r="G771" s="32">
        <f>PRODUCT(C771:F771)</f>
        <v>1</v>
      </c>
    </row>
    <row r="773" spans="1:7" ht="45" customHeight="1" x14ac:dyDescent="0.2">
      <c r="A773" s="17" t="s">
        <v>3370</v>
      </c>
      <c r="B773" s="17" t="s">
        <v>3141</v>
      </c>
      <c r="C773" s="17" t="s">
        <v>229</v>
      </c>
      <c r="D773" s="83" t="s">
        <v>23</v>
      </c>
      <c r="E773" s="102" t="s">
        <v>230</v>
      </c>
      <c r="F773" s="102" t="s">
        <v>230</v>
      </c>
      <c r="G773" s="84">
        <f>SUM(G774:G775)</f>
        <v>1</v>
      </c>
    </row>
    <row r="774" spans="1:7" x14ac:dyDescent="0.2">
      <c r="A774" s="28"/>
      <c r="B774" s="28" t="s">
        <v>3142</v>
      </c>
      <c r="C774" s="29" t="s">
        <v>3143</v>
      </c>
      <c r="D774" s="29"/>
      <c r="E774" s="29"/>
      <c r="F774" s="29"/>
      <c r="G774" s="30"/>
    </row>
    <row r="775" spans="1:7" x14ac:dyDescent="0.2">
      <c r="A775" s="31"/>
      <c r="B775" s="31"/>
      <c r="C775" s="32">
        <v>1</v>
      </c>
      <c r="D775" s="32"/>
      <c r="E775" s="32"/>
      <c r="F775" s="32"/>
      <c r="G775" s="32">
        <f>PRODUCT(C775:F775)</f>
        <v>1</v>
      </c>
    </row>
    <row r="777" spans="1:7" ht="45" customHeight="1" x14ac:dyDescent="0.2">
      <c r="A777" s="17" t="s">
        <v>3371</v>
      </c>
      <c r="B777" s="17" t="s">
        <v>3141</v>
      </c>
      <c r="C777" s="17" t="s">
        <v>231</v>
      </c>
      <c r="D777" s="83" t="s">
        <v>23</v>
      </c>
      <c r="E777" s="102" t="s">
        <v>232</v>
      </c>
      <c r="F777" s="102" t="s">
        <v>232</v>
      </c>
      <c r="G777" s="84">
        <f>SUM(G778:G779)</f>
        <v>1</v>
      </c>
    </row>
    <row r="778" spans="1:7" x14ac:dyDescent="0.2">
      <c r="A778" s="28"/>
      <c r="B778" s="28" t="s">
        <v>3142</v>
      </c>
      <c r="C778" s="29" t="s">
        <v>3143</v>
      </c>
      <c r="D778" s="29"/>
      <c r="E778" s="29"/>
      <c r="F778" s="29"/>
      <c r="G778" s="30"/>
    </row>
    <row r="779" spans="1:7" x14ac:dyDescent="0.2">
      <c r="A779" s="31"/>
      <c r="B779" s="31"/>
      <c r="C779" s="32">
        <v>1</v>
      </c>
      <c r="D779" s="32"/>
      <c r="E779" s="32"/>
      <c r="F779" s="32"/>
      <c r="G779" s="32">
        <f>PRODUCT(C779:F779)</f>
        <v>1</v>
      </c>
    </row>
    <row r="781" spans="1:7" ht="45" customHeight="1" x14ac:dyDescent="0.2">
      <c r="A781" s="17" t="s">
        <v>3372</v>
      </c>
      <c r="B781" s="17" t="s">
        <v>3141</v>
      </c>
      <c r="C781" s="17" t="s">
        <v>233</v>
      </c>
      <c r="D781" s="83" t="s">
        <v>23</v>
      </c>
      <c r="E781" s="102" t="s">
        <v>234</v>
      </c>
      <c r="F781" s="102" t="s">
        <v>234</v>
      </c>
      <c r="G781" s="84">
        <f>SUM(G782:G783)</f>
        <v>1</v>
      </c>
    </row>
    <row r="782" spans="1:7" x14ac:dyDescent="0.2">
      <c r="A782" s="28"/>
      <c r="B782" s="28" t="s">
        <v>3142</v>
      </c>
      <c r="C782" s="29" t="s">
        <v>3143</v>
      </c>
      <c r="D782" s="29"/>
      <c r="E782" s="29"/>
      <c r="F782" s="29"/>
      <c r="G782" s="30"/>
    </row>
    <row r="783" spans="1:7" x14ac:dyDescent="0.2">
      <c r="A783" s="31"/>
      <c r="B783" s="31"/>
      <c r="C783" s="32">
        <v>1</v>
      </c>
      <c r="D783" s="32"/>
      <c r="E783" s="32"/>
      <c r="F783" s="32"/>
      <c r="G783" s="32">
        <f>PRODUCT(C783:F783)</f>
        <v>1</v>
      </c>
    </row>
    <row r="785" spans="1:7" ht="45" customHeight="1" x14ac:dyDescent="0.2">
      <c r="A785" s="17" t="s">
        <v>3373</v>
      </c>
      <c r="B785" s="17" t="s">
        <v>3141</v>
      </c>
      <c r="C785" s="17" t="s">
        <v>235</v>
      </c>
      <c r="D785" s="83" t="s">
        <v>23</v>
      </c>
      <c r="E785" s="102" t="s">
        <v>236</v>
      </c>
      <c r="F785" s="102" t="s">
        <v>236</v>
      </c>
      <c r="G785" s="84">
        <f>SUM(G786:G787)</f>
        <v>1</v>
      </c>
    </row>
    <row r="786" spans="1:7" x14ac:dyDescent="0.2">
      <c r="A786" s="28"/>
      <c r="B786" s="28" t="s">
        <v>3142</v>
      </c>
      <c r="C786" s="29" t="s">
        <v>3143</v>
      </c>
      <c r="D786" s="29"/>
      <c r="E786" s="29"/>
      <c r="F786" s="29"/>
      <c r="G786" s="30"/>
    </row>
    <row r="787" spans="1:7" x14ac:dyDescent="0.2">
      <c r="A787" s="31"/>
      <c r="B787" s="31"/>
      <c r="C787" s="32">
        <v>1</v>
      </c>
      <c r="D787" s="32"/>
      <c r="E787" s="32"/>
      <c r="F787" s="32"/>
      <c r="G787" s="32">
        <f>PRODUCT(C787:F787)</f>
        <v>1</v>
      </c>
    </row>
    <row r="789" spans="1:7" ht="45" customHeight="1" x14ac:dyDescent="0.2">
      <c r="A789" s="17" t="s">
        <v>3374</v>
      </c>
      <c r="B789" s="17" t="s">
        <v>3141</v>
      </c>
      <c r="C789" s="17" t="s">
        <v>237</v>
      </c>
      <c r="D789" s="83" t="s">
        <v>23</v>
      </c>
      <c r="E789" s="102" t="s">
        <v>238</v>
      </c>
      <c r="F789" s="102" t="s">
        <v>238</v>
      </c>
      <c r="G789" s="84">
        <f>SUM(G790:G791)</f>
        <v>1</v>
      </c>
    </row>
    <row r="790" spans="1:7" x14ac:dyDescent="0.2">
      <c r="A790" s="28"/>
      <c r="B790" s="28" t="s">
        <v>3142</v>
      </c>
      <c r="C790" s="29" t="s">
        <v>3143</v>
      </c>
      <c r="D790" s="29"/>
      <c r="E790" s="29"/>
      <c r="F790" s="29"/>
      <c r="G790" s="30"/>
    </row>
    <row r="791" spans="1:7" x14ac:dyDescent="0.2">
      <c r="A791" s="31"/>
      <c r="B791" s="31"/>
      <c r="C791" s="32">
        <v>1</v>
      </c>
      <c r="D791" s="32"/>
      <c r="E791" s="32"/>
      <c r="F791" s="32"/>
      <c r="G791" s="32">
        <f>PRODUCT(C791:F791)</f>
        <v>1</v>
      </c>
    </row>
    <row r="793" spans="1:7" ht="45" customHeight="1" x14ac:dyDescent="0.2">
      <c r="A793" s="17" t="s">
        <v>3375</v>
      </c>
      <c r="B793" s="17" t="s">
        <v>3141</v>
      </c>
      <c r="C793" s="17" t="s">
        <v>239</v>
      </c>
      <c r="D793" s="83" t="s">
        <v>23</v>
      </c>
      <c r="E793" s="102" t="s">
        <v>240</v>
      </c>
      <c r="F793" s="102" t="s">
        <v>240</v>
      </c>
      <c r="G793" s="84">
        <f>SUM(G794:G795)</f>
        <v>1</v>
      </c>
    </row>
    <row r="794" spans="1:7" x14ac:dyDescent="0.2">
      <c r="A794" s="28"/>
      <c r="B794" s="28" t="s">
        <v>3142</v>
      </c>
      <c r="C794" s="29" t="s">
        <v>3143</v>
      </c>
      <c r="D794" s="29"/>
      <c r="E794" s="29"/>
      <c r="F794" s="29"/>
      <c r="G794" s="30"/>
    </row>
    <row r="795" spans="1:7" x14ac:dyDescent="0.2">
      <c r="A795" s="31"/>
      <c r="B795" s="31"/>
      <c r="C795" s="32">
        <v>1</v>
      </c>
      <c r="D795" s="32"/>
      <c r="E795" s="32"/>
      <c r="F795" s="32"/>
      <c r="G795" s="32">
        <f>PRODUCT(C795:F795)</f>
        <v>1</v>
      </c>
    </row>
    <row r="797" spans="1:7" ht="45" customHeight="1" x14ac:dyDescent="0.2">
      <c r="A797" s="17" t="s">
        <v>3376</v>
      </c>
      <c r="B797" s="17" t="s">
        <v>3141</v>
      </c>
      <c r="C797" s="17" t="s">
        <v>241</v>
      </c>
      <c r="D797" s="83" t="s">
        <v>23</v>
      </c>
      <c r="E797" s="102" t="s">
        <v>242</v>
      </c>
      <c r="F797" s="102" t="s">
        <v>242</v>
      </c>
      <c r="G797" s="84">
        <f>SUM(G798:G799)</f>
        <v>1</v>
      </c>
    </row>
    <row r="798" spans="1:7" x14ac:dyDescent="0.2">
      <c r="A798" s="28"/>
      <c r="B798" s="28" t="s">
        <v>3142</v>
      </c>
      <c r="C798" s="29" t="s">
        <v>3143</v>
      </c>
      <c r="D798" s="29"/>
      <c r="E798" s="29"/>
      <c r="F798" s="29"/>
      <c r="G798" s="30"/>
    </row>
    <row r="799" spans="1:7" x14ac:dyDescent="0.2">
      <c r="A799" s="31"/>
      <c r="B799" s="31"/>
      <c r="C799" s="32">
        <v>1</v>
      </c>
      <c r="D799" s="32"/>
      <c r="E799" s="32"/>
      <c r="F799" s="32"/>
      <c r="G799" s="32">
        <f>PRODUCT(C799:F799)</f>
        <v>1</v>
      </c>
    </row>
    <row r="801" spans="1:7" ht="45" customHeight="1" x14ac:dyDescent="0.2">
      <c r="A801" s="17" t="s">
        <v>3377</v>
      </c>
      <c r="B801" s="17" t="s">
        <v>3141</v>
      </c>
      <c r="C801" s="17" t="s">
        <v>243</v>
      </c>
      <c r="D801" s="83" t="s">
        <v>23</v>
      </c>
      <c r="E801" s="102" t="s">
        <v>244</v>
      </c>
      <c r="F801" s="102" t="s">
        <v>244</v>
      </c>
      <c r="G801" s="84">
        <f>SUM(G802:G803)</f>
        <v>1</v>
      </c>
    </row>
    <row r="802" spans="1:7" x14ac:dyDescent="0.2">
      <c r="A802" s="28"/>
      <c r="B802" s="28" t="s">
        <v>3142</v>
      </c>
      <c r="C802" s="29" t="s">
        <v>3143</v>
      </c>
      <c r="D802" s="29"/>
      <c r="E802" s="29"/>
      <c r="F802" s="29"/>
      <c r="G802" s="30"/>
    </row>
    <row r="803" spans="1:7" x14ac:dyDescent="0.2">
      <c r="A803" s="31"/>
      <c r="B803" s="31"/>
      <c r="C803" s="32">
        <v>1</v>
      </c>
      <c r="D803" s="32"/>
      <c r="E803" s="32"/>
      <c r="F803" s="32"/>
      <c r="G803" s="32">
        <f>PRODUCT(C803:F803)</f>
        <v>1</v>
      </c>
    </row>
    <row r="805" spans="1:7" ht="45" customHeight="1" x14ac:dyDescent="0.2">
      <c r="A805" s="17" t="s">
        <v>3378</v>
      </c>
      <c r="B805" s="17" t="s">
        <v>3141</v>
      </c>
      <c r="C805" s="17" t="s">
        <v>245</v>
      </c>
      <c r="D805" s="83" t="s">
        <v>23</v>
      </c>
      <c r="E805" s="102" t="s">
        <v>246</v>
      </c>
      <c r="F805" s="102" t="s">
        <v>246</v>
      </c>
      <c r="G805" s="84">
        <f>SUM(G806:G807)</f>
        <v>1</v>
      </c>
    </row>
    <row r="806" spans="1:7" x14ac:dyDescent="0.2">
      <c r="A806" s="28"/>
      <c r="B806" s="28" t="s">
        <v>3142</v>
      </c>
      <c r="C806" s="29" t="s">
        <v>3143</v>
      </c>
      <c r="D806" s="29"/>
      <c r="E806" s="29"/>
      <c r="F806" s="29"/>
      <c r="G806" s="30"/>
    </row>
    <row r="807" spans="1:7" x14ac:dyDescent="0.2">
      <c r="A807" s="31"/>
      <c r="B807" s="31"/>
      <c r="C807" s="32">
        <v>1</v>
      </c>
      <c r="D807" s="32"/>
      <c r="E807" s="32"/>
      <c r="F807" s="32"/>
      <c r="G807" s="32">
        <f>PRODUCT(C807:F807)</f>
        <v>1</v>
      </c>
    </row>
    <row r="809" spans="1:7" ht="45" customHeight="1" x14ac:dyDescent="0.2">
      <c r="A809" s="17" t="s">
        <v>3379</v>
      </c>
      <c r="B809" s="17" t="s">
        <v>3141</v>
      </c>
      <c r="C809" s="17" t="s">
        <v>247</v>
      </c>
      <c r="D809" s="83" t="s">
        <v>23</v>
      </c>
      <c r="E809" s="102" t="s">
        <v>248</v>
      </c>
      <c r="F809" s="102" t="s">
        <v>248</v>
      </c>
      <c r="G809" s="84">
        <f>SUM(G810:G811)</f>
        <v>1</v>
      </c>
    </row>
    <row r="810" spans="1:7" x14ac:dyDescent="0.2">
      <c r="A810" s="28"/>
      <c r="B810" s="28" t="s">
        <v>3142</v>
      </c>
      <c r="C810" s="29" t="s">
        <v>3143</v>
      </c>
      <c r="D810" s="29"/>
      <c r="E810" s="29"/>
      <c r="F810" s="29"/>
      <c r="G810" s="30"/>
    </row>
    <row r="811" spans="1:7" x14ac:dyDescent="0.2">
      <c r="A811" s="31"/>
      <c r="B811" s="31"/>
      <c r="C811" s="32">
        <v>1</v>
      </c>
      <c r="D811" s="32"/>
      <c r="E811" s="32"/>
      <c r="F811" s="32"/>
      <c r="G811" s="32">
        <f>PRODUCT(C811:F811)</f>
        <v>1</v>
      </c>
    </row>
    <row r="813" spans="1:7" ht="45" customHeight="1" x14ac:dyDescent="0.2">
      <c r="A813" s="17" t="s">
        <v>3380</v>
      </c>
      <c r="B813" s="17" t="s">
        <v>3141</v>
      </c>
      <c r="C813" s="17" t="s">
        <v>249</v>
      </c>
      <c r="D813" s="83" t="s">
        <v>23</v>
      </c>
      <c r="E813" s="102" t="s">
        <v>250</v>
      </c>
      <c r="F813" s="102" t="s">
        <v>250</v>
      </c>
      <c r="G813" s="84">
        <f>SUM(G814:G815)</f>
        <v>1</v>
      </c>
    </row>
    <row r="814" spans="1:7" x14ac:dyDescent="0.2">
      <c r="A814" s="28"/>
      <c r="B814" s="28" t="s">
        <v>3142</v>
      </c>
      <c r="C814" s="29" t="s">
        <v>3143</v>
      </c>
      <c r="D814" s="29"/>
      <c r="E814" s="29"/>
      <c r="F814" s="29"/>
      <c r="G814" s="30"/>
    </row>
    <row r="815" spans="1:7" x14ac:dyDescent="0.2">
      <c r="A815" s="31"/>
      <c r="B815" s="31"/>
      <c r="C815" s="32">
        <v>1</v>
      </c>
      <c r="D815" s="32"/>
      <c r="E815" s="32"/>
      <c r="F815" s="32"/>
      <c r="G815" s="32">
        <f>PRODUCT(C815:F815)</f>
        <v>1</v>
      </c>
    </row>
    <row r="817" spans="1:7" ht="45" customHeight="1" x14ac:dyDescent="0.2">
      <c r="A817" s="17" t="s">
        <v>3381</v>
      </c>
      <c r="B817" s="17" t="s">
        <v>3141</v>
      </c>
      <c r="C817" s="17" t="s">
        <v>251</v>
      </c>
      <c r="D817" s="83" t="s">
        <v>23</v>
      </c>
      <c r="E817" s="102" t="s">
        <v>252</v>
      </c>
      <c r="F817" s="102" t="s">
        <v>252</v>
      </c>
      <c r="G817" s="84">
        <f>SUM(G818:G819)</f>
        <v>1</v>
      </c>
    </row>
    <row r="818" spans="1:7" x14ac:dyDescent="0.2">
      <c r="A818" s="28"/>
      <c r="B818" s="28" t="s">
        <v>3142</v>
      </c>
      <c r="C818" s="29" t="s">
        <v>3143</v>
      </c>
      <c r="D818" s="29"/>
      <c r="E818" s="29"/>
      <c r="F818" s="29"/>
      <c r="G818" s="30"/>
    </row>
    <row r="819" spans="1:7" x14ac:dyDescent="0.2">
      <c r="A819" s="31"/>
      <c r="B819" s="31"/>
      <c r="C819" s="32">
        <v>1</v>
      </c>
      <c r="D819" s="32"/>
      <c r="E819" s="32"/>
      <c r="F819" s="32"/>
      <c r="G819" s="32">
        <f>PRODUCT(C819:F819)</f>
        <v>1</v>
      </c>
    </row>
    <row r="821" spans="1:7" ht="45" customHeight="1" x14ac:dyDescent="0.2">
      <c r="A821" s="17" t="s">
        <v>3382</v>
      </c>
      <c r="B821" s="17" t="s">
        <v>3141</v>
      </c>
      <c r="C821" s="17" t="s">
        <v>253</v>
      </c>
      <c r="D821" s="83" t="s">
        <v>23</v>
      </c>
      <c r="E821" s="102" t="s">
        <v>254</v>
      </c>
      <c r="F821" s="102" t="s">
        <v>254</v>
      </c>
      <c r="G821" s="84">
        <f>SUM(G822:G823)</f>
        <v>1</v>
      </c>
    </row>
    <row r="822" spans="1:7" x14ac:dyDescent="0.2">
      <c r="A822" s="28"/>
      <c r="B822" s="28" t="s">
        <v>3142</v>
      </c>
      <c r="C822" s="29" t="s">
        <v>3143</v>
      </c>
      <c r="D822" s="29"/>
      <c r="E822" s="29"/>
      <c r="F822" s="29"/>
      <c r="G822" s="30"/>
    </row>
    <row r="823" spans="1:7" x14ac:dyDescent="0.2">
      <c r="A823" s="31"/>
      <c r="B823" s="31"/>
      <c r="C823" s="32">
        <v>1</v>
      </c>
      <c r="D823" s="32"/>
      <c r="E823" s="32"/>
      <c r="F823" s="32"/>
      <c r="G823" s="32">
        <f>PRODUCT(C823:F823)</f>
        <v>1</v>
      </c>
    </row>
    <row r="825" spans="1:7" ht="45" customHeight="1" x14ac:dyDescent="0.2">
      <c r="A825" s="17" t="s">
        <v>3383</v>
      </c>
      <c r="B825" s="17" t="s">
        <v>3141</v>
      </c>
      <c r="C825" s="17" t="s">
        <v>255</v>
      </c>
      <c r="D825" s="83" t="s">
        <v>23</v>
      </c>
      <c r="E825" s="102" t="s">
        <v>256</v>
      </c>
      <c r="F825" s="102" t="s">
        <v>256</v>
      </c>
      <c r="G825" s="84">
        <f>SUM(G826:G827)</f>
        <v>1</v>
      </c>
    </row>
    <row r="826" spans="1:7" x14ac:dyDescent="0.2">
      <c r="A826" s="28"/>
      <c r="B826" s="28" t="s">
        <v>3142</v>
      </c>
      <c r="C826" s="29" t="s">
        <v>3143</v>
      </c>
      <c r="D826" s="29"/>
      <c r="E826" s="29"/>
      <c r="F826" s="29"/>
      <c r="G826" s="30"/>
    </row>
    <row r="827" spans="1:7" x14ac:dyDescent="0.2">
      <c r="A827" s="31"/>
      <c r="B827" s="31"/>
      <c r="C827" s="32">
        <v>1</v>
      </c>
      <c r="D827" s="32"/>
      <c r="E827" s="32"/>
      <c r="F827" s="32"/>
      <c r="G827" s="32">
        <f>PRODUCT(C827:F827)</f>
        <v>1</v>
      </c>
    </row>
    <row r="829" spans="1:7" ht="45" customHeight="1" x14ac:dyDescent="0.2">
      <c r="A829" s="17" t="s">
        <v>3384</v>
      </c>
      <c r="B829" s="17" t="s">
        <v>3141</v>
      </c>
      <c r="C829" s="17" t="s">
        <v>257</v>
      </c>
      <c r="D829" s="83" t="s">
        <v>23</v>
      </c>
      <c r="E829" s="102" t="s">
        <v>258</v>
      </c>
      <c r="F829" s="102" t="s">
        <v>258</v>
      </c>
      <c r="G829" s="84">
        <f>SUM(G830:G831)</f>
        <v>1</v>
      </c>
    </row>
    <row r="830" spans="1:7" x14ac:dyDescent="0.2">
      <c r="A830" s="28"/>
      <c r="B830" s="28" t="s">
        <v>3142</v>
      </c>
      <c r="C830" s="29" t="s">
        <v>3143</v>
      </c>
      <c r="D830" s="29"/>
      <c r="E830" s="29"/>
      <c r="F830" s="29"/>
      <c r="G830" s="30"/>
    </row>
    <row r="831" spans="1:7" x14ac:dyDescent="0.2">
      <c r="A831" s="31"/>
      <c r="B831" s="31"/>
      <c r="C831" s="32">
        <v>1</v>
      </c>
      <c r="D831" s="32"/>
      <c r="E831" s="32"/>
      <c r="F831" s="32"/>
      <c r="G831" s="32">
        <f>PRODUCT(C831:F831)</f>
        <v>1</v>
      </c>
    </row>
    <row r="833" spans="1:7" ht="45" customHeight="1" x14ac:dyDescent="0.2">
      <c r="A833" s="17" t="s">
        <v>3385</v>
      </c>
      <c r="B833" s="17" t="s">
        <v>3141</v>
      </c>
      <c r="C833" s="17" t="s">
        <v>259</v>
      </c>
      <c r="D833" s="83" t="s">
        <v>23</v>
      </c>
      <c r="E833" s="102" t="s">
        <v>260</v>
      </c>
      <c r="F833" s="102" t="s">
        <v>260</v>
      </c>
      <c r="G833" s="84">
        <f>SUM(G834:G835)</f>
        <v>1</v>
      </c>
    </row>
    <row r="834" spans="1:7" x14ac:dyDescent="0.2">
      <c r="A834" s="28"/>
      <c r="B834" s="28" t="s">
        <v>3142</v>
      </c>
      <c r="C834" s="29" t="s">
        <v>3143</v>
      </c>
      <c r="D834" s="29"/>
      <c r="E834" s="29"/>
      <c r="F834" s="29"/>
      <c r="G834" s="30"/>
    </row>
    <row r="835" spans="1:7" x14ac:dyDescent="0.2">
      <c r="A835" s="31"/>
      <c r="B835" s="31"/>
      <c r="C835" s="32">
        <v>1</v>
      </c>
      <c r="D835" s="32"/>
      <c r="E835" s="32"/>
      <c r="F835" s="32"/>
      <c r="G835" s="32">
        <f>PRODUCT(C835:F835)</f>
        <v>1</v>
      </c>
    </row>
    <row r="837" spans="1:7" ht="45" customHeight="1" x14ac:dyDescent="0.2">
      <c r="A837" s="17" t="s">
        <v>3386</v>
      </c>
      <c r="B837" s="17" t="s">
        <v>3141</v>
      </c>
      <c r="C837" s="17" t="s">
        <v>261</v>
      </c>
      <c r="D837" s="83" t="s">
        <v>23</v>
      </c>
      <c r="E837" s="102" t="s">
        <v>262</v>
      </c>
      <c r="F837" s="102" t="s">
        <v>262</v>
      </c>
      <c r="G837" s="84">
        <f>SUM(G838:G839)</f>
        <v>1</v>
      </c>
    </row>
    <row r="838" spans="1:7" x14ac:dyDescent="0.2">
      <c r="A838" s="28"/>
      <c r="B838" s="28" t="s">
        <v>3142</v>
      </c>
      <c r="C838" s="29" t="s">
        <v>3143</v>
      </c>
      <c r="D838" s="29"/>
      <c r="E838" s="29"/>
      <c r="F838" s="29"/>
      <c r="G838" s="30"/>
    </row>
    <row r="839" spans="1:7" x14ac:dyDescent="0.2">
      <c r="A839" s="31"/>
      <c r="B839" s="31"/>
      <c r="C839" s="32">
        <v>1</v>
      </c>
      <c r="D839" s="32"/>
      <c r="E839" s="32"/>
      <c r="F839" s="32"/>
      <c r="G839" s="32">
        <f>PRODUCT(C839:F839)</f>
        <v>1</v>
      </c>
    </row>
    <row r="841" spans="1:7" ht="45" customHeight="1" x14ac:dyDescent="0.2">
      <c r="A841" s="17" t="s">
        <v>3387</v>
      </c>
      <c r="B841" s="17" t="s">
        <v>3141</v>
      </c>
      <c r="C841" s="17" t="s">
        <v>263</v>
      </c>
      <c r="D841" s="83" t="s">
        <v>23</v>
      </c>
      <c r="E841" s="102" t="s">
        <v>264</v>
      </c>
      <c r="F841" s="102" t="s">
        <v>264</v>
      </c>
      <c r="G841" s="84">
        <f>SUM(G842:G843)</f>
        <v>1</v>
      </c>
    </row>
    <row r="842" spans="1:7" x14ac:dyDescent="0.2">
      <c r="A842" s="28"/>
      <c r="B842" s="28" t="s">
        <v>3142</v>
      </c>
      <c r="C842" s="29" t="s">
        <v>3143</v>
      </c>
      <c r="D842" s="29"/>
      <c r="E842" s="29"/>
      <c r="F842" s="29"/>
      <c r="G842" s="30"/>
    </row>
    <row r="843" spans="1:7" x14ac:dyDescent="0.2">
      <c r="A843" s="31"/>
      <c r="B843" s="31"/>
      <c r="C843" s="32">
        <v>1</v>
      </c>
      <c r="D843" s="32"/>
      <c r="E843" s="32"/>
      <c r="F843" s="32"/>
      <c r="G843" s="32">
        <f>PRODUCT(C843:F843)</f>
        <v>1</v>
      </c>
    </row>
    <row r="845" spans="1:7" ht="45" customHeight="1" x14ac:dyDescent="0.2">
      <c r="A845" s="17" t="s">
        <v>3388</v>
      </c>
      <c r="B845" s="17" t="s">
        <v>3141</v>
      </c>
      <c r="C845" s="17" t="s">
        <v>265</v>
      </c>
      <c r="D845" s="83" t="s">
        <v>23</v>
      </c>
      <c r="E845" s="102" t="s">
        <v>266</v>
      </c>
      <c r="F845" s="102" t="s">
        <v>266</v>
      </c>
      <c r="G845" s="84">
        <f>SUM(G846:G847)</f>
        <v>1</v>
      </c>
    </row>
    <row r="846" spans="1:7" x14ac:dyDescent="0.2">
      <c r="A846" s="28"/>
      <c r="B846" s="28" t="s">
        <v>3142</v>
      </c>
      <c r="C846" s="29" t="s">
        <v>3143</v>
      </c>
      <c r="D846" s="29"/>
      <c r="E846" s="29"/>
      <c r="F846" s="29"/>
      <c r="G846" s="30"/>
    </row>
    <row r="847" spans="1:7" x14ac:dyDescent="0.2">
      <c r="A847" s="31"/>
      <c r="B847" s="31"/>
      <c r="C847" s="32">
        <v>1</v>
      </c>
      <c r="D847" s="32"/>
      <c r="E847" s="32"/>
      <c r="F847" s="32"/>
      <c r="G847" s="32">
        <f>PRODUCT(C847:F847)</f>
        <v>1</v>
      </c>
    </row>
    <row r="849" spans="1:7" ht="45" customHeight="1" x14ac:dyDescent="0.2">
      <c r="A849" s="17" t="s">
        <v>3389</v>
      </c>
      <c r="B849" s="17" t="s">
        <v>3141</v>
      </c>
      <c r="C849" s="17" t="s">
        <v>267</v>
      </c>
      <c r="D849" s="83" t="s">
        <v>23</v>
      </c>
      <c r="E849" s="102" t="s">
        <v>268</v>
      </c>
      <c r="F849" s="102" t="s">
        <v>268</v>
      </c>
      <c r="G849" s="84">
        <f>SUM(G850:G851)</f>
        <v>1</v>
      </c>
    </row>
    <row r="850" spans="1:7" x14ac:dyDescent="0.2">
      <c r="A850" s="28"/>
      <c r="B850" s="28" t="s">
        <v>3142</v>
      </c>
      <c r="C850" s="29" t="s">
        <v>3143</v>
      </c>
      <c r="D850" s="29"/>
      <c r="E850" s="29"/>
      <c r="F850" s="29"/>
      <c r="G850" s="30"/>
    </row>
    <row r="851" spans="1:7" x14ac:dyDescent="0.2">
      <c r="A851" s="31"/>
      <c r="B851" s="31"/>
      <c r="C851" s="32">
        <v>1</v>
      </c>
      <c r="D851" s="32"/>
      <c r="E851" s="32"/>
      <c r="F851" s="32"/>
      <c r="G851" s="32">
        <f>PRODUCT(C851:F851)</f>
        <v>1</v>
      </c>
    </row>
    <row r="853" spans="1:7" ht="45" customHeight="1" x14ac:dyDescent="0.2">
      <c r="A853" s="17" t="s">
        <v>3390</v>
      </c>
      <c r="B853" s="17" t="s">
        <v>3141</v>
      </c>
      <c r="C853" s="17" t="s">
        <v>269</v>
      </c>
      <c r="D853" s="83" t="s">
        <v>23</v>
      </c>
      <c r="E853" s="102" t="s">
        <v>270</v>
      </c>
      <c r="F853" s="102" t="s">
        <v>270</v>
      </c>
      <c r="G853" s="84">
        <f>SUM(G854:G855)</f>
        <v>1</v>
      </c>
    </row>
    <row r="854" spans="1:7" x14ac:dyDescent="0.2">
      <c r="A854" s="28"/>
      <c r="B854" s="28" t="s">
        <v>3142</v>
      </c>
      <c r="C854" s="29" t="s">
        <v>3143</v>
      </c>
      <c r="D854" s="29"/>
      <c r="E854" s="29"/>
      <c r="F854" s="29"/>
      <c r="G854" s="30"/>
    </row>
    <row r="855" spans="1:7" x14ac:dyDescent="0.2">
      <c r="A855" s="31"/>
      <c r="B855" s="31"/>
      <c r="C855" s="32">
        <v>1</v>
      </c>
      <c r="D855" s="32"/>
      <c r="E855" s="32"/>
      <c r="F855" s="32"/>
      <c r="G855" s="32">
        <f>PRODUCT(C855:F855)</f>
        <v>1</v>
      </c>
    </row>
    <row r="857" spans="1:7" ht="45" customHeight="1" x14ac:dyDescent="0.2">
      <c r="A857" s="17" t="s">
        <v>3391</v>
      </c>
      <c r="B857" s="17" t="s">
        <v>3141</v>
      </c>
      <c r="C857" s="17" t="s">
        <v>271</v>
      </c>
      <c r="D857" s="83" t="s">
        <v>23</v>
      </c>
      <c r="E857" s="102" t="s">
        <v>272</v>
      </c>
      <c r="F857" s="102" t="s">
        <v>272</v>
      </c>
      <c r="G857" s="84">
        <f>SUM(G858:G859)</f>
        <v>1</v>
      </c>
    </row>
    <row r="858" spans="1:7" x14ac:dyDescent="0.2">
      <c r="A858" s="28"/>
      <c r="B858" s="28" t="s">
        <v>3142</v>
      </c>
      <c r="C858" s="29" t="s">
        <v>3143</v>
      </c>
      <c r="D858" s="29"/>
      <c r="E858" s="29"/>
      <c r="F858" s="29"/>
      <c r="G858" s="30"/>
    </row>
    <row r="859" spans="1:7" x14ac:dyDescent="0.2">
      <c r="A859" s="31"/>
      <c r="B859" s="31"/>
      <c r="C859" s="32">
        <v>1</v>
      </c>
      <c r="D859" s="32"/>
      <c r="E859" s="32"/>
      <c r="F859" s="32"/>
      <c r="G859" s="32">
        <f>PRODUCT(C859:F859)</f>
        <v>1</v>
      </c>
    </row>
    <row r="861" spans="1:7" ht="45" customHeight="1" x14ac:dyDescent="0.2">
      <c r="A861" s="17" t="s">
        <v>3392</v>
      </c>
      <c r="B861" s="17" t="s">
        <v>3141</v>
      </c>
      <c r="C861" s="17" t="s">
        <v>273</v>
      </c>
      <c r="D861" s="83" t="s">
        <v>23</v>
      </c>
      <c r="E861" s="102" t="s">
        <v>274</v>
      </c>
      <c r="F861" s="102" t="s">
        <v>274</v>
      </c>
      <c r="G861" s="84">
        <f>SUM(G862:G863)</f>
        <v>1</v>
      </c>
    </row>
    <row r="862" spans="1:7" x14ac:dyDescent="0.2">
      <c r="A862" s="28"/>
      <c r="B862" s="28" t="s">
        <v>3142</v>
      </c>
      <c r="C862" s="29" t="s">
        <v>3143</v>
      </c>
      <c r="D862" s="29"/>
      <c r="E862" s="29"/>
      <c r="F862" s="29"/>
      <c r="G862" s="30"/>
    </row>
    <row r="863" spans="1:7" x14ac:dyDescent="0.2">
      <c r="A863" s="31"/>
      <c r="B863" s="31"/>
      <c r="C863" s="32">
        <v>1</v>
      </c>
      <c r="D863" s="32"/>
      <c r="E863" s="32"/>
      <c r="F863" s="32"/>
      <c r="G863" s="32">
        <f>PRODUCT(C863:F863)</f>
        <v>1</v>
      </c>
    </row>
    <row r="865" spans="1:7" ht="45" customHeight="1" x14ac:dyDescent="0.2">
      <c r="A865" s="17" t="s">
        <v>3393</v>
      </c>
      <c r="B865" s="17" t="s">
        <v>3141</v>
      </c>
      <c r="C865" s="17" t="s">
        <v>275</v>
      </c>
      <c r="D865" s="83" t="s">
        <v>23</v>
      </c>
      <c r="E865" s="102" t="s">
        <v>276</v>
      </c>
      <c r="F865" s="102" t="s">
        <v>276</v>
      </c>
      <c r="G865" s="84">
        <f>SUM(G866:G867)</f>
        <v>1</v>
      </c>
    </row>
    <row r="866" spans="1:7" x14ac:dyDescent="0.2">
      <c r="A866" s="28"/>
      <c r="B866" s="28" t="s">
        <v>3142</v>
      </c>
      <c r="C866" s="29" t="s">
        <v>3143</v>
      </c>
      <c r="D866" s="29"/>
      <c r="E866" s="29"/>
      <c r="F866" s="29"/>
      <c r="G866" s="30"/>
    </row>
    <row r="867" spans="1:7" x14ac:dyDescent="0.2">
      <c r="A867" s="31"/>
      <c r="B867" s="31"/>
      <c r="C867" s="32">
        <v>1</v>
      </c>
      <c r="D867" s="32"/>
      <c r="E867" s="32"/>
      <c r="F867" s="32"/>
      <c r="G867" s="32">
        <f>PRODUCT(C867:F867)</f>
        <v>1</v>
      </c>
    </row>
    <row r="869" spans="1:7" ht="45" customHeight="1" x14ac:dyDescent="0.2">
      <c r="A869" s="17" t="s">
        <v>3394</v>
      </c>
      <c r="B869" s="17" t="s">
        <v>3141</v>
      </c>
      <c r="C869" s="17" t="s">
        <v>277</v>
      </c>
      <c r="D869" s="83" t="s">
        <v>23</v>
      </c>
      <c r="E869" s="102" t="s">
        <v>278</v>
      </c>
      <c r="F869" s="102" t="s">
        <v>278</v>
      </c>
      <c r="G869" s="84">
        <f>SUM(G870:G871)</f>
        <v>1</v>
      </c>
    </row>
    <row r="870" spans="1:7" x14ac:dyDescent="0.2">
      <c r="A870" s="28"/>
      <c r="B870" s="28" t="s">
        <v>3142</v>
      </c>
      <c r="C870" s="29" t="s">
        <v>3143</v>
      </c>
      <c r="D870" s="29"/>
      <c r="E870" s="29"/>
      <c r="F870" s="29"/>
      <c r="G870" s="30"/>
    </row>
    <row r="871" spans="1:7" x14ac:dyDescent="0.2">
      <c r="A871" s="31"/>
      <c r="B871" s="31"/>
      <c r="C871" s="32">
        <v>1</v>
      </c>
      <c r="D871" s="32"/>
      <c r="E871" s="32"/>
      <c r="F871" s="32"/>
      <c r="G871" s="32">
        <f>PRODUCT(C871:F871)</f>
        <v>1</v>
      </c>
    </row>
    <row r="873" spans="1:7" ht="45" customHeight="1" x14ac:dyDescent="0.2">
      <c r="A873" s="17" t="s">
        <v>3395</v>
      </c>
      <c r="B873" s="17" t="s">
        <v>3141</v>
      </c>
      <c r="C873" s="17" t="s">
        <v>279</v>
      </c>
      <c r="D873" s="83" t="s">
        <v>23</v>
      </c>
      <c r="E873" s="102" t="s">
        <v>280</v>
      </c>
      <c r="F873" s="102" t="s">
        <v>280</v>
      </c>
      <c r="G873" s="84">
        <f>SUM(G874:G875)</f>
        <v>1</v>
      </c>
    </row>
    <row r="874" spans="1:7" x14ac:dyDescent="0.2">
      <c r="A874" s="28"/>
      <c r="B874" s="28" t="s">
        <v>3142</v>
      </c>
      <c r="C874" s="29" t="s">
        <v>3143</v>
      </c>
      <c r="D874" s="29"/>
      <c r="E874" s="29"/>
      <c r="F874" s="29"/>
      <c r="G874" s="30"/>
    </row>
    <row r="875" spans="1:7" x14ac:dyDescent="0.2">
      <c r="A875" s="31"/>
      <c r="B875" s="31"/>
      <c r="C875" s="32">
        <v>1</v>
      </c>
      <c r="D875" s="32"/>
      <c r="E875" s="32"/>
      <c r="F875" s="32"/>
      <c r="G875" s="32">
        <f>PRODUCT(C875:F875)</f>
        <v>1</v>
      </c>
    </row>
    <row r="877" spans="1:7" ht="45" customHeight="1" x14ac:dyDescent="0.2">
      <c r="A877" s="17" t="s">
        <v>3396</v>
      </c>
      <c r="B877" s="17" t="s">
        <v>3141</v>
      </c>
      <c r="C877" s="17" t="s">
        <v>281</v>
      </c>
      <c r="D877" s="83" t="s">
        <v>23</v>
      </c>
      <c r="E877" s="102" t="s">
        <v>282</v>
      </c>
      <c r="F877" s="102" t="s">
        <v>282</v>
      </c>
      <c r="G877" s="84">
        <f>SUM(G878:G879)</f>
        <v>1</v>
      </c>
    </row>
    <row r="878" spans="1:7" x14ac:dyDescent="0.2">
      <c r="A878" s="28"/>
      <c r="B878" s="28" t="s">
        <v>3142</v>
      </c>
      <c r="C878" s="29" t="s">
        <v>3143</v>
      </c>
      <c r="D878" s="29"/>
      <c r="E878" s="29"/>
      <c r="F878" s="29"/>
      <c r="G878" s="30"/>
    </row>
    <row r="879" spans="1:7" x14ac:dyDescent="0.2">
      <c r="A879" s="31"/>
      <c r="B879" s="31"/>
      <c r="C879" s="32">
        <v>1</v>
      </c>
      <c r="D879" s="32"/>
      <c r="E879" s="32"/>
      <c r="F879" s="32"/>
      <c r="G879" s="32">
        <f>PRODUCT(C879:F879)</f>
        <v>1</v>
      </c>
    </row>
    <row r="881" spans="1:7" ht="45" customHeight="1" x14ac:dyDescent="0.2">
      <c r="A881" s="17" t="s">
        <v>3397</v>
      </c>
      <c r="B881" s="17" t="s">
        <v>3141</v>
      </c>
      <c r="C881" s="17" t="s">
        <v>283</v>
      </c>
      <c r="D881" s="83" t="s">
        <v>23</v>
      </c>
      <c r="E881" s="102" t="s">
        <v>284</v>
      </c>
      <c r="F881" s="102" t="s">
        <v>284</v>
      </c>
      <c r="G881" s="84">
        <f>SUM(G882:G883)</f>
        <v>1</v>
      </c>
    </row>
    <row r="882" spans="1:7" x14ac:dyDescent="0.2">
      <c r="A882" s="28"/>
      <c r="B882" s="28" t="s">
        <v>3142</v>
      </c>
      <c r="C882" s="29" t="s">
        <v>3143</v>
      </c>
      <c r="D882" s="29"/>
      <c r="E882" s="29"/>
      <c r="F882" s="29"/>
      <c r="G882" s="30"/>
    </row>
    <row r="883" spans="1:7" x14ac:dyDescent="0.2">
      <c r="A883" s="31"/>
      <c r="B883" s="31"/>
      <c r="C883" s="32">
        <v>1</v>
      </c>
      <c r="D883" s="32"/>
      <c r="E883" s="32"/>
      <c r="F883" s="32"/>
      <c r="G883" s="32">
        <f>PRODUCT(C883:F883)</f>
        <v>1</v>
      </c>
    </row>
    <row r="885" spans="1:7" ht="45" customHeight="1" x14ac:dyDescent="0.2">
      <c r="A885" s="17" t="s">
        <v>3398</v>
      </c>
      <c r="B885" s="17" t="s">
        <v>3141</v>
      </c>
      <c r="C885" s="17" t="s">
        <v>285</v>
      </c>
      <c r="D885" s="83" t="s">
        <v>23</v>
      </c>
      <c r="E885" s="102" t="s">
        <v>286</v>
      </c>
      <c r="F885" s="102" t="s">
        <v>286</v>
      </c>
      <c r="G885" s="84">
        <f>SUM(G886:G887)</f>
        <v>1</v>
      </c>
    </row>
    <row r="886" spans="1:7" x14ac:dyDescent="0.2">
      <c r="A886" s="28"/>
      <c r="B886" s="28" t="s">
        <v>3142</v>
      </c>
      <c r="C886" s="29" t="s">
        <v>3143</v>
      </c>
      <c r="D886" s="29"/>
      <c r="E886" s="29"/>
      <c r="F886" s="29"/>
      <c r="G886" s="30"/>
    </row>
    <row r="887" spans="1:7" x14ac:dyDescent="0.2">
      <c r="A887" s="31"/>
      <c r="B887" s="31"/>
      <c r="C887" s="32">
        <v>1</v>
      </c>
      <c r="D887" s="32"/>
      <c r="E887" s="32"/>
      <c r="F887" s="32"/>
      <c r="G887" s="32">
        <f>PRODUCT(C887:F887)</f>
        <v>1</v>
      </c>
    </row>
    <row r="889" spans="1:7" ht="45" customHeight="1" x14ac:dyDescent="0.2">
      <c r="A889" s="17" t="s">
        <v>3399</v>
      </c>
      <c r="B889" s="17" t="s">
        <v>3141</v>
      </c>
      <c r="C889" s="17" t="s">
        <v>287</v>
      </c>
      <c r="D889" s="83" t="s">
        <v>23</v>
      </c>
      <c r="E889" s="102" t="s">
        <v>288</v>
      </c>
      <c r="F889" s="102" t="s">
        <v>288</v>
      </c>
      <c r="G889" s="84">
        <f>SUM(G890:G891)</f>
        <v>1</v>
      </c>
    </row>
    <row r="890" spans="1:7" x14ac:dyDescent="0.2">
      <c r="A890" s="28"/>
      <c r="B890" s="28" t="s">
        <v>3142</v>
      </c>
      <c r="C890" s="29" t="s">
        <v>3143</v>
      </c>
      <c r="D890" s="29"/>
      <c r="E890" s="29"/>
      <c r="F890" s="29"/>
      <c r="G890" s="30"/>
    </row>
    <row r="891" spans="1:7" x14ac:dyDescent="0.2">
      <c r="A891" s="31"/>
      <c r="B891" s="31"/>
      <c r="C891" s="32">
        <v>1</v>
      </c>
      <c r="D891" s="32"/>
      <c r="E891" s="32"/>
      <c r="F891" s="32"/>
      <c r="G891" s="32">
        <f>PRODUCT(C891:F891)</f>
        <v>1</v>
      </c>
    </row>
    <row r="893" spans="1:7" ht="45" customHeight="1" x14ac:dyDescent="0.2">
      <c r="A893" s="17" t="s">
        <v>3400</v>
      </c>
      <c r="B893" s="17" t="s">
        <v>3141</v>
      </c>
      <c r="C893" s="17" t="s">
        <v>289</v>
      </c>
      <c r="D893" s="83" t="s">
        <v>23</v>
      </c>
      <c r="E893" s="102" t="s">
        <v>290</v>
      </c>
      <c r="F893" s="102" t="s">
        <v>290</v>
      </c>
      <c r="G893" s="84">
        <f>SUM(G894:G895)</f>
        <v>1</v>
      </c>
    </row>
    <row r="894" spans="1:7" x14ac:dyDescent="0.2">
      <c r="A894" s="28"/>
      <c r="B894" s="28" t="s">
        <v>3142</v>
      </c>
      <c r="C894" s="29" t="s">
        <v>3143</v>
      </c>
      <c r="D894" s="29"/>
      <c r="E894" s="29"/>
      <c r="F894" s="29"/>
      <c r="G894" s="30"/>
    </row>
    <row r="895" spans="1:7" x14ac:dyDescent="0.2">
      <c r="A895" s="31"/>
      <c r="B895" s="31"/>
      <c r="C895" s="32">
        <v>1</v>
      </c>
      <c r="D895" s="32"/>
      <c r="E895" s="32"/>
      <c r="F895" s="32"/>
      <c r="G895" s="32">
        <f>PRODUCT(C895:F895)</f>
        <v>1</v>
      </c>
    </row>
    <row r="897" spans="1:7" ht="45" customHeight="1" x14ac:dyDescent="0.2">
      <c r="A897" s="17" t="s">
        <v>3401</v>
      </c>
      <c r="B897" s="17" t="s">
        <v>3141</v>
      </c>
      <c r="C897" s="17" t="s">
        <v>291</v>
      </c>
      <c r="D897" s="83" t="s">
        <v>23</v>
      </c>
      <c r="E897" s="102" t="s">
        <v>292</v>
      </c>
      <c r="F897" s="102" t="s">
        <v>292</v>
      </c>
      <c r="G897" s="84">
        <f>SUM(G898:G899)</f>
        <v>1</v>
      </c>
    </row>
    <row r="898" spans="1:7" x14ac:dyDescent="0.2">
      <c r="A898" s="28"/>
      <c r="B898" s="28" t="s">
        <v>3142</v>
      </c>
      <c r="C898" s="29" t="s">
        <v>3143</v>
      </c>
      <c r="D898" s="29"/>
      <c r="E898" s="29"/>
      <c r="F898" s="29"/>
      <c r="G898" s="30"/>
    </row>
    <row r="899" spans="1:7" x14ac:dyDescent="0.2">
      <c r="A899" s="31"/>
      <c r="B899" s="31"/>
      <c r="C899" s="32">
        <v>1</v>
      </c>
      <c r="D899" s="32"/>
      <c r="E899" s="32"/>
      <c r="F899" s="32"/>
      <c r="G899" s="32">
        <f>PRODUCT(C899:F899)</f>
        <v>1</v>
      </c>
    </row>
    <row r="901" spans="1:7" ht="45" customHeight="1" x14ac:dyDescent="0.2">
      <c r="A901" s="17" t="s">
        <v>3402</v>
      </c>
      <c r="B901" s="17" t="s">
        <v>3141</v>
      </c>
      <c r="C901" s="17" t="s">
        <v>293</v>
      </c>
      <c r="D901" s="83" t="s">
        <v>23</v>
      </c>
      <c r="E901" s="102" t="s">
        <v>294</v>
      </c>
      <c r="F901" s="102" t="s">
        <v>294</v>
      </c>
      <c r="G901" s="84">
        <f>SUM(G902:G903)</f>
        <v>1</v>
      </c>
    </row>
    <row r="902" spans="1:7" x14ac:dyDescent="0.2">
      <c r="A902" s="28"/>
      <c r="B902" s="28" t="s">
        <v>3142</v>
      </c>
      <c r="C902" s="29" t="s">
        <v>3143</v>
      </c>
      <c r="D902" s="29"/>
      <c r="E902" s="29"/>
      <c r="F902" s="29"/>
      <c r="G902" s="30"/>
    </row>
    <row r="903" spans="1:7" x14ac:dyDescent="0.2">
      <c r="A903" s="31"/>
      <c r="B903" s="31"/>
      <c r="C903" s="32">
        <v>1</v>
      </c>
      <c r="D903" s="32"/>
      <c r="E903" s="32"/>
      <c r="F903" s="32"/>
      <c r="G903" s="32">
        <f>PRODUCT(C903:F903)</f>
        <v>1</v>
      </c>
    </row>
    <row r="905" spans="1:7" ht="45" customHeight="1" x14ac:dyDescent="0.2">
      <c r="A905" s="17" t="s">
        <v>3403</v>
      </c>
      <c r="B905" s="17" t="s">
        <v>3141</v>
      </c>
      <c r="C905" s="17" t="s">
        <v>295</v>
      </c>
      <c r="D905" s="83" t="s">
        <v>23</v>
      </c>
      <c r="E905" s="102" t="s">
        <v>296</v>
      </c>
      <c r="F905" s="102" t="s">
        <v>296</v>
      </c>
      <c r="G905" s="84">
        <f>SUM(G906:G907)</f>
        <v>1</v>
      </c>
    </row>
    <row r="906" spans="1:7" x14ac:dyDescent="0.2">
      <c r="A906" s="28"/>
      <c r="B906" s="28" t="s">
        <v>3142</v>
      </c>
      <c r="C906" s="29" t="s">
        <v>3143</v>
      </c>
      <c r="D906" s="29"/>
      <c r="E906" s="29"/>
      <c r="F906" s="29"/>
      <c r="G906" s="30"/>
    </row>
    <row r="907" spans="1:7" x14ac:dyDescent="0.2">
      <c r="A907" s="31"/>
      <c r="B907" s="31"/>
      <c r="C907" s="32">
        <v>1</v>
      </c>
      <c r="D907" s="32"/>
      <c r="E907" s="32"/>
      <c r="F907" s="32"/>
      <c r="G907" s="32">
        <f>PRODUCT(C907:F907)</f>
        <v>1</v>
      </c>
    </row>
    <row r="909" spans="1:7" ht="45" customHeight="1" x14ac:dyDescent="0.2">
      <c r="A909" s="17" t="s">
        <v>3404</v>
      </c>
      <c r="B909" s="17" t="s">
        <v>3141</v>
      </c>
      <c r="C909" s="17" t="s">
        <v>297</v>
      </c>
      <c r="D909" s="83" t="s">
        <v>23</v>
      </c>
      <c r="E909" s="102" t="s">
        <v>298</v>
      </c>
      <c r="F909" s="102" t="s">
        <v>298</v>
      </c>
      <c r="G909" s="84">
        <f>SUM(G910:G911)</f>
        <v>1</v>
      </c>
    </row>
    <row r="910" spans="1:7" x14ac:dyDescent="0.2">
      <c r="A910" s="28"/>
      <c r="B910" s="28" t="s">
        <v>3142</v>
      </c>
      <c r="C910" s="29" t="s">
        <v>3143</v>
      </c>
      <c r="D910" s="29"/>
      <c r="E910" s="29"/>
      <c r="F910" s="29"/>
      <c r="G910" s="30"/>
    </row>
    <row r="911" spans="1:7" x14ac:dyDescent="0.2">
      <c r="A911" s="31"/>
      <c r="B911" s="31"/>
      <c r="C911" s="32">
        <v>1</v>
      </c>
      <c r="D911" s="32"/>
      <c r="E911" s="32"/>
      <c r="F911" s="32"/>
      <c r="G911" s="32">
        <f>PRODUCT(C911:F911)</f>
        <v>1</v>
      </c>
    </row>
    <row r="913" spans="1:7" ht="45" customHeight="1" x14ac:dyDescent="0.2">
      <c r="A913" s="17" t="s">
        <v>3405</v>
      </c>
      <c r="B913" s="17" t="s">
        <v>3141</v>
      </c>
      <c r="C913" s="17" t="s">
        <v>299</v>
      </c>
      <c r="D913" s="83" t="s">
        <v>23</v>
      </c>
      <c r="E913" s="102" t="s">
        <v>300</v>
      </c>
      <c r="F913" s="102" t="s">
        <v>300</v>
      </c>
      <c r="G913" s="84">
        <f>SUM(G914:G915)</f>
        <v>1</v>
      </c>
    </row>
    <row r="914" spans="1:7" x14ac:dyDescent="0.2">
      <c r="A914" s="28"/>
      <c r="B914" s="28" t="s">
        <v>3142</v>
      </c>
      <c r="C914" s="29" t="s">
        <v>3143</v>
      </c>
      <c r="D914" s="29"/>
      <c r="E914" s="29"/>
      <c r="F914" s="29"/>
      <c r="G914" s="30"/>
    </row>
    <row r="915" spans="1:7" x14ac:dyDescent="0.2">
      <c r="A915" s="31"/>
      <c r="B915" s="31"/>
      <c r="C915" s="32">
        <v>1</v>
      </c>
      <c r="D915" s="32"/>
      <c r="E915" s="32"/>
      <c r="F915" s="32"/>
      <c r="G915" s="32">
        <f>PRODUCT(C915:F915)</f>
        <v>1</v>
      </c>
    </row>
    <row r="917" spans="1:7" ht="45" customHeight="1" x14ac:dyDescent="0.2">
      <c r="A917" s="17" t="s">
        <v>3406</v>
      </c>
      <c r="B917" s="17" t="s">
        <v>3141</v>
      </c>
      <c r="C917" s="17" t="s">
        <v>301</v>
      </c>
      <c r="D917" s="83" t="s">
        <v>23</v>
      </c>
      <c r="E917" s="102" t="s">
        <v>302</v>
      </c>
      <c r="F917" s="102" t="s">
        <v>302</v>
      </c>
      <c r="G917" s="84">
        <f>SUM(G918:G919)</f>
        <v>1</v>
      </c>
    </row>
    <row r="918" spans="1:7" x14ac:dyDescent="0.2">
      <c r="A918" s="28"/>
      <c r="B918" s="28" t="s">
        <v>3142</v>
      </c>
      <c r="C918" s="29" t="s">
        <v>3143</v>
      </c>
      <c r="D918" s="29"/>
      <c r="E918" s="29"/>
      <c r="F918" s="29"/>
      <c r="G918" s="30"/>
    </row>
    <row r="919" spans="1:7" x14ac:dyDescent="0.2">
      <c r="A919" s="31"/>
      <c r="B919" s="31"/>
      <c r="C919" s="32">
        <v>1</v>
      </c>
      <c r="D919" s="32"/>
      <c r="E919" s="32"/>
      <c r="F919" s="32"/>
      <c r="G919" s="32">
        <f>PRODUCT(C919:F919)</f>
        <v>1</v>
      </c>
    </row>
    <row r="921" spans="1:7" ht="45" customHeight="1" x14ac:dyDescent="0.2">
      <c r="A921" s="17" t="s">
        <v>3407</v>
      </c>
      <c r="B921" s="17" t="s">
        <v>3141</v>
      </c>
      <c r="C921" s="17" t="s">
        <v>303</v>
      </c>
      <c r="D921" s="83" t="s">
        <v>23</v>
      </c>
      <c r="E921" s="102" t="s">
        <v>304</v>
      </c>
      <c r="F921" s="102" t="s">
        <v>304</v>
      </c>
      <c r="G921" s="84">
        <f>SUM(G922:G923)</f>
        <v>1</v>
      </c>
    </row>
    <row r="922" spans="1:7" x14ac:dyDescent="0.2">
      <c r="A922" s="28"/>
      <c r="B922" s="28" t="s">
        <v>3142</v>
      </c>
      <c r="C922" s="29" t="s">
        <v>3143</v>
      </c>
      <c r="D922" s="29"/>
      <c r="E922" s="29"/>
      <c r="F922" s="29"/>
      <c r="G922" s="30"/>
    </row>
    <row r="923" spans="1:7" x14ac:dyDescent="0.2">
      <c r="A923" s="31"/>
      <c r="B923" s="31"/>
      <c r="C923" s="32">
        <v>1</v>
      </c>
      <c r="D923" s="32"/>
      <c r="E923" s="32"/>
      <c r="F923" s="32"/>
      <c r="G923" s="32">
        <f>PRODUCT(C923:F923)</f>
        <v>1</v>
      </c>
    </row>
    <row r="925" spans="1:7" ht="45" customHeight="1" x14ac:dyDescent="0.2">
      <c r="A925" s="17" t="s">
        <v>3408</v>
      </c>
      <c r="B925" s="17" t="s">
        <v>3141</v>
      </c>
      <c r="C925" s="17" t="s">
        <v>305</v>
      </c>
      <c r="D925" s="83" t="s">
        <v>23</v>
      </c>
      <c r="E925" s="102" t="s">
        <v>306</v>
      </c>
      <c r="F925" s="102" t="s">
        <v>306</v>
      </c>
      <c r="G925" s="84">
        <f>SUM(G926:G927)</f>
        <v>1</v>
      </c>
    </row>
    <row r="926" spans="1:7" x14ac:dyDescent="0.2">
      <c r="A926" s="28"/>
      <c r="B926" s="28" t="s">
        <v>3142</v>
      </c>
      <c r="C926" s="29" t="s">
        <v>3143</v>
      </c>
      <c r="D926" s="29"/>
      <c r="E926" s="29"/>
      <c r="F926" s="29"/>
      <c r="G926" s="30"/>
    </row>
    <row r="927" spans="1:7" x14ac:dyDescent="0.2">
      <c r="A927" s="31"/>
      <c r="B927" s="31"/>
      <c r="C927" s="32">
        <v>1</v>
      </c>
      <c r="D927" s="32"/>
      <c r="E927" s="32"/>
      <c r="F927" s="32"/>
      <c r="G927" s="32">
        <f>PRODUCT(C927:F927)</f>
        <v>1</v>
      </c>
    </row>
    <row r="929" spans="1:7" ht="45" customHeight="1" x14ac:dyDescent="0.2">
      <c r="A929" s="17" t="s">
        <v>3409</v>
      </c>
      <c r="B929" s="17" t="s">
        <v>3141</v>
      </c>
      <c r="C929" s="17" t="s">
        <v>307</v>
      </c>
      <c r="D929" s="83" t="s">
        <v>23</v>
      </c>
      <c r="E929" s="102" t="s">
        <v>308</v>
      </c>
      <c r="F929" s="102" t="s">
        <v>308</v>
      </c>
      <c r="G929" s="84">
        <f>SUM(G930:G931)</f>
        <v>1</v>
      </c>
    </row>
    <row r="930" spans="1:7" x14ac:dyDescent="0.2">
      <c r="A930" s="28"/>
      <c r="B930" s="28" t="s">
        <v>3142</v>
      </c>
      <c r="C930" s="29" t="s">
        <v>3143</v>
      </c>
      <c r="D930" s="29"/>
      <c r="E930" s="29"/>
      <c r="F930" s="29"/>
      <c r="G930" s="30"/>
    </row>
    <row r="931" spans="1:7" x14ac:dyDescent="0.2">
      <c r="A931" s="31"/>
      <c r="B931" s="31"/>
      <c r="C931" s="32">
        <v>1</v>
      </c>
      <c r="D931" s="32"/>
      <c r="E931" s="32"/>
      <c r="F931" s="32"/>
      <c r="G931" s="32">
        <f>PRODUCT(C931:F931)</f>
        <v>1</v>
      </c>
    </row>
    <row r="933" spans="1:7" ht="45" customHeight="1" x14ac:dyDescent="0.2">
      <c r="A933" s="17" t="s">
        <v>3410</v>
      </c>
      <c r="B933" s="17" t="s">
        <v>3141</v>
      </c>
      <c r="C933" s="17" t="s">
        <v>309</v>
      </c>
      <c r="D933" s="83" t="s">
        <v>23</v>
      </c>
      <c r="E933" s="102" t="s">
        <v>310</v>
      </c>
      <c r="F933" s="102" t="s">
        <v>310</v>
      </c>
      <c r="G933" s="84">
        <f>SUM(G934:G935)</f>
        <v>1</v>
      </c>
    </row>
    <row r="934" spans="1:7" x14ac:dyDescent="0.2">
      <c r="A934" s="28"/>
      <c r="B934" s="28" t="s">
        <v>3142</v>
      </c>
      <c r="C934" s="29" t="s">
        <v>3143</v>
      </c>
      <c r="D934" s="29"/>
      <c r="E934" s="29"/>
      <c r="F934" s="29"/>
      <c r="G934" s="30"/>
    </row>
    <row r="935" spans="1:7" x14ac:dyDescent="0.2">
      <c r="A935" s="31"/>
      <c r="B935" s="31"/>
      <c r="C935" s="32">
        <v>1</v>
      </c>
      <c r="D935" s="32"/>
      <c r="E935" s="32"/>
      <c r="F935" s="32"/>
      <c r="G935" s="32">
        <f>PRODUCT(C935:F935)</f>
        <v>1</v>
      </c>
    </row>
    <row r="937" spans="1:7" ht="45" customHeight="1" x14ac:dyDescent="0.2">
      <c r="A937" s="17" t="s">
        <v>3411</v>
      </c>
      <c r="B937" s="17" t="s">
        <v>3141</v>
      </c>
      <c r="C937" s="17" t="s">
        <v>311</v>
      </c>
      <c r="D937" s="83" t="s">
        <v>23</v>
      </c>
      <c r="E937" s="102" t="s">
        <v>312</v>
      </c>
      <c r="F937" s="102" t="s">
        <v>312</v>
      </c>
      <c r="G937" s="84">
        <f>SUM(G938:G939)</f>
        <v>1</v>
      </c>
    </row>
    <row r="938" spans="1:7" x14ac:dyDescent="0.2">
      <c r="A938" s="28"/>
      <c r="B938" s="28" t="s">
        <v>3142</v>
      </c>
      <c r="C938" s="29" t="s">
        <v>3143</v>
      </c>
      <c r="D938" s="29"/>
      <c r="E938" s="29"/>
      <c r="F938" s="29"/>
      <c r="G938" s="30"/>
    </row>
    <row r="939" spans="1:7" x14ac:dyDescent="0.2">
      <c r="A939" s="31"/>
      <c r="B939" s="31"/>
      <c r="C939" s="32">
        <v>1</v>
      </c>
      <c r="D939" s="32"/>
      <c r="E939" s="32"/>
      <c r="F939" s="32"/>
      <c r="G939" s="32">
        <f>PRODUCT(C939:F939)</f>
        <v>1</v>
      </c>
    </row>
    <row r="941" spans="1:7" ht="45" customHeight="1" x14ac:dyDescent="0.2">
      <c r="A941" s="17" t="s">
        <v>3412</v>
      </c>
      <c r="B941" s="17" t="s">
        <v>3141</v>
      </c>
      <c r="C941" s="17" t="s">
        <v>313</v>
      </c>
      <c r="D941" s="83" t="s">
        <v>23</v>
      </c>
      <c r="E941" s="102" t="s">
        <v>314</v>
      </c>
      <c r="F941" s="102" t="s">
        <v>314</v>
      </c>
      <c r="G941" s="84">
        <f>SUM(G942:G943)</f>
        <v>1</v>
      </c>
    </row>
    <row r="942" spans="1:7" x14ac:dyDescent="0.2">
      <c r="A942" s="28"/>
      <c r="B942" s="28" t="s">
        <v>3142</v>
      </c>
      <c r="C942" s="29" t="s">
        <v>3143</v>
      </c>
      <c r="D942" s="29"/>
      <c r="E942" s="29"/>
      <c r="F942" s="29"/>
      <c r="G942" s="30"/>
    </row>
    <row r="943" spans="1:7" x14ac:dyDescent="0.2">
      <c r="A943" s="31"/>
      <c r="B943" s="31"/>
      <c r="C943" s="32">
        <v>1</v>
      </c>
      <c r="D943" s="32"/>
      <c r="E943" s="32"/>
      <c r="F943" s="32"/>
      <c r="G943" s="32">
        <f>PRODUCT(C943:F943)</f>
        <v>1</v>
      </c>
    </row>
    <row r="945" spans="1:7" ht="45" customHeight="1" x14ac:dyDescent="0.2">
      <c r="A945" s="17" t="s">
        <v>3413</v>
      </c>
      <c r="B945" s="17" t="s">
        <v>3141</v>
      </c>
      <c r="C945" s="17" t="s">
        <v>315</v>
      </c>
      <c r="D945" s="83" t="s">
        <v>23</v>
      </c>
      <c r="E945" s="102" t="s">
        <v>316</v>
      </c>
      <c r="F945" s="102" t="s">
        <v>316</v>
      </c>
      <c r="G945" s="84">
        <f>SUM(G946:G947)</f>
        <v>1</v>
      </c>
    </row>
    <row r="946" spans="1:7" x14ac:dyDescent="0.2">
      <c r="A946" s="28"/>
      <c r="B946" s="28" t="s">
        <v>3142</v>
      </c>
      <c r="C946" s="29" t="s">
        <v>3143</v>
      </c>
      <c r="D946" s="29"/>
      <c r="E946" s="29"/>
      <c r="F946" s="29"/>
      <c r="G946" s="30"/>
    </row>
    <row r="947" spans="1:7" x14ac:dyDescent="0.2">
      <c r="A947" s="31"/>
      <c r="B947" s="31"/>
      <c r="C947" s="32">
        <v>1</v>
      </c>
      <c r="D947" s="32"/>
      <c r="E947" s="32"/>
      <c r="F947" s="32"/>
      <c r="G947" s="32">
        <f>PRODUCT(C947:F947)</f>
        <v>1</v>
      </c>
    </row>
    <row r="949" spans="1:7" x14ac:dyDescent="0.2">
      <c r="B949" t="s">
        <v>3139</v>
      </c>
      <c r="C949" s="6" t="s">
        <v>6</v>
      </c>
      <c r="D949" s="7" t="s">
        <v>7</v>
      </c>
      <c r="E949" s="6" t="s">
        <v>8</v>
      </c>
    </row>
    <row r="950" spans="1:7" x14ac:dyDescent="0.2">
      <c r="B950" t="s">
        <v>3139</v>
      </c>
      <c r="C950" s="6" t="s">
        <v>9</v>
      </c>
      <c r="D950" s="7" t="s">
        <v>72</v>
      </c>
      <c r="E950" s="6" t="s">
        <v>165</v>
      </c>
    </row>
    <row r="951" spans="1:7" x14ac:dyDescent="0.2">
      <c r="B951" t="s">
        <v>3139</v>
      </c>
      <c r="C951" s="6" t="s">
        <v>11</v>
      </c>
      <c r="D951" s="7" t="s">
        <v>26</v>
      </c>
      <c r="E951" s="6" t="s">
        <v>178</v>
      </c>
    </row>
    <row r="952" spans="1:7" x14ac:dyDescent="0.2">
      <c r="B952" t="s">
        <v>3139</v>
      </c>
      <c r="C952" s="6" t="s">
        <v>91</v>
      </c>
      <c r="D952" s="7" t="s">
        <v>72</v>
      </c>
      <c r="E952" s="6" t="s">
        <v>317</v>
      </c>
    </row>
    <row r="954" spans="1:7" ht="45" customHeight="1" x14ac:dyDescent="0.2">
      <c r="A954" s="17" t="s">
        <v>3414</v>
      </c>
      <c r="B954" s="17" t="s">
        <v>3141</v>
      </c>
      <c r="C954" s="17" t="s">
        <v>319</v>
      </c>
      <c r="D954" s="83" t="s">
        <v>23</v>
      </c>
      <c r="E954" s="102" t="s">
        <v>320</v>
      </c>
      <c r="F954" s="102" t="s">
        <v>320</v>
      </c>
      <c r="G954" s="84">
        <f>SUM(G955:G956)</f>
        <v>1</v>
      </c>
    </row>
    <row r="955" spans="1:7" x14ac:dyDescent="0.2">
      <c r="A955" s="28"/>
      <c r="B955" s="28" t="s">
        <v>3142</v>
      </c>
      <c r="C955" s="29" t="s">
        <v>3143</v>
      </c>
      <c r="D955" s="29"/>
      <c r="E955" s="29"/>
      <c r="F955" s="29"/>
      <c r="G955" s="30"/>
    </row>
    <row r="956" spans="1:7" x14ac:dyDescent="0.2">
      <c r="A956" s="31"/>
      <c r="B956" s="31"/>
      <c r="C956" s="32">
        <v>1</v>
      </c>
      <c r="D956" s="32"/>
      <c r="E956" s="32"/>
      <c r="F956" s="32"/>
      <c r="G956" s="32">
        <f>PRODUCT(C956:F956)</f>
        <v>1</v>
      </c>
    </row>
    <row r="958" spans="1:7" ht="45" customHeight="1" x14ac:dyDescent="0.2">
      <c r="A958" s="17" t="s">
        <v>3415</v>
      </c>
      <c r="B958" s="17" t="s">
        <v>3141</v>
      </c>
      <c r="C958" s="17" t="s">
        <v>321</v>
      </c>
      <c r="D958" s="83" t="s">
        <v>23</v>
      </c>
      <c r="E958" s="102" t="s">
        <v>322</v>
      </c>
      <c r="F958" s="102" t="s">
        <v>322</v>
      </c>
      <c r="G958" s="84">
        <f>SUM(G959:G960)</f>
        <v>1</v>
      </c>
    </row>
    <row r="959" spans="1:7" x14ac:dyDescent="0.2">
      <c r="A959" s="28"/>
      <c r="B959" s="28" t="s">
        <v>3142</v>
      </c>
      <c r="C959" s="29" t="s">
        <v>3143</v>
      </c>
      <c r="D959" s="29"/>
      <c r="E959" s="29"/>
      <c r="F959" s="29"/>
      <c r="G959" s="30"/>
    </row>
    <row r="960" spans="1:7" x14ac:dyDescent="0.2">
      <c r="A960" s="31"/>
      <c r="B960" s="31"/>
      <c r="C960" s="32">
        <v>1</v>
      </c>
      <c r="D960" s="32"/>
      <c r="E960" s="32"/>
      <c r="F960" s="32"/>
      <c r="G960" s="32">
        <f>PRODUCT(C960:F960)</f>
        <v>1</v>
      </c>
    </row>
    <row r="962" spans="1:7" ht="45" customHeight="1" x14ac:dyDescent="0.2">
      <c r="A962" s="17" t="s">
        <v>3416</v>
      </c>
      <c r="B962" s="17" t="s">
        <v>3141</v>
      </c>
      <c r="C962" s="17" t="s">
        <v>323</v>
      </c>
      <c r="D962" s="83" t="s">
        <v>23</v>
      </c>
      <c r="E962" s="102" t="s">
        <v>324</v>
      </c>
      <c r="F962" s="102" t="s">
        <v>324</v>
      </c>
      <c r="G962" s="84">
        <f>SUM(G963:G964)</f>
        <v>1</v>
      </c>
    </row>
    <row r="963" spans="1:7" x14ac:dyDescent="0.2">
      <c r="A963" s="28"/>
      <c r="B963" s="28" t="s">
        <v>3142</v>
      </c>
      <c r="C963" s="29" t="s">
        <v>3143</v>
      </c>
      <c r="D963" s="29"/>
      <c r="E963" s="29"/>
      <c r="F963" s="29"/>
      <c r="G963" s="30"/>
    </row>
    <row r="964" spans="1:7" x14ac:dyDescent="0.2">
      <c r="A964" s="31"/>
      <c r="B964" s="31"/>
      <c r="C964" s="32">
        <v>1</v>
      </c>
      <c r="D964" s="32"/>
      <c r="E964" s="32"/>
      <c r="F964" s="32"/>
      <c r="G964" s="32">
        <f>PRODUCT(C964:F964)</f>
        <v>1</v>
      </c>
    </row>
    <row r="966" spans="1:7" ht="45" customHeight="1" x14ac:dyDescent="0.2">
      <c r="A966" s="17" t="s">
        <v>3417</v>
      </c>
      <c r="B966" s="17" t="s">
        <v>3141</v>
      </c>
      <c r="C966" s="17" t="s">
        <v>325</v>
      </c>
      <c r="D966" s="83" t="s">
        <v>23</v>
      </c>
      <c r="E966" s="102" t="s">
        <v>326</v>
      </c>
      <c r="F966" s="102" t="s">
        <v>326</v>
      </c>
      <c r="G966" s="84">
        <f>SUM(G967:G968)</f>
        <v>1</v>
      </c>
    </row>
    <row r="967" spans="1:7" x14ac:dyDescent="0.2">
      <c r="A967" s="28"/>
      <c r="B967" s="28" t="s">
        <v>3142</v>
      </c>
      <c r="C967" s="29" t="s">
        <v>3143</v>
      </c>
      <c r="D967" s="29"/>
      <c r="E967" s="29"/>
      <c r="F967" s="29"/>
      <c r="G967" s="30"/>
    </row>
    <row r="968" spans="1:7" x14ac:dyDescent="0.2">
      <c r="A968" s="31"/>
      <c r="B968" s="31"/>
      <c r="C968" s="32">
        <v>1</v>
      </c>
      <c r="D968" s="32"/>
      <c r="E968" s="32"/>
      <c r="F968" s="32"/>
      <c r="G968" s="32">
        <f>PRODUCT(C968:F968)</f>
        <v>1</v>
      </c>
    </row>
    <row r="970" spans="1:7" ht="45" customHeight="1" x14ac:dyDescent="0.2">
      <c r="A970" s="17" t="s">
        <v>3418</v>
      </c>
      <c r="B970" s="17" t="s">
        <v>3141</v>
      </c>
      <c r="C970" s="17" t="s">
        <v>327</v>
      </c>
      <c r="D970" s="83" t="s">
        <v>23</v>
      </c>
      <c r="E970" s="102" t="s">
        <v>328</v>
      </c>
      <c r="F970" s="102" t="s">
        <v>328</v>
      </c>
      <c r="G970" s="84">
        <f>SUM(G971:G972)</f>
        <v>1</v>
      </c>
    </row>
    <row r="971" spans="1:7" x14ac:dyDescent="0.2">
      <c r="A971" s="28"/>
      <c r="B971" s="28" t="s">
        <v>3142</v>
      </c>
      <c r="C971" s="29" t="s">
        <v>3143</v>
      </c>
      <c r="D971" s="29"/>
      <c r="E971" s="29"/>
      <c r="F971" s="29"/>
      <c r="G971" s="30"/>
    </row>
    <row r="972" spans="1:7" x14ac:dyDescent="0.2">
      <c r="A972" s="31"/>
      <c r="B972" s="31"/>
      <c r="C972" s="32">
        <v>1</v>
      </c>
      <c r="D972" s="32"/>
      <c r="E972" s="32"/>
      <c r="F972" s="32"/>
      <c r="G972" s="32">
        <f>PRODUCT(C972:F972)</f>
        <v>1</v>
      </c>
    </row>
    <row r="974" spans="1:7" ht="45" customHeight="1" x14ac:dyDescent="0.2">
      <c r="A974" s="17" t="s">
        <v>3419</v>
      </c>
      <c r="B974" s="17" t="s">
        <v>3141</v>
      </c>
      <c r="C974" s="17" t="s">
        <v>329</v>
      </c>
      <c r="D974" s="83" t="s">
        <v>23</v>
      </c>
      <c r="E974" s="102" t="s">
        <v>330</v>
      </c>
      <c r="F974" s="102" t="s">
        <v>330</v>
      </c>
      <c r="G974" s="84">
        <f>SUM(G975:G976)</f>
        <v>1</v>
      </c>
    </row>
    <row r="975" spans="1:7" x14ac:dyDescent="0.2">
      <c r="A975" s="28"/>
      <c r="B975" s="28" t="s">
        <v>3142</v>
      </c>
      <c r="C975" s="29" t="s">
        <v>3143</v>
      </c>
      <c r="D975" s="29"/>
      <c r="E975" s="29"/>
      <c r="F975" s="29"/>
      <c r="G975" s="30"/>
    </row>
    <row r="976" spans="1:7" x14ac:dyDescent="0.2">
      <c r="A976" s="31"/>
      <c r="B976" s="31"/>
      <c r="C976" s="32">
        <v>1</v>
      </c>
      <c r="D976" s="32"/>
      <c r="E976" s="32"/>
      <c r="F976" s="32"/>
      <c r="G976" s="32">
        <f>PRODUCT(C976:F976)</f>
        <v>1</v>
      </c>
    </row>
    <row r="978" spans="1:7" ht="45" customHeight="1" x14ac:dyDescent="0.2">
      <c r="A978" s="17" t="s">
        <v>3420</v>
      </c>
      <c r="B978" s="17" t="s">
        <v>3141</v>
      </c>
      <c r="C978" s="17" t="s">
        <v>331</v>
      </c>
      <c r="D978" s="83" t="s">
        <v>23</v>
      </c>
      <c r="E978" s="102" t="s">
        <v>332</v>
      </c>
      <c r="F978" s="102" t="s">
        <v>332</v>
      </c>
      <c r="G978" s="84">
        <f>SUM(G979:G980)</f>
        <v>1</v>
      </c>
    </row>
    <row r="979" spans="1:7" x14ac:dyDescent="0.2">
      <c r="A979" s="28"/>
      <c r="B979" s="28" t="s">
        <v>3142</v>
      </c>
      <c r="C979" s="29" t="s">
        <v>3143</v>
      </c>
      <c r="D979" s="29"/>
      <c r="E979" s="29"/>
      <c r="F979" s="29"/>
      <c r="G979" s="30"/>
    </row>
    <row r="980" spans="1:7" x14ac:dyDescent="0.2">
      <c r="A980" s="31"/>
      <c r="B980" s="31"/>
      <c r="C980" s="32">
        <v>1</v>
      </c>
      <c r="D980" s="32"/>
      <c r="E980" s="32"/>
      <c r="F980" s="32"/>
      <c r="G980" s="32">
        <f>PRODUCT(C980:F980)</f>
        <v>1</v>
      </c>
    </row>
    <row r="982" spans="1:7" ht="45" customHeight="1" x14ac:dyDescent="0.2">
      <c r="A982" s="17" t="s">
        <v>3421</v>
      </c>
      <c r="B982" s="17" t="s">
        <v>3141</v>
      </c>
      <c r="C982" s="17" t="s">
        <v>333</v>
      </c>
      <c r="D982" s="83" t="s">
        <v>23</v>
      </c>
      <c r="E982" s="102" t="s">
        <v>334</v>
      </c>
      <c r="F982" s="102" t="s">
        <v>334</v>
      </c>
      <c r="G982" s="84">
        <f>SUM(G983:G984)</f>
        <v>1</v>
      </c>
    </row>
    <row r="983" spans="1:7" x14ac:dyDescent="0.2">
      <c r="A983" s="28"/>
      <c r="B983" s="28" t="s">
        <v>3142</v>
      </c>
      <c r="C983" s="29" t="s">
        <v>3143</v>
      </c>
      <c r="D983" s="29"/>
      <c r="E983" s="29"/>
      <c r="F983" s="29"/>
      <c r="G983" s="30"/>
    </row>
    <row r="984" spans="1:7" x14ac:dyDescent="0.2">
      <c r="A984" s="31"/>
      <c r="B984" s="31"/>
      <c r="C984" s="32">
        <v>1</v>
      </c>
      <c r="D984" s="32"/>
      <c r="E984" s="32"/>
      <c r="F984" s="32"/>
      <c r="G984" s="32">
        <f>PRODUCT(C984:F984)</f>
        <v>1</v>
      </c>
    </row>
    <row r="986" spans="1:7" ht="45" customHeight="1" x14ac:dyDescent="0.2">
      <c r="A986" s="17" t="s">
        <v>3422</v>
      </c>
      <c r="B986" s="17" t="s">
        <v>3141</v>
      </c>
      <c r="C986" s="17" t="s">
        <v>335</v>
      </c>
      <c r="D986" s="83" t="s">
        <v>23</v>
      </c>
      <c r="E986" s="102" t="s">
        <v>336</v>
      </c>
      <c r="F986" s="102" t="s">
        <v>336</v>
      </c>
      <c r="G986" s="84">
        <f>SUM(G987:G988)</f>
        <v>1</v>
      </c>
    </row>
    <row r="987" spans="1:7" x14ac:dyDescent="0.2">
      <c r="A987" s="28"/>
      <c r="B987" s="28" t="s">
        <v>3142</v>
      </c>
      <c r="C987" s="29" t="s">
        <v>3143</v>
      </c>
      <c r="D987" s="29"/>
      <c r="E987" s="29"/>
      <c r="F987" s="29"/>
      <c r="G987" s="30"/>
    </row>
    <row r="988" spans="1:7" x14ac:dyDescent="0.2">
      <c r="A988" s="31"/>
      <c r="B988" s="31"/>
      <c r="C988" s="32">
        <v>1</v>
      </c>
      <c r="D988" s="32"/>
      <c r="E988" s="32"/>
      <c r="F988" s="32"/>
      <c r="G988" s="32">
        <f>PRODUCT(C988:F988)</f>
        <v>1</v>
      </c>
    </row>
    <row r="990" spans="1:7" ht="45" customHeight="1" x14ac:dyDescent="0.2">
      <c r="A990" s="17" t="s">
        <v>3423</v>
      </c>
      <c r="B990" s="17" t="s">
        <v>3141</v>
      </c>
      <c r="C990" s="17" t="s">
        <v>337</v>
      </c>
      <c r="D990" s="83" t="s">
        <v>23</v>
      </c>
      <c r="E990" s="102" t="s">
        <v>338</v>
      </c>
      <c r="F990" s="102" t="s">
        <v>338</v>
      </c>
      <c r="G990" s="84">
        <f>SUM(G991:G992)</f>
        <v>1</v>
      </c>
    </row>
    <row r="991" spans="1:7" x14ac:dyDescent="0.2">
      <c r="A991" s="28"/>
      <c r="B991" s="28" t="s">
        <v>3142</v>
      </c>
      <c r="C991" s="29" t="s">
        <v>3143</v>
      </c>
      <c r="D991" s="29"/>
      <c r="E991" s="29"/>
      <c r="F991" s="29"/>
      <c r="G991" s="30"/>
    </row>
    <row r="992" spans="1:7" x14ac:dyDescent="0.2">
      <c r="A992" s="31"/>
      <c r="B992" s="31"/>
      <c r="C992" s="32">
        <v>1</v>
      </c>
      <c r="D992" s="32"/>
      <c r="E992" s="32"/>
      <c r="F992" s="32"/>
      <c r="G992" s="32">
        <f>PRODUCT(C992:F992)</f>
        <v>1</v>
      </c>
    </row>
    <row r="994" spans="1:7" x14ac:dyDescent="0.2">
      <c r="B994" t="s">
        <v>3139</v>
      </c>
      <c r="C994" s="6" t="s">
        <v>6</v>
      </c>
      <c r="D994" s="7" t="s">
        <v>7</v>
      </c>
      <c r="E994" s="6" t="s">
        <v>8</v>
      </c>
    </row>
    <row r="995" spans="1:7" x14ac:dyDescent="0.2">
      <c r="B995" t="s">
        <v>3139</v>
      </c>
      <c r="C995" s="6" t="s">
        <v>9</v>
      </c>
      <c r="D995" s="7" t="s">
        <v>72</v>
      </c>
      <c r="E995" s="6" t="s">
        <v>165</v>
      </c>
    </row>
    <row r="996" spans="1:7" x14ac:dyDescent="0.2">
      <c r="B996" t="s">
        <v>3139</v>
      </c>
      <c r="C996" s="6" t="s">
        <v>11</v>
      </c>
      <c r="D996" s="7" t="s">
        <v>26</v>
      </c>
      <c r="E996" s="6" t="s">
        <v>178</v>
      </c>
    </row>
    <row r="997" spans="1:7" x14ac:dyDescent="0.2">
      <c r="B997" t="s">
        <v>3139</v>
      </c>
      <c r="C997" s="6" t="s">
        <v>91</v>
      </c>
      <c r="D997" s="7" t="s">
        <v>153</v>
      </c>
      <c r="E997" s="6" t="s">
        <v>339</v>
      </c>
    </row>
    <row r="999" spans="1:7" ht="45" customHeight="1" x14ac:dyDescent="0.2">
      <c r="A999" s="17" t="s">
        <v>3424</v>
      </c>
      <c r="B999" s="17" t="s">
        <v>3141</v>
      </c>
      <c r="C999" s="17" t="s">
        <v>341</v>
      </c>
      <c r="D999" s="83" t="s">
        <v>23</v>
      </c>
      <c r="E999" s="102" t="s">
        <v>342</v>
      </c>
      <c r="F999" s="102" t="s">
        <v>342</v>
      </c>
      <c r="G999" s="84">
        <f>SUM(G1000:G1001)</f>
        <v>1</v>
      </c>
    </row>
    <row r="1000" spans="1:7" x14ac:dyDescent="0.2">
      <c r="A1000" s="28"/>
      <c r="B1000" s="28" t="s">
        <v>3142</v>
      </c>
      <c r="C1000" s="29" t="s">
        <v>3143</v>
      </c>
      <c r="D1000" s="29"/>
      <c r="E1000" s="29"/>
      <c r="F1000" s="29"/>
      <c r="G1000" s="30"/>
    </row>
    <row r="1001" spans="1:7" x14ac:dyDescent="0.2">
      <c r="A1001" s="31"/>
      <c r="B1001" s="31"/>
      <c r="C1001" s="32">
        <v>1</v>
      </c>
      <c r="D1001" s="32"/>
      <c r="E1001" s="32"/>
      <c r="F1001" s="32"/>
      <c r="G1001" s="32">
        <f>PRODUCT(C1001:F1001)</f>
        <v>1</v>
      </c>
    </row>
    <row r="1003" spans="1:7" ht="45" customHeight="1" x14ac:dyDescent="0.2">
      <c r="A1003" s="17" t="s">
        <v>3425</v>
      </c>
      <c r="B1003" s="17" t="s">
        <v>3141</v>
      </c>
      <c r="C1003" s="17" t="s">
        <v>343</v>
      </c>
      <c r="D1003" s="83" t="s">
        <v>23</v>
      </c>
      <c r="E1003" s="102" t="s">
        <v>344</v>
      </c>
      <c r="F1003" s="102" t="s">
        <v>344</v>
      </c>
      <c r="G1003" s="84">
        <f>SUM(G1004:G1005)</f>
        <v>1</v>
      </c>
    </row>
    <row r="1004" spans="1:7" x14ac:dyDescent="0.2">
      <c r="A1004" s="28"/>
      <c r="B1004" s="28" t="s">
        <v>3142</v>
      </c>
      <c r="C1004" s="29" t="s">
        <v>3143</v>
      </c>
      <c r="D1004" s="29"/>
      <c r="E1004" s="29"/>
      <c r="F1004" s="29"/>
      <c r="G1004" s="30"/>
    </row>
    <row r="1005" spans="1:7" x14ac:dyDescent="0.2">
      <c r="A1005" s="31"/>
      <c r="B1005" s="31"/>
      <c r="C1005" s="32">
        <v>1</v>
      </c>
      <c r="D1005" s="32"/>
      <c r="E1005" s="32"/>
      <c r="F1005" s="32"/>
      <c r="G1005" s="32">
        <f>PRODUCT(C1005:F1005)</f>
        <v>1</v>
      </c>
    </row>
    <row r="1007" spans="1:7" ht="45" customHeight="1" x14ac:dyDescent="0.2">
      <c r="A1007" s="17" t="s">
        <v>3426</v>
      </c>
      <c r="B1007" s="17" t="s">
        <v>3141</v>
      </c>
      <c r="C1007" s="17" t="s">
        <v>345</v>
      </c>
      <c r="D1007" s="83" t="s">
        <v>23</v>
      </c>
      <c r="E1007" s="102" t="s">
        <v>346</v>
      </c>
      <c r="F1007" s="102" t="s">
        <v>346</v>
      </c>
      <c r="G1007" s="84">
        <f>SUM(G1008:G1009)</f>
        <v>1</v>
      </c>
    </row>
    <row r="1008" spans="1:7" x14ac:dyDescent="0.2">
      <c r="A1008" s="28"/>
      <c r="B1008" s="28" t="s">
        <v>3142</v>
      </c>
      <c r="C1008" s="29" t="s">
        <v>3143</v>
      </c>
      <c r="D1008" s="29"/>
      <c r="E1008" s="29"/>
      <c r="F1008" s="29"/>
      <c r="G1008" s="30"/>
    </row>
    <row r="1009" spans="1:7" x14ac:dyDescent="0.2">
      <c r="A1009" s="31"/>
      <c r="B1009" s="31"/>
      <c r="C1009" s="32">
        <v>1</v>
      </c>
      <c r="D1009" s="32"/>
      <c r="E1009" s="32"/>
      <c r="F1009" s="32"/>
      <c r="G1009" s="32">
        <f>PRODUCT(C1009:F1009)</f>
        <v>1</v>
      </c>
    </row>
    <row r="1011" spans="1:7" ht="45" customHeight="1" x14ac:dyDescent="0.2">
      <c r="A1011" s="17" t="s">
        <v>3427</v>
      </c>
      <c r="B1011" s="17" t="s">
        <v>3141</v>
      </c>
      <c r="C1011" s="17" t="s">
        <v>347</v>
      </c>
      <c r="D1011" s="83" t="s">
        <v>23</v>
      </c>
      <c r="E1011" s="102" t="s">
        <v>348</v>
      </c>
      <c r="F1011" s="102" t="s">
        <v>348</v>
      </c>
      <c r="G1011" s="84">
        <f>SUM(G1012:G1013)</f>
        <v>1</v>
      </c>
    </row>
    <row r="1012" spans="1:7" x14ac:dyDescent="0.2">
      <c r="A1012" s="28"/>
      <c r="B1012" s="28" t="s">
        <v>3142</v>
      </c>
      <c r="C1012" s="29" t="s">
        <v>3143</v>
      </c>
      <c r="D1012" s="29"/>
      <c r="E1012" s="29"/>
      <c r="F1012" s="29"/>
      <c r="G1012" s="30"/>
    </row>
    <row r="1013" spans="1:7" x14ac:dyDescent="0.2">
      <c r="A1013" s="31"/>
      <c r="B1013" s="31"/>
      <c r="C1013" s="32">
        <v>1</v>
      </c>
      <c r="D1013" s="32"/>
      <c r="E1013" s="32"/>
      <c r="F1013" s="32"/>
      <c r="G1013" s="32">
        <f>PRODUCT(C1013:F1013)</f>
        <v>1</v>
      </c>
    </row>
    <row r="1015" spans="1:7" ht="45" customHeight="1" x14ac:dyDescent="0.2">
      <c r="A1015" s="17" t="s">
        <v>3428</v>
      </c>
      <c r="B1015" s="17" t="s">
        <v>3141</v>
      </c>
      <c r="C1015" s="17" t="s">
        <v>349</v>
      </c>
      <c r="D1015" s="83" t="s">
        <v>23</v>
      </c>
      <c r="E1015" s="102" t="s">
        <v>350</v>
      </c>
      <c r="F1015" s="102" t="s">
        <v>350</v>
      </c>
      <c r="G1015" s="84">
        <f>SUM(G1016:G1017)</f>
        <v>1</v>
      </c>
    </row>
    <row r="1016" spans="1:7" x14ac:dyDescent="0.2">
      <c r="A1016" s="28"/>
      <c r="B1016" s="28" t="s">
        <v>3142</v>
      </c>
      <c r="C1016" s="29" t="s">
        <v>3143</v>
      </c>
      <c r="D1016" s="29"/>
      <c r="E1016" s="29"/>
      <c r="F1016" s="29"/>
      <c r="G1016" s="30"/>
    </row>
    <row r="1017" spans="1:7" x14ac:dyDescent="0.2">
      <c r="A1017" s="31"/>
      <c r="B1017" s="31"/>
      <c r="C1017" s="32">
        <v>1</v>
      </c>
      <c r="D1017" s="32"/>
      <c r="E1017" s="32"/>
      <c r="F1017" s="32"/>
      <c r="G1017" s="32">
        <f>PRODUCT(C1017:F1017)</f>
        <v>1</v>
      </c>
    </row>
    <row r="1019" spans="1:7" x14ac:dyDescent="0.2">
      <c r="B1019" t="s">
        <v>3139</v>
      </c>
      <c r="C1019" s="6" t="s">
        <v>6</v>
      </c>
      <c r="D1019" s="7" t="s">
        <v>7</v>
      </c>
      <c r="E1019" s="6" t="s">
        <v>8</v>
      </c>
    </row>
    <row r="1020" spans="1:7" x14ac:dyDescent="0.2">
      <c r="B1020" t="s">
        <v>3139</v>
      </c>
      <c r="C1020" s="6" t="s">
        <v>9</v>
      </c>
      <c r="D1020" s="7" t="s">
        <v>72</v>
      </c>
      <c r="E1020" s="6" t="s">
        <v>165</v>
      </c>
    </row>
    <row r="1021" spans="1:7" x14ac:dyDescent="0.2">
      <c r="B1021" t="s">
        <v>3139</v>
      </c>
      <c r="C1021" s="6" t="s">
        <v>11</v>
      </c>
      <c r="D1021" s="7" t="s">
        <v>26</v>
      </c>
      <c r="E1021" s="6" t="s">
        <v>178</v>
      </c>
    </row>
    <row r="1022" spans="1:7" x14ac:dyDescent="0.2">
      <c r="B1022" t="s">
        <v>3139</v>
      </c>
      <c r="C1022" s="6" t="s">
        <v>91</v>
      </c>
      <c r="D1022" s="7" t="s">
        <v>158</v>
      </c>
      <c r="E1022" s="6" t="s">
        <v>351</v>
      </c>
    </row>
    <row r="1024" spans="1:7" ht="45" customHeight="1" x14ac:dyDescent="0.2">
      <c r="A1024" s="17" t="s">
        <v>3429</v>
      </c>
      <c r="B1024" s="17" t="s">
        <v>3141</v>
      </c>
      <c r="C1024" s="17" t="s">
        <v>353</v>
      </c>
      <c r="D1024" s="83" t="s">
        <v>23</v>
      </c>
      <c r="E1024" s="102" t="s">
        <v>354</v>
      </c>
      <c r="F1024" s="102" t="s">
        <v>354</v>
      </c>
      <c r="G1024" s="84">
        <f>SUM(G1025:G1026)</f>
        <v>1</v>
      </c>
    </row>
    <row r="1025" spans="1:7" x14ac:dyDescent="0.2">
      <c r="A1025" s="28"/>
      <c r="B1025" s="28" t="s">
        <v>3142</v>
      </c>
      <c r="C1025" s="29" t="s">
        <v>3143</v>
      </c>
      <c r="D1025" s="29"/>
      <c r="E1025" s="29"/>
      <c r="F1025" s="29"/>
      <c r="G1025" s="30"/>
    </row>
    <row r="1026" spans="1:7" x14ac:dyDescent="0.2">
      <c r="A1026" s="31"/>
      <c r="B1026" s="31"/>
      <c r="C1026" s="32">
        <v>1</v>
      </c>
      <c r="D1026" s="32"/>
      <c r="E1026" s="32"/>
      <c r="F1026" s="32"/>
      <c r="G1026" s="32">
        <f>PRODUCT(C1026:F1026)</f>
        <v>1</v>
      </c>
    </row>
    <row r="1028" spans="1:7" ht="45" customHeight="1" x14ac:dyDescent="0.2">
      <c r="A1028" s="17" t="s">
        <v>3430</v>
      </c>
      <c r="B1028" s="17" t="s">
        <v>3141</v>
      </c>
      <c r="C1028" s="17" t="s">
        <v>355</v>
      </c>
      <c r="D1028" s="83" t="s">
        <v>23</v>
      </c>
      <c r="E1028" s="102" t="s">
        <v>356</v>
      </c>
      <c r="F1028" s="102" t="s">
        <v>356</v>
      </c>
      <c r="G1028" s="84">
        <f>SUM(G1029:G1030)</f>
        <v>1</v>
      </c>
    </row>
    <row r="1029" spans="1:7" x14ac:dyDescent="0.2">
      <c r="A1029" s="28"/>
      <c r="B1029" s="28" t="s">
        <v>3142</v>
      </c>
      <c r="C1029" s="29" t="s">
        <v>3143</v>
      </c>
      <c r="D1029" s="29"/>
      <c r="E1029" s="29"/>
      <c r="F1029" s="29"/>
      <c r="G1029" s="30"/>
    </row>
    <row r="1030" spans="1:7" x14ac:dyDescent="0.2">
      <c r="A1030" s="31"/>
      <c r="B1030" s="31"/>
      <c r="C1030" s="32">
        <v>1</v>
      </c>
      <c r="D1030" s="32"/>
      <c r="E1030" s="32"/>
      <c r="F1030" s="32"/>
      <c r="G1030" s="32">
        <f>PRODUCT(C1030:F1030)</f>
        <v>1</v>
      </c>
    </row>
    <row r="1032" spans="1:7" ht="45" customHeight="1" x14ac:dyDescent="0.2">
      <c r="A1032" s="17" t="s">
        <v>3431</v>
      </c>
      <c r="B1032" s="17" t="s">
        <v>3141</v>
      </c>
      <c r="C1032" s="17" t="s">
        <v>357</v>
      </c>
      <c r="D1032" s="83" t="s">
        <v>23</v>
      </c>
      <c r="E1032" s="102" t="s">
        <v>358</v>
      </c>
      <c r="F1032" s="102" t="s">
        <v>358</v>
      </c>
      <c r="G1032" s="84">
        <f>SUM(G1033:G1034)</f>
        <v>1</v>
      </c>
    </row>
    <row r="1033" spans="1:7" x14ac:dyDescent="0.2">
      <c r="A1033" s="28"/>
      <c r="B1033" s="28" t="s">
        <v>3142</v>
      </c>
      <c r="C1033" s="29" t="s">
        <v>3143</v>
      </c>
      <c r="D1033" s="29"/>
      <c r="E1033" s="29"/>
      <c r="F1033" s="29"/>
      <c r="G1033" s="30"/>
    </row>
    <row r="1034" spans="1:7" x14ac:dyDescent="0.2">
      <c r="A1034" s="31"/>
      <c r="B1034" s="31"/>
      <c r="C1034" s="32">
        <v>1</v>
      </c>
      <c r="D1034" s="32"/>
      <c r="E1034" s="32"/>
      <c r="F1034" s="32"/>
      <c r="G1034" s="32">
        <f>PRODUCT(C1034:F1034)</f>
        <v>1</v>
      </c>
    </row>
    <row r="1036" spans="1:7" ht="45" customHeight="1" x14ac:dyDescent="0.2">
      <c r="A1036" s="17" t="s">
        <v>3432</v>
      </c>
      <c r="B1036" s="17" t="s">
        <v>3141</v>
      </c>
      <c r="C1036" s="17" t="s">
        <v>359</v>
      </c>
      <c r="D1036" s="83" t="s">
        <v>23</v>
      </c>
      <c r="E1036" s="102" t="s">
        <v>360</v>
      </c>
      <c r="F1036" s="102" t="s">
        <v>360</v>
      </c>
      <c r="G1036" s="84">
        <f>SUM(G1037:G1038)</f>
        <v>1</v>
      </c>
    </row>
    <row r="1037" spans="1:7" x14ac:dyDescent="0.2">
      <c r="A1037" s="28"/>
      <c r="B1037" s="28" t="s">
        <v>3142</v>
      </c>
      <c r="C1037" s="29" t="s">
        <v>3143</v>
      </c>
      <c r="D1037" s="29"/>
      <c r="E1037" s="29"/>
      <c r="F1037" s="29"/>
      <c r="G1037" s="30"/>
    </row>
    <row r="1038" spans="1:7" x14ac:dyDescent="0.2">
      <c r="A1038" s="31"/>
      <c r="B1038" s="31"/>
      <c r="C1038" s="32">
        <v>1</v>
      </c>
      <c r="D1038" s="32"/>
      <c r="E1038" s="32"/>
      <c r="F1038" s="32"/>
      <c r="G1038" s="32">
        <f>PRODUCT(C1038:F1038)</f>
        <v>1</v>
      </c>
    </row>
    <row r="1040" spans="1:7" ht="45" customHeight="1" x14ac:dyDescent="0.2">
      <c r="A1040" s="17" t="s">
        <v>3433</v>
      </c>
      <c r="B1040" s="17" t="s">
        <v>3141</v>
      </c>
      <c r="C1040" s="17" t="s">
        <v>361</v>
      </c>
      <c r="D1040" s="83" t="s">
        <v>23</v>
      </c>
      <c r="E1040" s="102" t="s">
        <v>362</v>
      </c>
      <c r="F1040" s="102" t="s">
        <v>362</v>
      </c>
      <c r="G1040" s="84">
        <f>SUM(G1041:G1042)</f>
        <v>1</v>
      </c>
    </row>
    <row r="1041" spans="1:7" x14ac:dyDescent="0.2">
      <c r="A1041" s="28"/>
      <c r="B1041" s="28" t="s">
        <v>3142</v>
      </c>
      <c r="C1041" s="29" t="s">
        <v>3143</v>
      </c>
      <c r="D1041" s="29"/>
      <c r="E1041" s="29"/>
      <c r="F1041" s="29"/>
      <c r="G1041" s="30"/>
    </row>
    <row r="1042" spans="1:7" x14ac:dyDescent="0.2">
      <c r="A1042" s="31"/>
      <c r="B1042" s="31"/>
      <c r="C1042" s="32">
        <v>1</v>
      </c>
      <c r="D1042" s="32"/>
      <c r="E1042" s="32"/>
      <c r="F1042" s="32"/>
      <c r="G1042" s="32">
        <f>PRODUCT(C1042:F1042)</f>
        <v>1</v>
      </c>
    </row>
    <row r="1044" spans="1:7" ht="45" customHeight="1" x14ac:dyDescent="0.2">
      <c r="A1044" s="17" t="s">
        <v>3434</v>
      </c>
      <c r="B1044" s="17" t="s">
        <v>3141</v>
      </c>
      <c r="C1044" s="17" t="s">
        <v>363</v>
      </c>
      <c r="D1044" s="83" t="s">
        <v>23</v>
      </c>
      <c r="E1044" s="102" t="s">
        <v>364</v>
      </c>
      <c r="F1044" s="102" t="s">
        <v>364</v>
      </c>
      <c r="G1044" s="84">
        <f>SUM(G1045:G1046)</f>
        <v>1</v>
      </c>
    </row>
    <row r="1045" spans="1:7" x14ac:dyDescent="0.2">
      <c r="A1045" s="28"/>
      <c r="B1045" s="28" t="s">
        <v>3142</v>
      </c>
      <c r="C1045" s="29" t="s">
        <v>3143</v>
      </c>
      <c r="D1045" s="29"/>
      <c r="E1045" s="29"/>
      <c r="F1045" s="29"/>
      <c r="G1045" s="30"/>
    </row>
    <row r="1046" spans="1:7" x14ac:dyDescent="0.2">
      <c r="A1046" s="31"/>
      <c r="B1046" s="31"/>
      <c r="C1046" s="32">
        <v>1</v>
      </c>
      <c r="D1046" s="32"/>
      <c r="E1046" s="32"/>
      <c r="F1046" s="32"/>
      <c r="G1046" s="32">
        <f>PRODUCT(C1046:F1046)</f>
        <v>1</v>
      </c>
    </row>
    <row r="1048" spans="1:7" ht="45" customHeight="1" x14ac:dyDescent="0.2">
      <c r="A1048" s="17" t="s">
        <v>3435</v>
      </c>
      <c r="B1048" s="17" t="s">
        <v>3141</v>
      </c>
      <c r="C1048" s="17" t="s">
        <v>365</v>
      </c>
      <c r="D1048" s="83" t="s">
        <v>23</v>
      </c>
      <c r="E1048" s="102" t="s">
        <v>366</v>
      </c>
      <c r="F1048" s="102" t="s">
        <v>366</v>
      </c>
      <c r="G1048" s="84">
        <f>SUM(G1049:G1050)</f>
        <v>1</v>
      </c>
    </row>
    <row r="1049" spans="1:7" x14ac:dyDescent="0.2">
      <c r="A1049" s="28"/>
      <c r="B1049" s="28" t="s">
        <v>3142</v>
      </c>
      <c r="C1049" s="29" t="s">
        <v>3143</v>
      </c>
      <c r="D1049" s="29"/>
      <c r="E1049" s="29"/>
      <c r="F1049" s="29"/>
      <c r="G1049" s="30"/>
    </row>
    <row r="1050" spans="1:7" x14ac:dyDescent="0.2">
      <c r="A1050" s="31"/>
      <c r="B1050" s="31"/>
      <c r="C1050" s="32">
        <v>1</v>
      </c>
      <c r="D1050" s="32"/>
      <c r="E1050" s="32"/>
      <c r="F1050" s="32"/>
      <c r="G1050" s="32">
        <f>PRODUCT(C1050:F1050)</f>
        <v>1</v>
      </c>
    </row>
    <row r="1052" spans="1:7" ht="45" customHeight="1" x14ac:dyDescent="0.2">
      <c r="A1052" s="17" t="s">
        <v>3436</v>
      </c>
      <c r="B1052" s="17" t="s">
        <v>3141</v>
      </c>
      <c r="C1052" s="17" t="s">
        <v>367</v>
      </c>
      <c r="D1052" s="83" t="s">
        <v>23</v>
      </c>
      <c r="E1052" s="102" t="s">
        <v>368</v>
      </c>
      <c r="F1052" s="102" t="s">
        <v>368</v>
      </c>
      <c r="G1052" s="84">
        <f>SUM(G1053:G1054)</f>
        <v>1</v>
      </c>
    </row>
    <row r="1053" spans="1:7" x14ac:dyDescent="0.2">
      <c r="A1053" s="28"/>
      <c r="B1053" s="28" t="s">
        <v>3142</v>
      </c>
      <c r="C1053" s="29" t="s">
        <v>3143</v>
      </c>
      <c r="D1053" s="29"/>
      <c r="E1053" s="29"/>
      <c r="F1053" s="29"/>
      <c r="G1053" s="30"/>
    </row>
    <row r="1054" spans="1:7" x14ac:dyDescent="0.2">
      <c r="A1054" s="31"/>
      <c r="B1054" s="31"/>
      <c r="C1054" s="32">
        <v>1</v>
      </c>
      <c r="D1054" s="32"/>
      <c r="E1054" s="32"/>
      <c r="F1054" s="32"/>
      <c r="G1054" s="32">
        <f>PRODUCT(C1054:F1054)</f>
        <v>1</v>
      </c>
    </row>
    <row r="1056" spans="1:7" ht="45" customHeight="1" x14ac:dyDescent="0.2">
      <c r="A1056" s="17" t="s">
        <v>3437</v>
      </c>
      <c r="B1056" s="17" t="s">
        <v>3141</v>
      </c>
      <c r="C1056" s="17" t="s">
        <v>369</v>
      </c>
      <c r="D1056" s="83" t="s">
        <v>23</v>
      </c>
      <c r="E1056" s="102" t="s">
        <v>370</v>
      </c>
      <c r="F1056" s="102" t="s">
        <v>370</v>
      </c>
      <c r="G1056" s="84">
        <f>SUM(G1057:G1058)</f>
        <v>1</v>
      </c>
    </row>
    <row r="1057" spans="1:7" x14ac:dyDescent="0.2">
      <c r="A1057" s="28"/>
      <c r="B1057" s="28" t="s">
        <v>3142</v>
      </c>
      <c r="C1057" s="29" t="s">
        <v>3143</v>
      </c>
      <c r="D1057" s="29"/>
      <c r="E1057" s="29"/>
      <c r="F1057" s="29"/>
      <c r="G1057" s="30"/>
    </row>
    <row r="1058" spans="1:7" x14ac:dyDescent="0.2">
      <c r="A1058" s="31"/>
      <c r="B1058" s="31"/>
      <c r="C1058" s="32">
        <v>1</v>
      </c>
      <c r="D1058" s="32"/>
      <c r="E1058" s="32"/>
      <c r="F1058" s="32"/>
      <c r="G1058" s="32">
        <f>PRODUCT(C1058:F1058)</f>
        <v>1</v>
      </c>
    </row>
    <row r="1060" spans="1:7" ht="45" customHeight="1" x14ac:dyDescent="0.2">
      <c r="A1060" s="17" t="s">
        <v>3438</v>
      </c>
      <c r="B1060" s="17" t="s">
        <v>3141</v>
      </c>
      <c r="C1060" s="17" t="s">
        <v>371</v>
      </c>
      <c r="D1060" s="83" t="s">
        <v>23</v>
      </c>
      <c r="E1060" s="102" t="s">
        <v>372</v>
      </c>
      <c r="F1060" s="102" t="s">
        <v>372</v>
      </c>
      <c r="G1060" s="84">
        <f>SUM(G1061:G1062)</f>
        <v>1</v>
      </c>
    </row>
    <row r="1061" spans="1:7" x14ac:dyDescent="0.2">
      <c r="A1061" s="28"/>
      <c r="B1061" s="28" t="s">
        <v>3142</v>
      </c>
      <c r="C1061" s="29" t="s">
        <v>3143</v>
      </c>
      <c r="D1061" s="29"/>
      <c r="E1061" s="29"/>
      <c r="F1061" s="29"/>
      <c r="G1061" s="30"/>
    </row>
    <row r="1062" spans="1:7" x14ac:dyDescent="0.2">
      <c r="A1062" s="31"/>
      <c r="B1062" s="31"/>
      <c r="C1062" s="32">
        <v>1</v>
      </c>
      <c r="D1062" s="32"/>
      <c r="E1062" s="32"/>
      <c r="F1062" s="32"/>
      <c r="G1062" s="32">
        <f>PRODUCT(C1062:F1062)</f>
        <v>1</v>
      </c>
    </row>
    <row r="1064" spans="1:7" ht="45" customHeight="1" x14ac:dyDescent="0.2">
      <c r="A1064" s="17" t="s">
        <v>3439</v>
      </c>
      <c r="B1064" s="17" t="s">
        <v>3141</v>
      </c>
      <c r="C1064" s="17" t="s">
        <v>373</v>
      </c>
      <c r="D1064" s="83" t="s">
        <v>23</v>
      </c>
      <c r="E1064" s="102" t="s">
        <v>374</v>
      </c>
      <c r="F1064" s="102" t="s">
        <v>374</v>
      </c>
      <c r="G1064" s="84">
        <f>SUM(G1065:G1066)</f>
        <v>1</v>
      </c>
    </row>
    <row r="1065" spans="1:7" x14ac:dyDescent="0.2">
      <c r="A1065" s="28"/>
      <c r="B1065" s="28" t="s">
        <v>3142</v>
      </c>
      <c r="C1065" s="29" t="s">
        <v>3143</v>
      </c>
      <c r="D1065" s="29"/>
      <c r="E1065" s="29"/>
      <c r="F1065" s="29"/>
      <c r="G1065" s="30"/>
    </row>
    <row r="1066" spans="1:7" x14ac:dyDescent="0.2">
      <c r="A1066" s="31"/>
      <c r="B1066" s="31"/>
      <c r="C1066" s="32">
        <v>1</v>
      </c>
      <c r="D1066" s="32"/>
      <c r="E1066" s="32"/>
      <c r="F1066" s="32"/>
      <c r="G1066" s="32">
        <f>PRODUCT(C1066:F1066)</f>
        <v>1</v>
      </c>
    </row>
    <row r="1068" spans="1:7" ht="45" customHeight="1" x14ac:dyDescent="0.2">
      <c r="A1068" s="17" t="s">
        <v>3440</v>
      </c>
      <c r="B1068" s="17" t="s">
        <v>3141</v>
      </c>
      <c r="C1068" s="17" t="s">
        <v>375</v>
      </c>
      <c r="D1068" s="83" t="s">
        <v>23</v>
      </c>
      <c r="E1068" s="102" t="s">
        <v>376</v>
      </c>
      <c r="F1068" s="102" t="s">
        <v>376</v>
      </c>
      <c r="G1068" s="84">
        <f>SUM(G1069:G1070)</f>
        <v>1</v>
      </c>
    </row>
    <row r="1069" spans="1:7" x14ac:dyDescent="0.2">
      <c r="A1069" s="28"/>
      <c r="B1069" s="28" t="s">
        <v>3142</v>
      </c>
      <c r="C1069" s="29" t="s">
        <v>3143</v>
      </c>
      <c r="D1069" s="29"/>
      <c r="E1069" s="29"/>
      <c r="F1069" s="29"/>
      <c r="G1069" s="30"/>
    </row>
    <row r="1070" spans="1:7" x14ac:dyDescent="0.2">
      <c r="A1070" s="31"/>
      <c r="B1070" s="31"/>
      <c r="C1070" s="32">
        <v>1</v>
      </c>
      <c r="D1070" s="32"/>
      <c r="E1070" s="32"/>
      <c r="F1070" s="32"/>
      <c r="G1070" s="32">
        <f>PRODUCT(C1070:F1070)</f>
        <v>1</v>
      </c>
    </row>
    <row r="1072" spans="1:7" ht="45" customHeight="1" x14ac:dyDescent="0.2">
      <c r="A1072" s="17" t="s">
        <v>3441</v>
      </c>
      <c r="B1072" s="17" t="s">
        <v>3141</v>
      </c>
      <c r="C1072" s="17" t="s">
        <v>377</v>
      </c>
      <c r="D1072" s="83" t="s">
        <v>23</v>
      </c>
      <c r="E1072" s="102" t="s">
        <v>378</v>
      </c>
      <c r="F1072" s="102" t="s">
        <v>378</v>
      </c>
      <c r="G1072" s="84">
        <f>SUM(G1073:G1074)</f>
        <v>1</v>
      </c>
    </row>
    <row r="1073" spans="1:7" x14ac:dyDescent="0.2">
      <c r="A1073" s="28"/>
      <c r="B1073" s="28" t="s">
        <v>3142</v>
      </c>
      <c r="C1073" s="29" t="s">
        <v>3143</v>
      </c>
      <c r="D1073" s="29"/>
      <c r="E1073" s="29"/>
      <c r="F1073" s="29"/>
      <c r="G1073" s="30"/>
    </row>
    <row r="1074" spans="1:7" x14ac:dyDescent="0.2">
      <c r="A1074" s="31"/>
      <c r="B1074" s="31"/>
      <c r="C1074" s="32">
        <v>1</v>
      </c>
      <c r="D1074" s="32"/>
      <c r="E1074" s="32"/>
      <c r="F1074" s="32"/>
      <c r="G1074" s="32">
        <f>PRODUCT(C1074:F1074)</f>
        <v>1</v>
      </c>
    </row>
    <row r="1076" spans="1:7" ht="45" customHeight="1" x14ac:dyDescent="0.2">
      <c r="A1076" s="17" t="s">
        <v>3442</v>
      </c>
      <c r="B1076" s="17" t="s">
        <v>3141</v>
      </c>
      <c r="C1076" s="17" t="s">
        <v>379</v>
      </c>
      <c r="D1076" s="83" t="s">
        <v>23</v>
      </c>
      <c r="E1076" s="102" t="s">
        <v>380</v>
      </c>
      <c r="F1076" s="102" t="s">
        <v>380</v>
      </c>
      <c r="G1076" s="84">
        <f>SUM(G1077:G1078)</f>
        <v>1</v>
      </c>
    </row>
    <row r="1077" spans="1:7" x14ac:dyDescent="0.2">
      <c r="A1077" s="28"/>
      <c r="B1077" s="28" t="s">
        <v>3142</v>
      </c>
      <c r="C1077" s="29" t="s">
        <v>3143</v>
      </c>
      <c r="D1077" s="29"/>
      <c r="E1077" s="29"/>
      <c r="F1077" s="29"/>
      <c r="G1077" s="30"/>
    </row>
    <row r="1078" spans="1:7" x14ac:dyDescent="0.2">
      <c r="A1078" s="31"/>
      <c r="B1078" s="31"/>
      <c r="C1078" s="32">
        <v>1</v>
      </c>
      <c r="D1078" s="32"/>
      <c r="E1078" s="32"/>
      <c r="F1078" s="32"/>
      <c r="G1078" s="32">
        <f>PRODUCT(C1078:F1078)</f>
        <v>1</v>
      </c>
    </row>
    <row r="1080" spans="1:7" ht="45" customHeight="1" x14ac:dyDescent="0.2">
      <c r="A1080" s="17" t="s">
        <v>3443</v>
      </c>
      <c r="B1080" s="17" t="s">
        <v>3141</v>
      </c>
      <c r="C1080" s="17" t="s">
        <v>381</v>
      </c>
      <c r="D1080" s="83" t="s">
        <v>23</v>
      </c>
      <c r="E1080" s="102" t="s">
        <v>382</v>
      </c>
      <c r="F1080" s="102" t="s">
        <v>382</v>
      </c>
      <c r="G1080" s="84">
        <f>SUM(G1081:G1082)</f>
        <v>1</v>
      </c>
    </row>
    <row r="1081" spans="1:7" x14ac:dyDescent="0.2">
      <c r="A1081" s="28"/>
      <c r="B1081" s="28" t="s">
        <v>3142</v>
      </c>
      <c r="C1081" s="29" t="s">
        <v>3143</v>
      </c>
      <c r="D1081" s="29"/>
      <c r="E1081" s="29"/>
      <c r="F1081" s="29"/>
      <c r="G1081" s="30"/>
    </row>
    <row r="1082" spans="1:7" x14ac:dyDescent="0.2">
      <c r="A1082" s="31"/>
      <c r="B1082" s="31"/>
      <c r="C1082" s="32">
        <v>1</v>
      </c>
      <c r="D1082" s="32"/>
      <c r="E1082" s="32"/>
      <c r="F1082" s="32"/>
      <c r="G1082" s="32">
        <f>PRODUCT(C1082:F1082)</f>
        <v>1</v>
      </c>
    </row>
    <row r="1084" spans="1:7" ht="45" customHeight="1" x14ac:dyDescent="0.2">
      <c r="A1084" s="17" t="s">
        <v>3444</v>
      </c>
      <c r="B1084" s="17" t="s">
        <v>3141</v>
      </c>
      <c r="C1084" s="17" t="s">
        <v>383</v>
      </c>
      <c r="D1084" s="83" t="s">
        <v>23</v>
      </c>
      <c r="E1084" s="102" t="s">
        <v>384</v>
      </c>
      <c r="F1084" s="102" t="s">
        <v>384</v>
      </c>
      <c r="G1084" s="84">
        <f>SUM(G1085:G1086)</f>
        <v>1</v>
      </c>
    </row>
    <row r="1085" spans="1:7" x14ac:dyDescent="0.2">
      <c r="A1085" s="28"/>
      <c r="B1085" s="28" t="s">
        <v>3142</v>
      </c>
      <c r="C1085" s="29" t="s">
        <v>3143</v>
      </c>
      <c r="D1085" s="29"/>
      <c r="E1085" s="29"/>
      <c r="F1085" s="29"/>
      <c r="G1085" s="30"/>
    </row>
    <row r="1086" spans="1:7" x14ac:dyDescent="0.2">
      <c r="A1086" s="31"/>
      <c r="B1086" s="31"/>
      <c r="C1086" s="32">
        <v>1</v>
      </c>
      <c r="D1086" s="32"/>
      <c r="E1086" s="32"/>
      <c r="F1086" s="32"/>
      <c r="G1086" s="32">
        <f>PRODUCT(C1086:F1086)</f>
        <v>1</v>
      </c>
    </row>
    <row r="1088" spans="1:7" x14ac:dyDescent="0.2">
      <c r="B1088" t="s">
        <v>3139</v>
      </c>
      <c r="C1088" s="6" t="s">
        <v>6</v>
      </c>
      <c r="D1088" s="7" t="s">
        <v>7</v>
      </c>
      <c r="E1088" s="6" t="s">
        <v>8</v>
      </c>
    </row>
    <row r="1089" spans="1:7" x14ac:dyDescent="0.2">
      <c r="B1089" t="s">
        <v>3139</v>
      </c>
      <c r="C1089" s="6" t="s">
        <v>9</v>
      </c>
      <c r="D1089" s="7" t="s">
        <v>72</v>
      </c>
      <c r="E1089" s="6" t="s">
        <v>165</v>
      </c>
    </row>
    <row r="1090" spans="1:7" x14ac:dyDescent="0.2">
      <c r="B1090" t="s">
        <v>3139</v>
      </c>
      <c r="C1090" s="6" t="s">
        <v>11</v>
      </c>
      <c r="D1090" s="7" t="s">
        <v>26</v>
      </c>
      <c r="E1090" s="6" t="s">
        <v>178</v>
      </c>
    </row>
    <row r="1091" spans="1:7" x14ac:dyDescent="0.2">
      <c r="B1091" t="s">
        <v>3139</v>
      </c>
      <c r="C1091" s="6" t="s">
        <v>91</v>
      </c>
      <c r="D1091" s="7" t="s">
        <v>385</v>
      </c>
      <c r="E1091" s="6" t="s">
        <v>386</v>
      </c>
    </row>
    <row r="1093" spans="1:7" ht="45" customHeight="1" x14ac:dyDescent="0.2">
      <c r="A1093" s="17" t="s">
        <v>3445</v>
      </c>
      <c r="B1093" s="17" t="s">
        <v>3141</v>
      </c>
      <c r="C1093" s="17" t="s">
        <v>388</v>
      </c>
      <c r="D1093" s="83" t="s">
        <v>23</v>
      </c>
      <c r="E1093" s="102" t="s">
        <v>389</v>
      </c>
      <c r="F1093" s="102" t="s">
        <v>389</v>
      </c>
      <c r="G1093" s="84">
        <f>SUM(G1094:G1095)</f>
        <v>1</v>
      </c>
    </row>
    <row r="1094" spans="1:7" x14ac:dyDescent="0.2">
      <c r="A1094" s="28"/>
      <c r="B1094" s="28" t="s">
        <v>3142</v>
      </c>
      <c r="C1094" s="29" t="s">
        <v>3143</v>
      </c>
      <c r="D1094" s="29"/>
      <c r="E1094" s="29"/>
      <c r="F1094" s="29"/>
      <c r="G1094" s="30"/>
    </row>
    <row r="1095" spans="1:7" x14ac:dyDescent="0.2">
      <c r="A1095" s="31"/>
      <c r="B1095" s="31"/>
      <c r="C1095" s="32">
        <v>1</v>
      </c>
      <c r="D1095" s="32"/>
      <c r="E1095" s="32"/>
      <c r="F1095" s="32"/>
      <c r="G1095" s="32">
        <f>PRODUCT(C1095:F1095)</f>
        <v>1</v>
      </c>
    </row>
    <row r="1097" spans="1:7" ht="45" customHeight="1" x14ac:dyDescent="0.2">
      <c r="A1097" s="17" t="s">
        <v>3446</v>
      </c>
      <c r="B1097" s="17" t="s">
        <v>3141</v>
      </c>
      <c r="C1097" s="17" t="s">
        <v>390</v>
      </c>
      <c r="D1097" s="83" t="s">
        <v>23</v>
      </c>
      <c r="E1097" s="102" t="s">
        <v>391</v>
      </c>
      <c r="F1097" s="102" t="s">
        <v>391</v>
      </c>
      <c r="G1097" s="84">
        <f>SUM(G1098:G1099)</f>
        <v>1</v>
      </c>
    </row>
    <row r="1098" spans="1:7" x14ac:dyDescent="0.2">
      <c r="A1098" s="28"/>
      <c r="B1098" s="28" t="s">
        <v>3142</v>
      </c>
      <c r="C1098" s="29" t="s">
        <v>3143</v>
      </c>
      <c r="D1098" s="29"/>
      <c r="E1098" s="29"/>
      <c r="F1098" s="29"/>
      <c r="G1098" s="30"/>
    </row>
    <row r="1099" spans="1:7" x14ac:dyDescent="0.2">
      <c r="A1099" s="31"/>
      <c r="B1099" s="31"/>
      <c r="C1099" s="32">
        <v>1</v>
      </c>
      <c r="D1099" s="32"/>
      <c r="E1099" s="32"/>
      <c r="F1099" s="32"/>
      <c r="G1099" s="32">
        <f>PRODUCT(C1099:F1099)</f>
        <v>1</v>
      </c>
    </row>
    <row r="1101" spans="1:7" ht="45" customHeight="1" x14ac:dyDescent="0.2">
      <c r="A1101" s="17" t="s">
        <v>3447</v>
      </c>
      <c r="B1101" s="17" t="s">
        <v>3141</v>
      </c>
      <c r="C1101" s="17" t="s">
        <v>392</v>
      </c>
      <c r="D1101" s="83" t="s">
        <v>23</v>
      </c>
      <c r="E1101" s="102" t="s">
        <v>393</v>
      </c>
      <c r="F1101" s="102" t="s">
        <v>393</v>
      </c>
      <c r="G1101" s="84">
        <f>SUM(G1102:G1103)</f>
        <v>1</v>
      </c>
    </row>
    <row r="1102" spans="1:7" x14ac:dyDescent="0.2">
      <c r="A1102" s="28"/>
      <c r="B1102" s="28" t="s">
        <v>3142</v>
      </c>
      <c r="C1102" s="29" t="s">
        <v>3143</v>
      </c>
      <c r="D1102" s="29"/>
      <c r="E1102" s="29"/>
      <c r="F1102" s="29"/>
      <c r="G1102" s="30"/>
    </row>
    <row r="1103" spans="1:7" x14ac:dyDescent="0.2">
      <c r="A1103" s="31"/>
      <c r="B1103" s="31"/>
      <c r="C1103" s="32">
        <v>1</v>
      </c>
      <c r="D1103" s="32"/>
      <c r="E1103" s="32"/>
      <c r="F1103" s="32"/>
      <c r="G1103" s="32">
        <f>PRODUCT(C1103:F1103)</f>
        <v>1</v>
      </c>
    </row>
    <row r="1105" spans="1:7" ht="45" customHeight="1" x14ac:dyDescent="0.2">
      <c r="A1105" s="17" t="s">
        <v>3448</v>
      </c>
      <c r="B1105" s="17" t="s">
        <v>3141</v>
      </c>
      <c r="C1105" s="17" t="s">
        <v>394</v>
      </c>
      <c r="D1105" s="83" t="s">
        <v>23</v>
      </c>
      <c r="E1105" s="102" t="s">
        <v>395</v>
      </c>
      <c r="F1105" s="102" t="s">
        <v>395</v>
      </c>
      <c r="G1105" s="84">
        <f>SUM(G1106:G1107)</f>
        <v>1</v>
      </c>
    </row>
    <row r="1106" spans="1:7" x14ac:dyDescent="0.2">
      <c r="A1106" s="28"/>
      <c r="B1106" s="28" t="s">
        <v>3142</v>
      </c>
      <c r="C1106" s="29" t="s">
        <v>3143</v>
      </c>
      <c r="D1106" s="29"/>
      <c r="E1106" s="29"/>
      <c r="F1106" s="29"/>
      <c r="G1106" s="30"/>
    </row>
    <row r="1107" spans="1:7" x14ac:dyDescent="0.2">
      <c r="A1107" s="31"/>
      <c r="B1107" s="31"/>
      <c r="C1107" s="32">
        <v>1</v>
      </c>
      <c r="D1107" s="32"/>
      <c r="E1107" s="32"/>
      <c r="F1107" s="32"/>
      <c r="G1107" s="32">
        <f>PRODUCT(C1107:F1107)</f>
        <v>1</v>
      </c>
    </row>
    <row r="1109" spans="1:7" ht="45" customHeight="1" x14ac:dyDescent="0.2">
      <c r="A1109" s="17" t="s">
        <v>3449</v>
      </c>
      <c r="B1109" s="17" t="s">
        <v>3141</v>
      </c>
      <c r="C1109" s="17" t="s">
        <v>396</v>
      </c>
      <c r="D1109" s="83" t="s">
        <v>23</v>
      </c>
      <c r="E1109" s="102" t="s">
        <v>397</v>
      </c>
      <c r="F1109" s="102" t="s">
        <v>397</v>
      </c>
      <c r="G1109" s="84">
        <f>SUM(G1110:G1111)</f>
        <v>1</v>
      </c>
    </row>
    <row r="1110" spans="1:7" x14ac:dyDescent="0.2">
      <c r="A1110" s="28"/>
      <c r="B1110" s="28" t="s">
        <v>3142</v>
      </c>
      <c r="C1110" s="29" t="s">
        <v>3143</v>
      </c>
      <c r="D1110" s="29"/>
      <c r="E1110" s="29"/>
      <c r="F1110" s="29"/>
      <c r="G1110" s="30"/>
    </row>
    <row r="1111" spans="1:7" x14ac:dyDescent="0.2">
      <c r="A1111" s="31"/>
      <c r="B1111" s="31"/>
      <c r="C1111" s="32">
        <v>1</v>
      </c>
      <c r="D1111" s="32"/>
      <c r="E1111" s="32"/>
      <c r="F1111" s="32"/>
      <c r="G1111" s="32">
        <f>PRODUCT(C1111:F1111)</f>
        <v>1</v>
      </c>
    </row>
    <row r="1113" spans="1:7" ht="45" customHeight="1" x14ac:dyDescent="0.2">
      <c r="A1113" s="17" t="s">
        <v>3450</v>
      </c>
      <c r="B1113" s="17" t="s">
        <v>3141</v>
      </c>
      <c r="C1113" s="17" t="s">
        <v>398</v>
      </c>
      <c r="D1113" s="83" t="s">
        <v>23</v>
      </c>
      <c r="E1113" s="102" t="s">
        <v>399</v>
      </c>
      <c r="F1113" s="102" t="s">
        <v>399</v>
      </c>
      <c r="G1113" s="84">
        <f>SUM(G1114:G1115)</f>
        <v>1</v>
      </c>
    </row>
    <row r="1114" spans="1:7" x14ac:dyDescent="0.2">
      <c r="A1114" s="28"/>
      <c r="B1114" s="28" t="s">
        <v>3142</v>
      </c>
      <c r="C1114" s="29" t="s">
        <v>3143</v>
      </c>
      <c r="D1114" s="29"/>
      <c r="E1114" s="29"/>
      <c r="F1114" s="29"/>
      <c r="G1114" s="30"/>
    </row>
    <row r="1115" spans="1:7" x14ac:dyDescent="0.2">
      <c r="A1115" s="31"/>
      <c r="B1115" s="31"/>
      <c r="C1115" s="32">
        <v>1</v>
      </c>
      <c r="D1115" s="32"/>
      <c r="E1115" s="32"/>
      <c r="F1115" s="32"/>
      <c r="G1115" s="32">
        <f>PRODUCT(C1115:F1115)</f>
        <v>1</v>
      </c>
    </row>
    <row r="1117" spans="1:7" x14ac:dyDescent="0.2">
      <c r="B1117" t="s">
        <v>3139</v>
      </c>
      <c r="C1117" s="6" t="s">
        <v>6</v>
      </c>
      <c r="D1117" s="7" t="s">
        <v>7</v>
      </c>
      <c r="E1117" s="6" t="s">
        <v>8</v>
      </c>
    </row>
    <row r="1118" spans="1:7" x14ac:dyDescent="0.2">
      <c r="B1118" t="s">
        <v>3139</v>
      </c>
      <c r="C1118" s="6" t="s">
        <v>9</v>
      </c>
      <c r="D1118" s="7" t="s">
        <v>72</v>
      </c>
      <c r="E1118" s="6" t="s">
        <v>165</v>
      </c>
    </row>
    <row r="1119" spans="1:7" x14ac:dyDescent="0.2">
      <c r="B1119" t="s">
        <v>3139</v>
      </c>
      <c r="C1119" s="6" t="s">
        <v>11</v>
      </c>
      <c r="D1119" s="7" t="s">
        <v>26</v>
      </c>
      <c r="E1119" s="6" t="s">
        <v>178</v>
      </c>
    </row>
    <row r="1120" spans="1:7" x14ac:dyDescent="0.2">
      <c r="B1120" t="s">
        <v>3139</v>
      </c>
      <c r="C1120" s="6" t="s">
        <v>91</v>
      </c>
      <c r="D1120" s="7" t="s">
        <v>400</v>
      </c>
      <c r="E1120" s="6" t="s">
        <v>401</v>
      </c>
    </row>
    <row r="1122" spans="1:7" ht="45" customHeight="1" x14ac:dyDescent="0.2">
      <c r="A1122" s="17" t="s">
        <v>3451</v>
      </c>
      <c r="B1122" s="17" t="s">
        <v>3141</v>
      </c>
      <c r="C1122" s="17" t="s">
        <v>403</v>
      </c>
      <c r="D1122" s="83" t="s">
        <v>23</v>
      </c>
      <c r="E1122" s="102" t="s">
        <v>404</v>
      </c>
      <c r="F1122" s="102" t="s">
        <v>404</v>
      </c>
      <c r="G1122" s="84">
        <f>SUM(G1123:G1124)</f>
        <v>1</v>
      </c>
    </row>
    <row r="1123" spans="1:7" x14ac:dyDescent="0.2">
      <c r="A1123" s="28"/>
      <c r="B1123" s="28" t="s">
        <v>3142</v>
      </c>
      <c r="C1123" s="29" t="s">
        <v>3143</v>
      </c>
      <c r="D1123" s="29"/>
      <c r="E1123" s="29"/>
      <c r="F1123" s="29"/>
      <c r="G1123" s="30"/>
    </row>
    <row r="1124" spans="1:7" x14ac:dyDescent="0.2">
      <c r="A1124" s="31"/>
      <c r="B1124" s="31"/>
      <c r="C1124" s="32">
        <v>1</v>
      </c>
      <c r="D1124" s="32"/>
      <c r="E1124" s="32"/>
      <c r="F1124" s="32"/>
      <c r="G1124" s="32">
        <f>PRODUCT(C1124:F1124)</f>
        <v>1</v>
      </c>
    </row>
    <row r="1126" spans="1:7" ht="45" customHeight="1" x14ac:dyDescent="0.2">
      <c r="A1126" s="17" t="s">
        <v>3452</v>
      </c>
      <c r="B1126" s="17" t="s">
        <v>3141</v>
      </c>
      <c r="C1126" s="17" t="s">
        <v>405</v>
      </c>
      <c r="D1126" s="83" t="s">
        <v>23</v>
      </c>
      <c r="E1126" s="102" t="s">
        <v>406</v>
      </c>
      <c r="F1126" s="102" t="s">
        <v>406</v>
      </c>
      <c r="G1126" s="84">
        <f>SUM(G1127:G1128)</f>
        <v>1</v>
      </c>
    </row>
    <row r="1127" spans="1:7" x14ac:dyDescent="0.2">
      <c r="A1127" s="28"/>
      <c r="B1127" s="28" t="s">
        <v>3142</v>
      </c>
      <c r="C1127" s="29" t="s">
        <v>3143</v>
      </c>
      <c r="D1127" s="29"/>
      <c r="E1127" s="29"/>
      <c r="F1127" s="29"/>
      <c r="G1127" s="30"/>
    </row>
    <row r="1128" spans="1:7" x14ac:dyDescent="0.2">
      <c r="A1128" s="31"/>
      <c r="B1128" s="31"/>
      <c r="C1128" s="32">
        <v>1</v>
      </c>
      <c r="D1128" s="32"/>
      <c r="E1128" s="32"/>
      <c r="F1128" s="32"/>
      <c r="G1128" s="32">
        <f>PRODUCT(C1128:F1128)</f>
        <v>1</v>
      </c>
    </row>
    <row r="1130" spans="1:7" ht="45" customHeight="1" x14ac:dyDescent="0.2">
      <c r="A1130" s="17" t="s">
        <v>3453</v>
      </c>
      <c r="B1130" s="17" t="s">
        <v>3141</v>
      </c>
      <c r="C1130" s="17" t="s">
        <v>407</v>
      </c>
      <c r="D1130" s="83" t="s">
        <v>18</v>
      </c>
      <c r="E1130" s="102" t="s">
        <v>408</v>
      </c>
      <c r="F1130" s="102" t="s">
        <v>408</v>
      </c>
      <c r="G1130" s="84">
        <f>SUM(G1131:G1138)</f>
        <v>718.5</v>
      </c>
    </row>
    <row r="1131" spans="1:7" x14ac:dyDescent="0.2">
      <c r="A1131" s="28"/>
      <c r="B1131" s="28" t="s">
        <v>3142</v>
      </c>
      <c r="C1131" s="29" t="s">
        <v>3143</v>
      </c>
      <c r="D1131" s="29" t="s">
        <v>3146</v>
      </c>
      <c r="E1131" s="29" t="s">
        <v>3148</v>
      </c>
      <c r="F1131" s="29"/>
      <c r="G1131" s="30"/>
    </row>
    <row r="1132" spans="1:7" x14ac:dyDescent="0.2">
      <c r="A1132" s="31" t="s">
        <v>3454</v>
      </c>
      <c r="B1132" s="31"/>
      <c r="C1132" s="32">
        <v>1</v>
      </c>
      <c r="D1132" s="32">
        <v>9</v>
      </c>
      <c r="E1132" s="32">
        <v>7.5</v>
      </c>
      <c r="F1132" s="32"/>
      <c r="G1132" s="32">
        <f t="shared" ref="G1132:G1138" si="11">PRODUCT(C1132:F1132)</f>
        <v>67.5</v>
      </c>
    </row>
    <row r="1133" spans="1:7" x14ac:dyDescent="0.2">
      <c r="A1133" s="31"/>
      <c r="B1133" s="31"/>
      <c r="C1133" s="32">
        <v>1</v>
      </c>
      <c r="D1133" s="32">
        <v>9</v>
      </c>
      <c r="E1133" s="32">
        <v>7.5</v>
      </c>
      <c r="F1133" s="32"/>
      <c r="G1133" s="32">
        <f t="shared" si="11"/>
        <v>67.5</v>
      </c>
    </row>
    <row r="1134" spans="1:7" x14ac:dyDescent="0.2">
      <c r="A1134" s="31"/>
      <c r="B1134" s="31"/>
      <c r="C1134" s="32">
        <v>1</v>
      </c>
      <c r="D1134" s="32">
        <v>7</v>
      </c>
      <c r="E1134" s="32">
        <v>7.5</v>
      </c>
      <c r="F1134" s="32"/>
      <c r="G1134" s="32">
        <f t="shared" si="11"/>
        <v>52.5</v>
      </c>
    </row>
    <row r="1135" spans="1:7" x14ac:dyDescent="0.2">
      <c r="A1135" s="31" t="s">
        <v>3455</v>
      </c>
      <c r="B1135" s="31"/>
      <c r="C1135" s="32">
        <v>1</v>
      </c>
      <c r="D1135" s="32">
        <v>32</v>
      </c>
      <c r="E1135" s="32">
        <v>8</v>
      </c>
      <c r="F1135" s="32"/>
      <c r="G1135" s="32">
        <f t="shared" si="11"/>
        <v>256</v>
      </c>
    </row>
    <row r="1136" spans="1:7" x14ac:dyDescent="0.2">
      <c r="A1136" s="31" t="s">
        <v>3456</v>
      </c>
      <c r="B1136" s="31"/>
      <c r="C1136" s="32">
        <v>1</v>
      </c>
      <c r="D1136" s="32">
        <v>11</v>
      </c>
      <c r="E1136" s="32">
        <v>7</v>
      </c>
      <c r="F1136" s="32"/>
      <c r="G1136" s="32">
        <f t="shared" si="11"/>
        <v>77</v>
      </c>
    </row>
    <row r="1137" spans="1:7" x14ac:dyDescent="0.2">
      <c r="A1137" s="31" t="s">
        <v>3457</v>
      </c>
      <c r="B1137" s="31"/>
      <c r="C1137" s="32">
        <v>1</v>
      </c>
      <c r="D1137" s="32">
        <v>16</v>
      </c>
      <c r="E1137" s="32">
        <v>8</v>
      </c>
      <c r="F1137" s="32"/>
      <c r="G1137" s="32">
        <f t="shared" si="11"/>
        <v>128</v>
      </c>
    </row>
    <row r="1138" spans="1:7" x14ac:dyDescent="0.2">
      <c r="A1138" s="31"/>
      <c r="B1138" s="31"/>
      <c r="C1138" s="32">
        <v>1</v>
      </c>
      <c r="D1138" s="32">
        <v>14</v>
      </c>
      <c r="E1138" s="32">
        <v>5</v>
      </c>
      <c r="F1138" s="32"/>
      <c r="G1138" s="32">
        <f t="shared" si="11"/>
        <v>70</v>
      </c>
    </row>
    <row r="1140" spans="1:7" ht="45" customHeight="1" x14ac:dyDescent="0.2">
      <c r="A1140" s="17" t="s">
        <v>3458</v>
      </c>
      <c r="B1140" s="17" t="s">
        <v>3141</v>
      </c>
      <c r="C1140" s="17" t="s">
        <v>409</v>
      </c>
      <c r="D1140" s="83" t="s">
        <v>18</v>
      </c>
      <c r="E1140" s="102" t="s">
        <v>410</v>
      </c>
      <c r="F1140" s="102" t="s">
        <v>410</v>
      </c>
      <c r="G1140" s="84">
        <f>SUM(G1141:G1148)</f>
        <v>107775</v>
      </c>
    </row>
    <row r="1141" spans="1:7" x14ac:dyDescent="0.2">
      <c r="A1141" s="28"/>
      <c r="B1141" s="28" t="s">
        <v>3142</v>
      </c>
      <c r="C1141" s="29" t="s">
        <v>3143</v>
      </c>
      <c r="D1141" s="29" t="s">
        <v>3146</v>
      </c>
      <c r="E1141" s="29" t="s">
        <v>3148</v>
      </c>
      <c r="F1141" s="29" t="s">
        <v>3459</v>
      </c>
      <c r="G1141" s="30"/>
    </row>
    <row r="1142" spans="1:7" x14ac:dyDescent="0.2">
      <c r="A1142" s="31" t="s">
        <v>3454</v>
      </c>
      <c r="B1142" s="31"/>
      <c r="C1142" s="32">
        <v>1</v>
      </c>
      <c r="D1142" s="32">
        <v>9</v>
      </c>
      <c r="E1142" s="32">
        <v>7.5</v>
      </c>
      <c r="F1142" s="32">
        <v>150</v>
      </c>
      <c r="G1142" s="32">
        <f t="shared" ref="G1142:G1148" si="12">PRODUCT(C1142:F1142)</f>
        <v>10125</v>
      </c>
    </row>
    <row r="1143" spans="1:7" x14ac:dyDescent="0.2">
      <c r="A1143" s="31"/>
      <c r="B1143" s="31"/>
      <c r="C1143" s="32">
        <v>1</v>
      </c>
      <c r="D1143" s="32">
        <v>9</v>
      </c>
      <c r="E1143" s="32">
        <v>7.5</v>
      </c>
      <c r="F1143" s="32">
        <v>150</v>
      </c>
      <c r="G1143" s="32">
        <f t="shared" si="12"/>
        <v>10125</v>
      </c>
    </row>
    <row r="1144" spans="1:7" x14ac:dyDescent="0.2">
      <c r="A1144" s="31"/>
      <c r="B1144" s="31"/>
      <c r="C1144" s="32">
        <v>1</v>
      </c>
      <c r="D1144" s="32">
        <v>7</v>
      </c>
      <c r="E1144" s="32">
        <v>7.5</v>
      </c>
      <c r="F1144" s="32">
        <v>150</v>
      </c>
      <c r="G1144" s="32">
        <f t="shared" si="12"/>
        <v>7875</v>
      </c>
    </row>
    <row r="1145" spans="1:7" x14ac:dyDescent="0.2">
      <c r="A1145" s="31" t="s">
        <v>3455</v>
      </c>
      <c r="B1145" s="31"/>
      <c r="C1145" s="32">
        <v>1</v>
      </c>
      <c r="D1145" s="32">
        <v>32</v>
      </c>
      <c r="E1145" s="32">
        <v>8</v>
      </c>
      <c r="F1145" s="32">
        <v>150</v>
      </c>
      <c r="G1145" s="32">
        <f t="shared" si="12"/>
        <v>38400</v>
      </c>
    </row>
    <row r="1146" spans="1:7" x14ac:dyDescent="0.2">
      <c r="A1146" s="31" t="s">
        <v>3456</v>
      </c>
      <c r="B1146" s="31"/>
      <c r="C1146" s="32">
        <v>1</v>
      </c>
      <c r="D1146" s="32">
        <v>11</v>
      </c>
      <c r="E1146" s="32">
        <v>7</v>
      </c>
      <c r="F1146" s="32">
        <v>150</v>
      </c>
      <c r="G1146" s="32">
        <f t="shared" si="12"/>
        <v>11550</v>
      </c>
    </row>
    <row r="1147" spans="1:7" x14ac:dyDescent="0.2">
      <c r="A1147" s="31" t="s">
        <v>3457</v>
      </c>
      <c r="B1147" s="31"/>
      <c r="C1147" s="32">
        <v>1</v>
      </c>
      <c r="D1147" s="32">
        <v>16</v>
      </c>
      <c r="E1147" s="32">
        <v>8</v>
      </c>
      <c r="F1147" s="32">
        <v>150</v>
      </c>
      <c r="G1147" s="32">
        <f t="shared" si="12"/>
        <v>19200</v>
      </c>
    </row>
    <row r="1148" spans="1:7" x14ac:dyDescent="0.2">
      <c r="A1148" s="31"/>
      <c r="B1148" s="31"/>
      <c r="C1148" s="32">
        <v>1</v>
      </c>
      <c r="D1148" s="32">
        <v>14</v>
      </c>
      <c r="E1148" s="32">
        <v>5</v>
      </c>
      <c r="F1148" s="32">
        <v>150</v>
      </c>
      <c r="G1148" s="32">
        <f t="shared" si="12"/>
        <v>10500</v>
      </c>
    </row>
    <row r="1150" spans="1:7" x14ac:dyDescent="0.2">
      <c r="B1150" t="s">
        <v>3139</v>
      </c>
      <c r="C1150" s="6" t="s">
        <v>6</v>
      </c>
      <c r="D1150" s="7" t="s">
        <v>7</v>
      </c>
      <c r="E1150" s="6" t="s">
        <v>8</v>
      </c>
    </row>
    <row r="1151" spans="1:7" x14ac:dyDescent="0.2">
      <c r="B1151" t="s">
        <v>3139</v>
      </c>
      <c r="C1151" s="6" t="s">
        <v>9</v>
      </c>
      <c r="D1151" s="7" t="s">
        <v>72</v>
      </c>
      <c r="E1151" s="6" t="s">
        <v>165</v>
      </c>
    </row>
    <row r="1152" spans="1:7" x14ac:dyDescent="0.2">
      <c r="B1152" t="s">
        <v>3139</v>
      </c>
      <c r="C1152" s="6" t="s">
        <v>11</v>
      </c>
      <c r="D1152" s="7" t="s">
        <v>72</v>
      </c>
      <c r="E1152" s="6" t="s">
        <v>411</v>
      </c>
    </row>
    <row r="1154" spans="1:7" ht="45" customHeight="1" x14ac:dyDescent="0.2">
      <c r="A1154" s="17" t="s">
        <v>3460</v>
      </c>
      <c r="B1154" s="17" t="s">
        <v>3141</v>
      </c>
      <c r="C1154" s="17" t="s">
        <v>413</v>
      </c>
      <c r="D1154" s="83" t="s">
        <v>23</v>
      </c>
      <c r="E1154" s="102" t="s">
        <v>414</v>
      </c>
      <c r="F1154" s="102" t="s">
        <v>414</v>
      </c>
      <c r="G1154" s="84">
        <f>SUM(G1155:G1156)</f>
        <v>10</v>
      </c>
    </row>
    <row r="1155" spans="1:7" x14ac:dyDescent="0.2">
      <c r="A1155" s="28"/>
      <c r="B1155" s="28" t="s">
        <v>3142</v>
      </c>
      <c r="C1155" s="29" t="s">
        <v>3143</v>
      </c>
      <c r="D1155" s="29"/>
      <c r="E1155" s="29"/>
      <c r="F1155" s="29"/>
      <c r="G1155" s="30"/>
    </row>
    <row r="1156" spans="1:7" x14ac:dyDescent="0.2">
      <c r="A1156" s="31" t="s">
        <v>3461</v>
      </c>
      <c r="B1156" s="31"/>
      <c r="C1156" s="32">
        <v>10</v>
      </c>
      <c r="D1156" s="32"/>
      <c r="E1156" s="32"/>
      <c r="F1156" s="32"/>
      <c r="G1156" s="32">
        <f>PRODUCT(C1156:F1156)</f>
        <v>10</v>
      </c>
    </row>
    <row r="1158" spans="1:7" ht="45" customHeight="1" x14ac:dyDescent="0.2">
      <c r="A1158" s="17" t="s">
        <v>3462</v>
      </c>
      <c r="B1158" s="17" t="s">
        <v>3141</v>
      </c>
      <c r="C1158" s="17" t="s">
        <v>415</v>
      </c>
      <c r="D1158" s="83" t="s">
        <v>18</v>
      </c>
      <c r="E1158" s="102" t="s">
        <v>416</v>
      </c>
      <c r="F1158" s="102" t="s">
        <v>416</v>
      </c>
      <c r="G1158" s="84">
        <f>SUM(G1159:G1160)</f>
        <v>57.888000000000005</v>
      </c>
    </row>
    <row r="1159" spans="1:7" x14ac:dyDescent="0.2">
      <c r="A1159" s="28"/>
      <c r="B1159" s="28" t="s">
        <v>3142</v>
      </c>
      <c r="C1159" s="29" t="s">
        <v>3143</v>
      </c>
      <c r="D1159" s="29" t="s">
        <v>3147</v>
      </c>
      <c r="E1159" s="29" t="s">
        <v>3146</v>
      </c>
      <c r="F1159" s="29"/>
      <c r="G1159" s="30"/>
    </row>
    <row r="1160" spans="1:7" x14ac:dyDescent="0.2">
      <c r="A1160" s="31" t="s">
        <v>3461</v>
      </c>
      <c r="B1160" s="31"/>
      <c r="C1160" s="32">
        <v>10</v>
      </c>
      <c r="D1160" s="32">
        <v>1.08</v>
      </c>
      <c r="E1160" s="32">
        <v>5.36</v>
      </c>
      <c r="F1160" s="32"/>
      <c r="G1160" s="32">
        <f>PRODUCT(C1160:F1160)</f>
        <v>57.888000000000005</v>
      </c>
    </row>
    <row r="1162" spans="1:7" ht="45" customHeight="1" x14ac:dyDescent="0.2">
      <c r="A1162" s="17" t="s">
        <v>3463</v>
      </c>
      <c r="B1162" s="17" t="s">
        <v>3141</v>
      </c>
      <c r="C1162" s="17" t="s">
        <v>417</v>
      </c>
      <c r="D1162" s="83" t="s">
        <v>18</v>
      </c>
      <c r="E1162" s="102" t="s">
        <v>418</v>
      </c>
      <c r="F1162" s="102" t="s">
        <v>418</v>
      </c>
      <c r="G1162" s="84">
        <f>SUM(G1163:G1165)</f>
        <v>67</v>
      </c>
    </row>
    <row r="1163" spans="1:7" x14ac:dyDescent="0.2">
      <c r="A1163" s="28"/>
      <c r="B1163" s="28" t="s">
        <v>3142</v>
      </c>
      <c r="C1163" s="29" t="s">
        <v>3143</v>
      </c>
      <c r="D1163" s="29" t="s">
        <v>3157</v>
      </c>
      <c r="E1163" s="29"/>
      <c r="F1163" s="29"/>
      <c r="G1163" s="30"/>
    </row>
    <row r="1164" spans="1:7" x14ac:dyDescent="0.2">
      <c r="A1164" s="31" t="s">
        <v>3186</v>
      </c>
      <c r="B1164" s="31"/>
      <c r="C1164" s="32">
        <v>1</v>
      </c>
      <c r="D1164" s="32">
        <v>22</v>
      </c>
      <c r="E1164" s="32"/>
      <c r="F1164" s="32"/>
      <c r="G1164" s="32">
        <f>PRODUCT(C1164:F1164)</f>
        <v>22</v>
      </c>
    </row>
    <row r="1165" spans="1:7" x14ac:dyDescent="0.2">
      <c r="A1165" s="31"/>
      <c r="B1165" s="31"/>
      <c r="C1165" s="32">
        <v>1</v>
      </c>
      <c r="D1165" s="32">
        <v>45</v>
      </c>
      <c r="E1165" s="32"/>
      <c r="F1165" s="32"/>
      <c r="G1165" s="32">
        <f>PRODUCT(C1165:F1165)</f>
        <v>45</v>
      </c>
    </row>
    <row r="1167" spans="1:7" ht="45" customHeight="1" x14ac:dyDescent="0.2">
      <c r="A1167" s="17" t="s">
        <v>3464</v>
      </c>
      <c r="B1167" s="17" t="s">
        <v>3141</v>
      </c>
      <c r="C1167" s="17" t="s">
        <v>419</v>
      </c>
      <c r="D1167" s="83" t="s">
        <v>18</v>
      </c>
      <c r="E1167" s="102" t="s">
        <v>420</v>
      </c>
      <c r="F1167" s="102" t="s">
        <v>420</v>
      </c>
      <c r="G1167" s="84">
        <f>SUM(G1168:G1170)</f>
        <v>33.5</v>
      </c>
    </row>
    <row r="1168" spans="1:7" x14ac:dyDescent="0.2">
      <c r="A1168" s="28"/>
      <c r="B1168" s="28" t="s">
        <v>3142</v>
      </c>
      <c r="C1168" s="29" t="s">
        <v>3143</v>
      </c>
      <c r="D1168" s="29" t="s">
        <v>3157</v>
      </c>
      <c r="E1168" s="29" t="s">
        <v>1093</v>
      </c>
      <c r="F1168" s="29"/>
      <c r="G1168" s="30"/>
    </row>
    <row r="1169" spans="1:7" x14ac:dyDescent="0.2">
      <c r="A1169" s="31" t="s">
        <v>3186</v>
      </c>
      <c r="B1169" s="31"/>
      <c r="C1169" s="32">
        <v>1</v>
      </c>
      <c r="D1169" s="32">
        <v>22</v>
      </c>
      <c r="E1169" s="32">
        <v>0.5</v>
      </c>
      <c r="F1169" s="32"/>
      <c r="G1169" s="32">
        <f>PRODUCT(C1169:F1169)</f>
        <v>11</v>
      </c>
    </row>
    <row r="1170" spans="1:7" x14ac:dyDescent="0.2">
      <c r="A1170" s="31"/>
      <c r="B1170" s="31"/>
      <c r="C1170" s="32">
        <v>1</v>
      </c>
      <c r="D1170" s="32">
        <v>45</v>
      </c>
      <c r="E1170" s="32">
        <v>0.5</v>
      </c>
      <c r="F1170" s="32"/>
      <c r="G1170" s="32">
        <f>PRODUCT(C1170:F1170)</f>
        <v>22.5</v>
      </c>
    </row>
    <row r="1172" spans="1:7" ht="45" customHeight="1" x14ac:dyDescent="0.2">
      <c r="A1172" s="17" t="s">
        <v>3465</v>
      </c>
      <c r="B1172" s="17" t="s">
        <v>3141</v>
      </c>
      <c r="C1172" s="17" t="s">
        <v>421</v>
      </c>
      <c r="D1172" s="83" t="s">
        <v>18</v>
      </c>
      <c r="E1172" s="102" t="s">
        <v>422</v>
      </c>
      <c r="F1172" s="102" t="s">
        <v>422</v>
      </c>
      <c r="G1172" s="84">
        <f>SUM(G1173:G1175)</f>
        <v>67</v>
      </c>
    </row>
    <row r="1173" spans="1:7" x14ac:dyDescent="0.2">
      <c r="A1173" s="28"/>
      <c r="B1173" s="28" t="s">
        <v>3142</v>
      </c>
      <c r="C1173" s="29" t="s">
        <v>3143</v>
      </c>
      <c r="D1173" s="29" t="s">
        <v>3157</v>
      </c>
      <c r="E1173" s="29"/>
      <c r="F1173" s="29"/>
      <c r="G1173" s="30"/>
    </row>
    <row r="1174" spans="1:7" x14ac:dyDescent="0.2">
      <c r="A1174" s="31" t="s">
        <v>3186</v>
      </c>
      <c r="B1174" s="31"/>
      <c r="C1174" s="32">
        <v>1</v>
      </c>
      <c r="D1174" s="32">
        <v>22</v>
      </c>
      <c r="E1174" s="32"/>
      <c r="F1174" s="32"/>
      <c r="G1174" s="32">
        <f>PRODUCT(C1174:F1174)</f>
        <v>22</v>
      </c>
    </row>
    <row r="1175" spans="1:7" x14ac:dyDescent="0.2">
      <c r="A1175" s="31"/>
      <c r="B1175" s="31"/>
      <c r="C1175" s="32">
        <v>1</v>
      </c>
      <c r="D1175" s="32">
        <v>45</v>
      </c>
      <c r="E1175" s="32"/>
      <c r="F1175" s="32"/>
      <c r="G1175" s="32">
        <f>PRODUCT(C1175:F1175)</f>
        <v>45</v>
      </c>
    </row>
    <row r="1177" spans="1:7" ht="45" customHeight="1" x14ac:dyDescent="0.2">
      <c r="A1177" s="17" t="s">
        <v>3466</v>
      </c>
      <c r="B1177" s="17" t="s">
        <v>3141</v>
      </c>
      <c r="C1177" s="17" t="s">
        <v>423</v>
      </c>
      <c r="D1177" s="83" t="s">
        <v>18</v>
      </c>
      <c r="E1177" s="102" t="s">
        <v>424</v>
      </c>
      <c r="F1177" s="102" t="s">
        <v>424</v>
      </c>
      <c r="G1177" s="84">
        <f>SUM(G1178:G1181)</f>
        <v>420</v>
      </c>
    </row>
    <row r="1178" spans="1:7" x14ac:dyDescent="0.2">
      <c r="A1178" s="28"/>
      <c r="B1178" s="28" t="s">
        <v>3142</v>
      </c>
      <c r="C1178" s="29" t="s">
        <v>3143</v>
      </c>
      <c r="D1178" s="29" t="s">
        <v>3157</v>
      </c>
      <c r="E1178" s="29"/>
      <c r="F1178" s="29"/>
      <c r="G1178" s="30"/>
    </row>
    <row r="1179" spans="1:7" x14ac:dyDescent="0.2">
      <c r="A1179" s="31" t="s">
        <v>3467</v>
      </c>
      <c r="B1179" s="31"/>
      <c r="C1179" s="32">
        <v>1</v>
      </c>
      <c r="D1179" s="32">
        <v>290</v>
      </c>
      <c r="E1179" s="32"/>
      <c r="F1179" s="32"/>
      <c r="G1179" s="32">
        <f>PRODUCT(C1179:F1179)</f>
        <v>290</v>
      </c>
    </row>
    <row r="1180" spans="1:7" x14ac:dyDescent="0.2">
      <c r="A1180" s="31" t="s">
        <v>3468</v>
      </c>
      <c r="B1180" s="31"/>
      <c r="C1180" s="32">
        <v>1</v>
      </c>
      <c r="D1180" s="32">
        <v>72</v>
      </c>
      <c r="E1180" s="32"/>
      <c r="F1180" s="32"/>
      <c r="G1180" s="32">
        <f>PRODUCT(C1180:F1180)</f>
        <v>72</v>
      </c>
    </row>
    <row r="1181" spans="1:7" x14ac:dyDescent="0.2">
      <c r="A1181" s="31" t="s">
        <v>3469</v>
      </c>
      <c r="B1181" s="31"/>
      <c r="C1181" s="32">
        <v>1</v>
      </c>
      <c r="D1181" s="32">
        <v>58</v>
      </c>
      <c r="E1181" s="32"/>
      <c r="F1181" s="32"/>
      <c r="G1181" s="32">
        <f>PRODUCT(C1181:F1181)</f>
        <v>58</v>
      </c>
    </row>
    <row r="1183" spans="1:7" ht="45" customHeight="1" x14ac:dyDescent="0.2">
      <c r="A1183" s="17" t="s">
        <v>3470</v>
      </c>
      <c r="B1183" s="17" t="s">
        <v>3141</v>
      </c>
      <c r="C1183" s="17" t="s">
        <v>425</v>
      </c>
      <c r="D1183" s="83" t="s">
        <v>18</v>
      </c>
      <c r="E1183" s="102" t="s">
        <v>426</v>
      </c>
      <c r="F1183" s="102" t="s">
        <v>426</v>
      </c>
      <c r="G1183" s="84">
        <f>SUM(G1184:G1187)</f>
        <v>420</v>
      </c>
    </row>
    <row r="1184" spans="1:7" x14ac:dyDescent="0.2">
      <c r="A1184" s="28"/>
      <c r="B1184" s="28" t="s">
        <v>3142</v>
      </c>
      <c r="C1184" s="29" t="s">
        <v>3143</v>
      </c>
      <c r="D1184" s="29" t="s">
        <v>3157</v>
      </c>
      <c r="E1184" s="29"/>
      <c r="F1184" s="29"/>
      <c r="G1184" s="30"/>
    </row>
    <row r="1185" spans="1:7" x14ac:dyDescent="0.2">
      <c r="A1185" s="31" t="s">
        <v>3467</v>
      </c>
      <c r="B1185" s="31"/>
      <c r="C1185" s="32">
        <v>1</v>
      </c>
      <c r="D1185" s="32">
        <v>290</v>
      </c>
      <c r="E1185" s="32"/>
      <c r="F1185" s="32"/>
      <c r="G1185" s="32">
        <f>PRODUCT(C1185:F1185)</f>
        <v>290</v>
      </c>
    </row>
    <row r="1186" spans="1:7" x14ac:dyDescent="0.2">
      <c r="A1186" s="31" t="s">
        <v>3468</v>
      </c>
      <c r="B1186" s="31"/>
      <c r="C1186" s="32">
        <v>1</v>
      </c>
      <c r="D1186" s="32">
        <v>72</v>
      </c>
      <c r="E1186" s="32"/>
      <c r="F1186" s="32"/>
      <c r="G1186" s="32">
        <f>PRODUCT(C1186:F1186)</f>
        <v>72</v>
      </c>
    </row>
    <row r="1187" spans="1:7" x14ac:dyDescent="0.2">
      <c r="A1187" s="31" t="s">
        <v>3469</v>
      </c>
      <c r="B1187" s="31"/>
      <c r="C1187" s="32">
        <v>1</v>
      </c>
      <c r="D1187" s="32">
        <v>58</v>
      </c>
      <c r="E1187" s="32"/>
      <c r="F1187" s="32"/>
      <c r="G1187" s="32">
        <f>PRODUCT(C1187:F1187)</f>
        <v>58</v>
      </c>
    </row>
    <row r="1189" spans="1:7" ht="45" customHeight="1" x14ac:dyDescent="0.2">
      <c r="A1189" s="17" t="s">
        <v>3471</v>
      </c>
      <c r="B1189" s="17" t="s">
        <v>3141</v>
      </c>
      <c r="C1189" s="17" t="s">
        <v>427</v>
      </c>
      <c r="D1189" s="83" t="s">
        <v>18</v>
      </c>
      <c r="E1189" s="102" t="s">
        <v>428</v>
      </c>
      <c r="F1189" s="102" t="s">
        <v>428</v>
      </c>
      <c r="G1189" s="84">
        <f>SUM(G1190:G1193)</f>
        <v>420</v>
      </c>
    </row>
    <row r="1190" spans="1:7" x14ac:dyDescent="0.2">
      <c r="A1190" s="28"/>
      <c r="B1190" s="28" t="s">
        <v>3142</v>
      </c>
      <c r="C1190" s="29" t="s">
        <v>3143</v>
      </c>
      <c r="D1190" s="29" t="s">
        <v>3157</v>
      </c>
      <c r="E1190" s="29"/>
      <c r="F1190" s="29"/>
      <c r="G1190" s="30"/>
    </row>
    <row r="1191" spans="1:7" x14ac:dyDescent="0.2">
      <c r="A1191" s="31" t="s">
        <v>3467</v>
      </c>
      <c r="B1191" s="31"/>
      <c r="C1191" s="32">
        <v>1</v>
      </c>
      <c r="D1191" s="32">
        <v>290</v>
      </c>
      <c r="E1191" s="32"/>
      <c r="F1191" s="32"/>
      <c r="G1191" s="32">
        <f>PRODUCT(C1191:F1191)</f>
        <v>290</v>
      </c>
    </row>
    <row r="1192" spans="1:7" x14ac:dyDescent="0.2">
      <c r="A1192" s="31" t="s">
        <v>3468</v>
      </c>
      <c r="B1192" s="31"/>
      <c r="C1192" s="32">
        <v>1</v>
      </c>
      <c r="D1192" s="32">
        <v>72</v>
      </c>
      <c r="E1192" s="32"/>
      <c r="F1192" s="32"/>
      <c r="G1192" s="32">
        <f>PRODUCT(C1192:F1192)</f>
        <v>72</v>
      </c>
    </row>
    <row r="1193" spans="1:7" x14ac:dyDescent="0.2">
      <c r="A1193" s="31" t="s">
        <v>3469</v>
      </c>
      <c r="B1193" s="31"/>
      <c r="C1193" s="32">
        <v>1</v>
      </c>
      <c r="D1193" s="32">
        <v>58</v>
      </c>
      <c r="E1193" s="32"/>
      <c r="F1193" s="32"/>
      <c r="G1193" s="32">
        <f>PRODUCT(C1193:F1193)</f>
        <v>58</v>
      </c>
    </row>
    <row r="1195" spans="1:7" ht="45" customHeight="1" x14ac:dyDescent="0.2">
      <c r="A1195" s="17" t="s">
        <v>3472</v>
      </c>
      <c r="B1195" s="17" t="s">
        <v>3141</v>
      </c>
      <c r="C1195" s="17" t="s">
        <v>429</v>
      </c>
      <c r="D1195" s="83" t="s">
        <v>18</v>
      </c>
      <c r="E1195" s="102" t="s">
        <v>430</v>
      </c>
      <c r="F1195" s="102" t="s">
        <v>430</v>
      </c>
      <c r="G1195" s="84">
        <f>SUM(G1196:G1199)</f>
        <v>420</v>
      </c>
    </row>
    <row r="1196" spans="1:7" x14ac:dyDescent="0.2">
      <c r="A1196" s="28"/>
      <c r="B1196" s="28" t="s">
        <v>3142</v>
      </c>
      <c r="C1196" s="29" t="s">
        <v>3143</v>
      </c>
      <c r="D1196" s="29" t="s">
        <v>3157</v>
      </c>
      <c r="E1196" s="29"/>
      <c r="F1196" s="29"/>
      <c r="G1196" s="30"/>
    </row>
    <row r="1197" spans="1:7" x14ac:dyDescent="0.2">
      <c r="A1197" s="31" t="s">
        <v>3467</v>
      </c>
      <c r="B1197" s="31"/>
      <c r="C1197" s="32">
        <v>1</v>
      </c>
      <c r="D1197" s="32">
        <v>290</v>
      </c>
      <c r="E1197" s="32"/>
      <c r="F1197" s="32"/>
      <c r="G1197" s="32">
        <f>PRODUCT(C1197:F1197)</f>
        <v>290</v>
      </c>
    </row>
    <row r="1198" spans="1:7" x14ac:dyDescent="0.2">
      <c r="A1198" s="31" t="s">
        <v>3468</v>
      </c>
      <c r="B1198" s="31"/>
      <c r="C1198" s="32">
        <v>1</v>
      </c>
      <c r="D1198" s="32">
        <v>72</v>
      </c>
      <c r="E1198" s="32"/>
      <c r="F1198" s="32"/>
      <c r="G1198" s="32">
        <f>PRODUCT(C1198:F1198)</f>
        <v>72</v>
      </c>
    </row>
    <row r="1199" spans="1:7" x14ac:dyDescent="0.2">
      <c r="A1199" s="31" t="s">
        <v>3469</v>
      </c>
      <c r="B1199" s="31"/>
      <c r="C1199" s="32">
        <v>1</v>
      </c>
      <c r="D1199" s="32">
        <v>58</v>
      </c>
      <c r="E1199" s="32"/>
      <c r="F1199" s="32"/>
      <c r="G1199" s="32">
        <f>PRODUCT(C1199:F1199)</f>
        <v>58</v>
      </c>
    </row>
    <row r="1201" spans="1:7" ht="45" customHeight="1" x14ac:dyDescent="0.2">
      <c r="A1201" s="17" t="s">
        <v>3473</v>
      </c>
      <c r="B1201" s="17" t="s">
        <v>3141</v>
      </c>
      <c r="C1201" s="17" t="s">
        <v>431</v>
      </c>
      <c r="D1201" s="83" t="s">
        <v>18</v>
      </c>
      <c r="E1201" s="102" t="s">
        <v>432</v>
      </c>
      <c r="F1201" s="102" t="s">
        <v>432</v>
      </c>
      <c r="G1201" s="84">
        <f>SUM(G1202:G1205)</f>
        <v>420</v>
      </c>
    </row>
    <row r="1202" spans="1:7" x14ac:dyDescent="0.2">
      <c r="A1202" s="28"/>
      <c r="B1202" s="28" t="s">
        <v>3142</v>
      </c>
      <c r="C1202" s="29" t="s">
        <v>3143</v>
      </c>
      <c r="D1202" s="29" t="s">
        <v>3157</v>
      </c>
      <c r="E1202" s="29"/>
      <c r="F1202" s="29"/>
      <c r="G1202" s="30"/>
    </row>
    <row r="1203" spans="1:7" x14ac:dyDescent="0.2">
      <c r="A1203" s="31" t="s">
        <v>3186</v>
      </c>
      <c r="B1203" s="31"/>
      <c r="C1203" s="32">
        <v>1</v>
      </c>
      <c r="D1203" s="32">
        <v>290</v>
      </c>
      <c r="E1203" s="32"/>
      <c r="F1203" s="32"/>
      <c r="G1203" s="32">
        <f>PRODUCT(C1203:F1203)</f>
        <v>290</v>
      </c>
    </row>
    <row r="1204" spans="1:7" x14ac:dyDescent="0.2">
      <c r="A1204" s="31" t="s">
        <v>3191</v>
      </c>
      <c r="B1204" s="31"/>
      <c r="C1204" s="32">
        <v>1</v>
      </c>
      <c r="D1204" s="32">
        <v>72</v>
      </c>
      <c r="E1204" s="32"/>
      <c r="F1204" s="32"/>
      <c r="G1204" s="32">
        <f>PRODUCT(C1204:F1204)</f>
        <v>72</v>
      </c>
    </row>
    <row r="1205" spans="1:7" x14ac:dyDescent="0.2">
      <c r="A1205" s="31" t="s">
        <v>3192</v>
      </c>
      <c r="B1205" s="31"/>
      <c r="C1205" s="32">
        <v>1</v>
      </c>
      <c r="D1205" s="32">
        <v>58</v>
      </c>
      <c r="E1205" s="32"/>
      <c r="F1205" s="32"/>
      <c r="G1205" s="32">
        <f>PRODUCT(C1205:F1205)</f>
        <v>58</v>
      </c>
    </row>
    <row r="1207" spans="1:7" ht="45" customHeight="1" x14ac:dyDescent="0.2">
      <c r="A1207" s="17" t="s">
        <v>3474</v>
      </c>
      <c r="B1207" s="17" t="s">
        <v>3141</v>
      </c>
      <c r="C1207" s="17" t="s">
        <v>433</v>
      </c>
      <c r="D1207" s="83" t="s">
        <v>18</v>
      </c>
      <c r="E1207" s="102" t="s">
        <v>434</v>
      </c>
      <c r="F1207" s="102" t="s">
        <v>434</v>
      </c>
      <c r="G1207" s="84">
        <f>SUM(G1208:G1211)</f>
        <v>420</v>
      </c>
    </row>
    <row r="1208" spans="1:7" x14ac:dyDescent="0.2">
      <c r="A1208" s="28"/>
      <c r="B1208" s="28" t="s">
        <v>3142</v>
      </c>
      <c r="C1208" s="29" t="s">
        <v>3143</v>
      </c>
      <c r="D1208" s="29" t="s">
        <v>3157</v>
      </c>
      <c r="E1208" s="29"/>
      <c r="F1208" s="29"/>
      <c r="G1208" s="30"/>
    </row>
    <row r="1209" spans="1:7" x14ac:dyDescent="0.2">
      <c r="A1209" s="31" t="s">
        <v>3467</v>
      </c>
      <c r="B1209" s="31"/>
      <c r="C1209" s="32">
        <v>1</v>
      </c>
      <c r="D1209" s="32">
        <v>290</v>
      </c>
      <c r="E1209" s="32"/>
      <c r="F1209" s="32"/>
      <c r="G1209" s="32">
        <f>PRODUCT(C1209:F1209)</f>
        <v>290</v>
      </c>
    </row>
    <row r="1210" spans="1:7" x14ac:dyDescent="0.2">
      <c r="A1210" s="31" t="s">
        <v>3468</v>
      </c>
      <c r="B1210" s="31"/>
      <c r="C1210" s="32">
        <v>1</v>
      </c>
      <c r="D1210" s="32">
        <v>72</v>
      </c>
      <c r="E1210" s="32"/>
      <c r="F1210" s="32"/>
      <c r="G1210" s="32">
        <f>PRODUCT(C1210:F1210)</f>
        <v>72</v>
      </c>
    </row>
    <row r="1211" spans="1:7" x14ac:dyDescent="0.2">
      <c r="A1211" s="31" t="s">
        <v>3469</v>
      </c>
      <c r="B1211" s="31"/>
      <c r="C1211" s="32">
        <v>1</v>
      </c>
      <c r="D1211" s="32">
        <v>58</v>
      </c>
      <c r="E1211" s="32"/>
      <c r="F1211" s="32"/>
      <c r="G1211" s="32">
        <f>PRODUCT(C1211:F1211)</f>
        <v>58</v>
      </c>
    </row>
    <row r="1213" spans="1:7" ht="45" customHeight="1" x14ac:dyDescent="0.2">
      <c r="A1213" s="17" t="s">
        <v>3475</v>
      </c>
      <c r="B1213" s="17" t="s">
        <v>3141</v>
      </c>
      <c r="C1213" s="17" t="s">
        <v>435</v>
      </c>
      <c r="D1213" s="83" t="s">
        <v>36</v>
      </c>
      <c r="E1213" s="102" t="s">
        <v>436</v>
      </c>
      <c r="F1213" s="102" t="s">
        <v>436</v>
      </c>
      <c r="G1213" s="84">
        <f>SUM(G1214:G1220)</f>
        <v>127.28999999999999</v>
      </c>
    </row>
    <row r="1214" spans="1:7" x14ac:dyDescent="0.2">
      <c r="A1214" s="28"/>
      <c r="B1214" s="28" t="s">
        <v>3142</v>
      </c>
      <c r="C1214" s="29" t="s">
        <v>3327</v>
      </c>
      <c r="D1214" s="29" t="s">
        <v>3223</v>
      </c>
      <c r="E1214" s="29"/>
      <c r="F1214" s="29"/>
      <c r="G1214" s="30"/>
    </row>
    <row r="1215" spans="1:7" x14ac:dyDescent="0.2">
      <c r="A1215" s="31" t="s">
        <v>3328</v>
      </c>
      <c r="B1215" s="31"/>
      <c r="C1215" s="32"/>
      <c r="D1215" s="32"/>
      <c r="E1215" s="32"/>
      <c r="F1215" s="32"/>
      <c r="G1215" s="32"/>
    </row>
    <row r="1216" spans="1:7" x14ac:dyDescent="0.2">
      <c r="A1216" s="31"/>
      <c r="B1216" s="31"/>
      <c r="C1216" s="32">
        <v>1</v>
      </c>
      <c r="D1216" s="32">
        <v>68.14</v>
      </c>
      <c r="E1216" s="32"/>
      <c r="F1216" s="32"/>
      <c r="G1216" s="32">
        <f>PRODUCT(C1216:F1216)</f>
        <v>68.14</v>
      </c>
    </row>
    <row r="1217" spans="1:7" x14ac:dyDescent="0.2">
      <c r="A1217" s="31" t="s">
        <v>3221</v>
      </c>
      <c r="B1217" s="31"/>
      <c r="C1217" s="32"/>
      <c r="D1217" s="32"/>
      <c r="E1217" s="32"/>
      <c r="F1217" s="32"/>
      <c r="G1217" s="32"/>
    </row>
    <row r="1218" spans="1:7" x14ac:dyDescent="0.2">
      <c r="A1218" s="31"/>
      <c r="B1218" s="31"/>
      <c r="C1218" s="32">
        <v>1</v>
      </c>
      <c r="D1218" s="32">
        <v>32.15</v>
      </c>
      <c r="E1218" s="32"/>
      <c r="F1218" s="32"/>
      <c r="G1218" s="32">
        <f>PRODUCT(C1218:F1218)</f>
        <v>32.15</v>
      </c>
    </row>
    <row r="1219" spans="1:7" x14ac:dyDescent="0.2">
      <c r="A1219" s="31" t="s">
        <v>3286</v>
      </c>
      <c r="B1219" s="31"/>
      <c r="C1219" s="32"/>
      <c r="D1219" s="32"/>
      <c r="E1219" s="32"/>
      <c r="F1219" s="32"/>
      <c r="G1219" s="32"/>
    </row>
    <row r="1220" spans="1:7" x14ac:dyDescent="0.2">
      <c r="A1220" s="31"/>
      <c r="B1220" s="31"/>
      <c r="C1220" s="32">
        <v>1</v>
      </c>
      <c r="D1220" s="32">
        <v>27</v>
      </c>
      <c r="E1220" s="32"/>
      <c r="F1220" s="32"/>
      <c r="G1220" s="32">
        <f>PRODUCT(C1220:F1220)</f>
        <v>27</v>
      </c>
    </row>
    <row r="1222" spans="1:7" ht="45" customHeight="1" x14ac:dyDescent="0.2">
      <c r="A1222" s="17" t="s">
        <v>3476</v>
      </c>
      <c r="B1222" s="17" t="s">
        <v>3141</v>
      </c>
      <c r="C1222" s="17" t="s">
        <v>437</v>
      </c>
      <c r="D1222" s="83" t="s">
        <v>36</v>
      </c>
      <c r="E1222" s="102" t="s">
        <v>438</v>
      </c>
      <c r="F1222" s="102" t="s">
        <v>438</v>
      </c>
      <c r="G1222" s="84">
        <f>SUM(G1223:G1226)</f>
        <v>94</v>
      </c>
    </row>
    <row r="1223" spans="1:7" x14ac:dyDescent="0.2">
      <c r="A1223" s="28"/>
      <c r="B1223" s="28" t="s">
        <v>3142</v>
      </c>
      <c r="C1223" s="29" t="s">
        <v>3143</v>
      </c>
      <c r="D1223" s="29" t="s">
        <v>3146</v>
      </c>
      <c r="E1223" s="29"/>
      <c r="F1223" s="29"/>
      <c r="G1223" s="30"/>
    </row>
    <row r="1224" spans="1:7" x14ac:dyDescent="0.2">
      <c r="A1224" s="31" t="s">
        <v>3186</v>
      </c>
      <c r="B1224" s="31"/>
      <c r="C1224" s="32">
        <v>2</v>
      </c>
      <c r="D1224" s="32">
        <v>31</v>
      </c>
      <c r="E1224" s="32"/>
      <c r="F1224" s="32"/>
      <c r="G1224" s="32">
        <f>PRODUCT(C1224:F1224)</f>
        <v>62</v>
      </c>
    </row>
    <row r="1225" spans="1:7" x14ac:dyDescent="0.2">
      <c r="A1225" s="31" t="s">
        <v>3191</v>
      </c>
      <c r="B1225" s="31"/>
      <c r="C1225" s="32">
        <v>2</v>
      </c>
      <c r="D1225" s="32">
        <v>9</v>
      </c>
      <c r="E1225" s="32"/>
      <c r="F1225" s="32"/>
      <c r="G1225" s="32">
        <f>PRODUCT(C1225:F1225)</f>
        <v>18</v>
      </c>
    </row>
    <row r="1226" spans="1:7" x14ac:dyDescent="0.2">
      <c r="A1226" s="31" t="s">
        <v>3192</v>
      </c>
      <c r="B1226" s="31"/>
      <c r="C1226" s="32">
        <v>2</v>
      </c>
      <c r="D1226" s="32">
        <v>7</v>
      </c>
      <c r="E1226" s="32"/>
      <c r="F1226" s="32"/>
      <c r="G1226" s="32">
        <f>PRODUCT(C1226:F1226)</f>
        <v>14</v>
      </c>
    </row>
    <row r="1228" spans="1:7" ht="45" customHeight="1" x14ac:dyDescent="0.2">
      <c r="A1228" s="17" t="s">
        <v>3477</v>
      </c>
      <c r="B1228" s="17" t="s">
        <v>3141</v>
      </c>
      <c r="C1228" s="17" t="s">
        <v>439</v>
      </c>
      <c r="D1228" s="83" t="s">
        <v>36</v>
      </c>
      <c r="E1228" s="102" t="s">
        <v>440</v>
      </c>
      <c r="F1228" s="102" t="s">
        <v>440</v>
      </c>
      <c r="G1228" s="84">
        <f>SUM(G1229:G1229)</f>
        <v>40</v>
      </c>
    </row>
    <row r="1229" spans="1:7" x14ac:dyDescent="0.2">
      <c r="A1229" s="31"/>
      <c r="B1229" s="31"/>
      <c r="C1229" s="32">
        <v>8</v>
      </c>
      <c r="D1229" s="32">
        <v>5</v>
      </c>
      <c r="E1229" s="32"/>
      <c r="F1229" s="32"/>
      <c r="G1229" s="32">
        <f>PRODUCT(C1229:F1229)</f>
        <v>40</v>
      </c>
    </row>
    <row r="1231" spans="1:7" ht="45" customHeight="1" x14ac:dyDescent="0.2">
      <c r="A1231" s="17" t="s">
        <v>3478</v>
      </c>
      <c r="B1231" s="17" t="s">
        <v>3141</v>
      </c>
      <c r="C1231" s="17" t="s">
        <v>441</v>
      </c>
      <c r="D1231" s="83" t="s">
        <v>36</v>
      </c>
      <c r="E1231" s="102" t="s">
        <v>442</v>
      </c>
      <c r="F1231" s="102" t="s">
        <v>442</v>
      </c>
      <c r="G1231" s="84">
        <f>SUM(G1232:G1232)</f>
        <v>132</v>
      </c>
    </row>
    <row r="1232" spans="1:7" x14ac:dyDescent="0.2">
      <c r="A1232" s="31"/>
      <c r="B1232" s="31"/>
      <c r="C1232" s="32">
        <v>11</v>
      </c>
      <c r="D1232" s="32">
        <v>6</v>
      </c>
      <c r="E1232" s="32">
        <v>2</v>
      </c>
      <c r="F1232" s="32"/>
      <c r="G1232" s="32">
        <f>PRODUCT(C1232:F1232)</f>
        <v>132</v>
      </c>
    </row>
    <row r="1234" spans="1:7" x14ac:dyDescent="0.2">
      <c r="B1234" t="s">
        <v>3139</v>
      </c>
      <c r="C1234" s="6" t="s">
        <v>6</v>
      </c>
      <c r="D1234" s="7" t="s">
        <v>7</v>
      </c>
      <c r="E1234" s="6" t="s">
        <v>8</v>
      </c>
    </row>
    <row r="1235" spans="1:7" x14ac:dyDescent="0.2">
      <c r="B1235" t="s">
        <v>3139</v>
      </c>
      <c r="C1235" s="6" t="s">
        <v>9</v>
      </c>
      <c r="D1235" s="7" t="s">
        <v>72</v>
      </c>
      <c r="E1235" s="6" t="s">
        <v>165</v>
      </c>
    </row>
    <row r="1236" spans="1:7" x14ac:dyDescent="0.2">
      <c r="B1236" t="s">
        <v>3139</v>
      </c>
      <c r="C1236" s="6" t="s">
        <v>11</v>
      </c>
      <c r="D1236" s="7" t="s">
        <v>153</v>
      </c>
      <c r="E1236" s="6" t="s">
        <v>443</v>
      </c>
    </row>
    <row r="1237" spans="1:7" x14ac:dyDescent="0.2">
      <c r="B1237" t="s">
        <v>3139</v>
      </c>
      <c r="C1237" s="6" t="s">
        <v>91</v>
      </c>
      <c r="D1237" s="7" t="s">
        <v>7</v>
      </c>
      <c r="E1237" s="6" t="s">
        <v>444</v>
      </c>
    </row>
    <row r="1239" spans="1:7" ht="45" customHeight="1" x14ac:dyDescent="0.2">
      <c r="A1239" s="17" t="s">
        <v>3479</v>
      </c>
      <c r="B1239" s="17" t="s">
        <v>3141</v>
      </c>
      <c r="C1239" s="17" t="s">
        <v>446</v>
      </c>
      <c r="D1239" s="83" t="s">
        <v>23</v>
      </c>
      <c r="E1239" s="102" t="s">
        <v>447</v>
      </c>
      <c r="F1239" s="102" t="s">
        <v>447</v>
      </c>
      <c r="G1239" s="84">
        <f>SUM(G1240:G1241)</f>
        <v>8</v>
      </c>
    </row>
    <row r="1240" spans="1:7" x14ac:dyDescent="0.2">
      <c r="A1240" s="28"/>
      <c r="B1240" s="28" t="s">
        <v>3142</v>
      </c>
      <c r="C1240" s="29" t="s">
        <v>3143</v>
      </c>
      <c r="D1240" s="29"/>
      <c r="E1240" s="29"/>
      <c r="F1240" s="29"/>
      <c r="G1240" s="30"/>
    </row>
    <row r="1241" spans="1:7" x14ac:dyDescent="0.2">
      <c r="A1241" s="31" t="s">
        <v>3480</v>
      </c>
      <c r="B1241" s="31"/>
      <c r="C1241" s="32">
        <v>8</v>
      </c>
      <c r="D1241" s="32"/>
      <c r="E1241" s="32"/>
      <c r="F1241" s="32"/>
      <c r="G1241" s="32">
        <f>PRODUCT(C1241:F1241)</f>
        <v>8</v>
      </c>
    </row>
    <row r="1243" spans="1:7" ht="45" customHeight="1" x14ac:dyDescent="0.2">
      <c r="A1243" s="17" t="s">
        <v>3481</v>
      </c>
      <c r="B1243" s="17" t="s">
        <v>3141</v>
      </c>
      <c r="C1243" s="17" t="s">
        <v>448</v>
      </c>
      <c r="D1243" s="83" t="s">
        <v>23</v>
      </c>
      <c r="E1243" s="102" t="s">
        <v>449</v>
      </c>
      <c r="F1243" s="102" t="s">
        <v>449</v>
      </c>
      <c r="G1243" s="84">
        <f>SUM(G1244:G1245)</f>
        <v>1</v>
      </c>
    </row>
    <row r="1244" spans="1:7" x14ac:dyDescent="0.2">
      <c r="A1244" s="28"/>
      <c r="B1244" s="28" t="s">
        <v>3142</v>
      </c>
      <c r="C1244" s="29" t="s">
        <v>3143</v>
      </c>
      <c r="D1244" s="29"/>
      <c r="E1244" s="29"/>
      <c r="F1244" s="29"/>
      <c r="G1244" s="30"/>
    </row>
    <row r="1245" spans="1:7" x14ac:dyDescent="0.2">
      <c r="A1245" s="31" t="s">
        <v>3482</v>
      </c>
      <c r="B1245" s="31"/>
      <c r="C1245" s="32">
        <v>1</v>
      </c>
      <c r="D1245" s="32"/>
      <c r="E1245" s="32"/>
      <c r="F1245" s="32"/>
      <c r="G1245" s="32">
        <f>PRODUCT(C1245:F1245)</f>
        <v>1</v>
      </c>
    </row>
    <row r="1247" spans="1:7" ht="45" customHeight="1" x14ac:dyDescent="0.2">
      <c r="A1247" s="17" t="s">
        <v>3483</v>
      </c>
      <c r="B1247" s="17" t="s">
        <v>3141</v>
      </c>
      <c r="C1247" s="17" t="s">
        <v>450</v>
      </c>
      <c r="D1247" s="83" t="s">
        <v>23</v>
      </c>
      <c r="E1247" s="102" t="s">
        <v>451</v>
      </c>
      <c r="F1247" s="102" t="s">
        <v>451</v>
      </c>
      <c r="G1247" s="84">
        <f>SUM(G1248:G1249)</f>
        <v>1</v>
      </c>
    </row>
    <row r="1248" spans="1:7" x14ac:dyDescent="0.2">
      <c r="A1248" s="28"/>
      <c r="B1248" s="28" t="s">
        <v>3142</v>
      </c>
      <c r="C1248" s="29" t="s">
        <v>3143</v>
      </c>
      <c r="D1248" s="29"/>
      <c r="E1248" s="29"/>
      <c r="F1248" s="29"/>
      <c r="G1248" s="30"/>
    </row>
    <row r="1249" spans="1:7" x14ac:dyDescent="0.2">
      <c r="A1249" s="31" t="s">
        <v>3166</v>
      </c>
      <c r="B1249" s="31"/>
      <c r="C1249" s="32">
        <v>1</v>
      </c>
      <c r="D1249" s="32"/>
      <c r="E1249" s="32"/>
      <c r="F1249" s="32"/>
      <c r="G1249" s="32">
        <f>PRODUCT(C1249:F1249)</f>
        <v>1</v>
      </c>
    </row>
    <row r="1251" spans="1:7" ht="45" customHeight="1" x14ac:dyDescent="0.2">
      <c r="A1251" s="17" t="s">
        <v>3484</v>
      </c>
      <c r="B1251" s="17" t="s">
        <v>3141</v>
      </c>
      <c r="C1251" s="17" t="s">
        <v>452</v>
      </c>
      <c r="D1251" s="83" t="s">
        <v>23</v>
      </c>
      <c r="E1251" s="102" t="s">
        <v>453</v>
      </c>
      <c r="F1251" s="102" t="s">
        <v>453</v>
      </c>
      <c r="G1251" s="84">
        <f>SUM(G1252:G1253)</f>
        <v>1</v>
      </c>
    </row>
    <row r="1252" spans="1:7" x14ac:dyDescent="0.2">
      <c r="A1252" s="28"/>
      <c r="B1252" s="28" t="s">
        <v>3142</v>
      </c>
      <c r="C1252" s="29" t="s">
        <v>3143</v>
      </c>
      <c r="D1252" s="29"/>
      <c r="E1252" s="29"/>
      <c r="F1252" s="29"/>
      <c r="G1252" s="30"/>
    </row>
    <row r="1253" spans="1:7" x14ac:dyDescent="0.2">
      <c r="A1253" s="31" t="s">
        <v>3485</v>
      </c>
      <c r="B1253" s="31"/>
      <c r="C1253" s="32">
        <v>1</v>
      </c>
      <c r="D1253" s="32"/>
      <c r="E1253" s="32"/>
      <c r="F1253" s="32"/>
      <c r="G1253" s="32">
        <f>PRODUCT(C1253:F1253)</f>
        <v>1</v>
      </c>
    </row>
    <row r="1255" spans="1:7" ht="45" customHeight="1" x14ac:dyDescent="0.2">
      <c r="A1255" s="17" t="s">
        <v>3486</v>
      </c>
      <c r="B1255" s="17" t="s">
        <v>3141</v>
      </c>
      <c r="C1255" s="17" t="s">
        <v>454</v>
      </c>
      <c r="D1255" s="83" t="s">
        <v>23</v>
      </c>
      <c r="E1255" s="102" t="s">
        <v>455</v>
      </c>
      <c r="F1255" s="102" t="s">
        <v>455</v>
      </c>
      <c r="G1255" s="84">
        <f>SUM(G1256:G1257)</f>
        <v>1</v>
      </c>
    </row>
    <row r="1256" spans="1:7" x14ac:dyDescent="0.2">
      <c r="A1256" s="28"/>
      <c r="B1256" s="28" t="s">
        <v>3142</v>
      </c>
      <c r="C1256" s="29" t="s">
        <v>3143</v>
      </c>
      <c r="D1256" s="29"/>
      <c r="E1256" s="29"/>
      <c r="F1256" s="29"/>
      <c r="G1256" s="30"/>
    </row>
    <row r="1257" spans="1:7" x14ac:dyDescent="0.2">
      <c r="A1257" s="31" t="s">
        <v>3167</v>
      </c>
      <c r="B1257" s="31"/>
      <c r="C1257" s="32">
        <v>1</v>
      </c>
      <c r="D1257" s="32"/>
      <c r="E1257" s="32"/>
      <c r="F1257" s="32"/>
      <c r="G1257" s="32">
        <f>PRODUCT(C1257:F1257)</f>
        <v>1</v>
      </c>
    </row>
    <row r="1259" spans="1:7" ht="45" customHeight="1" x14ac:dyDescent="0.2">
      <c r="A1259" s="17" t="s">
        <v>3487</v>
      </c>
      <c r="B1259" s="17" t="s">
        <v>3141</v>
      </c>
      <c r="C1259" s="17" t="s">
        <v>456</v>
      </c>
      <c r="D1259" s="83" t="s">
        <v>23</v>
      </c>
      <c r="E1259" s="102" t="s">
        <v>457</v>
      </c>
      <c r="F1259" s="102" t="s">
        <v>457</v>
      </c>
      <c r="G1259" s="84">
        <f>SUM(G1260:G1261)</f>
        <v>1</v>
      </c>
    </row>
    <row r="1260" spans="1:7" x14ac:dyDescent="0.2">
      <c r="A1260" s="28"/>
      <c r="B1260" s="28" t="s">
        <v>3142</v>
      </c>
      <c r="C1260" s="29" t="s">
        <v>3143</v>
      </c>
      <c r="D1260" s="29"/>
      <c r="E1260" s="29"/>
      <c r="F1260" s="29"/>
      <c r="G1260" s="30"/>
    </row>
    <row r="1261" spans="1:7" x14ac:dyDescent="0.2">
      <c r="A1261" s="31" t="s">
        <v>3488</v>
      </c>
      <c r="B1261" s="31"/>
      <c r="C1261" s="32">
        <v>1</v>
      </c>
      <c r="D1261" s="32"/>
      <c r="E1261" s="32"/>
      <c r="F1261" s="32"/>
      <c r="G1261" s="32">
        <f>PRODUCT(C1261:F1261)</f>
        <v>1</v>
      </c>
    </row>
    <row r="1263" spans="1:7" ht="45" customHeight="1" x14ac:dyDescent="0.2">
      <c r="A1263" s="17" t="s">
        <v>3489</v>
      </c>
      <c r="B1263" s="17" t="s">
        <v>3141</v>
      </c>
      <c r="C1263" s="17" t="s">
        <v>458</v>
      </c>
      <c r="D1263" s="83" t="s">
        <v>23</v>
      </c>
      <c r="E1263" s="102" t="s">
        <v>459</v>
      </c>
      <c r="F1263" s="102" t="s">
        <v>459</v>
      </c>
      <c r="G1263" s="84">
        <f>SUM(G1264:G1265)</f>
        <v>1</v>
      </c>
    </row>
    <row r="1264" spans="1:7" x14ac:dyDescent="0.2">
      <c r="A1264" s="28"/>
      <c r="B1264" s="28" t="s">
        <v>3142</v>
      </c>
      <c r="C1264" s="29" t="s">
        <v>3143</v>
      </c>
      <c r="D1264" s="29"/>
      <c r="E1264" s="29"/>
      <c r="F1264" s="29"/>
      <c r="G1264" s="30"/>
    </row>
    <row r="1265" spans="1:7" x14ac:dyDescent="0.2">
      <c r="A1265" s="31" t="s">
        <v>3168</v>
      </c>
      <c r="B1265" s="31"/>
      <c r="C1265" s="32">
        <v>1</v>
      </c>
      <c r="D1265" s="32"/>
      <c r="E1265" s="32"/>
      <c r="F1265" s="32"/>
      <c r="G1265" s="32">
        <f>PRODUCT(C1265:F1265)</f>
        <v>1</v>
      </c>
    </row>
    <row r="1267" spans="1:7" ht="45" customHeight="1" x14ac:dyDescent="0.2">
      <c r="A1267" s="17" t="s">
        <v>3490</v>
      </c>
      <c r="B1267" s="17" t="s">
        <v>3141</v>
      </c>
      <c r="C1267" s="17" t="s">
        <v>460</v>
      </c>
      <c r="D1267" s="83" t="s">
        <v>23</v>
      </c>
      <c r="E1267" s="102" t="s">
        <v>461</v>
      </c>
      <c r="F1267" s="102" t="s">
        <v>461</v>
      </c>
      <c r="G1267" s="84">
        <f>SUM(G1268:G1269)</f>
        <v>1</v>
      </c>
    </row>
    <row r="1268" spans="1:7" x14ac:dyDescent="0.2">
      <c r="A1268" s="28"/>
      <c r="B1268" s="28" t="s">
        <v>3142</v>
      </c>
      <c r="C1268" s="29" t="s">
        <v>3143</v>
      </c>
      <c r="D1268" s="29"/>
      <c r="E1268" s="29"/>
      <c r="F1268" s="29"/>
      <c r="G1268" s="30"/>
    </row>
    <row r="1269" spans="1:7" x14ac:dyDescent="0.2">
      <c r="A1269" s="31" t="s">
        <v>3169</v>
      </c>
      <c r="B1269" s="31"/>
      <c r="C1269" s="32">
        <v>1</v>
      </c>
      <c r="D1269" s="32"/>
      <c r="E1269" s="32"/>
      <c r="F1269" s="32"/>
      <c r="G1269" s="32">
        <f>PRODUCT(C1269:F1269)</f>
        <v>1</v>
      </c>
    </row>
    <row r="1271" spans="1:7" ht="45" customHeight="1" x14ac:dyDescent="0.2">
      <c r="A1271" s="17" t="s">
        <v>3491</v>
      </c>
      <c r="B1271" s="17" t="s">
        <v>3141</v>
      </c>
      <c r="C1271" s="17" t="s">
        <v>462</v>
      </c>
      <c r="D1271" s="83" t="s">
        <v>23</v>
      </c>
      <c r="E1271" s="102" t="s">
        <v>463</v>
      </c>
      <c r="F1271" s="102" t="s">
        <v>463</v>
      </c>
      <c r="G1271" s="84">
        <f>SUM(G1272:G1273)</f>
        <v>1</v>
      </c>
    </row>
    <row r="1272" spans="1:7" x14ac:dyDescent="0.2">
      <c r="A1272" s="28"/>
      <c r="B1272" s="28" t="s">
        <v>3142</v>
      </c>
      <c r="C1272" s="29" t="s">
        <v>3143</v>
      </c>
      <c r="D1272" s="29"/>
      <c r="E1272" s="29"/>
      <c r="F1272" s="29"/>
      <c r="G1272" s="30"/>
    </row>
    <row r="1273" spans="1:7" x14ac:dyDescent="0.2">
      <c r="A1273" s="31" t="s">
        <v>3170</v>
      </c>
      <c r="B1273" s="31"/>
      <c r="C1273" s="32">
        <v>1</v>
      </c>
      <c r="D1273" s="32"/>
      <c r="E1273" s="32"/>
      <c r="F1273" s="32"/>
      <c r="G1273" s="32">
        <f>PRODUCT(C1273:F1273)</f>
        <v>1</v>
      </c>
    </row>
    <row r="1275" spans="1:7" ht="45" customHeight="1" x14ac:dyDescent="0.2">
      <c r="A1275" s="17" t="s">
        <v>3492</v>
      </c>
      <c r="B1275" s="17" t="s">
        <v>3141</v>
      </c>
      <c r="C1275" s="17" t="s">
        <v>464</v>
      </c>
      <c r="D1275" s="83" t="s">
        <v>23</v>
      </c>
      <c r="E1275" s="102" t="s">
        <v>465</v>
      </c>
      <c r="F1275" s="102" t="s">
        <v>465</v>
      </c>
      <c r="G1275" s="84">
        <f>SUM(G1276:G1277)</f>
        <v>1</v>
      </c>
    </row>
    <row r="1276" spans="1:7" x14ac:dyDescent="0.2">
      <c r="A1276" s="28"/>
      <c r="B1276" s="28" t="s">
        <v>3142</v>
      </c>
      <c r="C1276" s="29" t="s">
        <v>3143</v>
      </c>
      <c r="D1276" s="29"/>
      <c r="E1276" s="29"/>
      <c r="F1276" s="29"/>
      <c r="G1276" s="30"/>
    </row>
    <row r="1277" spans="1:7" x14ac:dyDescent="0.2">
      <c r="A1277" s="31" t="s">
        <v>3171</v>
      </c>
      <c r="B1277" s="31"/>
      <c r="C1277" s="32">
        <v>1</v>
      </c>
      <c r="D1277" s="32"/>
      <c r="E1277" s="32"/>
      <c r="F1277" s="32"/>
      <c r="G1277" s="32">
        <f>PRODUCT(C1277:F1277)</f>
        <v>1</v>
      </c>
    </row>
    <row r="1279" spans="1:7" ht="45" customHeight="1" x14ac:dyDescent="0.2">
      <c r="A1279" s="17" t="s">
        <v>3493</v>
      </c>
      <c r="B1279" s="17" t="s">
        <v>3141</v>
      </c>
      <c r="C1279" s="17" t="s">
        <v>466</v>
      </c>
      <c r="D1279" s="83" t="s">
        <v>23</v>
      </c>
      <c r="E1279" s="102" t="s">
        <v>467</v>
      </c>
      <c r="F1279" s="102" t="s">
        <v>467</v>
      </c>
      <c r="G1279" s="84">
        <f>SUM(G1280:G1281)</f>
        <v>4</v>
      </c>
    </row>
    <row r="1280" spans="1:7" x14ac:dyDescent="0.2">
      <c r="A1280" s="28"/>
      <c r="B1280" s="28" t="s">
        <v>3142</v>
      </c>
      <c r="C1280" s="29" t="s">
        <v>3143</v>
      </c>
      <c r="D1280" s="29"/>
      <c r="E1280" s="29"/>
      <c r="F1280" s="29"/>
      <c r="G1280" s="30"/>
    </row>
    <row r="1281" spans="1:7" x14ac:dyDescent="0.2">
      <c r="A1281" s="31" t="s">
        <v>3172</v>
      </c>
      <c r="B1281" s="31"/>
      <c r="C1281" s="32">
        <v>4</v>
      </c>
      <c r="D1281" s="32"/>
      <c r="E1281" s="32"/>
      <c r="F1281" s="32"/>
      <c r="G1281" s="32">
        <f>PRODUCT(C1281:F1281)</f>
        <v>4</v>
      </c>
    </row>
    <row r="1283" spans="1:7" ht="45" customHeight="1" x14ac:dyDescent="0.2">
      <c r="A1283" s="17" t="s">
        <v>3494</v>
      </c>
      <c r="B1283" s="17" t="s">
        <v>3141</v>
      </c>
      <c r="C1283" s="17" t="s">
        <v>468</v>
      </c>
      <c r="D1283" s="83" t="s">
        <v>23</v>
      </c>
      <c r="E1283" s="102" t="s">
        <v>469</v>
      </c>
      <c r="F1283" s="102" t="s">
        <v>469</v>
      </c>
      <c r="G1283" s="84">
        <f>SUM(G1284:G1285)</f>
        <v>1</v>
      </c>
    </row>
    <row r="1284" spans="1:7" x14ac:dyDescent="0.2">
      <c r="A1284" s="28"/>
      <c r="B1284" s="28" t="s">
        <v>3142</v>
      </c>
      <c r="C1284" s="29" t="s">
        <v>3143</v>
      </c>
      <c r="D1284" s="29"/>
      <c r="E1284" s="29"/>
      <c r="F1284" s="29"/>
      <c r="G1284" s="30"/>
    </row>
    <row r="1285" spans="1:7" x14ac:dyDescent="0.2">
      <c r="A1285" s="31" t="s">
        <v>3495</v>
      </c>
      <c r="B1285" s="31"/>
      <c r="C1285" s="32">
        <v>1</v>
      </c>
      <c r="D1285" s="32"/>
      <c r="E1285" s="32"/>
      <c r="F1285" s="32"/>
      <c r="G1285" s="32">
        <f>PRODUCT(C1285:F1285)</f>
        <v>1</v>
      </c>
    </row>
    <row r="1287" spans="1:7" ht="45" customHeight="1" x14ac:dyDescent="0.2">
      <c r="A1287" s="17" t="s">
        <v>3496</v>
      </c>
      <c r="B1287" s="17" t="s">
        <v>3141</v>
      </c>
      <c r="C1287" s="17" t="s">
        <v>470</v>
      </c>
      <c r="D1287" s="83" t="s">
        <v>23</v>
      </c>
      <c r="E1287" s="102" t="s">
        <v>471</v>
      </c>
      <c r="F1287" s="102" t="s">
        <v>471</v>
      </c>
      <c r="G1287" s="84">
        <f>SUM(G1288:G1289)</f>
        <v>1</v>
      </c>
    </row>
    <row r="1288" spans="1:7" x14ac:dyDescent="0.2">
      <c r="A1288" s="28"/>
      <c r="B1288" s="28" t="s">
        <v>3142</v>
      </c>
      <c r="C1288" s="29" t="s">
        <v>3143</v>
      </c>
      <c r="D1288" s="29"/>
      <c r="E1288" s="29"/>
      <c r="F1288" s="29"/>
      <c r="G1288" s="30"/>
    </row>
    <row r="1289" spans="1:7" x14ac:dyDescent="0.2">
      <c r="A1289" s="31" t="s">
        <v>3497</v>
      </c>
      <c r="B1289" s="31"/>
      <c r="C1289" s="32">
        <v>1</v>
      </c>
      <c r="D1289" s="32"/>
      <c r="E1289" s="32"/>
      <c r="F1289" s="32"/>
      <c r="G1289" s="32">
        <f>PRODUCT(C1289:F1289)</f>
        <v>1</v>
      </c>
    </row>
    <row r="1291" spans="1:7" ht="45" customHeight="1" x14ac:dyDescent="0.2">
      <c r="A1291" s="17" t="s">
        <v>3498</v>
      </c>
      <c r="B1291" s="17" t="s">
        <v>3141</v>
      </c>
      <c r="C1291" s="17" t="s">
        <v>472</v>
      </c>
      <c r="D1291" s="83" t="s">
        <v>23</v>
      </c>
      <c r="E1291" s="102" t="s">
        <v>473</v>
      </c>
      <c r="F1291" s="102" t="s">
        <v>473</v>
      </c>
      <c r="G1291" s="84">
        <f>SUM(G1292:G1293)</f>
        <v>1</v>
      </c>
    </row>
    <row r="1292" spans="1:7" x14ac:dyDescent="0.2">
      <c r="A1292" s="28"/>
      <c r="B1292" s="28" t="s">
        <v>3142</v>
      </c>
      <c r="C1292" s="29" t="s">
        <v>3143</v>
      </c>
      <c r="D1292" s="29"/>
      <c r="E1292" s="29"/>
      <c r="F1292" s="29"/>
      <c r="G1292" s="30"/>
    </row>
    <row r="1293" spans="1:7" x14ac:dyDescent="0.2">
      <c r="A1293" s="31" t="s">
        <v>3499</v>
      </c>
      <c r="B1293" s="31"/>
      <c r="C1293" s="32">
        <v>1</v>
      </c>
      <c r="D1293" s="32"/>
      <c r="E1293" s="32"/>
      <c r="F1293" s="32"/>
      <c r="G1293" s="32">
        <f>PRODUCT(C1293:F1293)</f>
        <v>1</v>
      </c>
    </row>
    <row r="1295" spans="1:7" ht="45" customHeight="1" x14ac:dyDescent="0.2">
      <c r="A1295" s="17" t="s">
        <v>3500</v>
      </c>
      <c r="B1295" s="17" t="s">
        <v>3141</v>
      </c>
      <c r="C1295" s="17" t="s">
        <v>474</v>
      </c>
      <c r="D1295" s="83" t="s">
        <v>18</v>
      </c>
      <c r="E1295" s="102" t="s">
        <v>475</v>
      </c>
      <c r="F1295" s="102" t="s">
        <v>475</v>
      </c>
      <c r="G1295" s="84">
        <f>SUM(G1296:G1308)</f>
        <v>49.685600000000001</v>
      </c>
    </row>
    <row r="1296" spans="1:7" x14ac:dyDescent="0.2">
      <c r="A1296" s="28"/>
      <c r="B1296" s="28" t="s">
        <v>3142</v>
      </c>
      <c r="C1296" s="29" t="s">
        <v>3143</v>
      </c>
      <c r="D1296" s="29" t="s">
        <v>3146</v>
      </c>
      <c r="E1296" s="29" t="s">
        <v>3148</v>
      </c>
      <c r="F1296" s="29"/>
      <c r="G1296" s="30"/>
    </row>
    <row r="1297" spans="1:7" x14ac:dyDescent="0.2">
      <c r="A1297" s="31" t="s">
        <v>3480</v>
      </c>
      <c r="B1297" s="31"/>
      <c r="C1297" s="32">
        <v>8</v>
      </c>
      <c r="D1297" s="32">
        <v>1.62</v>
      </c>
      <c r="E1297" s="32">
        <v>2.44</v>
      </c>
      <c r="F1297" s="32"/>
      <c r="G1297" s="32">
        <f t="shared" ref="G1297:G1308" si="13">PRODUCT(C1297:F1297)</f>
        <v>31.622400000000003</v>
      </c>
    </row>
    <row r="1298" spans="1:7" x14ac:dyDescent="0.2">
      <c r="A1298" s="31" t="s">
        <v>3482</v>
      </c>
      <c r="B1298" s="31"/>
      <c r="C1298" s="32">
        <v>1</v>
      </c>
      <c r="D1298" s="32">
        <v>0.98</v>
      </c>
      <c r="E1298" s="32">
        <v>2.5499999999999998</v>
      </c>
      <c r="F1298" s="32"/>
      <c r="G1298" s="32">
        <f t="shared" si="13"/>
        <v>2.4989999999999997</v>
      </c>
    </row>
    <row r="1299" spans="1:7" x14ac:dyDescent="0.2">
      <c r="A1299" s="31" t="s">
        <v>3166</v>
      </c>
      <c r="B1299" s="31"/>
      <c r="C1299" s="32">
        <v>1</v>
      </c>
      <c r="D1299" s="32">
        <v>0.98</v>
      </c>
      <c r="E1299" s="32">
        <v>2.5499999999999998</v>
      </c>
      <c r="F1299" s="32"/>
      <c r="G1299" s="32">
        <f t="shared" si="13"/>
        <v>2.4989999999999997</v>
      </c>
    </row>
    <row r="1300" spans="1:7" x14ac:dyDescent="0.2">
      <c r="A1300" s="31" t="s">
        <v>3485</v>
      </c>
      <c r="B1300" s="31"/>
      <c r="C1300" s="32">
        <v>1</v>
      </c>
      <c r="D1300" s="32">
        <v>1</v>
      </c>
      <c r="E1300" s="32">
        <v>0.83</v>
      </c>
      <c r="F1300" s="32"/>
      <c r="G1300" s="32">
        <f t="shared" si="13"/>
        <v>0.83</v>
      </c>
    </row>
    <row r="1301" spans="1:7" x14ac:dyDescent="0.2">
      <c r="A1301" s="31" t="s">
        <v>3167</v>
      </c>
      <c r="B1301" s="31"/>
      <c r="C1301" s="32">
        <v>1</v>
      </c>
      <c r="D1301" s="32">
        <v>0.83</v>
      </c>
      <c r="E1301" s="32">
        <v>0.83</v>
      </c>
      <c r="F1301" s="32"/>
      <c r="G1301" s="32">
        <f t="shared" si="13"/>
        <v>0.68889999999999996</v>
      </c>
    </row>
    <row r="1302" spans="1:7" x14ac:dyDescent="0.2">
      <c r="A1302" s="31" t="s">
        <v>3488</v>
      </c>
      <c r="B1302" s="31"/>
      <c r="C1302" s="32">
        <v>1</v>
      </c>
      <c r="D1302" s="32">
        <v>0.86</v>
      </c>
      <c r="E1302" s="32">
        <v>1.63</v>
      </c>
      <c r="F1302" s="32"/>
      <c r="G1302" s="32">
        <f t="shared" si="13"/>
        <v>1.4017999999999999</v>
      </c>
    </row>
    <row r="1303" spans="1:7" x14ac:dyDescent="0.2">
      <c r="A1303" s="31" t="s">
        <v>3168</v>
      </c>
      <c r="B1303" s="31"/>
      <c r="C1303" s="32">
        <v>1</v>
      </c>
      <c r="D1303" s="32">
        <v>1.33</v>
      </c>
      <c r="E1303" s="32">
        <v>0.88</v>
      </c>
      <c r="F1303" s="32"/>
      <c r="G1303" s="32">
        <f t="shared" si="13"/>
        <v>1.1704000000000001</v>
      </c>
    </row>
    <row r="1304" spans="1:7" x14ac:dyDescent="0.2">
      <c r="A1304" s="31" t="s">
        <v>3169</v>
      </c>
      <c r="B1304" s="31"/>
      <c r="C1304" s="32">
        <v>1</v>
      </c>
      <c r="D1304" s="32">
        <v>0.62</v>
      </c>
      <c r="E1304" s="32">
        <v>0.92</v>
      </c>
      <c r="F1304" s="32"/>
      <c r="G1304" s="32">
        <f t="shared" si="13"/>
        <v>0.57040000000000002</v>
      </c>
    </row>
    <row r="1305" spans="1:7" x14ac:dyDescent="0.2">
      <c r="A1305" s="31" t="s">
        <v>3170</v>
      </c>
      <c r="B1305" s="31"/>
      <c r="C1305" s="32">
        <v>1</v>
      </c>
      <c r="D1305" s="32">
        <v>0.91</v>
      </c>
      <c r="E1305" s="32">
        <v>1.24</v>
      </c>
      <c r="F1305" s="32"/>
      <c r="G1305" s="32">
        <f t="shared" si="13"/>
        <v>1.1284000000000001</v>
      </c>
    </row>
    <row r="1306" spans="1:7" x14ac:dyDescent="0.2">
      <c r="A1306" s="31" t="s">
        <v>3171</v>
      </c>
      <c r="B1306" s="31"/>
      <c r="C1306" s="32">
        <v>1</v>
      </c>
      <c r="D1306" s="32">
        <v>1.28</v>
      </c>
      <c r="E1306" s="32">
        <v>1.79</v>
      </c>
      <c r="F1306" s="32"/>
      <c r="G1306" s="32">
        <f t="shared" si="13"/>
        <v>2.2911999999999999</v>
      </c>
    </row>
    <row r="1307" spans="1:7" x14ac:dyDescent="0.2">
      <c r="A1307" s="31" t="s">
        <v>3172</v>
      </c>
      <c r="B1307" s="31"/>
      <c r="C1307" s="32">
        <v>4</v>
      </c>
      <c r="D1307" s="32">
        <v>0.88</v>
      </c>
      <c r="E1307" s="32">
        <v>1.33</v>
      </c>
      <c r="F1307" s="32"/>
      <c r="G1307" s="32">
        <f t="shared" si="13"/>
        <v>4.6816000000000004</v>
      </c>
    </row>
    <row r="1308" spans="1:7" x14ac:dyDescent="0.2">
      <c r="A1308" s="31" t="s">
        <v>3501</v>
      </c>
      <c r="B1308" s="31"/>
      <c r="C1308" s="32">
        <v>1</v>
      </c>
      <c r="D1308" s="32">
        <v>0.55000000000000004</v>
      </c>
      <c r="E1308" s="32">
        <v>0.55000000000000004</v>
      </c>
      <c r="F1308" s="32"/>
      <c r="G1308" s="32">
        <f t="shared" si="13"/>
        <v>0.30250000000000005</v>
      </c>
    </row>
    <row r="1310" spans="1:7" x14ac:dyDescent="0.2">
      <c r="B1310" t="s">
        <v>3139</v>
      </c>
      <c r="C1310" s="6" t="s">
        <v>6</v>
      </c>
      <c r="D1310" s="7" t="s">
        <v>7</v>
      </c>
      <c r="E1310" s="6" t="s">
        <v>8</v>
      </c>
    </row>
    <row r="1311" spans="1:7" x14ac:dyDescent="0.2">
      <c r="B1311" t="s">
        <v>3139</v>
      </c>
      <c r="C1311" s="6" t="s">
        <v>9</v>
      </c>
      <c r="D1311" s="7" t="s">
        <v>72</v>
      </c>
      <c r="E1311" s="6" t="s">
        <v>165</v>
      </c>
    </row>
    <row r="1312" spans="1:7" x14ac:dyDescent="0.2">
      <c r="B1312" t="s">
        <v>3139</v>
      </c>
      <c r="C1312" s="6" t="s">
        <v>11</v>
      </c>
      <c r="D1312" s="7" t="s">
        <v>153</v>
      </c>
      <c r="E1312" s="6" t="s">
        <v>443</v>
      </c>
    </row>
    <row r="1313" spans="1:7" x14ac:dyDescent="0.2">
      <c r="B1313" t="s">
        <v>3139</v>
      </c>
      <c r="C1313" s="6" t="s">
        <v>91</v>
      </c>
      <c r="D1313" s="7" t="s">
        <v>26</v>
      </c>
      <c r="E1313" s="6" t="s">
        <v>476</v>
      </c>
    </row>
    <row r="1315" spans="1:7" ht="45" customHeight="1" x14ac:dyDescent="0.2">
      <c r="A1315" s="17" t="s">
        <v>3502</v>
      </c>
      <c r="B1315" s="17" t="s">
        <v>3141</v>
      </c>
      <c r="C1315" s="17" t="s">
        <v>478</v>
      </c>
      <c r="D1315" s="83" t="s">
        <v>23</v>
      </c>
      <c r="E1315" s="102" t="s">
        <v>479</v>
      </c>
      <c r="F1315" s="102" t="s">
        <v>479</v>
      </c>
      <c r="G1315" s="84">
        <f>SUM(G1316:G1317)</f>
        <v>1</v>
      </c>
    </row>
    <row r="1316" spans="1:7" x14ac:dyDescent="0.2">
      <c r="A1316" s="28"/>
      <c r="B1316" s="28" t="s">
        <v>3142</v>
      </c>
      <c r="C1316" s="29" t="s">
        <v>3143</v>
      </c>
      <c r="D1316" s="29"/>
      <c r="E1316" s="29"/>
      <c r="F1316" s="29"/>
      <c r="G1316" s="30"/>
    </row>
    <row r="1317" spans="1:7" x14ac:dyDescent="0.2">
      <c r="A1317" s="31" t="s">
        <v>3503</v>
      </c>
      <c r="B1317" s="31"/>
      <c r="C1317" s="32">
        <v>1</v>
      </c>
      <c r="D1317" s="32"/>
      <c r="E1317" s="32"/>
      <c r="F1317" s="32"/>
      <c r="G1317" s="32">
        <f>PRODUCT(C1317:F1317)</f>
        <v>1</v>
      </c>
    </row>
    <row r="1319" spans="1:7" ht="45" customHeight="1" x14ac:dyDescent="0.2">
      <c r="A1319" s="17" t="s">
        <v>3504</v>
      </c>
      <c r="B1319" s="17" t="s">
        <v>3141</v>
      </c>
      <c r="C1319" s="17" t="s">
        <v>480</v>
      </c>
      <c r="D1319" s="83" t="s">
        <v>23</v>
      </c>
      <c r="E1319" s="102" t="s">
        <v>481</v>
      </c>
      <c r="F1319" s="102" t="s">
        <v>481</v>
      </c>
      <c r="G1319" s="84">
        <f>SUM(G1320:G1321)</f>
        <v>1</v>
      </c>
    </row>
    <row r="1320" spans="1:7" x14ac:dyDescent="0.2">
      <c r="A1320" s="28"/>
      <c r="B1320" s="28" t="s">
        <v>3142</v>
      </c>
      <c r="C1320" s="29" t="s">
        <v>3143</v>
      </c>
      <c r="D1320" s="29"/>
      <c r="E1320" s="29"/>
      <c r="F1320" s="29"/>
      <c r="G1320" s="30"/>
    </row>
    <row r="1321" spans="1:7" x14ac:dyDescent="0.2">
      <c r="A1321" s="31" t="s">
        <v>3505</v>
      </c>
      <c r="B1321" s="31"/>
      <c r="C1321" s="32">
        <v>1</v>
      </c>
      <c r="D1321" s="32"/>
      <c r="E1321" s="32"/>
      <c r="F1321" s="32"/>
      <c r="G1321" s="32">
        <f>PRODUCT(C1321:F1321)</f>
        <v>1</v>
      </c>
    </row>
    <row r="1323" spans="1:7" ht="45" customHeight="1" x14ac:dyDescent="0.2">
      <c r="A1323" s="17" t="s">
        <v>3506</v>
      </c>
      <c r="B1323" s="17" t="s">
        <v>3141</v>
      </c>
      <c r="C1323" s="17" t="s">
        <v>482</v>
      </c>
      <c r="D1323" s="83" t="s">
        <v>23</v>
      </c>
      <c r="E1323" s="102" t="s">
        <v>483</v>
      </c>
      <c r="F1323" s="102" t="s">
        <v>483</v>
      </c>
      <c r="G1323" s="84">
        <f>SUM(G1324:G1325)</f>
        <v>1</v>
      </c>
    </row>
    <row r="1324" spans="1:7" x14ac:dyDescent="0.2">
      <c r="A1324" s="28"/>
      <c r="B1324" s="28" t="s">
        <v>3142</v>
      </c>
      <c r="C1324" s="29" t="s">
        <v>3143</v>
      </c>
      <c r="D1324" s="29"/>
      <c r="E1324" s="29"/>
      <c r="F1324" s="29"/>
      <c r="G1324" s="30"/>
    </row>
    <row r="1325" spans="1:7" x14ac:dyDescent="0.2">
      <c r="A1325" s="31" t="s">
        <v>3507</v>
      </c>
      <c r="B1325" s="31"/>
      <c r="C1325" s="32">
        <v>1</v>
      </c>
      <c r="D1325" s="32"/>
      <c r="E1325" s="32"/>
      <c r="F1325" s="32"/>
      <c r="G1325" s="32">
        <f>PRODUCT(C1325:F1325)</f>
        <v>1</v>
      </c>
    </row>
    <row r="1327" spans="1:7" ht="45" customHeight="1" x14ac:dyDescent="0.2">
      <c r="A1327" s="17" t="s">
        <v>3508</v>
      </c>
      <c r="B1327" s="17" t="s">
        <v>3141</v>
      </c>
      <c r="C1327" s="17" t="s">
        <v>484</v>
      </c>
      <c r="D1327" s="83" t="s">
        <v>23</v>
      </c>
      <c r="E1327" s="102" t="s">
        <v>485</v>
      </c>
      <c r="F1327" s="102" t="s">
        <v>485</v>
      </c>
      <c r="G1327" s="84">
        <f>SUM(G1328:G1329)</f>
        <v>1</v>
      </c>
    </row>
    <row r="1328" spans="1:7" x14ac:dyDescent="0.2">
      <c r="A1328" s="28"/>
      <c r="B1328" s="28" t="s">
        <v>3142</v>
      </c>
      <c r="C1328" s="29" t="s">
        <v>3143</v>
      </c>
      <c r="D1328" s="29"/>
      <c r="E1328" s="29"/>
      <c r="F1328" s="29"/>
      <c r="G1328" s="30"/>
    </row>
    <row r="1329" spans="1:7" x14ac:dyDescent="0.2">
      <c r="A1329" s="31" t="s">
        <v>3507</v>
      </c>
      <c r="B1329" s="31"/>
      <c r="C1329" s="32">
        <v>1</v>
      </c>
      <c r="D1329" s="32"/>
      <c r="E1329" s="32"/>
      <c r="F1329" s="32"/>
      <c r="G1329" s="32">
        <f>PRODUCT(C1329:F1329)</f>
        <v>1</v>
      </c>
    </row>
    <row r="1331" spans="1:7" ht="45" customHeight="1" x14ac:dyDescent="0.2">
      <c r="A1331" s="17" t="s">
        <v>3509</v>
      </c>
      <c r="B1331" s="17" t="s">
        <v>3141</v>
      </c>
      <c r="C1331" s="17" t="s">
        <v>486</v>
      </c>
      <c r="D1331" s="83" t="s">
        <v>23</v>
      </c>
      <c r="E1331" s="102" t="s">
        <v>487</v>
      </c>
      <c r="F1331" s="102" t="s">
        <v>487</v>
      </c>
      <c r="G1331" s="84">
        <f>SUM(G1332:G1333)</f>
        <v>1</v>
      </c>
    </row>
    <row r="1332" spans="1:7" x14ac:dyDescent="0.2">
      <c r="A1332" s="28"/>
      <c r="B1332" s="28" t="s">
        <v>3142</v>
      </c>
      <c r="C1332" s="29" t="s">
        <v>3143</v>
      </c>
      <c r="D1332" s="29"/>
      <c r="E1332" s="29"/>
      <c r="F1332" s="29"/>
      <c r="G1332" s="30"/>
    </row>
    <row r="1333" spans="1:7" x14ac:dyDescent="0.2">
      <c r="A1333" s="31" t="s">
        <v>3510</v>
      </c>
      <c r="B1333" s="31"/>
      <c r="C1333" s="32">
        <v>1</v>
      </c>
      <c r="D1333" s="32"/>
      <c r="E1333" s="32"/>
      <c r="F1333" s="32"/>
      <c r="G1333" s="32">
        <f>PRODUCT(C1333:F1333)</f>
        <v>1</v>
      </c>
    </row>
    <row r="1335" spans="1:7" ht="45" customHeight="1" x14ac:dyDescent="0.2">
      <c r="A1335" s="17" t="s">
        <v>3511</v>
      </c>
      <c r="B1335" s="17" t="s">
        <v>3141</v>
      </c>
      <c r="C1335" s="17" t="s">
        <v>488</v>
      </c>
      <c r="D1335" s="83" t="s">
        <v>23</v>
      </c>
      <c r="E1335" s="102" t="s">
        <v>489</v>
      </c>
      <c r="F1335" s="102" t="s">
        <v>489</v>
      </c>
      <c r="G1335" s="84">
        <f>SUM(G1336:G1337)</f>
        <v>1</v>
      </c>
    </row>
    <row r="1336" spans="1:7" x14ac:dyDescent="0.2">
      <c r="A1336" s="28"/>
      <c r="B1336" s="28" t="s">
        <v>3142</v>
      </c>
      <c r="C1336" s="29" t="s">
        <v>3143</v>
      </c>
      <c r="D1336" s="29"/>
      <c r="E1336" s="29"/>
      <c r="F1336" s="29"/>
      <c r="G1336" s="30"/>
    </row>
    <row r="1337" spans="1:7" x14ac:dyDescent="0.2">
      <c r="A1337" s="31" t="s">
        <v>3512</v>
      </c>
      <c r="B1337" s="31"/>
      <c r="C1337" s="32">
        <v>1</v>
      </c>
      <c r="D1337" s="32"/>
      <c r="E1337" s="32"/>
      <c r="F1337" s="32"/>
      <c r="G1337" s="32">
        <f>PRODUCT(C1337:F1337)</f>
        <v>1</v>
      </c>
    </row>
    <row r="1339" spans="1:7" ht="45" customHeight="1" x14ac:dyDescent="0.2">
      <c r="A1339" s="17" t="s">
        <v>3513</v>
      </c>
      <c r="B1339" s="17" t="s">
        <v>3141</v>
      </c>
      <c r="C1339" s="17" t="s">
        <v>490</v>
      </c>
      <c r="D1339" s="83" t="s">
        <v>23</v>
      </c>
      <c r="E1339" s="102" t="s">
        <v>491</v>
      </c>
      <c r="F1339" s="102" t="s">
        <v>491</v>
      </c>
      <c r="G1339" s="84">
        <f>SUM(G1340:G1341)</f>
        <v>1</v>
      </c>
    </row>
    <row r="1340" spans="1:7" x14ac:dyDescent="0.2">
      <c r="A1340" s="28"/>
      <c r="B1340" s="28" t="s">
        <v>3142</v>
      </c>
      <c r="C1340" s="29" t="s">
        <v>3143</v>
      </c>
      <c r="D1340" s="29"/>
      <c r="E1340" s="29"/>
      <c r="F1340" s="29"/>
      <c r="G1340" s="30"/>
    </row>
    <row r="1341" spans="1:7" x14ac:dyDescent="0.2">
      <c r="A1341" s="31" t="s">
        <v>3514</v>
      </c>
      <c r="B1341" s="31"/>
      <c r="C1341" s="32">
        <v>1</v>
      </c>
      <c r="D1341" s="32"/>
      <c r="E1341" s="32"/>
      <c r="F1341" s="32"/>
      <c r="G1341" s="32">
        <f>PRODUCT(C1341:F1341)</f>
        <v>1</v>
      </c>
    </row>
    <row r="1343" spans="1:7" ht="45" customHeight="1" x14ac:dyDescent="0.2">
      <c r="A1343" s="17" t="s">
        <v>3515</v>
      </c>
      <c r="B1343" s="17" t="s">
        <v>3141</v>
      </c>
      <c r="C1343" s="17" t="s">
        <v>492</v>
      </c>
      <c r="D1343" s="83" t="s">
        <v>23</v>
      </c>
      <c r="E1343" s="102" t="s">
        <v>493</v>
      </c>
      <c r="F1343" s="102" t="s">
        <v>493</v>
      </c>
      <c r="G1343" s="84">
        <f>SUM(G1344:G1345)</f>
        <v>1</v>
      </c>
    </row>
    <row r="1344" spans="1:7" x14ac:dyDescent="0.2">
      <c r="A1344" s="28"/>
      <c r="B1344" s="28" t="s">
        <v>3142</v>
      </c>
      <c r="C1344" s="29" t="s">
        <v>3143</v>
      </c>
      <c r="D1344" s="29"/>
      <c r="E1344" s="29"/>
      <c r="F1344" s="29"/>
      <c r="G1344" s="30"/>
    </row>
    <row r="1345" spans="1:7" x14ac:dyDescent="0.2">
      <c r="A1345" s="31" t="s">
        <v>3516</v>
      </c>
      <c r="B1345" s="31"/>
      <c r="C1345" s="32">
        <v>1</v>
      </c>
      <c r="D1345" s="32"/>
      <c r="E1345" s="32"/>
      <c r="F1345" s="32"/>
      <c r="G1345" s="32">
        <f>PRODUCT(C1345:F1345)</f>
        <v>1</v>
      </c>
    </row>
    <row r="1347" spans="1:7" ht="45" customHeight="1" x14ac:dyDescent="0.2">
      <c r="A1347" s="17" t="s">
        <v>3517</v>
      </c>
      <c r="B1347" s="17" t="s">
        <v>3141</v>
      </c>
      <c r="C1347" s="17" t="s">
        <v>494</v>
      </c>
      <c r="D1347" s="83" t="s">
        <v>23</v>
      </c>
      <c r="E1347" s="102" t="s">
        <v>495</v>
      </c>
      <c r="F1347" s="102" t="s">
        <v>495</v>
      </c>
      <c r="G1347" s="84">
        <f>SUM(G1348:G1349)</f>
        <v>1</v>
      </c>
    </row>
    <row r="1348" spans="1:7" x14ac:dyDescent="0.2">
      <c r="A1348" s="28"/>
      <c r="B1348" s="28" t="s">
        <v>3142</v>
      </c>
      <c r="C1348" s="29" t="s">
        <v>3143</v>
      </c>
      <c r="D1348" s="29"/>
      <c r="E1348" s="29"/>
      <c r="F1348" s="29"/>
      <c r="G1348" s="30"/>
    </row>
    <row r="1349" spans="1:7" x14ac:dyDescent="0.2">
      <c r="A1349" s="31" t="s">
        <v>3518</v>
      </c>
      <c r="B1349" s="31"/>
      <c r="C1349" s="32">
        <v>1</v>
      </c>
      <c r="D1349" s="32"/>
      <c r="E1349" s="32"/>
      <c r="F1349" s="32"/>
      <c r="G1349" s="32">
        <f>PRODUCT(C1349:F1349)</f>
        <v>1</v>
      </c>
    </row>
    <row r="1351" spans="1:7" ht="45" customHeight="1" x14ac:dyDescent="0.2">
      <c r="A1351" s="17" t="s">
        <v>3519</v>
      </c>
      <c r="B1351" s="17" t="s">
        <v>3141</v>
      </c>
      <c r="C1351" s="17" t="s">
        <v>496</v>
      </c>
      <c r="D1351" s="83" t="s">
        <v>23</v>
      </c>
      <c r="E1351" s="102" t="s">
        <v>497</v>
      </c>
      <c r="F1351" s="102" t="s">
        <v>497</v>
      </c>
      <c r="G1351" s="84">
        <f>SUM(G1352:G1353)</f>
        <v>2</v>
      </c>
    </row>
    <row r="1352" spans="1:7" x14ac:dyDescent="0.2">
      <c r="A1352" s="28"/>
      <c r="B1352" s="28" t="s">
        <v>3142</v>
      </c>
      <c r="C1352" s="29" t="s">
        <v>3143</v>
      </c>
      <c r="D1352" s="29"/>
      <c r="E1352" s="29"/>
      <c r="F1352" s="29"/>
      <c r="G1352" s="30"/>
    </row>
    <row r="1353" spans="1:7" x14ac:dyDescent="0.2">
      <c r="A1353" s="31" t="s">
        <v>3520</v>
      </c>
      <c r="B1353" s="31"/>
      <c r="C1353" s="32">
        <v>2</v>
      </c>
      <c r="D1353" s="32"/>
      <c r="E1353" s="32"/>
      <c r="F1353" s="32"/>
      <c r="G1353" s="32">
        <f>PRODUCT(C1353:F1353)</f>
        <v>2</v>
      </c>
    </row>
    <row r="1355" spans="1:7" ht="45" customHeight="1" x14ac:dyDescent="0.2">
      <c r="A1355" s="17" t="s">
        <v>3521</v>
      </c>
      <c r="B1355" s="17" t="s">
        <v>3141</v>
      </c>
      <c r="C1355" s="17" t="s">
        <v>498</v>
      </c>
      <c r="D1355" s="83" t="s">
        <v>23</v>
      </c>
      <c r="E1355" s="102" t="s">
        <v>499</v>
      </c>
      <c r="F1355" s="102" t="s">
        <v>499</v>
      </c>
      <c r="G1355" s="84">
        <f>SUM(G1356:G1357)</f>
        <v>1</v>
      </c>
    </row>
    <row r="1356" spans="1:7" x14ac:dyDescent="0.2">
      <c r="A1356" s="28"/>
      <c r="B1356" s="28" t="s">
        <v>3142</v>
      </c>
      <c r="C1356" s="29" t="s">
        <v>3143</v>
      </c>
      <c r="D1356" s="29"/>
      <c r="E1356" s="29"/>
      <c r="F1356" s="29"/>
      <c r="G1356" s="30"/>
    </row>
    <row r="1357" spans="1:7" x14ac:dyDescent="0.2">
      <c r="A1357" s="31" t="s">
        <v>3522</v>
      </c>
      <c r="B1357" s="31"/>
      <c r="C1357" s="32">
        <v>1</v>
      </c>
      <c r="D1357" s="32"/>
      <c r="E1357" s="32"/>
      <c r="F1357" s="32"/>
      <c r="G1357" s="32">
        <f>PRODUCT(C1357:F1357)</f>
        <v>1</v>
      </c>
    </row>
    <row r="1359" spans="1:7" ht="45" customHeight="1" x14ac:dyDescent="0.2">
      <c r="A1359" s="17" t="s">
        <v>3523</v>
      </c>
      <c r="B1359" s="17" t="s">
        <v>3141</v>
      </c>
      <c r="C1359" s="17" t="s">
        <v>500</v>
      </c>
      <c r="D1359" s="83" t="s">
        <v>23</v>
      </c>
      <c r="E1359" s="102" t="s">
        <v>501</v>
      </c>
      <c r="F1359" s="102" t="s">
        <v>501</v>
      </c>
      <c r="G1359" s="84">
        <f>SUM(G1360:G1361)</f>
        <v>1</v>
      </c>
    </row>
    <row r="1360" spans="1:7" x14ac:dyDescent="0.2">
      <c r="A1360" s="28"/>
      <c r="B1360" s="28" t="s">
        <v>3142</v>
      </c>
      <c r="C1360" s="29" t="s">
        <v>3143</v>
      </c>
      <c r="D1360" s="29"/>
      <c r="E1360" s="29"/>
      <c r="F1360" s="29"/>
      <c r="G1360" s="30"/>
    </row>
    <row r="1361" spans="1:7" x14ac:dyDescent="0.2">
      <c r="A1361" s="31" t="s">
        <v>3524</v>
      </c>
      <c r="B1361" s="31"/>
      <c r="C1361" s="32">
        <v>1</v>
      </c>
      <c r="D1361" s="32"/>
      <c r="E1361" s="32"/>
      <c r="F1361" s="32"/>
      <c r="G1361" s="32">
        <f>PRODUCT(C1361:F1361)</f>
        <v>1</v>
      </c>
    </row>
    <row r="1363" spans="1:7" ht="45" customHeight="1" x14ac:dyDescent="0.2">
      <c r="A1363" s="17" t="s">
        <v>3525</v>
      </c>
      <c r="B1363" s="17" t="s">
        <v>3141</v>
      </c>
      <c r="C1363" s="17" t="s">
        <v>502</v>
      </c>
      <c r="D1363" s="83" t="s">
        <v>23</v>
      </c>
      <c r="E1363" s="102" t="s">
        <v>503</v>
      </c>
      <c r="F1363" s="102" t="s">
        <v>503</v>
      </c>
      <c r="G1363" s="84">
        <f>SUM(G1364:G1365)</f>
        <v>1</v>
      </c>
    </row>
    <row r="1364" spans="1:7" x14ac:dyDescent="0.2">
      <c r="A1364" s="28"/>
      <c r="B1364" s="28" t="s">
        <v>3142</v>
      </c>
      <c r="C1364" s="29" t="s">
        <v>3143</v>
      </c>
      <c r="D1364" s="29"/>
      <c r="E1364" s="29"/>
      <c r="F1364" s="29"/>
      <c r="G1364" s="30"/>
    </row>
    <row r="1365" spans="1:7" x14ac:dyDescent="0.2">
      <c r="A1365" s="31" t="s">
        <v>3526</v>
      </c>
      <c r="B1365" s="31"/>
      <c r="C1365" s="32">
        <v>1</v>
      </c>
      <c r="D1365" s="32"/>
      <c r="E1365" s="32"/>
      <c r="F1365" s="32"/>
      <c r="G1365" s="32">
        <f>PRODUCT(C1365:F1365)</f>
        <v>1</v>
      </c>
    </row>
    <row r="1367" spans="1:7" ht="45" customHeight="1" x14ac:dyDescent="0.2">
      <c r="A1367" s="17" t="s">
        <v>3527</v>
      </c>
      <c r="B1367" s="17" t="s">
        <v>3141</v>
      </c>
      <c r="C1367" s="17" t="s">
        <v>504</v>
      </c>
      <c r="D1367" s="83" t="s">
        <v>23</v>
      </c>
      <c r="E1367" s="102" t="s">
        <v>505</v>
      </c>
      <c r="F1367" s="102" t="s">
        <v>505</v>
      </c>
      <c r="G1367" s="84">
        <f>SUM(G1368:G1369)</f>
        <v>1</v>
      </c>
    </row>
    <row r="1368" spans="1:7" x14ac:dyDescent="0.2">
      <c r="A1368" s="28"/>
      <c r="B1368" s="28" t="s">
        <v>3142</v>
      </c>
      <c r="C1368" s="29" t="s">
        <v>3143</v>
      </c>
      <c r="D1368" s="29"/>
      <c r="E1368" s="29"/>
      <c r="F1368" s="29"/>
      <c r="G1368" s="30"/>
    </row>
    <row r="1369" spans="1:7" x14ac:dyDescent="0.2">
      <c r="A1369" s="31" t="s">
        <v>3528</v>
      </c>
      <c r="B1369" s="31"/>
      <c r="C1369" s="32">
        <v>1</v>
      </c>
      <c r="D1369" s="32"/>
      <c r="E1369" s="32"/>
      <c r="F1369" s="32"/>
      <c r="G1369" s="32">
        <f>PRODUCT(C1369:F1369)</f>
        <v>1</v>
      </c>
    </row>
    <row r="1371" spans="1:7" ht="45" customHeight="1" x14ac:dyDescent="0.2">
      <c r="A1371" s="17" t="s">
        <v>3529</v>
      </c>
      <c r="B1371" s="17" t="s">
        <v>3141</v>
      </c>
      <c r="C1371" s="17" t="s">
        <v>506</v>
      </c>
      <c r="D1371" s="83" t="s">
        <v>23</v>
      </c>
      <c r="E1371" s="102" t="s">
        <v>507</v>
      </c>
      <c r="F1371" s="102" t="s">
        <v>507</v>
      </c>
      <c r="G1371" s="84">
        <f>SUM(G1372:G1373)</f>
        <v>1</v>
      </c>
    </row>
    <row r="1372" spans="1:7" x14ac:dyDescent="0.2">
      <c r="A1372" s="28"/>
      <c r="B1372" s="28" t="s">
        <v>3142</v>
      </c>
      <c r="C1372" s="29" t="s">
        <v>3143</v>
      </c>
      <c r="D1372" s="29"/>
      <c r="E1372" s="29"/>
      <c r="F1372" s="29"/>
      <c r="G1372" s="30"/>
    </row>
    <row r="1373" spans="1:7" x14ac:dyDescent="0.2">
      <c r="A1373" s="31" t="s">
        <v>3530</v>
      </c>
      <c r="B1373" s="31"/>
      <c r="C1373" s="32">
        <v>1</v>
      </c>
      <c r="D1373" s="32"/>
      <c r="E1373" s="32"/>
      <c r="F1373" s="32"/>
      <c r="G1373" s="32">
        <f>PRODUCT(C1373:F1373)</f>
        <v>1</v>
      </c>
    </row>
    <row r="1375" spans="1:7" ht="45" customHeight="1" x14ac:dyDescent="0.2">
      <c r="A1375" s="17" t="s">
        <v>3531</v>
      </c>
      <c r="B1375" s="17" t="s">
        <v>3141</v>
      </c>
      <c r="C1375" s="17" t="s">
        <v>508</v>
      </c>
      <c r="D1375" s="83" t="s">
        <v>18</v>
      </c>
      <c r="E1375" s="102" t="s">
        <v>509</v>
      </c>
      <c r="F1375" s="102" t="s">
        <v>509</v>
      </c>
      <c r="G1375" s="84">
        <f>SUM(G1376:G1391)</f>
        <v>61.094100000000005</v>
      </c>
    </row>
    <row r="1376" spans="1:7" x14ac:dyDescent="0.2">
      <c r="A1376" s="28"/>
      <c r="B1376" s="28" t="s">
        <v>3142</v>
      </c>
      <c r="C1376" s="29" t="s">
        <v>3143</v>
      </c>
      <c r="D1376" s="29" t="s">
        <v>3147</v>
      </c>
      <c r="E1376" s="29" t="s">
        <v>3148</v>
      </c>
      <c r="F1376" s="29"/>
      <c r="G1376" s="30"/>
    </row>
    <row r="1377" spans="1:7" x14ac:dyDescent="0.2">
      <c r="A1377" s="31" t="s">
        <v>3503</v>
      </c>
      <c r="B1377" s="31"/>
      <c r="C1377" s="32">
        <v>1</v>
      </c>
      <c r="D1377" s="32">
        <v>1.0900000000000001</v>
      </c>
      <c r="E1377" s="32">
        <v>1.96</v>
      </c>
      <c r="F1377" s="32"/>
      <c r="G1377" s="32">
        <f t="shared" ref="G1377:G1391" si="14">PRODUCT(C1377:F1377)</f>
        <v>2.1364000000000001</v>
      </c>
    </row>
    <row r="1378" spans="1:7" x14ac:dyDescent="0.2">
      <c r="A1378" s="31" t="s">
        <v>3505</v>
      </c>
      <c r="B1378" s="31"/>
      <c r="C1378" s="32">
        <v>1</v>
      </c>
      <c r="D1378" s="32">
        <v>0.45</v>
      </c>
      <c r="E1378" s="32">
        <v>1.77</v>
      </c>
      <c r="F1378" s="32"/>
      <c r="G1378" s="32">
        <f t="shared" si="14"/>
        <v>0.79649999999999999</v>
      </c>
    </row>
    <row r="1379" spans="1:7" x14ac:dyDescent="0.2">
      <c r="A1379" s="31" t="s">
        <v>3507</v>
      </c>
      <c r="B1379" s="31"/>
      <c r="C1379" s="32">
        <v>1</v>
      </c>
      <c r="D1379" s="32">
        <v>0.45</v>
      </c>
      <c r="E1379" s="32">
        <v>1.77</v>
      </c>
      <c r="F1379" s="32"/>
      <c r="G1379" s="32">
        <f t="shared" si="14"/>
        <v>0.79649999999999999</v>
      </c>
    </row>
    <row r="1380" spans="1:7" x14ac:dyDescent="0.2">
      <c r="A1380" s="31" t="s">
        <v>3532</v>
      </c>
      <c r="B1380" s="31"/>
      <c r="C1380" s="32">
        <v>1</v>
      </c>
      <c r="D1380" s="32">
        <v>0.45</v>
      </c>
      <c r="E1380" s="32">
        <v>1.77</v>
      </c>
      <c r="F1380" s="32"/>
      <c r="G1380" s="32">
        <f t="shared" si="14"/>
        <v>0.79649999999999999</v>
      </c>
    </row>
    <row r="1381" spans="1:7" x14ac:dyDescent="0.2">
      <c r="A1381" s="31" t="s">
        <v>3510</v>
      </c>
      <c r="B1381" s="31"/>
      <c r="C1381" s="32">
        <v>1</v>
      </c>
      <c r="D1381" s="32">
        <v>0.45</v>
      </c>
      <c r="E1381" s="32">
        <v>1.77</v>
      </c>
      <c r="F1381" s="32"/>
      <c r="G1381" s="32">
        <f t="shared" si="14"/>
        <v>0.79649999999999999</v>
      </c>
    </row>
    <row r="1382" spans="1:7" x14ac:dyDescent="0.2">
      <c r="A1382" s="31" t="s">
        <v>3512</v>
      </c>
      <c r="B1382" s="31"/>
      <c r="C1382" s="32">
        <v>1</v>
      </c>
      <c r="D1382" s="32">
        <v>1.38</v>
      </c>
      <c r="E1382" s="32">
        <v>2.79</v>
      </c>
      <c r="F1382" s="32"/>
      <c r="G1382" s="32">
        <f t="shared" si="14"/>
        <v>3.8501999999999996</v>
      </c>
    </row>
    <row r="1383" spans="1:7" x14ac:dyDescent="0.2">
      <c r="A1383" s="31" t="s">
        <v>3514</v>
      </c>
      <c r="B1383" s="31"/>
      <c r="C1383" s="32">
        <v>1</v>
      </c>
      <c r="D1383" s="32">
        <v>1.95</v>
      </c>
      <c r="E1383" s="32">
        <v>2.63</v>
      </c>
      <c r="F1383" s="32"/>
      <c r="G1383" s="32">
        <f t="shared" si="14"/>
        <v>5.1284999999999998</v>
      </c>
    </row>
    <row r="1384" spans="1:7" x14ac:dyDescent="0.2">
      <c r="A1384" s="31" t="s">
        <v>3516</v>
      </c>
      <c r="B1384" s="31"/>
      <c r="C1384" s="32">
        <v>1</v>
      </c>
      <c r="D1384" s="32">
        <v>1.85</v>
      </c>
      <c r="E1384" s="32">
        <v>2.66</v>
      </c>
      <c r="F1384" s="32"/>
      <c r="G1384" s="32">
        <f t="shared" si="14"/>
        <v>4.9210000000000003</v>
      </c>
    </row>
    <row r="1385" spans="1:7" x14ac:dyDescent="0.2">
      <c r="A1385" s="31" t="s">
        <v>3518</v>
      </c>
      <c r="B1385" s="31"/>
      <c r="C1385" s="32">
        <v>1</v>
      </c>
      <c r="D1385" s="32">
        <v>5.51</v>
      </c>
      <c r="E1385" s="32">
        <v>2.8</v>
      </c>
      <c r="F1385" s="32"/>
      <c r="G1385" s="32">
        <f t="shared" si="14"/>
        <v>15.427999999999999</v>
      </c>
    </row>
    <row r="1386" spans="1:7" x14ac:dyDescent="0.2">
      <c r="A1386" s="31" t="s">
        <v>3520</v>
      </c>
      <c r="B1386" s="31"/>
      <c r="C1386" s="32">
        <v>2</v>
      </c>
      <c r="D1386" s="32">
        <v>0.91</v>
      </c>
      <c r="E1386" s="32">
        <v>2.1800000000000002</v>
      </c>
      <c r="F1386" s="32"/>
      <c r="G1386" s="32">
        <f t="shared" si="14"/>
        <v>3.9676000000000005</v>
      </c>
    </row>
    <row r="1387" spans="1:7" x14ac:dyDescent="0.2">
      <c r="A1387" s="31" t="s">
        <v>3522</v>
      </c>
      <c r="B1387" s="31"/>
      <c r="C1387" s="32">
        <v>1</v>
      </c>
      <c r="D1387" s="32">
        <v>0.91</v>
      </c>
      <c r="E1387" s="32">
        <v>2.1800000000000002</v>
      </c>
      <c r="F1387" s="32"/>
      <c r="G1387" s="32">
        <f t="shared" si="14"/>
        <v>1.9838000000000002</v>
      </c>
    </row>
    <row r="1388" spans="1:7" x14ac:dyDescent="0.2">
      <c r="A1388" s="31" t="s">
        <v>3524</v>
      </c>
      <c r="B1388" s="31"/>
      <c r="C1388" s="32">
        <v>1</v>
      </c>
      <c r="D1388" s="32">
        <v>0.91</v>
      </c>
      <c r="E1388" s="32">
        <v>2.1800000000000002</v>
      </c>
      <c r="F1388" s="32"/>
      <c r="G1388" s="32">
        <f t="shared" si="14"/>
        <v>1.9838000000000002</v>
      </c>
    </row>
    <row r="1389" spans="1:7" x14ac:dyDescent="0.2">
      <c r="A1389" s="31" t="s">
        <v>3526</v>
      </c>
      <c r="B1389" s="31"/>
      <c r="C1389" s="32">
        <v>1</v>
      </c>
      <c r="D1389" s="32">
        <v>0.91</v>
      </c>
      <c r="E1389" s="32">
        <v>2.1800000000000002</v>
      </c>
      <c r="F1389" s="32"/>
      <c r="G1389" s="32">
        <f t="shared" si="14"/>
        <v>1.9838000000000002</v>
      </c>
    </row>
    <row r="1390" spans="1:7" x14ac:dyDescent="0.2">
      <c r="A1390" s="31" t="s">
        <v>3528</v>
      </c>
      <c r="B1390" s="31"/>
      <c r="C1390" s="32">
        <v>1</v>
      </c>
      <c r="D1390" s="32">
        <v>1.25</v>
      </c>
      <c r="E1390" s="32">
        <v>2.06</v>
      </c>
      <c r="F1390" s="32"/>
      <c r="G1390" s="32">
        <f t="shared" si="14"/>
        <v>2.5750000000000002</v>
      </c>
    </row>
    <row r="1391" spans="1:7" x14ac:dyDescent="0.2">
      <c r="A1391" s="31" t="s">
        <v>3530</v>
      </c>
      <c r="B1391" s="31"/>
      <c r="C1391" s="32">
        <v>1</v>
      </c>
      <c r="D1391" s="32">
        <v>3.1</v>
      </c>
      <c r="E1391" s="32">
        <v>4.5</v>
      </c>
      <c r="F1391" s="32"/>
      <c r="G1391" s="32">
        <f t="shared" si="14"/>
        <v>13.950000000000001</v>
      </c>
    </row>
    <row r="1393" spans="1:7" x14ac:dyDescent="0.2">
      <c r="B1393" t="s">
        <v>3139</v>
      </c>
      <c r="C1393" s="6" t="s">
        <v>6</v>
      </c>
      <c r="D1393" s="7" t="s">
        <v>7</v>
      </c>
      <c r="E1393" s="6" t="s">
        <v>8</v>
      </c>
    </row>
    <row r="1394" spans="1:7" x14ac:dyDescent="0.2">
      <c r="B1394" t="s">
        <v>3139</v>
      </c>
      <c r="C1394" s="6" t="s">
        <v>9</v>
      </c>
      <c r="D1394" s="7" t="s">
        <v>72</v>
      </c>
      <c r="E1394" s="6" t="s">
        <v>165</v>
      </c>
    </row>
    <row r="1395" spans="1:7" x14ac:dyDescent="0.2">
      <c r="B1395" t="s">
        <v>3139</v>
      </c>
      <c r="C1395" s="6" t="s">
        <v>11</v>
      </c>
      <c r="D1395" s="7" t="s">
        <v>153</v>
      </c>
      <c r="E1395" s="6" t="s">
        <v>443</v>
      </c>
    </row>
    <row r="1396" spans="1:7" x14ac:dyDescent="0.2">
      <c r="B1396" t="s">
        <v>3139</v>
      </c>
      <c r="C1396" s="6" t="s">
        <v>91</v>
      </c>
      <c r="D1396" s="7" t="s">
        <v>72</v>
      </c>
      <c r="E1396" s="6" t="s">
        <v>510</v>
      </c>
    </row>
    <row r="1398" spans="1:7" ht="45" customHeight="1" x14ac:dyDescent="0.2">
      <c r="A1398" s="17" t="s">
        <v>3533</v>
      </c>
      <c r="B1398" s="17" t="s">
        <v>3141</v>
      </c>
      <c r="C1398" s="17" t="s">
        <v>512</v>
      </c>
      <c r="D1398" s="83" t="s">
        <v>23</v>
      </c>
      <c r="E1398" s="102" t="s">
        <v>513</v>
      </c>
      <c r="F1398" s="102" t="s">
        <v>513</v>
      </c>
      <c r="G1398" s="84">
        <f>SUM(G1399:G1400)</f>
        <v>1</v>
      </c>
    </row>
    <row r="1399" spans="1:7" x14ac:dyDescent="0.2">
      <c r="A1399" s="28"/>
      <c r="B1399" s="28" t="s">
        <v>3142</v>
      </c>
      <c r="C1399" s="29" t="s">
        <v>3143</v>
      </c>
      <c r="D1399" s="29"/>
      <c r="E1399" s="29"/>
      <c r="F1399" s="29"/>
      <c r="G1399" s="30"/>
    </row>
    <row r="1400" spans="1:7" x14ac:dyDescent="0.2">
      <c r="A1400" s="31" t="s">
        <v>3534</v>
      </c>
      <c r="B1400" s="31"/>
      <c r="C1400" s="32">
        <v>1</v>
      </c>
      <c r="D1400" s="32"/>
      <c r="E1400" s="32"/>
      <c r="F1400" s="32"/>
      <c r="G1400" s="32">
        <f>PRODUCT(C1400:F1400)</f>
        <v>1</v>
      </c>
    </row>
    <row r="1402" spans="1:7" ht="45" customHeight="1" x14ac:dyDescent="0.2">
      <c r="A1402" s="17" t="s">
        <v>3535</v>
      </c>
      <c r="B1402" s="17" t="s">
        <v>3141</v>
      </c>
      <c r="C1402" s="17" t="s">
        <v>514</v>
      </c>
      <c r="D1402" s="83" t="s">
        <v>23</v>
      </c>
      <c r="E1402" s="102" t="s">
        <v>515</v>
      </c>
      <c r="F1402" s="102" t="s">
        <v>515</v>
      </c>
      <c r="G1402" s="84">
        <f>SUM(G1403:G1405)</f>
        <v>2</v>
      </c>
    </row>
    <row r="1403" spans="1:7" x14ac:dyDescent="0.2">
      <c r="A1403" s="28"/>
      <c r="B1403" s="28" t="s">
        <v>3142</v>
      </c>
      <c r="C1403" s="29" t="s">
        <v>3143</v>
      </c>
      <c r="D1403" s="29"/>
      <c r="E1403" s="29"/>
      <c r="F1403" s="29"/>
      <c r="G1403" s="30"/>
    </row>
    <row r="1404" spans="1:7" x14ac:dyDescent="0.2">
      <c r="A1404" s="31" t="s">
        <v>3536</v>
      </c>
      <c r="B1404" s="31"/>
      <c r="C1404" s="32">
        <v>1</v>
      </c>
      <c r="D1404" s="32"/>
      <c r="E1404" s="32"/>
      <c r="F1404" s="32"/>
      <c r="G1404" s="32">
        <f>PRODUCT(C1404:F1404)</f>
        <v>1</v>
      </c>
    </row>
    <row r="1405" spans="1:7" x14ac:dyDescent="0.2">
      <c r="A1405" s="31" t="s">
        <v>3537</v>
      </c>
      <c r="B1405" s="31"/>
      <c r="C1405" s="32">
        <v>1</v>
      </c>
      <c r="D1405" s="32"/>
      <c r="E1405" s="32"/>
      <c r="F1405" s="32"/>
      <c r="G1405" s="32">
        <f>PRODUCT(C1405:F1405)</f>
        <v>1</v>
      </c>
    </row>
    <row r="1407" spans="1:7" ht="45" customHeight="1" x14ac:dyDescent="0.2">
      <c r="A1407" s="17" t="s">
        <v>3538</v>
      </c>
      <c r="B1407" s="17" t="s">
        <v>3141</v>
      </c>
      <c r="C1407" s="17" t="s">
        <v>516</v>
      </c>
      <c r="D1407" s="83" t="s">
        <v>23</v>
      </c>
      <c r="E1407" s="102" t="s">
        <v>517</v>
      </c>
      <c r="F1407" s="102" t="s">
        <v>517</v>
      </c>
      <c r="G1407" s="84">
        <f>SUM(G1408:G1410)</f>
        <v>2</v>
      </c>
    </row>
    <row r="1408" spans="1:7" x14ac:dyDescent="0.2">
      <c r="A1408" s="28"/>
      <c r="B1408" s="28" t="s">
        <v>3142</v>
      </c>
      <c r="C1408" s="29" t="s">
        <v>3143</v>
      </c>
      <c r="D1408" s="29"/>
      <c r="E1408" s="29"/>
      <c r="F1408" s="29"/>
      <c r="G1408" s="30"/>
    </row>
    <row r="1409" spans="1:7" x14ac:dyDescent="0.2">
      <c r="A1409" s="31" t="s">
        <v>3539</v>
      </c>
      <c r="B1409" s="31"/>
      <c r="C1409" s="32">
        <v>1</v>
      </c>
      <c r="D1409" s="32"/>
      <c r="E1409" s="32"/>
      <c r="F1409" s="32"/>
      <c r="G1409" s="32">
        <f>PRODUCT(C1409:F1409)</f>
        <v>1</v>
      </c>
    </row>
    <row r="1410" spans="1:7" x14ac:dyDescent="0.2">
      <c r="A1410" s="31" t="s">
        <v>3540</v>
      </c>
      <c r="B1410" s="31"/>
      <c r="C1410" s="32">
        <v>1</v>
      </c>
      <c r="D1410" s="32"/>
      <c r="E1410" s="32"/>
      <c r="F1410" s="32"/>
      <c r="G1410" s="32">
        <f>PRODUCT(C1410:F1410)</f>
        <v>1</v>
      </c>
    </row>
    <row r="1412" spans="1:7" ht="45" customHeight="1" x14ac:dyDescent="0.2">
      <c r="A1412" s="17" t="s">
        <v>3541</v>
      </c>
      <c r="B1412" s="17" t="s">
        <v>3141</v>
      </c>
      <c r="C1412" s="17" t="s">
        <v>518</v>
      </c>
      <c r="D1412" s="83" t="s">
        <v>23</v>
      </c>
      <c r="E1412" s="102" t="s">
        <v>519</v>
      </c>
      <c r="F1412" s="102" t="s">
        <v>519</v>
      </c>
      <c r="G1412" s="84">
        <f>SUM(G1413:G1414)</f>
        <v>1</v>
      </c>
    </row>
    <row r="1413" spans="1:7" x14ac:dyDescent="0.2">
      <c r="A1413" s="28"/>
      <c r="B1413" s="28" t="s">
        <v>3142</v>
      </c>
      <c r="C1413" s="29" t="s">
        <v>3143</v>
      </c>
      <c r="D1413" s="29"/>
      <c r="E1413" s="29"/>
      <c r="F1413" s="29"/>
      <c r="G1413" s="30"/>
    </row>
    <row r="1414" spans="1:7" x14ac:dyDescent="0.2">
      <c r="A1414" s="31" t="s">
        <v>3542</v>
      </c>
      <c r="B1414" s="31"/>
      <c r="C1414" s="32">
        <v>1</v>
      </c>
      <c r="D1414" s="32"/>
      <c r="E1414" s="32"/>
      <c r="F1414" s="32"/>
      <c r="G1414" s="32">
        <f>PRODUCT(C1414:F1414)</f>
        <v>1</v>
      </c>
    </row>
    <row r="1416" spans="1:7" ht="45" customHeight="1" x14ac:dyDescent="0.2">
      <c r="A1416" s="17" t="s">
        <v>3543</v>
      </c>
      <c r="B1416" s="17" t="s">
        <v>3141</v>
      </c>
      <c r="C1416" s="17" t="s">
        <v>520</v>
      </c>
      <c r="D1416" s="83" t="s">
        <v>23</v>
      </c>
      <c r="E1416" s="102" t="s">
        <v>521</v>
      </c>
      <c r="F1416" s="102" t="s">
        <v>521</v>
      </c>
      <c r="G1416" s="84">
        <f>SUM(G1417:G1418)</f>
        <v>1</v>
      </c>
    </row>
    <row r="1417" spans="1:7" x14ac:dyDescent="0.2">
      <c r="A1417" s="28"/>
      <c r="B1417" s="28" t="s">
        <v>3142</v>
      </c>
      <c r="C1417" s="29" t="s">
        <v>3143</v>
      </c>
      <c r="D1417" s="29"/>
      <c r="E1417" s="29"/>
      <c r="F1417" s="29"/>
      <c r="G1417" s="30"/>
    </row>
    <row r="1418" spans="1:7" x14ac:dyDescent="0.2">
      <c r="A1418" s="31" t="s">
        <v>3544</v>
      </c>
      <c r="B1418" s="31"/>
      <c r="C1418" s="32">
        <v>1</v>
      </c>
      <c r="D1418" s="32"/>
      <c r="E1418" s="32"/>
      <c r="F1418" s="32"/>
      <c r="G1418" s="32">
        <f>PRODUCT(C1418:F1418)</f>
        <v>1</v>
      </c>
    </row>
    <row r="1420" spans="1:7" x14ac:dyDescent="0.2">
      <c r="B1420" t="s">
        <v>3139</v>
      </c>
      <c r="C1420" s="6" t="s">
        <v>6</v>
      </c>
      <c r="D1420" s="7" t="s">
        <v>7</v>
      </c>
      <c r="E1420" s="6" t="s">
        <v>8</v>
      </c>
    </row>
    <row r="1421" spans="1:7" x14ac:dyDescent="0.2">
      <c r="B1421" t="s">
        <v>3139</v>
      </c>
      <c r="C1421" s="6" t="s">
        <v>9</v>
      </c>
      <c r="D1421" s="7" t="s">
        <v>153</v>
      </c>
      <c r="E1421" s="6" t="s">
        <v>522</v>
      </c>
    </row>
    <row r="1422" spans="1:7" x14ac:dyDescent="0.2">
      <c r="B1422" t="s">
        <v>3139</v>
      </c>
      <c r="C1422" s="6" t="s">
        <v>11</v>
      </c>
      <c r="D1422" s="7" t="s">
        <v>7</v>
      </c>
      <c r="E1422" s="6" t="s">
        <v>523</v>
      </c>
    </row>
    <row r="1424" spans="1:7" ht="45" customHeight="1" x14ac:dyDescent="0.2">
      <c r="A1424" s="17" t="s">
        <v>3545</v>
      </c>
      <c r="B1424" s="17" t="s">
        <v>3141</v>
      </c>
      <c r="C1424" s="17" t="s">
        <v>525</v>
      </c>
      <c r="D1424" s="83" t="s">
        <v>18</v>
      </c>
      <c r="E1424" s="102" t="s">
        <v>526</v>
      </c>
      <c r="F1424" s="102" t="s">
        <v>526</v>
      </c>
      <c r="G1424" s="84">
        <f>SUM(G1425:G1427)</f>
        <v>78</v>
      </c>
    </row>
    <row r="1425" spans="1:7" x14ac:dyDescent="0.2">
      <c r="A1425" s="28"/>
      <c r="B1425" s="28" t="s">
        <v>3142</v>
      </c>
      <c r="C1425" s="29" t="s">
        <v>3143</v>
      </c>
      <c r="D1425" s="29" t="s">
        <v>3146</v>
      </c>
      <c r="E1425" s="29"/>
      <c r="F1425" s="29" t="s">
        <v>3148</v>
      </c>
      <c r="G1425" s="30"/>
    </row>
    <row r="1426" spans="1:7" x14ac:dyDescent="0.2">
      <c r="A1426" s="31" t="s">
        <v>3192</v>
      </c>
      <c r="B1426" s="31"/>
      <c r="C1426" s="32">
        <v>2</v>
      </c>
      <c r="D1426" s="32">
        <v>5</v>
      </c>
      <c r="E1426" s="32"/>
      <c r="F1426" s="32">
        <v>3</v>
      </c>
      <c r="G1426" s="32">
        <f>PRODUCT(C1426:F1426)</f>
        <v>30</v>
      </c>
    </row>
    <row r="1427" spans="1:7" x14ac:dyDescent="0.2">
      <c r="A1427" s="31" t="s">
        <v>3191</v>
      </c>
      <c r="B1427" s="31"/>
      <c r="C1427" s="32">
        <v>2</v>
      </c>
      <c r="D1427" s="32">
        <v>8</v>
      </c>
      <c r="E1427" s="32"/>
      <c r="F1427" s="32">
        <v>3</v>
      </c>
      <c r="G1427" s="32">
        <f>PRODUCT(C1427:F1427)</f>
        <v>48</v>
      </c>
    </row>
    <row r="1429" spans="1:7" ht="45" customHeight="1" x14ac:dyDescent="0.2">
      <c r="A1429" s="17" t="s">
        <v>3546</v>
      </c>
      <c r="B1429" s="17" t="s">
        <v>3141</v>
      </c>
      <c r="C1429" s="17" t="s">
        <v>527</v>
      </c>
      <c r="D1429" s="83" t="s">
        <v>18</v>
      </c>
      <c r="E1429" s="102" t="s">
        <v>528</v>
      </c>
      <c r="F1429" s="102" t="s">
        <v>528</v>
      </c>
      <c r="G1429" s="84">
        <f>SUM(G1430:G1432)</f>
        <v>78</v>
      </c>
    </row>
    <row r="1430" spans="1:7" x14ac:dyDescent="0.2">
      <c r="A1430" s="28"/>
      <c r="B1430" s="28" t="s">
        <v>3142</v>
      </c>
      <c r="C1430" s="29" t="s">
        <v>3143</v>
      </c>
      <c r="D1430" s="29" t="s">
        <v>3146</v>
      </c>
      <c r="E1430" s="29"/>
      <c r="F1430" s="29" t="s">
        <v>3148</v>
      </c>
      <c r="G1430" s="30"/>
    </row>
    <row r="1431" spans="1:7" x14ac:dyDescent="0.2">
      <c r="A1431" s="31" t="s">
        <v>3192</v>
      </c>
      <c r="B1431" s="31"/>
      <c r="C1431" s="32">
        <v>2</v>
      </c>
      <c r="D1431" s="32">
        <v>5</v>
      </c>
      <c r="E1431" s="32"/>
      <c r="F1431" s="32">
        <v>3</v>
      </c>
      <c r="G1431" s="32">
        <f>PRODUCT(C1431:F1431)</f>
        <v>30</v>
      </c>
    </row>
    <row r="1432" spans="1:7" x14ac:dyDescent="0.2">
      <c r="A1432" s="31" t="s">
        <v>3191</v>
      </c>
      <c r="B1432" s="31"/>
      <c r="C1432" s="32">
        <v>2</v>
      </c>
      <c r="D1432" s="32">
        <v>8</v>
      </c>
      <c r="E1432" s="32"/>
      <c r="F1432" s="32">
        <v>3</v>
      </c>
      <c r="G1432" s="32">
        <f>PRODUCT(C1432:F1432)</f>
        <v>48</v>
      </c>
    </row>
    <row r="1434" spans="1:7" ht="45" customHeight="1" x14ac:dyDescent="0.2">
      <c r="A1434" s="17" t="s">
        <v>3547</v>
      </c>
      <c r="B1434" s="17" t="s">
        <v>3141</v>
      </c>
      <c r="C1434" s="17" t="s">
        <v>529</v>
      </c>
      <c r="D1434" s="83" t="s">
        <v>18</v>
      </c>
      <c r="E1434" s="102" t="s">
        <v>530</v>
      </c>
      <c r="F1434" s="102" t="s">
        <v>530</v>
      </c>
      <c r="G1434" s="84">
        <f>SUM(G1435:G1451)</f>
        <v>196.81000000000003</v>
      </c>
    </row>
    <row r="1435" spans="1:7" x14ac:dyDescent="0.2">
      <c r="A1435" s="28"/>
      <c r="B1435" s="28" t="s">
        <v>3142</v>
      </c>
      <c r="C1435" s="29" t="s">
        <v>3143</v>
      </c>
      <c r="D1435" s="29" t="s">
        <v>3146</v>
      </c>
      <c r="E1435" s="29" t="s">
        <v>3148</v>
      </c>
      <c r="F1435" s="29"/>
      <c r="G1435" s="30"/>
    </row>
    <row r="1436" spans="1:7" x14ac:dyDescent="0.2">
      <c r="A1436" s="31" t="s">
        <v>4246</v>
      </c>
      <c r="B1436" s="31"/>
      <c r="C1436" s="32">
        <v>1</v>
      </c>
      <c r="D1436" s="32">
        <v>3.4</v>
      </c>
      <c r="E1436" s="32">
        <v>4</v>
      </c>
      <c r="F1436" s="32"/>
      <c r="G1436" s="32">
        <f t="shared" ref="G1436:G1448" si="15">PRODUCT(C1436:F1436)</f>
        <v>13.6</v>
      </c>
    </row>
    <row r="1437" spans="1:7" x14ac:dyDescent="0.2">
      <c r="A1437" s="31" t="s">
        <v>4246</v>
      </c>
      <c r="B1437" s="31"/>
      <c r="C1437" s="32">
        <v>2</v>
      </c>
      <c r="D1437" s="32">
        <v>2.2999999999999998</v>
      </c>
      <c r="E1437" s="32">
        <v>4</v>
      </c>
      <c r="F1437" s="32"/>
      <c r="G1437" s="32">
        <f t="shared" si="15"/>
        <v>18.399999999999999</v>
      </c>
    </row>
    <row r="1438" spans="1:7" x14ac:dyDescent="0.2">
      <c r="A1438" s="31" t="s">
        <v>4247</v>
      </c>
      <c r="B1438" s="31"/>
      <c r="C1438" s="32">
        <v>2</v>
      </c>
      <c r="D1438" s="32">
        <v>3.4</v>
      </c>
      <c r="E1438" s="32">
        <v>2.7</v>
      </c>
      <c r="F1438" s="32"/>
      <c r="G1438" s="32">
        <f t="shared" si="15"/>
        <v>18.36</v>
      </c>
    </row>
    <row r="1439" spans="1:7" x14ac:dyDescent="0.2">
      <c r="A1439" s="31" t="s">
        <v>4247</v>
      </c>
      <c r="B1439" s="31"/>
      <c r="C1439" s="32">
        <v>2</v>
      </c>
      <c r="D1439" s="32">
        <v>2.6</v>
      </c>
      <c r="E1439" s="32">
        <v>2.7</v>
      </c>
      <c r="F1439" s="32"/>
      <c r="G1439" s="32">
        <f t="shared" si="15"/>
        <v>14.040000000000001</v>
      </c>
    </row>
    <row r="1440" spans="1:7" x14ac:dyDescent="0.2">
      <c r="A1440" s="31" t="s">
        <v>4247</v>
      </c>
      <c r="B1440" s="31"/>
      <c r="C1440" s="32">
        <v>2</v>
      </c>
      <c r="D1440" s="32">
        <v>1.4</v>
      </c>
      <c r="E1440" s="32">
        <v>2.7</v>
      </c>
      <c r="F1440" s="32"/>
      <c r="G1440" s="32">
        <f t="shared" si="15"/>
        <v>7.56</v>
      </c>
    </row>
    <row r="1441" spans="1:7" x14ac:dyDescent="0.2">
      <c r="A1441" s="31" t="s">
        <v>4247</v>
      </c>
      <c r="B1441" s="31"/>
      <c r="C1441" s="32">
        <v>1</v>
      </c>
      <c r="D1441" s="32">
        <v>4</v>
      </c>
      <c r="E1441" s="32">
        <v>2.7</v>
      </c>
      <c r="F1441" s="32"/>
      <c r="G1441" s="32">
        <f t="shared" si="15"/>
        <v>10.8</v>
      </c>
    </row>
    <row r="1442" spans="1:7" x14ac:dyDescent="0.2">
      <c r="A1442" s="31" t="s">
        <v>4248</v>
      </c>
      <c r="B1442" s="31"/>
      <c r="C1442" s="32">
        <v>1</v>
      </c>
      <c r="D1442" s="32">
        <v>1.6</v>
      </c>
      <c r="E1442" s="32">
        <v>2.7</v>
      </c>
      <c r="F1442" s="32"/>
      <c r="G1442" s="32">
        <f t="shared" si="15"/>
        <v>4.32</v>
      </c>
    </row>
    <row r="1443" spans="1:7" x14ac:dyDescent="0.2">
      <c r="A1443" s="31" t="s">
        <v>4248</v>
      </c>
      <c r="B1443" s="31"/>
      <c r="C1443" s="32">
        <v>1</v>
      </c>
      <c r="D1443" s="32">
        <v>3.3</v>
      </c>
      <c r="E1443" s="32">
        <v>2.7</v>
      </c>
      <c r="F1443" s="32"/>
      <c r="G1443" s="32">
        <f t="shared" si="15"/>
        <v>8.91</v>
      </c>
    </row>
    <row r="1444" spans="1:7" x14ac:dyDescent="0.2">
      <c r="A1444" s="31" t="s">
        <v>4248</v>
      </c>
      <c r="B1444" s="31"/>
      <c r="C1444" s="32">
        <v>1</v>
      </c>
      <c r="D1444" s="32">
        <v>1</v>
      </c>
      <c r="E1444" s="32">
        <v>2.7</v>
      </c>
      <c r="F1444" s="32"/>
      <c r="G1444" s="32">
        <f t="shared" si="15"/>
        <v>2.7</v>
      </c>
    </row>
    <row r="1445" spans="1:7" x14ac:dyDescent="0.2">
      <c r="A1445" s="31" t="s">
        <v>4248</v>
      </c>
      <c r="B1445" s="31"/>
      <c r="C1445" s="32">
        <v>1</v>
      </c>
      <c r="D1445" s="32">
        <v>2.8</v>
      </c>
      <c r="E1445" s="32">
        <v>2.7</v>
      </c>
      <c r="F1445" s="32"/>
      <c r="G1445" s="32">
        <f t="shared" si="15"/>
        <v>7.56</v>
      </c>
    </row>
    <row r="1446" spans="1:7" x14ac:dyDescent="0.2">
      <c r="A1446" s="31" t="s">
        <v>4249</v>
      </c>
      <c r="B1446" s="31"/>
      <c r="C1446" s="32">
        <v>1</v>
      </c>
      <c r="D1446" s="32">
        <v>3.2</v>
      </c>
      <c r="E1446" s="32">
        <v>3.4</v>
      </c>
      <c r="F1446" s="32"/>
      <c r="G1446" s="32">
        <f t="shared" si="15"/>
        <v>10.88</v>
      </c>
    </row>
    <row r="1447" spans="1:7" x14ac:dyDescent="0.2">
      <c r="A1447" s="31" t="s">
        <v>4249</v>
      </c>
      <c r="B1447" s="31"/>
      <c r="C1447" s="32">
        <v>2</v>
      </c>
      <c r="D1447" s="32">
        <v>2.2000000000000002</v>
      </c>
      <c r="E1447" s="32">
        <v>2.7</v>
      </c>
      <c r="F1447" s="32"/>
      <c r="G1447" s="32">
        <f t="shared" si="15"/>
        <v>11.880000000000003</v>
      </c>
    </row>
    <row r="1448" spans="1:7" x14ac:dyDescent="0.2">
      <c r="A1448" s="31" t="s">
        <v>4250</v>
      </c>
      <c r="B1448" s="31"/>
      <c r="C1448" s="32">
        <v>1</v>
      </c>
      <c r="D1448" s="32">
        <v>3.2</v>
      </c>
      <c r="E1448" s="32">
        <v>4</v>
      </c>
      <c r="F1448" s="32"/>
      <c r="G1448" s="32">
        <f t="shared" si="15"/>
        <v>12.8</v>
      </c>
    </row>
    <row r="1449" spans="1:7" x14ac:dyDescent="0.2">
      <c r="A1449" s="28"/>
      <c r="B1449" s="28" t="s">
        <v>3142</v>
      </c>
      <c r="C1449" s="29" t="s">
        <v>3143</v>
      </c>
      <c r="D1449" s="29" t="s">
        <v>3157</v>
      </c>
      <c r="E1449" s="29"/>
      <c r="F1449" s="29"/>
      <c r="G1449" s="30"/>
    </row>
    <row r="1450" spans="1:7" x14ac:dyDescent="0.2">
      <c r="A1450" s="31" t="s">
        <v>4251</v>
      </c>
      <c r="B1450" s="31"/>
      <c r="C1450" s="32">
        <v>1</v>
      </c>
      <c r="D1450" s="32">
        <v>45</v>
      </c>
      <c r="E1450" s="32"/>
      <c r="F1450" s="32"/>
      <c r="G1450" s="32">
        <f>PRODUCT(C1450:F1450)</f>
        <v>45</v>
      </c>
    </row>
    <row r="1451" spans="1:7" x14ac:dyDescent="0.2">
      <c r="A1451" s="31" t="s">
        <v>4252</v>
      </c>
      <c r="B1451" s="31"/>
      <c r="C1451" s="32">
        <v>1</v>
      </c>
      <c r="D1451" s="32">
        <v>10</v>
      </c>
      <c r="E1451" s="32"/>
      <c r="F1451" s="32"/>
      <c r="G1451" s="32">
        <f>PRODUCT(C1451:F1451)</f>
        <v>10</v>
      </c>
    </row>
    <row r="1453" spans="1:7" ht="45" customHeight="1" x14ac:dyDescent="0.2">
      <c r="A1453" s="17" t="s">
        <v>3548</v>
      </c>
      <c r="B1453" s="17" t="s">
        <v>3141</v>
      </c>
      <c r="C1453" s="17" t="s">
        <v>531</v>
      </c>
      <c r="D1453" s="83" t="s">
        <v>18</v>
      </c>
      <c r="E1453" s="102" t="s">
        <v>532</v>
      </c>
      <c r="F1453" s="102" t="s">
        <v>532</v>
      </c>
      <c r="G1453" s="84">
        <f>SUM(G1454:G1470)</f>
        <v>209.61</v>
      </c>
    </row>
    <row r="1454" spans="1:7" x14ac:dyDescent="0.2">
      <c r="A1454" s="28"/>
      <c r="B1454" s="28" t="s">
        <v>3142</v>
      </c>
      <c r="C1454" s="29" t="s">
        <v>3143</v>
      </c>
      <c r="D1454" s="29" t="s">
        <v>3146</v>
      </c>
      <c r="E1454" s="29" t="s">
        <v>3148</v>
      </c>
      <c r="F1454" s="29"/>
      <c r="G1454" s="30"/>
    </row>
    <row r="1455" spans="1:7" x14ac:dyDescent="0.2">
      <c r="A1455" s="31" t="s">
        <v>4246</v>
      </c>
      <c r="B1455" s="31"/>
      <c r="C1455" s="32">
        <v>1</v>
      </c>
      <c r="D1455" s="32">
        <v>3.4</v>
      </c>
      <c r="E1455" s="32">
        <v>4</v>
      </c>
      <c r="F1455" s="32"/>
      <c r="G1455" s="32">
        <f t="shared" ref="G1455:G1467" si="16">PRODUCT(C1455:F1455)</f>
        <v>13.6</v>
      </c>
    </row>
    <row r="1456" spans="1:7" x14ac:dyDescent="0.2">
      <c r="A1456" s="31" t="s">
        <v>4246</v>
      </c>
      <c r="B1456" s="31"/>
      <c r="C1456" s="32">
        <v>2</v>
      </c>
      <c r="D1456" s="32">
        <v>2.2999999999999998</v>
      </c>
      <c r="E1456" s="32">
        <v>4</v>
      </c>
      <c r="F1456" s="32"/>
      <c r="G1456" s="32">
        <f t="shared" si="16"/>
        <v>18.399999999999999</v>
      </c>
    </row>
    <row r="1457" spans="1:7" x14ac:dyDescent="0.2">
      <c r="A1457" s="31" t="s">
        <v>4247</v>
      </c>
      <c r="B1457" s="31"/>
      <c r="C1457" s="32">
        <v>2</v>
      </c>
      <c r="D1457" s="32">
        <v>3.4</v>
      </c>
      <c r="E1457" s="32">
        <v>2.7</v>
      </c>
      <c r="F1457" s="32"/>
      <c r="G1457" s="32">
        <f t="shared" si="16"/>
        <v>18.36</v>
      </c>
    </row>
    <row r="1458" spans="1:7" x14ac:dyDescent="0.2">
      <c r="A1458" s="31" t="s">
        <v>4247</v>
      </c>
      <c r="B1458" s="31"/>
      <c r="C1458" s="32">
        <v>2</v>
      </c>
      <c r="D1458" s="32">
        <v>2.6</v>
      </c>
      <c r="E1458" s="32">
        <v>2.7</v>
      </c>
      <c r="F1458" s="32"/>
      <c r="G1458" s="32">
        <f t="shared" si="16"/>
        <v>14.040000000000001</v>
      </c>
    </row>
    <row r="1459" spans="1:7" x14ac:dyDescent="0.2">
      <c r="A1459" s="31" t="s">
        <v>4247</v>
      </c>
      <c r="B1459" s="31"/>
      <c r="C1459" s="32">
        <v>2</v>
      </c>
      <c r="D1459" s="32">
        <v>1.4</v>
      </c>
      <c r="E1459" s="32">
        <v>2.7</v>
      </c>
      <c r="F1459" s="32"/>
      <c r="G1459" s="32">
        <f t="shared" si="16"/>
        <v>7.56</v>
      </c>
    </row>
    <row r="1460" spans="1:7" x14ac:dyDescent="0.2">
      <c r="A1460" s="31" t="s">
        <v>4247</v>
      </c>
      <c r="B1460" s="31"/>
      <c r="C1460" s="32">
        <v>1</v>
      </c>
      <c r="D1460" s="32">
        <v>4</v>
      </c>
      <c r="E1460" s="32">
        <v>2.7</v>
      </c>
      <c r="F1460" s="32"/>
      <c r="G1460" s="32">
        <f t="shared" si="16"/>
        <v>10.8</v>
      </c>
    </row>
    <row r="1461" spans="1:7" x14ac:dyDescent="0.2">
      <c r="A1461" s="31" t="s">
        <v>4248</v>
      </c>
      <c r="B1461" s="31"/>
      <c r="C1461" s="32">
        <v>1</v>
      </c>
      <c r="D1461" s="32">
        <v>1.6</v>
      </c>
      <c r="E1461" s="32">
        <v>2.7</v>
      </c>
      <c r="F1461" s="32"/>
      <c r="G1461" s="32">
        <f t="shared" si="16"/>
        <v>4.32</v>
      </c>
    </row>
    <row r="1462" spans="1:7" x14ac:dyDescent="0.2">
      <c r="A1462" s="31" t="s">
        <v>4248</v>
      </c>
      <c r="B1462" s="31"/>
      <c r="C1462" s="32">
        <v>1</v>
      </c>
      <c r="D1462" s="32">
        <v>3.3</v>
      </c>
      <c r="E1462" s="32">
        <v>2.7</v>
      </c>
      <c r="F1462" s="32"/>
      <c r="G1462" s="32">
        <f t="shared" si="16"/>
        <v>8.91</v>
      </c>
    </row>
    <row r="1463" spans="1:7" x14ac:dyDescent="0.2">
      <c r="A1463" s="31" t="s">
        <v>4248</v>
      </c>
      <c r="B1463" s="31"/>
      <c r="C1463" s="32">
        <v>1</v>
      </c>
      <c r="D1463" s="32">
        <v>1</v>
      </c>
      <c r="E1463" s="32">
        <v>2.7</v>
      </c>
      <c r="F1463" s="32"/>
      <c r="G1463" s="32">
        <f t="shared" si="16"/>
        <v>2.7</v>
      </c>
    </row>
    <row r="1464" spans="1:7" x14ac:dyDescent="0.2">
      <c r="A1464" s="31" t="s">
        <v>4248</v>
      </c>
      <c r="B1464" s="31"/>
      <c r="C1464" s="32">
        <v>1</v>
      </c>
      <c r="D1464" s="32">
        <v>2.8</v>
      </c>
      <c r="E1464" s="32">
        <v>2.7</v>
      </c>
      <c r="F1464" s="32"/>
      <c r="G1464" s="32">
        <f t="shared" si="16"/>
        <v>7.56</v>
      </c>
    </row>
    <row r="1465" spans="1:7" x14ac:dyDescent="0.2">
      <c r="A1465" s="31" t="s">
        <v>4249</v>
      </c>
      <c r="B1465" s="31"/>
      <c r="C1465" s="32">
        <v>1</v>
      </c>
      <c r="D1465" s="32">
        <v>3.2</v>
      </c>
      <c r="E1465" s="32">
        <v>3.4</v>
      </c>
      <c r="F1465" s="32"/>
      <c r="G1465" s="32">
        <f t="shared" si="16"/>
        <v>10.88</v>
      </c>
    </row>
    <row r="1466" spans="1:7" x14ac:dyDescent="0.2">
      <c r="A1466" s="31" t="s">
        <v>4249</v>
      </c>
      <c r="B1466" s="31"/>
      <c r="C1466" s="32">
        <v>2</v>
      </c>
      <c r="D1466" s="32">
        <v>2.2000000000000002</v>
      </c>
      <c r="E1466" s="32">
        <v>2.7</v>
      </c>
      <c r="F1466" s="32"/>
      <c r="G1466" s="32">
        <f t="shared" si="16"/>
        <v>11.880000000000003</v>
      </c>
    </row>
    <row r="1467" spans="1:7" x14ac:dyDescent="0.2">
      <c r="A1467" s="31" t="s">
        <v>4250</v>
      </c>
      <c r="B1467" s="31"/>
      <c r="C1467" s="32">
        <v>2</v>
      </c>
      <c r="D1467" s="32">
        <v>3.2</v>
      </c>
      <c r="E1467" s="32">
        <v>4</v>
      </c>
      <c r="F1467" s="32"/>
      <c r="G1467" s="32">
        <f t="shared" si="16"/>
        <v>25.6</v>
      </c>
    </row>
    <row r="1468" spans="1:7" x14ac:dyDescent="0.2">
      <c r="A1468" s="28"/>
      <c r="B1468" s="28" t="s">
        <v>3142</v>
      </c>
      <c r="C1468" s="29" t="s">
        <v>3143</v>
      </c>
      <c r="D1468" s="29" t="s">
        <v>3157</v>
      </c>
      <c r="E1468" s="29"/>
      <c r="F1468" s="29"/>
      <c r="G1468" s="30"/>
    </row>
    <row r="1469" spans="1:7" x14ac:dyDescent="0.2">
      <c r="A1469" s="31" t="s">
        <v>4251</v>
      </c>
      <c r="B1469" s="31"/>
      <c r="C1469" s="32">
        <v>1</v>
      </c>
      <c r="D1469" s="32">
        <v>45</v>
      </c>
      <c r="E1469" s="32"/>
      <c r="F1469" s="32"/>
      <c r="G1469" s="32">
        <f>PRODUCT(C1469:F1469)</f>
        <v>45</v>
      </c>
    </row>
    <row r="1470" spans="1:7" x14ac:dyDescent="0.2">
      <c r="A1470" s="31" t="s">
        <v>4252</v>
      </c>
      <c r="B1470" s="31"/>
      <c r="C1470" s="32">
        <v>1</v>
      </c>
      <c r="D1470" s="32">
        <v>10</v>
      </c>
      <c r="E1470" s="32"/>
      <c r="F1470" s="32"/>
      <c r="G1470" s="32">
        <f>PRODUCT(C1470:F1470)</f>
        <v>10</v>
      </c>
    </row>
    <row r="1472" spans="1:7" ht="45" customHeight="1" x14ac:dyDescent="0.2">
      <c r="A1472" s="17" t="s">
        <v>3549</v>
      </c>
      <c r="B1472" s="17" t="s">
        <v>3141</v>
      </c>
      <c r="C1472" s="17" t="s">
        <v>533</v>
      </c>
      <c r="D1472" s="83" t="s">
        <v>18</v>
      </c>
      <c r="E1472" s="102" t="s">
        <v>534</v>
      </c>
      <c r="F1472" s="102" t="s">
        <v>534</v>
      </c>
      <c r="G1472" s="84">
        <f>SUM(G1473:G1485)</f>
        <v>129.01000000000002</v>
      </c>
    </row>
    <row r="1473" spans="1:7" x14ac:dyDescent="0.2">
      <c r="A1473" s="28"/>
      <c r="B1473" s="28" t="s">
        <v>3142</v>
      </c>
      <c r="C1473" s="29" t="s">
        <v>3143</v>
      </c>
      <c r="D1473" s="29" t="s">
        <v>3146</v>
      </c>
      <c r="E1473" s="29" t="s">
        <v>3148</v>
      </c>
      <c r="F1473" s="29"/>
      <c r="G1473" s="30"/>
    </row>
    <row r="1474" spans="1:7" x14ac:dyDescent="0.2">
      <c r="A1474" s="31" t="s">
        <v>4246</v>
      </c>
      <c r="B1474" s="31"/>
      <c r="C1474" s="32">
        <v>1</v>
      </c>
      <c r="D1474" s="32">
        <v>3.4</v>
      </c>
      <c r="E1474" s="32">
        <v>4</v>
      </c>
      <c r="F1474" s="32"/>
      <c r="G1474" s="32">
        <f t="shared" ref="G1474:G1485" si="17">PRODUCT(C1474:F1474)</f>
        <v>13.6</v>
      </c>
    </row>
    <row r="1475" spans="1:7" x14ac:dyDescent="0.2">
      <c r="A1475" s="31" t="s">
        <v>4246</v>
      </c>
      <c r="B1475" s="31"/>
      <c r="C1475" s="32">
        <v>2</v>
      </c>
      <c r="D1475" s="32">
        <v>2.2999999999999998</v>
      </c>
      <c r="E1475" s="32">
        <v>4</v>
      </c>
      <c r="F1475" s="32"/>
      <c r="G1475" s="32">
        <f t="shared" si="17"/>
        <v>18.399999999999999</v>
      </c>
    </row>
    <row r="1476" spans="1:7" x14ac:dyDescent="0.2">
      <c r="A1476" s="31" t="s">
        <v>4247</v>
      </c>
      <c r="B1476" s="31"/>
      <c r="C1476" s="32">
        <v>2</v>
      </c>
      <c r="D1476" s="32">
        <v>3.4</v>
      </c>
      <c r="E1476" s="32">
        <v>2.7</v>
      </c>
      <c r="F1476" s="32"/>
      <c r="G1476" s="32">
        <f t="shared" si="17"/>
        <v>18.36</v>
      </c>
    </row>
    <row r="1477" spans="1:7" x14ac:dyDescent="0.2">
      <c r="A1477" s="31" t="s">
        <v>4247</v>
      </c>
      <c r="B1477" s="31"/>
      <c r="C1477" s="32">
        <v>2</v>
      </c>
      <c r="D1477" s="32">
        <v>2.6</v>
      </c>
      <c r="E1477" s="32">
        <v>2.7</v>
      </c>
      <c r="F1477" s="32"/>
      <c r="G1477" s="32">
        <f t="shared" si="17"/>
        <v>14.040000000000001</v>
      </c>
    </row>
    <row r="1478" spans="1:7" x14ac:dyDescent="0.2">
      <c r="A1478" s="31" t="s">
        <v>4247</v>
      </c>
      <c r="B1478" s="31"/>
      <c r="C1478" s="32">
        <v>2</v>
      </c>
      <c r="D1478" s="32">
        <v>1.4</v>
      </c>
      <c r="E1478" s="32">
        <v>2.7</v>
      </c>
      <c r="F1478" s="32"/>
      <c r="G1478" s="32">
        <f t="shared" si="17"/>
        <v>7.56</v>
      </c>
    </row>
    <row r="1479" spans="1:7" x14ac:dyDescent="0.2">
      <c r="A1479" s="31" t="s">
        <v>4247</v>
      </c>
      <c r="B1479" s="31"/>
      <c r="C1479" s="32">
        <v>1</v>
      </c>
      <c r="D1479" s="32">
        <v>4</v>
      </c>
      <c r="E1479" s="32">
        <v>2.7</v>
      </c>
      <c r="F1479" s="32"/>
      <c r="G1479" s="32">
        <f t="shared" si="17"/>
        <v>10.8</v>
      </c>
    </row>
    <row r="1480" spans="1:7" x14ac:dyDescent="0.2">
      <c r="A1480" s="31" t="s">
        <v>4248</v>
      </c>
      <c r="B1480" s="31"/>
      <c r="C1480" s="32">
        <v>1</v>
      </c>
      <c r="D1480" s="32">
        <v>1.6</v>
      </c>
      <c r="E1480" s="32">
        <v>2.7</v>
      </c>
      <c r="F1480" s="32"/>
      <c r="G1480" s="32">
        <f t="shared" si="17"/>
        <v>4.32</v>
      </c>
    </row>
    <row r="1481" spans="1:7" x14ac:dyDescent="0.2">
      <c r="A1481" s="31" t="s">
        <v>4248</v>
      </c>
      <c r="B1481" s="31"/>
      <c r="C1481" s="32">
        <v>1</v>
      </c>
      <c r="D1481" s="32">
        <v>3.3</v>
      </c>
      <c r="E1481" s="32">
        <v>2.7</v>
      </c>
      <c r="F1481" s="32"/>
      <c r="G1481" s="32">
        <f t="shared" si="17"/>
        <v>8.91</v>
      </c>
    </row>
    <row r="1482" spans="1:7" x14ac:dyDescent="0.2">
      <c r="A1482" s="31" t="s">
        <v>4248</v>
      </c>
      <c r="B1482" s="31"/>
      <c r="C1482" s="32">
        <v>1</v>
      </c>
      <c r="D1482" s="32">
        <v>1</v>
      </c>
      <c r="E1482" s="32">
        <v>2.7</v>
      </c>
      <c r="F1482" s="32"/>
      <c r="G1482" s="32">
        <f t="shared" si="17"/>
        <v>2.7</v>
      </c>
    </row>
    <row r="1483" spans="1:7" x14ac:dyDescent="0.2">
      <c r="A1483" s="31" t="s">
        <v>4248</v>
      </c>
      <c r="B1483" s="31"/>
      <c r="C1483" s="32">
        <v>1</v>
      </c>
      <c r="D1483" s="32">
        <v>2.8</v>
      </c>
      <c r="E1483" s="32">
        <v>2.7</v>
      </c>
      <c r="F1483" s="32"/>
      <c r="G1483" s="32">
        <f t="shared" si="17"/>
        <v>7.56</v>
      </c>
    </row>
    <row r="1484" spans="1:7" x14ac:dyDescent="0.2">
      <c r="A1484" s="31" t="s">
        <v>4249</v>
      </c>
      <c r="B1484" s="31"/>
      <c r="C1484" s="32">
        <v>1</v>
      </c>
      <c r="D1484" s="32">
        <v>3.2</v>
      </c>
      <c r="E1484" s="32">
        <v>3.4</v>
      </c>
      <c r="F1484" s="32"/>
      <c r="G1484" s="32">
        <f t="shared" si="17"/>
        <v>10.88</v>
      </c>
    </row>
    <row r="1485" spans="1:7" x14ac:dyDescent="0.2">
      <c r="A1485" s="31" t="s">
        <v>4249</v>
      </c>
      <c r="B1485" s="31"/>
      <c r="C1485" s="32">
        <v>2</v>
      </c>
      <c r="D1485" s="32">
        <v>2.2000000000000002</v>
      </c>
      <c r="E1485" s="32">
        <v>2.7</v>
      </c>
      <c r="F1485" s="32"/>
      <c r="G1485" s="32">
        <f t="shared" si="17"/>
        <v>11.880000000000003</v>
      </c>
    </row>
    <row r="1487" spans="1:7" ht="45" customHeight="1" x14ac:dyDescent="0.2">
      <c r="A1487" s="17" t="s">
        <v>3550</v>
      </c>
      <c r="B1487" s="17" t="s">
        <v>3141</v>
      </c>
      <c r="C1487" s="17" t="s">
        <v>535</v>
      </c>
      <c r="D1487" s="83" t="s">
        <v>18</v>
      </c>
      <c r="E1487" s="102" t="s">
        <v>536</v>
      </c>
      <c r="F1487" s="102" t="s">
        <v>536</v>
      </c>
      <c r="G1487" s="84">
        <f>SUM(G1488:G1504)</f>
        <v>196.81000000000003</v>
      </c>
    </row>
    <row r="1488" spans="1:7" x14ac:dyDescent="0.2">
      <c r="A1488" s="28"/>
      <c r="B1488" s="28" t="s">
        <v>3142</v>
      </c>
      <c r="C1488" s="29" t="s">
        <v>3143</v>
      </c>
      <c r="D1488" s="29" t="s">
        <v>3146</v>
      </c>
      <c r="E1488" s="29" t="s">
        <v>3148</v>
      </c>
      <c r="F1488" s="29"/>
      <c r="G1488" s="30"/>
    </row>
    <row r="1489" spans="1:7" x14ac:dyDescent="0.2">
      <c r="A1489" s="31" t="s">
        <v>4246</v>
      </c>
      <c r="B1489" s="31"/>
      <c r="C1489" s="32">
        <v>1</v>
      </c>
      <c r="D1489" s="32">
        <v>3.4</v>
      </c>
      <c r="E1489" s="32">
        <v>4</v>
      </c>
      <c r="F1489" s="32"/>
      <c r="G1489" s="32">
        <f t="shared" ref="G1489:G1501" si="18">PRODUCT(C1489:F1489)</f>
        <v>13.6</v>
      </c>
    </row>
    <row r="1490" spans="1:7" x14ac:dyDescent="0.2">
      <c r="A1490" s="31" t="s">
        <v>4246</v>
      </c>
      <c r="B1490" s="31"/>
      <c r="C1490" s="32">
        <v>2</v>
      </c>
      <c r="D1490" s="32">
        <v>2.2999999999999998</v>
      </c>
      <c r="E1490" s="32">
        <v>4</v>
      </c>
      <c r="F1490" s="32"/>
      <c r="G1490" s="32">
        <f t="shared" si="18"/>
        <v>18.399999999999999</v>
      </c>
    </row>
    <row r="1491" spans="1:7" x14ac:dyDescent="0.2">
      <c r="A1491" s="31" t="s">
        <v>4247</v>
      </c>
      <c r="B1491" s="31"/>
      <c r="C1491" s="32">
        <v>2</v>
      </c>
      <c r="D1491" s="32">
        <v>3.4</v>
      </c>
      <c r="E1491" s="32">
        <v>2.7</v>
      </c>
      <c r="F1491" s="32"/>
      <c r="G1491" s="32">
        <f t="shared" si="18"/>
        <v>18.36</v>
      </c>
    </row>
    <row r="1492" spans="1:7" x14ac:dyDescent="0.2">
      <c r="A1492" s="31" t="s">
        <v>4247</v>
      </c>
      <c r="B1492" s="31"/>
      <c r="C1492" s="32">
        <v>2</v>
      </c>
      <c r="D1492" s="32">
        <v>2.6</v>
      </c>
      <c r="E1492" s="32">
        <v>2.7</v>
      </c>
      <c r="F1492" s="32"/>
      <c r="G1492" s="32">
        <f t="shared" si="18"/>
        <v>14.040000000000001</v>
      </c>
    </row>
    <row r="1493" spans="1:7" x14ac:dyDescent="0.2">
      <c r="A1493" s="31" t="s">
        <v>4247</v>
      </c>
      <c r="B1493" s="31"/>
      <c r="C1493" s="32">
        <v>2</v>
      </c>
      <c r="D1493" s="32">
        <v>1.4</v>
      </c>
      <c r="E1493" s="32">
        <v>2.7</v>
      </c>
      <c r="F1493" s="32"/>
      <c r="G1493" s="32">
        <f t="shared" si="18"/>
        <v>7.56</v>
      </c>
    </row>
    <row r="1494" spans="1:7" x14ac:dyDescent="0.2">
      <c r="A1494" s="31" t="s">
        <v>4247</v>
      </c>
      <c r="B1494" s="31"/>
      <c r="C1494" s="32">
        <v>1</v>
      </c>
      <c r="D1494" s="32">
        <v>4</v>
      </c>
      <c r="E1494" s="32">
        <v>2.7</v>
      </c>
      <c r="F1494" s="32"/>
      <c r="G1494" s="32">
        <f t="shared" si="18"/>
        <v>10.8</v>
      </c>
    </row>
    <row r="1495" spans="1:7" x14ac:dyDescent="0.2">
      <c r="A1495" s="31" t="s">
        <v>4248</v>
      </c>
      <c r="B1495" s="31"/>
      <c r="C1495" s="32">
        <v>1</v>
      </c>
      <c r="D1495" s="32">
        <v>1.6</v>
      </c>
      <c r="E1495" s="32">
        <v>2.7</v>
      </c>
      <c r="F1495" s="32"/>
      <c r="G1495" s="32">
        <f t="shared" si="18"/>
        <v>4.32</v>
      </c>
    </row>
    <row r="1496" spans="1:7" x14ac:dyDescent="0.2">
      <c r="A1496" s="31" t="s">
        <v>4248</v>
      </c>
      <c r="B1496" s="31"/>
      <c r="C1496" s="32">
        <v>1</v>
      </c>
      <c r="D1496" s="32">
        <v>3.3</v>
      </c>
      <c r="E1496" s="32">
        <v>2.7</v>
      </c>
      <c r="F1496" s="32"/>
      <c r="G1496" s="32">
        <f t="shared" si="18"/>
        <v>8.91</v>
      </c>
    </row>
    <row r="1497" spans="1:7" x14ac:dyDescent="0.2">
      <c r="A1497" s="31" t="s">
        <v>4248</v>
      </c>
      <c r="B1497" s="31"/>
      <c r="C1497" s="32">
        <v>1</v>
      </c>
      <c r="D1497" s="32">
        <v>1</v>
      </c>
      <c r="E1497" s="32">
        <v>2.7</v>
      </c>
      <c r="F1497" s="32"/>
      <c r="G1497" s="32">
        <f t="shared" si="18"/>
        <v>2.7</v>
      </c>
    </row>
    <row r="1498" spans="1:7" x14ac:dyDescent="0.2">
      <c r="A1498" s="31" t="s">
        <v>4248</v>
      </c>
      <c r="B1498" s="31"/>
      <c r="C1498" s="32">
        <v>1</v>
      </c>
      <c r="D1498" s="32">
        <v>2.8</v>
      </c>
      <c r="E1498" s="32">
        <v>2.7</v>
      </c>
      <c r="F1498" s="32"/>
      <c r="G1498" s="32">
        <f t="shared" si="18"/>
        <v>7.56</v>
      </c>
    </row>
    <row r="1499" spans="1:7" x14ac:dyDescent="0.2">
      <c r="A1499" s="31" t="s">
        <v>4249</v>
      </c>
      <c r="B1499" s="31"/>
      <c r="C1499" s="32">
        <v>1</v>
      </c>
      <c r="D1499" s="32">
        <v>3.2</v>
      </c>
      <c r="E1499" s="32">
        <v>3.4</v>
      </c>
      <c r="F1499" s="32"/>
      <c r="G1499" s="32">
        <f t="shared" si="18"/>
        <v>10.88</v>
      </c>
    </row>
    <row r="1500" spans="1:7" x14ac:dyDescent="0.2">
      <c r="A1500" s="31" t="s">
        <v>4249</v>
      </c>
      <c r="B1500" s="31"/>
      <c r="C1500" s="32">
        <v>2</v>
      </c>
      <c r="D1500" s="32">
        <v>2.2000000000000002</v>
      </c>
      <c r="E1500" s="32">
        <v>2.7</v>
      </c>
      <c r="F1500" s="32"/>
      <c r="G1500" s="32">
        <f t="shared" si="18"/>
        <v>11.880000000000003</v>
      </c>
    </row>
    <row r="1501" spans="1:7" x14ac:dyDescent="0.2">
      <c r="A1501" s="31" t="s">
        <v>4250</v>
      </c>
      <c r="B1501" s="31"/>
      <c r="C1501" s="32">
        <v>1</v>
      </c>
      <c r="D1501" s="32">
        <v>3.2</v>
      </c>
      <c r="E1501" s="32">
        <v>4</v>
      </c>
      <c r="F1501" s="32"/>
      <c r="G1501" s="32">
        <f t="shared" si="18"/>
        <v>12.8</v>
      </c>
    </row>
    <row r="1502" spans="1:7" x14ac:dyDescent="0.2">
      <c r="A1502" s="28"/>
      <c r="B1502" s="28" t="s">
        <v>3142</v>
      </c>
      <c r="C1502" s="29" t="s">
        <v>3143</v>
      </c>
      <c r="D1502" s="29" t="s">
        <v>3157</v>
      </c>
      <c r="E1502" s="29"/>
      <c r="F1502" s="29"/>
      <c r="G1502" s="30"/>
    </row>
    <row r="1503" spans="1:7" x14ac:dyDescent="0.2">
      <c r="A1503" s="31" t="s">
        <v>4251</v>
      </c>
      <c r="B1503" s="31"/>
      <c r="C1503" s="32">
        <v>1</v>
      </c>
      <c r="D1503" s="32">
        <v>45</v>
      </c>
      <c r="E1503" s="32"/>
      <c r="F1503" s="32"/>
      <c r="G1503" s="32">
        <f>PRODUCT(C1503:F1503)</f>
        <v>45</v>
      </c>
    </row>
    <row r="1504" spans="1:7" x14ac:dyDescent="0.2">
      <c r="A1504" s="31" t="s">
        <v>4252</v>
      </c>
      <c r="B1504" s="31"/>
      <c r="C1504" s="32">
        <v>1</v>
      </c>
      <c r="D1504" s="32">
        <v>10</v>
      </c>
      <c r="E1504" s="32"/>
      <c r="F1504" s="32"/>
      <c r="G1504" s="32">
        <f>PRODUCT(C1504:F1504)</f>
        <v>10</v>
      </c>
    </row>
    <row r="1506" spans="1:7" ht="45" customHeight="1" x14ac:dyDescent="0.2">
      <c r="A1506" s="17" t="s">
        <v>3551</v>
      </c>
      <c r="B1506" s="17" t="s">
        <v>3141</v>
      </c>
      <c r="C1506" s="17" t="s">
        <v>537</v>
      </c>
      <c r="D1506" s="83" t="s">
        <v>18</v>
      </c>
      <c r="E1506" s="102" t="s">
        <v>538</v>
      </c>
      <c r="F1506" s="102" t="s">
        <v>538</v>
      </c>
      <c r="G1506" s="84">
        <f>SUM(G1507:G1523)</f>
        <v>196.81000000000003</v>
      </c>
    </row>
    <row r="1507" spans="1:7" x14ac:dyDescent="0.2">
      <c r="A1507" s="28"/>
      <c r="B1507" s="28" t="s">
        <v>3142</v>
      </c>
      <c r="C1507" s="29" t="s">
        <v>3143</v>
      </c>
      <c r="D1507" s="29" t="s">
        <v>3146</v>
      </c>
      <c r="E1507" s="29" t="s">
        <v>3148</v>
      </c>
      <c r="F1507" s="29"/>
      <c r="G1507" s="30"/>
    </row>
    <row r="1508" spans="1:7" x14ac:dyDescent="0.2">
      <c r="A1508" s="31" t="s">
        <v>4246</v>
      </c>
      <c r="B1508" s="31"/>
      <c r="C1508" s="32">
        <v>1</v>
      </c>
      <c r="D1508" s="32">
        <v>3.4</v>
      </c>
      <c r="E1508" s="32">
        <v>4</v>
      </c>
      <c r="F1508" s="32"/>
      <c r="G1508" s="32">
        <f t="shared" ref="G1508:G1520" si="19">PRODUCT(C1508:F1508)</f>
        <v>13.6</v>
      </c>
    </row>
    <row r="1509" spans="1:7" x14ac:dyDescent="0.2">
      <c r="A1509" s="31" t="s">
        <v>4246</v>
      </c>
      <c r="B1509" s="31"/>
      <c r="C1509" s="32">
        <v>2</v>
      </c>
      <c r="D1509" s="32">
        <v>2.2999999999999998</v>
      </c>
      <c r="E1509" s="32">
        <v>4</v>
      </c>
      <c r="F1509" s="32"/>
      <c r="G1509" s="32">
        <f t="shared" si="19"/>
        <v>18.399999999999999</v>
      </c>
    </row>
    <row r="1510" spans="1:7" x14ac:dyDescent="0.2">
      <c r="A1510" s="31" t="s">
        <v>4247</v>
      </c>
      <c r="B1510" s="31"/>
      <c r="C1510" s="32">
        <v>2</v>
      </c>
      <c r="D1510" s="32">
        <v>3.4</v>
      </c>
      <c r="E1510" s="32">
        <v>2.7</v>
      </c>
      <c r="F1510" s="32"/>
      <c r="G1510" s="32">
        <f t="shared" si="19"/>
        <v>18.36</v>
      </c>
    </row>
    <row r="1511" spans="1:7" x14ac:dyDescent="0.2">
      <c r="A1511" s="31" t="s">
        <v>4247</v>
      </c>
      <c r="B1511" s="31"/>
      <c r="C1511" s="32">
        <v>2</v>
      </c>
      <c r="D1511" s="32">
        <v>2.6</v>
      </c>
      <c r="E1511" s="32">
        <v>2.7</v>
      </c>
      <c r="F1511" s="32"/>
      <c r="G1511" s="32">
        <f t="shared" si="19"/>
        <v>14.040000000000001</v>
      </c>
    </row>
    <row r="1512" spans="1:7" x14ac:dyDescent="0.2">
      <c r="A1512" s="31" t="s">
        <v>4247</v>
      </c>
      <c r="B1512" s="31"/>
      <c r="C1512" s="32">
        <v>2</v>
      </c>
      <c r="D1512" s="32">
        <v>1.4</v>
      </c>
      <c r="E1512" s="32">
        <v>2.7</v>
      </c>
      <c r="F1512" s="32"/>
      <c r="G1512" s="32">
        <f t="shared" si="19"/>
        <v>7.56</v>
      </c>
    </row>
    <row r="1513" spans="1:7" x14ac:dyDescent="0.2">
      <c r="A1513" s="31" t="s">
        <v>4247</v>
      </c>
      <c r="B1513" s="31"/>
      <c r="C1513" s="32">
        <v>1</v>
      </c>
      <c r="D1513" s="32">
        <v>4</v>
      </c>
      <c r="E1513" s="32">
        <v>2.7</v>
      </c>
      <c r="F1513" s="32"/>
      <c r="G1513" s="32">
        <f t="shared" si="19"/>
        <v>10.8</v>
      </c>
    </row>
    <row r="1514" spans="1:7" x14ac:dyDescent="0.2">
      <c r="A1514" s="31" t="s">
        <v>4248</v>
      </c>
      <c r="B1514" s="31"/>
      <c r="C1514" s="32">
        <v>1</v>
      </c>
      <c r="D1514" s="32">
        <v>1.6</v>
      </c>
      <c r="E1514" s="32">
        <v>2.7</v>
      </c>
      <c r="F1514" s="32"/>
      <c r="G1514" s="32">
        <f t="shared" si="19"/>
        <v>4.32</v>
      </c>
    </row>
    <row r="1515" spans="1:7" x14ac:dyDescent="0.2">
      <c r="A1515" s="31" t="s">
        <v>4248</v>
      </c>
      <c r="B1515" s="31"/>
      <c r="C1515" s="32">
        <v>1</v>
      </c>
      <c r="D1515" s="32">
        <v>3.3</v>
      </c>
      <c r="E1515" s="32">
        <v>2.7</v>
      </c>
      <c r="F1515" s="32"/>
      <c r="G1515" s="32">
        <f t="shared" si="19"/>
        <v>8.91</v>
      </c>
    </row>
    <row r="1516" spans="1:7" x14ac:dyDescent="0.2">
      <c r="A1516" s="31" t="s">
        <v>4248</v>
      </c>
      <c r="B1516" s="31"/>
      <c r="C1516" s="32">
        <v>1</v>
      </c>
      <c r="D1516" s="32">
        <v>1</v>
      </c>
      <c r="E1516" s="32">
        <v>2.7</v>
      </c>
      <c r="F1516" s="32"/>
      <c r="G1516" s="32">
        <f t="shared" si="19"/>
        <v>2.7</v>
      </c>
    </row>
    <row r="1517" spans="1:7" x14ac:dyDescent="0.2">
      <c r="A1517" s="31" t="s">
        <v>4248</v>
      </c>
      <c r="B1517" s="31"/>
      <c r="C1517" s="32">
        <v>1</v>
      </c>
      <c r="D1517" s="32">
        <v>2.8</v>
      </c>
      <c r="E1517" s="32">
        <v>2.7</v>
      </c>
      <c r="F1517" s="32"/>
      <c r="G1517" s="32">
        <f t="shared" si="19"/>
        <v>7.56</v>
      </c>
    </row>
    <row r="1518" spans="1:7" x14ac:dyDescent="0.2">
      <c r="A1518" s="31" t="s">
        <v>4249</v>
      </c>
      <c r="B1518" s="31"/>
      <c r="C1518" s="32">
        <v>1</v>
      </c>
      <c r="D1518" s="32">
        <v>3.2</v>
      </c>
      <c r="E1518" s="32">
        <v>3.4</v>
      </c>
      <c r="F1518" s="32"/>
      <c r="G1518" s="32">
        <f t="shared" si="19"/>
        <v>10.88</v>
      </c>
    </row>
    <row r="1519" spans="1:7" x14ac:dyDescent="0.2">
      <c r="A1519" s="31" t="s">
        <v>4249</v>
      </c>
      <c r="B1519" s="31"/>
      <c r="C1519" s="32">
        <v>2</v>
      </c>
      <c r="D1519" s="32">
        <v>2.2000000000000002</v>
      </c>
      <c r="E1519" s="32">
        <v>2.7</v>
      </c>
      <c r="F1519" s="32"/>
      <c r="G1519" s="32">
        <f t="shared" si="19"/>
        <v>11.880000000000003</v>
      </c>
    </row>
    <row r="1520" spans="1:7" x14ac:dyDescent="0.2">
      <c r="A1520" s="31" t="s">
        <v>4250</v>
      </c>
      <c r="B1520" s="31"/>
      <c r="C1520" s="32">
        <v>1</v>
      </c>
      <c r="D1520" s="32">
        <v>3.2</v>
      </c>
      <c r="E1520" s="32">
        <v>4</v>
      </c>
      <c r="F1520" s="32"/>
      <c r="G1520" s="32">
        <f t="shared" si="19"/>
        <v>12.8</v>
      </c>
    </row>
    <row r="1521" spans="1:7" x14ac:dyDescent="0.2">
      <c r="A1521" s="28"/>
      <c r="B1521" s="28" t="s">
        <v>3142</v>
      </c>
      <c r="C1521" s="29" t="s">
        <v>3143</v>
      </c>
      <c r="D1521" s="29" t="s">
        <v>3157</v>
      </c>
      <c r="E1521" s="29"/>
      <c r="F1521" s="29"/>
      <c r="G1521" s="30"/>
    </row>
    <row r="1522" spans="1:7" x14ac:dyDescent="0.2">
      <c r="A1522" s="31" t="s">
        <v>4251</v>
      </c>
      <c r="B1522" s="31"/>
      <c r="C1522" s="32">
        <v>1</v>
      </c>
      <c r="D1522" s="32">
        <v>45</v>
      </c>
      <c r="E1522" s="32"/>
      <c r="F1522" s="32"/>
      <c r="G1522" s="32">
        <f>PRODUCT(C1522:F1522)</f>
        <v>45</v>
      </c>
    </row>
    <row r="1523" spans="1:7" x14ac:dyDescent="0.2">
      <c r="A1523" s="31" t="s">
        <v>4252</v>
      </c>
      <c r="B1523" s="31"/>
      <c r="C1523" s="32">
        <v>1</v>
      </c>
      <c r="D1523" s="32">
        <v>10</v>
      </c>
      <c r="E1523" s="32"/>
      <c r="F1523" s="32"/>
      <c r="G1523" s="32">
        <f>PRODUCT(C1523:F1523)</f>
        <v>10</v>
      </c>
    </row>
    <row r="1525" spans="1:7" x14ac:dyDescent="0.2">
      <c r="B1525" t="s">
        <v>3139</v>
      </c>
      <c r="C1525" s="6" t="s">
        <v>6</v>
      </c>
      <c r="D1525" s="7" t="s">
        <v>7</v>
      </c>
      <c r="E1525" s="6" t="s">
        <v>8</v>
      </c>
    </row>
    <row r="1526" spans="1:7" x14ac:dyDescent="0.2">
      <c r="B1526" t="s">
        <v>3139</v>
      </c>
      <c r="C1526" s="6" t="s">
        <v>9</v>
      </c>
      <c r="D1526" s="7" t="s">
        <v>153</v>
      </c>
      <c r="E1526" s="6" t="s">
        <v>522</v>
      </c>
    </row>
    <row r="1527" spans="1:7" x14ac:dyDescent="0.2">
      <c r="B1527" t="s">
        <v>3139</v>
      </c>
      <c r="C1527" s="6" t="s">
        <v>11</v>
      </c>
      <c r="D1527" s="7" t="s">
        <v>26</v>
      </c>
      <c r="E1527" s="6" t="s">
        <v>539</v>
      </c>
    </row>
    <row r="1529" spans="1:7" ht="45" customHeight="1" x14ac:dyDescent="0.2">
      <c r="A1529" s="17" t="s">
        <v>3552</v>
      </c>
      <c r="B1529" s="17" t="s">
        <v>3141</v>
      </c>
      <c r="C1529" s="17" t="s">
        <v>541</v>
      </c>
      <c r="D1529" s="83" t="s">
        <v>23</v>
      </c>
      <c r="E1529" s="102" t="s">
        <v>4081</v>
      </c>
      <c r="F1529" s="102" t="s">
        <v>4081</v>
      </c>
      <c r="G1529" s="84">
        <f>SUM(G1530:G1531)</f>
        <v>1</v>
      </c>
    </row>
    <row r="1530" spans="1:7" x14ac:dyDescent="0.2">
      <c r="A1530" s="28"/>
      <c r="B1530" s="28" t="s">
        <v>3142</v>
      </c>
      <c r="C1530" s="29" t="s">
        <v>3143</v>
      </c>
      <c r="D1530" s="29"/>
      <c r="E1530" s="29"/>
      <c r="F1530" s="29"/>
      <c r="G1530" s="30"/>
    </row>
    <row r="1531" spans="1:7" x14ac:dyDescent="0.2">
      <c r="A1531" s="31" t="s">
        <v>4253</v>
      </c>
      <c r="B1531" s="31"/>
      <c r="C1531" s="32">
        <v>1</v>
      </c>
      <c r="D1531" s="32"/>
      <c r="E1531" s="32"/>
      <c r="F1531" s="32"/>
      <c r="G1531" s="32">
        <f>PRODUCT(C1531:F1531)</f>
        <v>1</v>
      </c>
    </row>
    <row r="1533" spans="1:7" ht="45" customHeight="1" x14ac:dyDescent="0.2">
      <c r="A1533" s="17" t="s">
        <v>3553</v>
      </c>
      <c r="B1533" s="17" t="s">
        <v>3141</v>
      </c>
      <c r="C1533" s="17" t="s">
        <v>543</v>
      </c>
      <c r="D1533" s="83" t="s">
        <v>23</v>
      </c>
      <c r="E1533" s="102" t="s">
        <v>4082</v>
      </c>
      <c r="F1533" s="102" t="s">
        <v>4082</v>
      </c>
      <c r="G1533" s="84">
        <f>SUM(G1534:G1535)</f>
        <v>1</v>
      </c>
    </row>
    <row r="1534" spans="1:7" x14ac:dyDescent="0.2">
      <c r="A1534" s="28"/>
      <c r="B1534" s="28" t="s">
        <v>3142</v>
      </c>
      <c r="C1534" s="29" t="s">
        <v>3143</v>
      </c>
      <c r="D1534" s="29"/>
      <c r="E1534" s="29"/>
      <c r="F1534" s="29"/>
      <c r="G1534" s="30"/>
    </row>
    <row r="1535" spans="1:7" x14ac:dyDescent="0.2">
      <c r="A1535" s="31" t="s">
        <v>4254</v>
      </c>
      <c r="B1535" s="31"/>
      <c r="C1535" s="32">
        <v>1</v>
      </c>
      <c r="D1535" s="32"/>
      <c r="E1535" s="32"/>
      <c r="F1535" s="32"/>
      <c r="G1535" s="32">
        <f>PRODUCT(C1535:F1535)</f>
        <v>1</v>
      </c>
    </row>
    <row r="1537" spans="1:7" ht="45" customHeight="1" x14ac:dyDescent="0.2">
      <c r="A1537" s="17" t="s">
        <v>3554</v>
      </c>
      <c r="B1537" s="17" t="s">
        <v>3141</v>
      </c>
      <c r="C1537" s="17" t="s">
        <v>545</v>
      </c>
      <c r="D1537" s="83" t="s">
        <v>23</v>
      </c>
      <c r="E1537" s="102" t="s">
        <v>4083</v>
      </c>
      <c r="F1537" s="102" t="s">
        <v>4083</v>
      </c>
      <c r="G1537" s="84">
        <f>SUM(G1538:G1539)</f>
        <v>5</v>
      </c>
    </row>
    <row r="1538" spans="1:7" x14ac:dyDescent="0.2">
      <c r="A1538" s="28"/>
      <c r="B1538" s="28" t="s">
        <v>3142</v>
      </c>
      <c r="C1538" s="29" t="s">
        <v>3143</v>
      </c>
      <c r="D1538" s="29"/>
      <c r="E1538" s="29"/>
      <c r="F1538" s="29"/>
      <c r="G1538" s="30"/>
    </row>
    <row r="1539" spans="1:7" x14ac:dyDescent="0.2">
      <c r="A1539" s="31" t="s">
        <v>4255</v>
      </c>
      <c r="B1539" s="31"/>
      <c r="C1539" s="32">
        <v>5</v>
      </c>
      <c r="D1539" s="32"/>
      <c r="E1539" s="32"/>
      <c r="F1539" s="32"/>
      <c r="G1539" s="32">
        <f>PRODUCT(C1539:F1539)</f>
        <v>5</v>
      </c>
    </row>
    <row r="1541" spans="1:7" ht="45" customHeight="1" x14ac:dyDescent="0.2">
      <c r="A1541" s="17" t="s">
        <v>3555</v>
      </c>
      <c r="B1541" s="17" t="s">
        <v>3141</v>
      </c>
      <c r="C1541" s="17" t="s">
        <v>547</v>
      </c>
      <c r="D1541" s="83" t="s">
        <v>23</v>
      </c>
      <c r="E1541" s="102" t="s">
        <v>4084</v>
      </c>
      <c r="F1541" s="102" t="s">
        <v>4084</v>
      </c>
      <c r="G1541" s="84">
        <f>SUM(G1542:G1543)</f>
        <v>2</v>
      </c>
    </row>
    <row r="1542" spans="1:7" x14ac:dyDescent="0.2">
      <c r="A1542" s="28"/>
      <c r="B1542" s="28" t="s">
        <v>3142</v>
      </c>
      <c r="C1542" s="29" t="s">
        <v>3143</v>
      </c>
      <c r="D1542" s="29"/>
      <c r="E1542" s="29"/>
      <c r="F1542" s="29"/>
      <c r="G1542" s="30"/>
    </row>
    <row r="1543" spans="1:7" x14ac:dyDescent="0.2">
      <c r="A1543" s="31" t="s">
        <v>4256</v>
      </c>
      <c r="B1543" s="31"/>
      <c r="C1543" s="32">
        <v>2</v>
      </c>
      <c r="D1543" s="32"/>
      <c r="E1543" s="32"/>
      <c r="F1543" s="32"/>
      <c r="G1543" s="32">
        <f>PRODUCT(C1543:F1543)</f>
        <v>2</v>
      </c>
    </row>
    <row r="1545" spans="1:7" ht="45" customHeight="1" x14ac:dyDescent="0.2">
      <c r="A1545" s="17" t="s">
        <v>3556</v>
      </c>
      <c r="B1545" s="17" t="s">
        <v>3141</v>
      </c>
      <c r="C1545" s="17" t="s">
        <v>549</v>
      </c>
      <c r="D1545" s="83" t="s">
        <v>23</v>
      </c>
      <c r="E1545" s="102" t="s">
        <v>4085</v>
      </c>
      <c r="F1545" s="102" t="s">
        <v>4085</v>
      </c>
      <c r="G1545" s="84">
        <f>SUM(G1546:G1547)</f>
        <v>1</v>
      </c>
    </row>
    <row r="1546" spans="1:7" x14ac:dyDescent="0.2">
      <c r="A1546" s="28"/>
      <c r="B1546" s="28" t="s">
        <v>3142</v>
      </c>
      <c r="C1546" s="29" t="s">
        <v>3143</v>
      </c>
      <c r="D1546" s="29"/>
      <c r="E1546" s="29"/>
      <c r="F1546" s="29"/>
      <c r="G1546" s="30"/>
    </row>
    <row r="1547" spans="1:7" x14ac:dyDescent="0.2">
      <c r="A1547" s="31" t="s">
        <v>4257</v>
      </c>
      <c r="B1547" s="31"/>
      <c r="C1547" s="32">
        <v>1</v>
      </c>
      <c r="D1547" s="32"/>
      <c r="E1547" s="32"/>
      <c r="F1547" s="32"/>
      <c r="G1547" s="32">
        <f>PRODUCT(C1547:F1547)</f>
        <v>1</v>
      </c>
    </row>
    <row r="1549" spans="1:7" ht="45" customHeight="1" x14ac:dyDescent="0.2">
      <c r="A1549" s="17" t="s">
        <v>3557</v>
      </c>
      <c r="B1549" s="17" t="s">
        <v>3141</v>
      </c>
      <c r="C1549" s="17" t="s">
        <v>551</v>
      </c>
      <c r="D1549" s="83" t="s">
        <v>23</v>
      </c>
      <c r="E1549" s="102" t="s">
        <v>4086</v>
      </c>
      <c r="F1549" s="102" t="s">
        <v>4086</v>
      </c>
      <c r="G1549" s="84">
        <f>SUM(G1550:G1551)</f>
        <v>1</v>
      </c>
    </row>
    <row r="1550" spans="1:7" x14ac:dyDescent="0.2">
      <c r="A1550" s="28"/>
      <c r="B1550" s="28" t="s">
        <v>3142</v>
      </c>
      <c r="C1550" s="29" t="s">
        <v>3143</v>
      </c>
      <c r="D1550" s="29"/>
      <c r="E1550" s="29"/>
      <c r="F1550" s="29"/>
      <c r="G1550" s="30"/>
    </row>
    <row r="1551" spans="1:7" x14ac:dyDescent="0.2">
      <c r="A1551" s="31" t="s">
        <v>4258</v>
      </c>
      <c r="B1551" s="31"/>
      <c r="C1551" s="32">
        <v>1</v>
      </c>
      <c r="D1551" s="32"/>
      <c r="E1551" s="32"/>
      <c r="F1551" s="32"/>
      <c r="G1551" s="32">
        <f>PRODUCT(C1551:F1551)</f>
        <v>1</v>
      </c>
    </row>
    <row r="1553" spans="1:7" ht="45" customHeight="1" x14ac:dyDescent="0.2">
      <c r="A1553" s="17" t="s">
        <v>3558</v>
      </c>
      <c r="B1553" s="17" t="s">
        <v>3141</v>
      </c>
      <c r="C1553" s="17" t="s">
        <v>553</v>
      </c>
      <c r="D1553" s="83" t="s">
        <v>23</v>
      </c>
      <c r="E1553" s="102" t="s">
        <v>4087</v>
      </c>
      <c r="F1553" s="102" t="s">
        <v>4087</v>
      </c>
      <c r="G1553" s="84">
        <f>SUM(G1554:G1555)</f>
        <v>2</v>
      </c>
    </row>
    <row r="1554" spans="1:7" x14ac:dyDescent="0.2">
      <c r="A1554" s="28"/>
      <c r="B1554" s="28" t="s">
        <v>3142</v>
      </c>
      <c r="C1554" s="29" t="s">
        <v>3143</v>
      </c>
      <c r="D1554" s="29"/>
      <c r="E1554" s="29"/>
      <c r="F1554" s="29"/>
      <c r="G1554" s="30"/>
    </row>
    <row r="1555" spans="1:7" x14ac:dyDescent="0.2">
      <c r="A1555" s="31" t="s">
        <v>4259</v>
      </c>
      <c r="B1555" s="31"/>
      <c r="C1555" s="32">
        <v>2</v>
      </c>
      <c r="D1555" s="32"/>
      <c r="E1555" s="32"/>
      <c r="F1555" s="32"/>
      <c r="G1555" s="32">
        <f>PRODUCT(C1555:F1555)</f>
        <v>2</v>
      </c>
    </row>
    <row r="1557" spans="1:7" ht="45" customHeight="1" x14ac:dyDescent="0.2">
      <c r="A1557" s="17" t="s">
        <v>3559</v>
      </c>
      <c r="B1557" s="17" t="s">
        <v>3141</v>
      </c>
      <c r="C1557" s="17" t="s">
        <v>4088</v>
      </c>
      <c r="D1557" s="83" t="s">
        <v>23</v>
      </c>
      <c r="E1557" s="102" t="s">
        <v>3900</v>
      </c>
      <c r="F1557" s="102" t="s">
        <v>3900</v>
      </c>
      <c r="G1557" s="84">
        <f>SUM(G1558:G1559)</f>
        <v>1</v>
      </c>
    </row>
    <row r="1558" spans="1:7" x14ac:dyDescent="0.2">
      <c r="A1558" s="28"/>
      <c r="B1558" s="28" t="s">
        <v>3142</v>
      </c>
      <c r="C1558" s="29" t="s">
        <v>3143</v>
      </c>
      <c r="D1558" s="29"/>
      <c r="E1558" s="29"/>
      <c r="F1558" s="29"/>
      <c r="G1558" s="30"/>
    </row>
    <row r="1559" spans="1:7" x14ac:dyDescent="0.2">
      <c r="A1559" s="31" t="s">
        <v>3560</v>
      </c>
      <c r="B1559" s="31"/>
      <c r="C1559" s="32">
        <v>1</v>
      </c>
      <c r="D1559" s="32"/>
      <c r="E1559" s="32"/>
      <c r="F1559" s="32"/>
      <c r="G1559" s="32">
        <f>PRODUCT(C1559:F1559)</f>
        <v>1</v>
      </c>
    </row>
    <row r="1561" spans="1:7" ht="45" customHeight="1" x14ac:dyDescent="0.2">
      <c r="A1561" s="17" t="s">
        <v>3561</v>
      </c>
      <c r="B1561" s="17" t="s">
        <v>3141</v>
      </c>
      <c r="C1561" s="17" t="s">
        <v>4090</v>
      </c>
      <c r="D1561" s="83" t="s">
        <v>23</v>
      </c>
      <c r="E1561" s="102" t="s">
        <v>3901</v>
      </c>
      <c r="F1561" s="102" t="s">
        <v>3901</v>
      </c>
      <c r="G1561" s="84">
        <f>SUM(G1562:G1563)</f>
        <v>1</v>
      </c>
    </row>
    <row r="1562" spans="1:7" x14ac:dyDescent="0.2">
      <c r="A1562" s="28"/>
      <c r="B1562" s="28" t="s">
        <v>3142</v>
      </c>
      <c r="C1562" s="29" t="s">
        <v>3143</v>
      </c>
      <c r="D1562" s="29"/>
      <c r="E1562" s="29"/>
      <c r="F1562" s="29"/>
      <c r="G1562" s="30"/>
    </row>
    <row r="1563" spans="1:7" x14ac:dyDescent="0.2">
      <c r="A1563" s="31" t="s">
        <v>3560</v>
      </c>
      <c r="B1563" s="31"/>
      <c r="C1563" s="32">
        <v>1</v>
      </c>
      <c r="D1563" s="32"/>
      <c r="E1563" s="32"/>
      <c r="F1563" s="32"/>
      <c r="G1563" s="32">
        <f>PRODUCT(C1563:F1563)</f>
        <v>1</v>
      </c>
    </row>
    <row r="1565" spans="1:7" ht="45" customHeight="1" x14ac:dyDescent="0.2">
      <c r="A1565" s="17" t="s">
        <v>4260</v>
      </c>
      <c r="B1565" s="17" t="s">
        <v>3141</v>
      </c>
      <c r="C1565" s="17" t="s">
        <v>3898</v>
      </c>
      <c r="D1565" s="83" t="s">
        <v>18</v>
      </c>
      <c r="E1565" s="102" t="s">
        <v>3899</v>
      </c>
      <c r="F1565" s="102" t="s">
        <v>3899</v>
      </c>
      <c r="G1565" s="84">
        <f>SUM(G1566:G1568)</f>
        <v>14.4968</v>
      </c>
    </row>
    <row r="1566" spans="1:7" x14ac:dyDescent="0.2">
      <c r="A1566" s="28"/>
      <c r="B1566" s="28" t="s">
        <v>3142</v>
      </c>
      <c r="C1566" s="29" t="s">
        <v>3143</v>
      </c>
      <c r="D1566" s="29" t="s">
        <v>3147</v>
      </c>
      <c r="E1566" s="29" t="s">
        <v>3148</v>
      </c>
      <c r="F1566" s="29"/>
      <c r="G1566" s="30"/>
    </row>
    <row r="1567" spans="1:7" x14ac:dyDescent="0.2">
      <c r="A1567" s="31" t="s">
        <v>3560</v>
      </c>
      <c r="B1567" s="31"/>
      <c r="C1567" s="32">
        <v>1</v>
      </c>
      <c r="D1567" s="32">
        <v>5.01</v>
      </c>
      <c r="E1567" s="32">
        <v>1.29</v>
      </c>
      <c r="F1567" s="32"/>
      <c r="G1567" s="32">
        <f>PRODUCT(C1567:F1567)</f>
        <v>6.4629000000000003</v>
      </c>
    </row>
    <row r="1568" spans="1:7" x14ac:dyDescent="0.2">
      <c r="A1568" s="31" t="s">
        <v>3562</v>
      </c>
      <c r="B1568" s="31"/>
      <c r="C1568" s="32">
        <v>1</v>
      </c>
      <c r="D1568" s="32">
        <v>4.99</v>
      </c>
      <c r="E1568" s="32">
        <v>1.61</v>
      </c>
      <c r="F1568" s="32"/>
      <c r="G1568" s="32">
        <f>PRODUCT(C1568:F1568)</f>
        <v>8.0339000000000009</v>
      </c>
    </row>
    <row r="1570" spans="1:7" x14ac:dyDescent="0.2">
      <c r="B1570" t="s">
        <v>3139</v>
      </c>
      <c r="C1570" s="6" t="s">
        <v>6</v>
      </c>
      <c r="D1570" s="7" t="s">
        <v>7</v>
      </c>
      <c r="E1570" s="6" t="s">
        <v>8</v>
      </c>
    </row>
    <row r="1571" spans="1:7" x14ac:dyDescent="0.2">
      <c r="B1571" t="s">
        <v>3139</v>
      </c>
      <c r="C1571" s="6" t="s">
        <v>9</v>
      </c>
      <c r="D1571" s="7" t="s">
        <v>158</v>
      </c>
      <c r="E1571" s="6" t="s">
        <v>557</v>
      </c>
    </row>
    <row r="1572" spans="1:7" x14ac:dyDescent="0.2">
      <c r="B1572" t="s">
        <v>3139</v>
      </c>
      <c r="C1572" s="6" t="s">
        <v>11</v>
      </c>
      <c r="D1572" s="7" t="s">
        <v>7</v>
      </c>
      <c r="E1572" s="6" t="s">
        <v>558</v>
      </c>
    </row>
    <row r="1574" spans="1:7" ht="45" customHeight="1" x14ac:dyDescent="0.2">
      <c r="A1574" s="17" t="s">
        <v>3563</v>
      </c>
      <c r="B1574" s="17" t="s">
        <v>3141</v>
      </c>
      <c r="C1574" s="17" t="s">
        <v>3937</v>
      </c>
      <c r="D1574" s="83" t="s">
        <v>18</v>
      </c>
      <c r="E1574" s="102" t="s">
        <v>3938</v>
      </c>
      <c r="F1574" s="102" t="s">
        <v>3938</v>
      </c>
      <c r="G1574" s="84">
        <f>SUM(G1575:G1580)</f>
        <v>325</v>
      </c>
    </row>
    <row r="1575" spans="1:7" x14ac:dyDescent="0.2">
      <c r="A1575" s="28"/>
      <c r="B1575" s="28" t="s">
        <v>3142</v>
      </c>
      <c r="C1575" s="29" t="s">
        <v>3143</v>
      </c>
      <c r="D1575" s="29" t="s">
        <v>3157</v>
      </c>
      <c r="E1575" s="29"/>
      <c r="F1575" s="29"/>
      <c r="G1575" s="30"/>
    </row>
    <row r="1576" spans="1:7" x14ac:dyDescent="0.2">
      <c r="A1576" s="31" t="s">
        <v>3336</v>
      </c>
      <c r="B1576" s="31"/>
      <c r="C1576" s="32"/>
      <c r="D1576" s="32"/>
      <c r="E1576" s="32"/>
      <c r="F1576" s="32"/>
      <c r="G1576" s="32">
        <f>PRODUCT(C1576:F1576)</f>
        <v>0</v>
      </c>
    </row>
    <row r="1577" spans="1:7" x14ac:dyDescent="0.2">
      <c r="A1577" s="31" t="s">
        <v>3186</v>
      </c>
      <c r="B1577" s="31"/>
      <c r="C1577" s="32">
        <v>1</v>
      </c>
      <c r="D1577" s="32">
        <v>231</v>
      </c>
      <c r="E1577" s="32"/>
      <c r="F1577" s="32"/>
      <c r="G1577" s="32">
        <f>PRODUCT(C1577:F1577)</f>
        <v>231</v>
      </c>
    </row>
    <row r="1578" spans="1:7" x14ac:dyDescent="0.2">
      <c r="A1578" s="31" t="s">
        <v>3184</v>
      </c>
      <c r="B1578" s="31"/>
      <c r="C1578" s="32">
        <v>1</v>
      </c>
      <c r="D1578" s="32">
        <v>54</v>
      </c>
      <c r="E1578" s="32"/>
      <c r="F1578" s="32"/>
      <c r="G1578" s="32">
        <f>PRODUCT(C1578:F1578)</f>
        <v>54</v>
      </c>
    </row>
    <row r="1579" spans="1:7" x14ac:dyDescent="0.2">
      <c r="A1579" s="31" t="s">
        <v>3337</v>
      </c>
      <c r="B1579" s="31"/>
      <c r="C1579" s="32"/>
      <c r="D1579" s="32"/>
      <c r="E1579" s="32"/>
      <c r="F1579" s="32"/>
      <c r="G1579" s="32">
        <f>PRODUCT(C1579:F1579)</f>
        <v>0</v>
      </c>
    </row>
    <row r="1580" spans="1:7" x14ac:dyDescent="0.2">
      <c r="A1580" s="31" t="s">
        <v>3185</v>
      </c>
      <c r="B1580" s="31"/>
      <c r="C1580" s="32">
        <v>1</v>
      </c>
      <c r="D1580" s="32">
        <v>40</v>
      </c>
      <c r="E1580" s="32"/>
      <c r="F1580" s="32"/>
      <c r="G1580" s="32">
        <f>PRODUCT(C1580:F1580)</f>
        <v>40</v>
      </c>
    </row>
    <row r="1582" spans="1:7" ht="45" customHeight="1" x14ac:dyDescent="0.2">
      <c r="A1582" s="17" t="s">
        <v>3564</v>
      </c>
      <c r="B1582" s="17" t="s">
        <v>3141</v>
      </c>
      <c r="C1582" s="17" t="s">
        <v>168</v>
      </c>
      <c r="D1582" s="83" t="s">
        <v>18</v>
      </c>
      <c r="E1582" s="102" t="s">
        <v>169</v>
      </c>
      <c r="F1582" s="102" t="s">
        <v>169</v>
      </c>
      <c r="G1582" s="84">
        <f>SUM(G1583:G1586)</f>
        <v>285</v>
      </c>
    </row>
    <row r="1583" spans="1:7" x14ac:dyDescent="0.2">
      <c r="A1583" s="28"/>
      <c r="B1583" s="28" t="s">
        <v>3142</v>
      </c>
      <c r="C1583" s="29" t="s">
        <v>3143</v>
      </c>
      <c r="D1583" s="29" t="s">
        <v>3157</v>
      </c>
      <c r="E1583" s="29"/>
      <c r="F1583" s="29"/>
      <c r="G1583" s="30"/>
    </row>
    <row r="1584" spans="1:7" x14ac:dyDescent="0.2">
      <c r="A1584" s="31" t="s">
        <v>3336</v>
      </c>
      <c r="B1584" s="31"/>
      <c r="C1584" s="32"/>
      <c r="D1584" s="32"/>
      <c r="E1584" s="32"/>
      <c r="F1584" s="32"/>
      <c r="G1584" s="32">
        <f>PRODUCT(C1584:F1584)</f>
        <v>0</v>
      </c>
    </row>
    <row r="1585" spans="1:7" x14ac:dyDescent="0.2">
      <c r="A1585" s="31" t="s">
        <v>3186</v>
      </c>
      <c r="B1585" s="31"/>
      <c r="C1585" s="32">
        <v>1</v>
      </c>
      <c r="D1585" s="32">
        <v>231</v>
      </c>
      <c r="E1585" s="32"/>
      <c r="F1585" s="32"/>
      <c r="G1585" s="32">
        <f>PRODUCT(C1585:F1585)</f>
        <v>231</v>
      </c>
    </row>
    <row r="1586" spans="1:7" x14ac:dyDescent="0.2">
      <c r="A1586" s="31" t="s">
        <v>3184</v>
      </c>
      <c r="B1586" s="31"/>
      <c r="C1586" s="32">
        <v>1</v>
      </c>
      <c r="D1586" s="32">
        <v>54</v>
      </c>
      <c r="E1586" s="32"/>
      <c r="F1586" s="32"/>
      <c r="G1586" s="32">
        <f>PRODUCT(C1586:F1586)</f>
        <v>54</v>
      </c>
    </row>
    <row r="1588" spans="1:7" ht="45" customHeight="1" x14ac:dyDescent="0.2">
      <c r="A1588" s="17" t="s">
        <v>3565</v>
      </c>
      <c r="B1588" s="17" t="s">
        <v>3141</v>
      </c>
      <c r="C1588" s="17" t="s">
        <v>560</v>
      </c>
      <c r="D1588" s="83" t="s">
        <v>15</v>
      </c>
      <c r="E1588" s="102" t="s">
        <v>3939</v>
      </c>
      <c r="F1588" s="102" t="s">
        <v>3939</v>
      </c>
      <c r="G1588" s="84">
        <f>SUM(G1589:G1592)</f>
        <v>28.5</v>
      </c>
    </row>
    <row r="1589" spans="1:7" x14ac:dyDescent="0.2">
      <c r="A1589" s="28"/>
      <c r="B1589" s="28" t="s">
        <v>3142</v>
      </c>
      <c r="C1589" s="29" t="s">
        <v>3143</v>
      </c>
      <c r="D1589" s="29" t="s">
        <v>3157</v>
      </c>
      <c r="E1589" s="29" t="s">
        <v>3205</v>
      </c>
      <c r="F1589" s="29"/>
      <c r="G1589" s="30"/>
    </row>
    <row r="1590" spans="1:7" x14ac:dyDescent="0.2">
      <c r="A1590" s="31" t="s">
        <v>3336</v>
      </c>
      <c r="B1590" s="31"/>
      <c r="C1590" s="32"/>
      <c r="D1590" s="32"/>
      <c r="E1590" s="32"/>
      <c r="F1590" s="32"/>
      <c r="G1590" s="32">
        <f>PRODUCT(C1590:F1590)</f>
        <v>0</v>
      </c>
    </row>
    <row r="1591" spans="1:7" x14ac:dyDescent="0.2">
      <c r="A1591" s="31" t="s">
        <v>3186</v>
      </c>
      <c r="B1591" s="31"/>
      <c r="C1591" s="32">
        <v>1</v>
      </c>
      <c r="D1591" s="32">
        <v>231</v>
      </c>
      <c r="E1591" s="32">
        <v>0.1</v>
      </c>
      <c r="F1591" s="32"/>
      <c r="G1591" s="32">
        <f>PRODUCT(C1591:F1591)</f>
        <v>23.1</v>
      </c>
    </row>
    <row r="1592" spans="1:7" x14ac:dyDescent="0.2">
      <c r="A1592" s="31" t="s">
        <v>3184</v>
      </c>
      <c r="B1592" s="31"/>
      <c r="C1592" s="32">
        <v>1</v>
      </c>
      <c r="D1592" s="32">
        <v>54</v>
      </c>
      <c r="E1592" s="32">
        <v>0.1</v>
      </c>
      <c r="F1592" s="32"/>
      <c r="G1592" s="32">
        <f>PRODUCT(C1592:F1592)</f>
        <v>5.4</v>
      </c>
    </row>
    <row r="1594" spans="1:7" ht="45" customHeight="1" x14ac:dyDescent="0.2">
      <c r="A1594" s="17" t="s">
        <v>3566</v>
      </c>
      <c r="B1594" s="17" t="s">
        <v>3141</v>
      </c>
      <c r="C1594" s="17" t="s">
        <v>3940</v>
      </c>
      <c r="D1594" s="83" t="s">
        <v>15</v>
      </c>
      <c r="E1594" s="102" t="s">
        <v>3941</v>
      </c>
      <c r="F1594" s="102" t="s">
        <v>3941</v>
      </c>
      <c r="G1594" s="84">
        <f>SUM(G1595:G1598)</f>
        <v>28.5</v>
      </c>
    </row>
    <row r="1595" spans="1:7" x14ac:dyDescent="0.2">
      <c r="A1595" s="28"/>
      <c r="B1595" s="28" t="s">
        <v>3142</v>
      </c>
      <c r="C1595" s="29" t="s">
        <v>3143</v>
      </c>
      <c r="D1595" s="29" t="s">
        <v>3157</v>
      </c>
      <c r="E1595" s="29" t="s">
        <v>3205</v>
      </c>
      <c r="F1595" s="29"/>
      <c r="G1595" s="30"/>
    </row>
    <row r="1596" spans="1:7" x14ac:dyDescent="0.2">
      <c r="A1596" s="31" t="s">
        <v>3336</v>
      </c>
      <c r="B1596" s="31"/>
      <c r="C1596" s="32"/>
      <c r="D1596" s="32"/>
      <c r="E1596" s="32"/>
      <c r="F1596" s="32"/>
      <c r="G1596" s="32">
        <f>PRODUCT(C1596:F1596)</f>
        <v>0</v>
      </c>
    </row>
    <row r="1597" spans="1:7" x14ac:dyDescent="0.2">
      <c r="A1597" s="31" t="s">
        <v>3186</v>
      </c>
      <c r="B1597" s="31"/>
      <c r="C1597" s="32">
        <v>1</v>
      </c>
      <c r="D1597" s="32">
        <v>231</v>
      </c>
      <c r="E1597" s="32">
        <v>0.1</v>
      </c>
      <c r="F1597" s="32"/>
      <c r="G1597" s="32">
        <f>PRODUCT(C1597:F1597)</f>
        <v>23.1</v>
      </c>
    </row>
    <row r="1598" spans="1:7" x14ac:dyDescent="0.2">
      <c r="A1598" s="31" t="s">
        <v>3184</v>
      </c>
      <c r="B1598" s="31"/>
      <c r="C1598" s="32">
        <v>1</v>
      </c>
      <c r="D1598" s="32">
        <v>54</v>
      </c>
      <c r="E1598" s="32">
        <v>0.1</v>
      </c>
      <c r="F1598" s="32"/>
      <c r="G1598" s="32">
        <f>PRODUCT(C1598:F1598)</f>
        <v>5.4</v>
      </c>
    </row>
    <row r="1600" spans="1:7" ht="45" customHeight="1" x14ac:dyDescent="0.2">
      <c r="A1600" s="17" t="s">
        <v>3568</v>
      </c>
      <c r="B1600" s="17" t="s">
        <v>3141</v>
      </c>
      <c r="C1600" s="17" t="s">
        <v>3942</v>
      </c>
      <c r="D1600" s="83" t="s">
        <v>18</v>
      </c>
      <c r="E1600" s="102" t="s">
        <v>3943</v>
      </c>
      <c r="F1600" s="102" t="s">
        <v>3943</v>
      </c>
      <c r="G1600" s="84">
        <f>SUM(G1601:G1604)</f>
        <v>285</v>
      </c>
    </row>
    <row r="1601" spans="1:7" x14ac:dyDescent="0.2">
      <c r="A1601" s="28"/>
      <c r="B1601" s="28" t="s">
        <v>3142</v>
      </c>
      <c r="C1601" s="29" t="s">
        <v>3143</v>
      </c>
      <c r="D1601" s="29" t="s">
        <v>3157</v>
      </c>
      <c r="E1601" s="29"/>
      <c r="F1601" s="29"/>
      <c r="G1601" s="30"/>
    </row>
    <row r="1602" spans="1:7" x14ac:dyDescent="0.2">
      <c r="A1602" s="31" t="s">
        <v>3336</v>
      </c>
      <c r="B1602" s="31"/>
      <c r="C1602" s="32"/>
      <c r="D1602" s="32"/>
      <c r="E1602" s="32"/>
      <c r="F1602" s="32"/>
      <c r="G1602" s="32">
        <f>PRODUCT(C1602:F1602)</f>
        <v>0</v>
      </c>
    </row>
    <row r="1603" spans="1:7" x14ac:dyDescent="0.2">
      <c r="A1603" s="31" t="s">
        <v>3186</v>
      </c>
      <c r="B1603" s="31"/>
      <c r="C1603" s="32">
        <v>1</v>
      </c>
      <c r="D1603" s="32">
        <v>231</v>
      </c>
      <c r="E1603" s="32"/>
      <c r="F1603" s="32"/>
      <c r="G1603" s="32">
        <f>PRODUCT(C1603:F1603)</f>
        <v>231</v>
      </c>
    </row>
    <row r="1604" spans="1:7" x14ac:dyDescent="0.2">
      <c r="A1604" s="31" t="s">
        <v>3184</v>
      </c>
      <c r="B1604" s="31"/>
      <c r="C1604" s="32">
        <v>1</v>
      </c>
      <c r="D1604" s="32">
        <v>54</v>
      </c>
      <c r="E1604" s="32"/>
      <c r="F1604" s="32"/>
      <c r="G1604" s="32">
        <f>PRODUCT(C1604:F1604)</f>
        <v>54</v>
      </c>
    </row>
    <row r="1606" spans="1:7" ht="45" customHeight="1" x14ac:dyDescent="0.2">
      <c r="A1606" s="17" t="s">
        <v>3570</v>
      </c>
      <c r="B1606" s="17" t="s">
        <v>3141</v>
      </c>
      <c r="C1606" s="17" t="s">
        <v>561</v>
      </c>
      <c r="D1606" s="83" t="s">
        <v>18</v>
      </c>
      <c r="E1606" s="102" t="s">
        <v>562</v>
      </c>
      <c r="F1606" s="102" t="s">
        <v>562</v>
      </c>
      <c r="G1606" s="84">
        <f>SUM(G1607:G1611)</f>
        <v>18</v>
      </c>
    </row>
    <row r="1607" spans="1:7" x14ac:dyDescent="0.2">
      <c r="A1607" s="28"/>
      <c r="B1607" s="28" t="s">
        <v>3142</v>
      </c>
      <c r="C1607" s="29" t="s">
        <v>3143</v>
      </c>
      <c r="D1607" s="29" t="s">
        <v>3157</v>
      </c>
      <c r="E1607" s="29"/>
      <c r="F1607" s="29"/>
      <c r="G1607" s="30"/>
    </row>
    <row r="1608" spans="1:7" x14ac:dyDescent="0.2">
      <c r="A1608" s="31" t="s">
        <v>3338</v>
      </c>
      <c r="B1608" s="31"/>
      <c r="C1608" s="32"/>
      <c r="D1608" s="32"/>
      <c r="E1608" s="32"/>
      <c r="F1608" s="32"/>
      <c r="G1608" s="32"/>
    </row>
    <row r="1609" spans="1:7" x14ac:dyDescent="0.2">
      <c r="A1609" s="31" t="s">
        <v>3186</v>
      </c>
      <c r="B1609" s="31"/>
      <c r="C1609" s="32">
        <v>1</v>
      </c>
      <c r="D1609" s="32">
        <v>7</v>
      </c>
      <c r="E1609" s="32"/>
      <c r="F1609" s="32"/>
      <c r="G1609" s="32">
        <f>PRODUCT(C1609:F1609)</f>
        <v>7</v>
      </c>
    </row>
    <row r="1610" spans="1:7" x14ac:dyDescent="0.2">
      <c r="A1610" s="31" t="s">
        <v>3184</v>
      </c>
      <c r="B1610" s="31"/>
      <c r="C1610" s="32">
        <v>1</v>
      </c>
      <c r="D1610" s="32">
        <v>5</v>
      </c>
      <c r="E1610" s="32"/>
      <c r="F1610" s="32"/>
      <c r="G1610" s="32">
        <f>PRODUCT(C1610:F1610)</f>
        <v>5</v>
      </c>
    </row>
    <row r="1611" spans="1:7" x14ac:dyDescent="0.2">
      <c r="A1611" s="31" t="s">
        <v>3567</v>
      </c>
      <c r="B1611" s="31"/>
      <c r="C1611" s="32">
        <v>1</v>
      </c>
      <c r="D1611" s="32">
        <v>6</v>
      </c>
      <c r="E1611" s="32"/>
      <c r="F1611" s="32"/>
      <c r="G1611" s="32">
        <f>PRODUCT(C1611:F1611)</f>
        <v>6</v>
      </c>
    </row>
    <row r="1613" spans="1:7" ht="45" customHeight="1" x14ac:dyDescent="0.2">
      <c r="A1613" s="17" t="s">
        <v>3571</v>
      </c>
      <c r="B1613" s="17" t="s">
        <v>3141</v>
      </c>
      <c r="C1613" s="17" t="s">
        <v>3944</v>
      </c>
      <c r="D1613" s="83" t="s">
        <v>18</v>
      </c>
      <c r="E1613" s="102" t="s">
        <v>3945</v>
      </c>
      <c r="F1613" s="102" t="s">
        <v>3945</v>
      </c>
      <c r="G1613" s="84">
        <f>SUM(G1614:G1616)</f>
        <v>40</v>
      </c>
    </row>
    <row r="1614" spans="1:7" x14ac:dyDescent="0.2">
      <c r="A1614" s="28"/>
      <c r="B1614" s="28" t="s">
        <v>3142</v>
      </c>
      <c r="C1614" s="29" t="s">
        <v>3143</v>
      </c>
      <c r="D1614" s="29" t="s">
        <v>3157</v>
      </c>
      <c r="E1614" s="29"/>
      <c r="F1614" s="29"/>
      <c r="G1614" s="30"/>
    </row>
    <row r="1615" spans="1:7" x14ac:dyDescent="0.2">
      <c r="A1615" s="31" t="s">
        <v>3569</v>
      </c>
      <c r="B1615" s="31"/>
      <c r="C1615" s="32"/>
      <c r="D1615" s="32"/>
      <c r="E1615" s="32"/>
      <c r="F1615" s="32"/>
      <c r="G1615" s="32"/>
    </row>
    <row r="1616" spans="1:7" x14ac:dyDescent="0.2">
      <c r="A1616" s="31" t="s">
        <v>3185</v>
      </c>
      <c r="B1616" s="31"/>
      <c r="C1616" s="32">
        <v>1</v>
      </c>
      <c r="D1616" s="32">
        <v>40</v>
      </c>
      <c r="E1616" s="32"/>
      <c r="F1616" s="32"/>
      <c r="G1616" s="32">
        <f>PRODUCT(C1616:F1616)</f>
        <v>40</v>
      </c>
    </row>
    <row r="1618" spans="1:7" ht="45" customHeight="1" x14ac:dyDescent="0.2">
      <c r="A1618" s="17" t="s">
        <v>3572</v>
      </c>
      <c r="B1618" s="17" t="s">
        <v>3141</v>
      </c>
      <c r="C1618" s="17" t="s">
        <v>563</v>
      </c>
      <c r="D1618" s="83" t="s">
        <v>18</v>
      </c>
      <c r="E1618" s="102" t="s">
        <v>564</v>
      </c>
      <c r="F1618" s="102" t="s">
        <v>564</v>
      </c>
      <c r="G1618" s="84">
        <f>SUM(G1619:G1621)</f>
        <v>40</v>
      </c>
    </row>
    <row r="1619" spans="1:7" x14ac:dyDescent="0.2">
      <c r="A1619" s="28"/>
      <c r="B1619" s="28" t="s">
        <v>3142</v>
      </c>
      <c r="C1619" s="29" t="s">
        <v>3143</v>
      </c>
      <c r="D1619" s="29" t="s">
        <v>3157</v>
      </c>
      <c r="E1619" s="29"/>
      <c r="F1619" s="29"/>
      <c r="G1619" s="30"/>
    </row>
    <row r="1620" spans="1:7" x14ac:dyDescent="0.2">
      <c r="A1620" s="31" t="s">
        <v>3337</v>
      </c>
      <c r="B1620" s="31"/>
      <c r="C1620" s="32"/>
      <c r="D1620" s="32"/>
      <c r="E1620" s="32"/>
      <c r="F1620" s="32"/>
      <c r="G1620" s="32">
        <f>PRODUCT(C1620:F1620)</f>
        <v>0</v>
      </c>
    </row>
    <row r="1621" spans="1:7" x14ac:dyDescent="0.2">
      <c r="A1621" s="31" t="s">
        <v>3185</v>
      </c>
      <c r="B1621" s="31"/>
      <c r="C1621" s="32">
        <v>1</v>
      </c>
      <c r="D1621" s="32">
        <v>40</v>
      </c>
      <c r="E1621" s="32"/>
      <c r="F1621" s="32"/>
      <c r="G1621" s="32">
        <f>PRODUCT(C1621:F1621)</f>
        <v>40</v>
      </c>
    </row>
    <row r="1623" spans="1:7" ht="45" customHeight="1" x14ac:dyDescent="0.2">
      <c r="A1623" s="17" t="s">
        <v>3574</v>
      </c>
      <c r="B1623" s="17" t="s">
        <v>3141</v>
      </c>
      <c r="C1623" s="17" t="s">
        <v>565</v>
      </c>
      <c r="D1623" s="83" t="s">
        <v>18</v>
      </c>
      <c r="E1623" s="102" t="s">
        <v>566</v>
      </c>
      <c r="F1623" s="102" t="s">
        <v>566</v>
      </c>
      <c r="G1623" s="84">
        <f>SUM(G1624:G1626)</f>
        <v>40</v>
      </c>
    </row>
    <row r="1624" spans="1:7" x14ac:dyDescent="0.2">
      <c r="A1624" s="28"/>
      <c r="B1624" s="28" t="s">
        <v>3142</v>
      </c>
      <c r="C1624" s="29" t="s">
        <v>3143</v>
      </c>
      <c r="D1624" s="29" t="s">
        <v>3157</v>
      </c>
      <c r="E1624" s="29"/>
      <c r="F1624" s="29"/>
      <c r="G1624" s="30"/>
    </row>
    <row r="1625" spans="1:7" x14ac:dyDescent="0.2">
      <c r="A1625" s="31" t="s">
        <v>3337</v>
      </c>
      <c r="B1625" s="31"/>
      <c r="C1625" s="32"/>
      <c r="D1625" s="32"/>
      <c r="E1625" s="32"/>
      <c r="F1625" s="32"/>
      <c r="G1625" s="32"/>
    </row>
    <row r="1626" spans="1:7" x14ac:dyDescent="0.2">
      <c r="A1626" s="31" t="s">
        <v>3185</v>
      </c>
      <c r="B1626" s="31"/>
      <c r="C1626" s="32">
        <v>1</v>
      </c>
      <c r="D1626" s="32">
        <v>40</v>
      </c>
      <c r="E1626" s="32"/>
      <c r="F1626" s="32"/>
      <c r="G1626" s="32">
        <f>PRODUCT(C1626:F1626)</f>
        <v>40</v>
      </c>
    </row>
    <row r="1628" spans="1:7" ht="45" customHeight="1" x14ac:dyDescent="0.2">
      <c r="A1628" s="17" t="s">
        <v>4261</v>
      </c>
      <c r="B1628" s="17" t="s">
        <v>3141</v>
      </c>
      <c r="C1628" s="17" t="s">
        <v>567</v>
      </c>
      <c r="D1628" s="83" t="s">
        <v>18</v>
      </c>
      <c r="E1628" s="102" t="s">
        <v>568</v>
      </c>
      <c r="F1628" s="102" t="s">
        <v>568</v>
      </c>
      <c r="G1628" s="84">
        <f>SUM(G1629:G1633)</f>
        <v>72</v>
      </c>
    </row>
    <row r="1629" spans="1:7" x14ac:dyDescent="0.2">
      <c r="A1629" s="28"/>
      <c r="B1629" s="28" t="s">
        <v>3142</v>
      </c>
      <c r="C1629" s="29" t="s">
        <v>3143</v>
      </c>
      <c r="D1629" s="29" t="s">
        <v>3157</v>
      </c>
      <c r="E1629" s="29"/>
      <c r="F1629" s="29"/>
      <c r="G1629" s="30"/>
    </row>
    <row r="1630" spans="1:7" x14ac:dyDescent="0.2">
      <c r="A1630" s="31" t="s">
        <v>3573</v>
      </c>
      <c r="B1630" s="31"/>
      <c r="C1630" s="32"/>
      <c r="D1630" s="32"/>
      <c r="E1630" s="32"/>
      <c r="F1630" s="32"/>
      <c r="G1630" s="32"/>
    </row>
    <row r="1631" spans="1:7" x14ac:dyDescent="0.2">
      <c r="A1631" s="31" t="s">
        <v>3198</v>
      </c>
      <c r="B1631" s="31"/>
      <c r="C1631" s="32">
        <v>1</v>
      </c>
      <c r="D1631" s="32">
        <v>32</v>
      </c>
      <c r="E1631" s="32"/>
      <c r="F1631" s="32"/>
      <c r="G1631" s="32">
        <f>PRODUCT(C1631:F1631)</f>
        <v>32</v>
      </c>
    </row>
    <row r="1632" spans="1:7" x14ac:dyDescent="0.2">
      <c r="A1632" s="31" t="s">
        <v>3569</v>
      </c>
      <c r="B1632" s="31"/>
      <c r="C1632" s="32"/>
      <c r="D1632" s="32"/>
      <c r="E1632" s="32"/>
      <c r="F1632" s="32"/>
      <c r="G1632" s="32"/>
    </row>
    <row r="1633" spans="1:7" x14ac:dyDescent="0.2">
      <c r="A1633" s="31" t="s">
        <v>3567</v>
      </c>
      <c r="B1633" s="31"/>
      <c r="C1633" s="32">
        <v>1</v>
      </c>
      <c r="D1633" s="32">
        <v>40</v>
      </c>
      <c r="E1633" s="32"/>
      <c r="F1633" s="32"/>
      <c r="G1633" s="32">
        <f>PRODUCT(C1633:F1633)</f>
        <v>40</v>
      </c>
    </row>
    <row r="1635" spans="1:7" ht="45" customHeight="1" x14ac:dyDescent="0.2">
      <c r="A1635" s="17" t="s">
        <v>4262</v>
      </c>
      <c r="B1635" s="17" t="s">
        <v>3141</v>
      </c>
      <c r="C1635" s="17" t="s">
        <v>569</v>
      </c>
      <c r="D1635" s="83" t="s">
        <v>18</v>
      </c>
      <c r="E1635" s="102" t="s">
        <v>3946</v>
      </c>
      <c r="F1635" s="102" t="s">
        <v>3946</v>
      </c>
      <c r="G1635" s="84">
        <f>SUM(G1636:G1640)</f>
        <v>72</v>
      </c>
    </row>
    <row r="1636" spans="1:7" x14ac:dyDescent="0.2">
      <c r="A1636" s="28"/>
      <c r="B1636" s="28" t="s">
        <v>3142</v>
      </c>
      <c r="C1636" s="29" t="s">
        <v>3143</v>
      </c>
      <c r="D1636" s="29" t="s">
        <v>3157</v>
      </c>
      <c r="E1636" s="29"/>
      <c r="F1636" s="29"/>
      <c r="G1636" s="30"/>
    </row>
    <row r="1637" spans="1:7" x14ac:dyDescent="0.2">
      <c r="A1637" s="31" t="s">
        <v>3573</v>
      </c>
      <c r="B1637" s="31"/>
      <c r="C1637" s="32"/>
      <c r="D1637" s="32"/>
      <c r="E1637" s="32"/>
      <c r="F1637" s="32"/>
      <c r="G1637" s="32"/>
    </row>
    <row r="1638" spans="1:7" x14ac:dyDescent="0.2">
      <c r="A1638" s="31" t="s">
        <v>3198</v>
      </c>
      <c r="B1638" s="31"/>
      <c r="C1638" s="32">
        <v>1</v>
      </c>
      <c r="D1638" s="32">
        <v>32</v>
      </c>
      <c r="E1638" s="32"/>
      <c r="F1638" s="32"/>
      <c r="G1638" s="32">
        <f>PRODUCT(C1638:F1638)</f>
        <v>32</v>
      </c>
    </row>
    <row r="1639" spans="1:7" x14ac:dyDescent="0.2">
      <c r="A1639" s="31" t="s">
        <v>3569</v>
      </c>
      <c r="B1639" s="31"/>
      <c r="C1639" s="32"/>
      <c r="D1639" s="32"/>
      <c r="E1639" s="32"/>
      <c r="F1639" s="32"/>
      <c r="G1639" s="32"/>
    </row>
    <row r="1640" spans="1:7" x14ac:dyDescent="0.2">
      <c r="A1640" s="31" t="s">
        <v>3567</v>
      </c>
      <c r="B1640" s="31"/>
      <c r="C1640" s="32">
        <v>1</v>
      </c>
      <c r="D1640" s="32">
        <v>40</v>
      </c>
      <c r="E1640" s="32"/>
      <c r="F1640" s="32"/>
      <c r="G1640" s="32">
        <f>PRODUCT(C1640:F1640)</f>
        <v>40</v>
      </c>
    </row>
    <row r="1642" spans="1:7" ht="45" customHeight="1" x14ac:dyDescent="0.2">
      <c r="A1642" s="17" t="s">
        <v>4263</v>
      </c>
      <c r="B1642" s="17" t="s">
        <v>3141</v>
      </c>
      <c r="C1642" s="17" t="s">
        <v>3988</v>
      </c>
      <c r="D1642" s="83" t="s">
        <v>36</v>
      </c>
      <c r="E1642" s="102" t="s">
        <v>3989</v>
      </c>
      <c r="F1642" s="102" t="s">
        <v>3989</v>
      </c>
      <c r="G1642" s="84">
        <f>SUM(G1643:G1648)</f>
        <v>74</v>
      </c>
    </row>
    <row r="1643" spans="1:7" x14ac:dyDescent="0.2">
      <c r="A1643" s="28"/>
      <c r="B1643" s="28" t="s">
        <v>3142</v>
      </c>
      <c r="C1643" s="29" t="s">
        <v>3143</v>
      </c>
      <c r="D1643" s="29" t="s">
        <v>3157</v>
      </c>
      <c r="E1643" s="29"/>
      <c r="F1643" s="29"/>
      <c r="G1643" s="30"/>
    </row>
    <row r="1644" spans="1:7" x14ac:dyDescent="0.2">
      <c r="A1644" s="31" t="s">
        <v>3573</v>
      </c>
      <c r="B1644" s="31"/>
      <c r="C1644" s="32"/>
      <c r="D1644" s="32"/>
      <c r="E1644" s="32"/>
      <c r="F1644" s="32"/>
      <c r="G1644" s="32"/>
    </row>
    <row r="1645" spans="1:7" x14ac:dyDescent="0.2">
      <c r="A1645" s="31" t="s">
        <v>3198</v>
      </c>
      <c r="B1645" s="31"/>
      <c r="C1645" s="32">
        <v>1</v>
      </c>
      <c r="D1645" s="32">
        <v>38</v>
      </c>
      <c r="E1645" s="32"/>
      <c r="F1645" s="32"/>
      <c r="G1645" s="32">
        <f>PRODUCT(C1645:F1645)</f>
        <v>38</v>
      </c>
    </row>
    <row r="1646" spans="1:7" x14ac:dyDescent="0.2">
      <c r="A1646" s="31" t="s">
        <v>3569</v>
      </c>
      <c r="B1646" s="31"/>
      <c r="C1646" s="32"/>
      <c r="D1646" s="32"/>
      <c r="E1646" s="32"/>
      <c r="F1646" s="32"/>
      <c r="G1646" s="32"/>
    </row>
    <row r="1647" spans="1:7" x14ac:dyDescent="0.2">
      <c r="A1647" s="31" t="s">
        <v>3567</v>
      </c>
      <c r="B1647" s="31"/>
      <c r="C1647" s="32">
        <v>1</v>
      </c>
      <c r="D1647" s="32">
        <v>19</v>
      </c>
      <c r="E1647" s="32"/>
      <c r="F1647" s="32"/>
      <c r="G1647" s="32">
        <f>PRODUCT(C1647:F1647)</f>
        <v>19</v>
      </c>
    </row>
    <row r="1648" spans="1:7" x14ac:dyDescent="0.2">
      <c r="A1648" s="31"/>
      <c r="B1648" s="31"/>
      <c r="C1648" s="32">
        <v>1</v>
      </c>
      <c r="D1648" s="32">
        <v>17</v>
      </c>
      <c r="E1648" s="32"/>
      <c r="F1648" s="32"/>
      <c r="G1648" s="32">
        <f>PRODUCT(C1648:F1648)</f>
        <v>17</v>
      </c>
    </row>
    <row r="1650" spans="1:7" ht="45" customHeight="1" x14ac:dyDescent="0.2">
      <c r="A1650" s="17" t="s">
        <v>4264</v>
      </c>
      <c r="B1650" s="17" t="s">
        <v>3141</v>
      </c>
      <c r="C1650" s="17" t="s">
        <v>3990</v>
      </c>
      <c r="D1650" s="83" t="s">
        <v>36</v>
      </c>
      <c r="E1650" s="102" t="s">
        <v>3991</v>
      </c>
      <c r="F1650" s="102" t="s">
        <v>3991</v>
      </c>
      <c r="G1650" s="84">
        <f>SUM(G1651:G1654)</f>
        <v>123</v>
      </c>
    </row>
    <row r="1651" spans="1:7" x14ac:dyDescent="0.2">
      <c r="A1651" s="28"/>
      <c r="B1651" s="28" t="s">
        <v>3142</v>
      </c>
      <c r="C1651" s="29" t="s">
        <v>3143</v>
      </c>
      <c r="D1651" s="29" t="s">
        <v>4265</v>
      </c>
      <c r="E1651" s="29"/>
      <c r="F1651" s="29"/>
      <c r="G1651" s="30"/>
    </row>
    <row r="1652" spans="1:7" x14ac:dyDescent="0.2">
      <c r="A1652" s="31" t="s">
        <v>3336</v>
      </c>
      <c r="B1652" s="31"/>
      <c r="C1652" s="32"/>
      <c r="D1652" s="32"/>
      <c r="E1652" s="32"/>
      <c r="F1652" s="32"/>
      <c r="G1652" s="32">
        <f>PRODUCT(C1652:F1652)</f>
        <v>0</v>
      </c>
    </row>
    <row r="1653" spans="1:7" x14ac:dyDescent="0.2">
      <c r="A1653" s="31" t="s">
        <v>3186</v>
      </c>
      <c r="B1653" s="31"/>
      <c r="C1653" s="32">
        <v>1</v>
      </c>
      <c r="D1653" s="32">
        <v>85</v>
      </c>
      <c r="E1653" s="32"/>
      <c r="F1653" s="32"/>
      <c r="G1653" s="32">
        <f>PRODUCT(C1653:F1653)</f>
        <v>85</v>
      </c>
    </row>
    <row r="1654" spans="1:7" x14ac:dyDescent="0.2">
      <c r="A1654" s="31" t="s">
        <v>3184</v>
      </c>
      <c r="B1654" s="31"/>
      <c r="C1654" s="32">
        <v>1</v>
      </c>
      <c r="D1654" s="32">
        <v>38</v>
      </c>
      <c r="E1654" s="32"/>
      <c r="F1654" s="32"/>
      <c r="G1654" s="32">
        <f>PRODUCT(C1654:F1654)</f>
        <v>38</v>
      </c>
    </row>
    <row r="1656" spans="1:7" ht="45" customHeight="1" x14ac:dyDescent="0.2">
      <c r="A1656" s="17" t="s">
        <v>4266</v>
      </c>
      <c r="B1656" s="17" t="s">
        <v>3141</v>
      </c>
      <c r="C1656" s="17" t="s">
        <v>3992</v>
      </c>
      <c r="D1656" s="83" t="s">
        <v>36</v>
      </c>
      <c r="E1656" s="102" t="s">
        <v>3993</v>
      </c>
      <c r="F1656" s="102" t="s">
        <v>3993</v>
      </c>
      <c r="G1656" s="84">
        <f>SUM(G1657:G1659)</f>
        <v>36</v>
      </c>
    </row>
    <row r="1657" spans="1:7" x14ac:dyDescent="0.2">
      <c r="A1657" s="28"/>
      <c r="B1657" s="28" t="s">
        <v>3142</v>
      </c>
      <c r="C1657" s="29" t="s">
        <v>3143</v>
      </c>
      <c r="D1657" s="29" t="s">
        <v>3157</v>
      </c>
      <c r="E1657" s="29"/>
      <c r="F1657" s="29"/>
      <c r="G1657" s="30"/>
    </row>
    <row r="1658" spans="1:7" x14ac:dyDescent="0.2">
      <c r="A1658" s="31" t="s">
        <v>3337</v>
      </c>
      <c r="B1658" s="31"/>
      <c r="C1658" s="32"/>
      <c r="D1658" s="32"/>
      <c r="E1658" s="32"/>
      <c r="F1658" s="32"/>
      <c r="G1658" s="32"/>
    </row>
    <row r="1659" spans="1:7" x14ac:dyDescent="0.2">
      <c r="A1659" s="31" t="s">
        <v>3185</v>
      </c>
      <c r="B1659" s="31"/>
      <c r="C1659" s="32">
        <v>1</v>
      </c>
      <c r="D1659" s="32">
        <v>36</v>
      </c>
      <c r="E1659" s="32"/>
      <c r="F1659" s="32"/>
      <c r="G1659" s="32">
        <f>PRODUCT(C1659:F1659)</f>
        <v>36</v>
      </c>
    </row>
    <row r="1661" spans="1:7" ht="45" customHeight="1" x14ac:dyDescent="0.2">
      <c r="A1661" s="17" t="s">
        <v>4267</v>
      </c>
      <c r="B1661" s="17" t="s">
        <v>3141</v>
      </c>
      <c r="C1661" s="17" t="s">
        <v>3994</v>
      </c>
      <c r="D1661" s="83" t="s">
        <v>36</v>
      </c>
      <c r="E1661" s="102" t="s">
        <v>3995</v>
      </c>
      <c r="F1661" s="102" t="s">
        <v>3995</v>
      </c>
      <c r="G1661" s="84">
        <f>SUM(G1662:G1664)</f>
        <v>30</v>
      </c>
    </row>
    <row r="1662" spans="1:7" x14ac:dyDescent="0.2">
      <c r="A1662" s="28"/>
      <c r="B1662" s="28" t="s">
        <v>3142</v>
      </c>
      <c r="C1662" s="29" t="s">
        <v>3143</v>
      </c>
      <c r="D1662" s="29" t="s">
        <v>3146</v>
      </c>
      <c r="E1662" s="29"/>
      <c r="F1662" s="29"/>
      <c r="G1662" s="30"/>
    </row>
    <row r="1663" spans="1:7" x14ac:dyDescent="0.2">
      <c r="A1663" s="31" t="s">
        <v>3186</v>
      </c>
      <c r="B1663" s="31"/>
      <c r="C1663" s="32">
        <v>10</v>
      </c>
      <c r="D1663" s="32">
        <v>1.2</v>
      </c>
      <c r="E1663" s="32"/>
      <c r="F1663" s="32"/>
      <c r="G1663" s="32">
        <f>PRODUCT(C1663:F1663)</f>
        <v>12</v>
      </c>
    </row>
    <row r="1664" spans="1:7" x14ac:dyDescent="0.2">
      <c r="A1664" s="31" t="s">
        <v>3191</v>
      </c>
      <c r="B1664" s="31"/>
      <c r="C1664" s="32">
        <v>18</v>
      </c>
      <c r="D1664" s="32">
        <v>1</v>
      </c>
      <c r="E1664" s="32"/>
      <c r="F1664" s="32"/>
      <c r="G1664" s="32">
        <f>PRODUCT(C1664:F1664)</f>
        <v>18</v>
      </c>
    </row>
    <row r="1666" spans="1:7" ht="45" customHeight="1" x14ac:dyDescent="0.2">
      <c r="A1666" s="17" t="s">
        <v>4268</v>
      </c>
      <c r="B1666" s="17" t="s">
        <v>3141</v>
      </c>
      <c r="C1666" s="17" t="s">
        <v>979</v>
      </c>
      <c r="D1666" s="83" t="s">
        <v>18</v>
      </c>
      <c r="E1666" s="102" t="s">
        <v>3996</v>
      </c>
      <c r="F1666" s="102" t="s">
        <v>3996</v>
      </c>
      <c r="G1666" s="84">
        <f>SUM(G1667:G1669)</f>
        <v>59</v>
      </c>
    </row>
    <row r="1667" spans="1:7" x14ac:dyDescent="0.2">
      <c r="A1667" s="28"/>
      <c r="B1667" s="28" t="s">
        <v>3142</v>
      </c>
      <c r="C1667" s="29" t="s">
        <v>3143</v>
      </c>
      <c r="D1667" s="29" t="s">
        <v>3157</v>
      </c>
      <c r="E1667" s="29"/>
      <c r="F1667" s="29"/>
      <c r="G1667" s="30"/>
    </row>
    <row r="1668" spans="1:7" x14ac:dyDescent="0.2">
      <c r="A1668" s="31" t="s">
        <v>3339</v>
      </c>
      <c r="B1668" s="31"/>
      <c r="C1668" s="32"/>
      <c r="D1668" s="32"/>
      <c r="E1668" s="32"/>
      <c r="F1668" s="32"/>
      <c r="G1668" s="32"/>
    </row>
    <row r="1669" spans="1:7" x14ac:dyDescent="0.2">
      <c r="A1669" s="31" t="s">
        <v>3340</v>
      </c>
      <c r="B1669" s="31"/>
      <c r="C1669" s="32">
        <v>1</v>
      </c>
      <c r="D1669" s="32">
        <v>59</v>
      </c>
      <c r="E1669" s="32"/>
      <c r="F1669" s="32"/>
      <c r="G1669" s="32">
        <f>PRODUCT(C1669:F1669)</f>
        <v>59</v>
      </c>
    </row>
    <row r="1671" spans="1:7" ht="45" customHeight="1" x14ac:dyDescent="0.2">
      <c r="A1671" s="17" t="s">
        <v>4269</v>
      </c>
      <c r="B1671" s="17" t="s">
        <v>3141</v>
      </c>
      <c r="C1671" s="17" t="s">
        <v>3997</v>
      </c>
      <c r="D1671" s="83" t="s">
        <v>18</v>
      </c>
      <c r="E1671" s="102" t="s">
        <v>3998</v>
      </c>
      <c r="F1671" s="102" t="s">
        <v>3998</v>
      </c>
      <c r="G1671" s="84">
        <f>SUM(G1672:G1679)</f>
        <v>384</v>
      </c>
    </row>
    <row r="1672" spans="1:7" x14ac:dyDescent="0.2">
      <c r="A1672" s="28"/>
      <c r="B1672" s="28" t="s">
        <v>3142</v>
      </c>
      <c r="C1672" s="29" t="s">
        <v>3143</v>
      </c>
      <c r="D1672" s="29" t="s">
        <v>3157</v>
      </c>
      <c r="E1672" s="29"/>
      <c r="F1672" s="29"/>
      <c r="G1672" s="30"/>
    </row>
    <row r="1673" spans="1:7" x14ac:dyDescent="0.2">
      <c r="A1673" s="31" t="s">
        <v>3336</v>
      </c>
      <c r="B1673" s="31"/>
      <c r="C1673" s="32"/>
      <c r="D1673" s="32"/>
      <c r="E1673" s="32"/>
      <c r="F1673" s="32"/>
      <c r="G1673" s="32">
        <f>PRODUCT(C1673:F1673)</f>
        <v>0</v>
      </c>
    </row>
    <row r="1674" spans="1:7" x14ac:dyDescent="0.2">
      <c r="A1674" s="31" t="s">
        <v>3186</v>
      </c>
      <c r="B1674" s="31"/>
      <c r="C1674" s="32">
        <v>1</v>
      </c>
      <c r="D1674" s="32">
        <v>231</v>
      </c>
      <c r="E1674" s="32"/>
      <c r="F1674" s="32"/>
      <c r="G1674" s="32">
        <f>PRODUCT(C1674:F1674)</f>
        <v>231</v>
      </c>
    </row>
    <row r="1675" spans="1:7" x14ac:dyDescent="0.2">
      <c r="A1675" s="31" t="s">
        <v>3184</v>
      </c>
      <c r="B1675" s="31"/>
      <c r="C1675" s="32">
        <v>1</v>
      </c>
      <c r="D1675" s="32">
        <v>54</v>
      </c>
      <c r="E1675" s="32"/>
      <c r="F1675" s="32"/>
      <c r="G1675" s="32">
        <f>PRODUCT(C1675:F1675)</f>
        <v>54</v>
      </c>
    </row>
    <row r="1676" spans="1:7" x14ac:dyDescent="0.2">
      <c r="A1676" s="31" t="s">
        <v>3337</v>
      </c>
      <c r="B1676" s="31"/>
      <c r="C1676" s="32"/>
      <c r="D1676" s="32"/>
      <c r="E1676" s="32"/>
      <c r="F1676" s="32"/>
      <c r="G1676" s="32">
        <f>PRODUCT(C1676:F1676)</f>
        <v>0</v>
      </c>
    </row>
    <row r="1677" spans="1:7" x14ac:dyDescent="0.2">
      <c r="A1677" s="31" t="s">
        <v>3185</v>
      </c>
      <c r="B1677" s="31"/>
      <c r="C1677" s="32">
        <v>1</v>
      </c>
      <c r="D1677" s="32">
        <v>40</v>
      </c>
      <c r="E1677" s="32"/>
      <c r="F1677" s="32"/>
      <c r="G1677" s="32">
        <f>PRODUCT(C1677:F1677)</f>
        <v>40</v>
      </c>
    </row>
    <row r="1678" spans="1:7" x14ac:dyDescent="0.2">
      <c r="A1678" s="31" t="s">
        <v>3339</v>
      </c>
      <c r="B1678" s="31"/>
      <c r="C1678" s="32"/>
      <c r="D1678" s="32"/>
      <c r="E1678" s="32"/>
      <c r="F1678" s="32"/>
      <c r="G1678" s="32"/>
    </row>
    <row r="1679" spans="1:7" x14ac:dyDescent="0.2">
      <c r="A1679" s="31" t="s">
        <v>3340</v>
      </c>
      <c r="B1679" s="31"/>
      <c r="C1679" s="32">
        <v>1</v>
      </c>
      <c r="D1679" s="32">
        <v>59</v>
      </c>
      <c r="E1679" s="32"/>
      <c r="F1679" s="32"/>
      <c r="G1679" s="32">
        <f>PRODUCT(C1679:F1679)</f>
        <v>59</v>
      </c>
    </row>
    <row r="1681" spans="1:7" ht="45" customHeight="1" x14ac:dyDescent="0.2">
      <c r="A1681" s="17" t="s">
        <v>4270</v>
      </c>
      <c r="B1681" s="17" t="s">
        <v>3141</v>
      </c>
      <c r="C1681" s="17" t="s">
        <v>164</v>
      </c>
      <c r="D1681" s="83" t="s">
        <v>23</v>
      </c>
      <c r="E1681" s="102" t="s">
        <v>3999</v>
      </c>
      <c r="F1681" s="102" t="s">
        <v>3999</v>
      </c>
      <c r="G1681" s="84">
        <f>SUM(G1682:G1682)</f>
        <v>1</v>
      </c>
    </row>
    <row r="1682" spans="1:7" x14ac:dyDescent="0.2">
      <c r="A1682" s="31"/>
      <c r="B1682" s="31"/>
      <c r="C1682" s="32">
        <v>1</v>
      </c>
      <c r="D1682" s="32"/>
      <c r="E1682" s="32"/>
      <c r="F1682" s="32"/>
      <c r="G1682" s="32">
        <f>PRODUCT(C1682:F1682)</f>
        <v>1</v>
      </c>
    </row>
    <row r="1684" spans="1:7" x14ac:dyDescent="0.2">
      <c r="B1684" t="s">
        <v>3139</v>
      </c>
      <c r="C1684" s="6" t="s">
        <v>6</v>
      </c>
      <c r="D1684" s="7" t="s">
        <v>7</v>
      </c>
      <c r="E1684" s="6" t="s">
        <v>8</v>
      </c>
    </row>
    <row r="1685" spans="1:7" x14ac:dyDescent="0.2">
      <c r="B1685" t="s">
        <v>3139</v>
      </c>
      <c r="C1685" s="6" t="s">
        <v>9</v>
      </c>
      <c r="D1685" s="7" t="s">
        <v>158</v>
      </c>
      <c r="E1685" s="6" t="s">
        <v>557</v>
      </c>
    </row>
    <row r="1686" spans="1:7" x14ac:dyDescent="0.2">
      <c r="B1686" t="s">
        <v>3139</v>
      </c>
      <c r="C1686" s="6" t="s">
        <v>11</v>
      </c>
      <c r="D1686" s="7" t="s">
        <v>26</v>
      </c>
      <c r="E1686" s="6" t="s">
        <v>570</v>
      </c>
    </row>
    <row r="1688" spans="1:7" ht="45" customHeight="1" x14ac:dyDescent="0.2">
      <c r="A1688" s="17" t="s">
        <v>3575</v>
      </c>
      <c r="B1688" s="17" t="s">
        <v>3141</v>
      </c>
      <c r="C1688" s="17" t="s">
        <v>572</v>
      </c>
      <c r="D1688" s="83" t="s">
        <v>18</v>
      </c>
      <c r="E1688" s="102" t="s">
        <v>573</v>
      </c>
      <c r="F1688" s="102" t="s">
        <v>573</v>
      </c>
      <c r="G1688" s="84">
        <f>SUM(G1689:G1695)</f>
        <v>295</v>
      </c>
    </row>
    <row r="1689" spans="1:7" x14ac:dyDescent="0.2">
      <c r="A1689" s="28"/>
      <c r="B1689" s="28" t="s">
        <v>3142</v>
      </c>
      <c r="C1689" s="29" t="s">
        <v>3143</v>
      </c>
      <c r="D1689" s="29" t="s">
        <v>3157</v>
      </c>
      <c r="E1689" s="29"/>
      <c r="F1689" s="29"/>
      <c r="G1689" s="30"/>
    </row>
    <row r="1690" spans="1:7" x14ac:dyDescent="0.2">
      <c r="A1690" s="31" t="s">
        <v>3576</v>
      </c>
      <c r="B1690" s="31"/>
      <c r="C1690" s="32">
        <v>1</v>
      </c>
      <c r="D1690" s="32">
        <v>30</v>
      </c>
      <c r="E1690" s="32"/>
      <c r="F1690" s="32"/>
      <c r="G1690" s="32">
        <f t="shared" ref="G1690:G1695" si="20">PRODUCT(C1690:F1690)</f>
        <v>30</v>
      </c>
    </row>
    <row r="1691" spans="1:7" x14ac:dyDescent="0.2">
      <c r="A1691" s="31" t="s">
        <v>3577</v>
      </c>
      <c r="B1691" s="31"/>
      <c r="C1691" s="32">
        <v>2</v>
      </c>
      <c r="D1691" s="32">
        <v>30</v>
      </c>
      <c r="E1691" s="32"/>
      <c r="F1691" s="32"/>
      <c r="G1691" s="32">
        <f t="shared" si="20"/>
        <v>60</v>
      </c>
    </row>
    <row r="1692" spans="1:7" x14ac:dyDescent="0.2">
      <c r="A1692" s="31" t="s">
        <v>3578</v>
      </c>
      <c r="B1692" s="31"/>
      <c r="C1692" s="32">
        <v>1</v>
      </c>
      <c r="D1692" s="32">
        <v>23</v>
      </c>
      <c r="E1692" s="32"/>
      <c r="F1692" s="32"/>
      <c r="G1692" s="32">
        <f t="shared" si="20"/>
        <v>23</v>
      </c>
    </row>
    <row r="1693" spans="1:7" x14ac:dyDescent="0.2">
      <c r="A1693" s="31" t="s">
        <v>3579</v>
      </c>
      <c r="B1693" s="31"/>
      <c r="C1693" s="32">
        <v>2</v>
      </c>
      <c r="D1693" s="32">
        <v>48</v>
      </c>
      <c r="E1693" s="32"/>
      <c r="F1693" s="32"/>
      <c r="G1693" s="32">
        <f t="shared" si="20"/>
        <v>96</v>
      </c>
    </row>
    <row r="1694" spans="1:7" x14ac:dyDescent="0.2">
      <c r="A1694" s="31" t="s">
        <v>3580</v>
      </c>
      <c r="B1694" s="31"/>
      <c r="C1694" s="32">
        <v>1</v>
      </c>
      <c r="D1694" s="32">
        <v>43</v>
      </c>
      <c r="E1694" s="32"/>
      <c r="F1694" s="32"/>
      <c r="G1694" s="32">
        <f t="shared" si="20"/>
        <v>43</v>
      </c>
    </row>
    <row r="1695" spans="1:7" x14ac:dyDescent="0.2">
      <c r="A1695" s="31" t="s">
        <v>3581</v>
      </c>
      <c r="B1695" s="31"/>
      <c r="C1695" s="32">
        <v>1</v>
      </c>
      <c r="D1695" s="32">
        <v>43</v>
      </c>
      <c r="E1695" s="32"/>
      <c r="F1695" s="32"/>
      <c r="G1695" s="32">
        <f t="shared" si="20"/>
        <v>43</v>
      </c>
    </row>
    <row r="1697" spans="1:7" ht="45" customHeight="1" x14ac:dyDescent="0.2">
      <c r="A1697" s="17" t="s">
        <v>3582</v>
      </c>
      <c r="B1697" s="17" t="s">
        <v>3141</v>
      </c>
      <c r="C1697" s="17" t="s">
        <v>574</v>
      </c>
      <c r="D1697" s="83" t="s">
        <v>18</v>
      </c>
      <c r="E1697" s="102" t="s">
        <v>575</v>
      </c>
      <c r="F1697" s="102" t="s">
        <v>575</v>
      </c>
      <c r="G1697" s="84">
        <f>SUM(G1698:G1703)</f>
        <v>324</v>
      </c>
    </row>
    <row r="1698" spans="1:7" x14ac:dyDescent="0.2">
      <c r="A1698" s="28"/>
      <c r="B1698" s="28" t="s">
        <v>3142</v>
      </c>
      <c r="C1698" s="29" t="s">
        <v>3143</v>
      </c>
      <c r="D1698" s="29" t="s">
        <v>3157</v>
      </c>
      <c r="E1698" s="29"/>
      <c r="F1698" s="29"/>
      <c r="G1698" s="30"/>
    </row>
    <row r="1699" spans="1:7" x14ac:dyDescent="0.2">
      <c r="A1699" s="31" t="s">
        <v>3576</v>
      </c>
      <c r="B1699" s="31"/>
      <c r="C1699" s="32">
        <v>1</v>
      </c>
      <c r="D1699" s="32">
        <v>30</v>
      </c>
      <c r="E1699" s="32"/>
      <c r="F1699" s="32"/>
      <c r="G1699" s="32">
        <f>PRODUCT(C1699:F1699)</f>
        <v>30</v>
      </c>
    </row>
    <row r="1700" spans="1:7" x14ac:dyDescent="0.2">
      <c r="A1700" s="31" t="s">
        <v>3578</v>
      </c>
      <c r="B1700" s="31"/>
      <c r="C1700" s="32">
        <v>1</v>
      </c>
      <c r="D1700" s="32">
        <v>23</v>
      </c>
      <c r="E1700" s="32"/>
      <c r="F1700" s="32"/>
      <c r="G1700" s="32">
        <f>PRODUCT(C1700:F1700)</f>
        <v>23</v>
      </c>
    </row>
    <row r="1701" spans="1:7" x14ac:dyDescent="0.2">
      <c r="A1701" s="31" t="s">
        <v>3583</v>
      </c>
      <c r="B1701" s="31"/>
      <c r="C1701" s="32">
        <v>1</v>
      </c>
      <c r="D1701" s="32">
        <v>135</v>
      </c>
      <c r="E1701" s="32"/>
      <c r="F1701" s="32"/>
      <c r="G1701" s="32">
        <f>PRODUCT(C1701:F1701)</f>
        <v>135</v>
      </c>
    </row>
    <row r="1702" spans="1:7" x14ac:dyDescent="0.2">
      <c r="A1702" s="31" t="s">
        <v>3580</v>
      </c>
      <c r="B1702" s="31"/>
      <c r="C1702" s="32">
        <v>1</v>
      </c>
      <c r="D1702" s="32">
        <v>93</v>
      </c>
      <c r="E1702" s="32"/>
      <c r="F1702" s="32"/>
      <c r="G1702" s="32">
        <f>PRODUCT(C1702:F1702)</f>
        <v>93</v>
      </c>
    </row>
    <row r="1703" spans="1:7" x14ac:dyDescent="0.2">
      <c r="A1703" s="31" t="s">
        <v>3584</v>
      </c>
      <c r="B1703" s="31"/>
      <c r="C1703" s="32">
        <v>1</v>
      </c>
      <c r="D1703" s="32">
        <v>43</v>
      </c>
      <c r="E1703" s="32"/>
      <c r="F1703" s="32"/>
      <c r="G1703" s="32">
        <f>PRODUCT(C1703:F1703)</f>
        <v>43</v>
      </c>
    </row>
    <row r="1705" spans="1:7" ht="45" customHeight="1" x14ac:dyDescent="0.2">
      <c r="A1705" s="17" t="s">
        <v>3585</v>
      </c>
      <c r="B1705" s="17" t="s">
        <v>3141</v>
      </c>
      <c r="C1705" s="17" t="s">
        <v>576</v>
      </c>
      <c r="D1705" s="83" t="s">
        <v>18</v>
      </c>
      <c r="E1705" s="102" t="s">
        <v>577</v>
      </c>
      <c r="F1705" s="102" t="s">
        <v>577</v>
      </c>
      <c r="G1705" s="84">
        <f>SUM(G1706:G1711)</f>
        <v>162</v>
      </c>
    </row>
    <row r="1706" spans="1:7" x14ac:dyDescent="0.2">
      <c r="A1706" s="28"/>
      <c r="B1706" s="28" t="s">
        <v>3142</v>
      </c>
      <c r="C1706" s="29" t="s">
        <v>3143</v>
      </c>
      <c r="D1706" s="29" t="s">
        <v>3157</v>
      </c>
      <c r="E1706" s="29" t="s">
        <v>1093</v>
      </c>
      <c r="F1706" s="29"/>
      <c r="G1706" s="30"/>
    </row>
    <row r="1707" spans="1:7" x14ac:dyDescent="0.2">
      <c r="A1707" s="31" t="s">
        <v>3576</v>
      </c>
      <c r="B1707" s="31"/>
      <c r="C1707" s="32">
        <v>1</v>
      </c>
      <c r="D1707" s="32">
        <v>30</v>
      </c>
      <c r="E1707" s="32">
        <v>0.5</v>
      </c>
      <c r="F1707" s="32"/>
      <c r="G1707" s="32">
        <f>PRODUCT(C1707:F1707)</f>
        <v>15</v>
      </c>
    </row>
    <row r="1708" spans="1:7" x14ac:dyDescent="0.2">
      <c r="A1708" s="31" t="s">
        <v>3578</v>
      </c>
      <c r="B1708" s="31"/>
      <c r="C1708" s="32">
        <v>1</v>
      </c>
      <c r="D1708" s="32">
        <v>23</v>
      </c>
      <c r="E1708" s="32">
        <v>0.5</v>
      </c>
      <c r="F1708" s="32"/>
      <c r="G1708" s="32">
        <f>PRODUCT(C1708:F1708)</f>
        <v>11.5</v>
      </c>
    </row>
    <row r="1709" spans="1:7" x14ac:dyDescent="0.2">
      <c r="A1709" s="31" t="s">
        <v>3583</v>
      </c>
      <c r="B1709" s="31"/>
      <c r="C1709" s="32">
        <v>1</v>
      </c>
      <c r="D1709" s="32">
        <v>135</v>
      </c>
      <c r="E1709" s="32">
        <v>0.5</v>
      </c>
      <c r="F1709" s="32"/>
      <c r="G1709" s="32">
        <f>PRODUCT(C1709:F1709)</f>
        <v>67.5</v>
      </c>
    </row>
    <row r="1710" spans="1:7" x14ac:dyDescent="0.2">
      <c r="A1710" s="31" t="s">
        <v>3580</v>
      </c>
      <c r="B1710" s="31"/>
      <c r="C1710" s="32">
        <v>1</v>
      </c>
      <c r="D1710" s="32">
        <v>93</v>
      </c>
      <c r="E1710" s="32">
        <v>0.5</v>
      </c>
      <c r="F1710" s="32"/>
      <c r="G1710" s="32">
        <f>PRODUCT(C1710:F1710)</f>
        <v>46.5</v>
      </c>
    </row>
    <row r="1711" spans="1:7" x14ac:dyDescent="0.2">
      <c r="A1711" s="31" t="s">
        <v>3584</v>
      </c>
      <c r="B1711" s="31"/>
      <c r="C1711" s="32">
        <v>1</v>
      </c>
      <c r="D1711" s="32">
        <v>43</v>
      </c>
      <c r="E1711" s="32">
        <v>0.5</v>
      </c>
      <c r="F1711" s="32"/>
      <c r="G1711" s="32">
        <f>PRODUCT(C1711:F1711)</f>
        <v>21.5</v>
      </c>
    </row>
    <row r="1713" spans="1:7" ht="45" customHeight="1" x14ac:dyDescent="0.2">
      <c r="A1713" s="17" t="s">
        <v>3586</v>
      </c>
      <c r="B1713" s="17" t="s">
        <v>3141</v>
      </c>
      <c r="C1713" s="17" t="s">
        <v>578</v>
      </c>
      <c r="D1713" s="83" t="s">
        <v>18</v>
      </c>
      <c r="E1713" s="102" t="s">
        <v>579</v>
      </c>
      <c r="F1713" s="102" t="s">
        <v>579</v>
      </c>
      <c r="G1713" s="84">
        <f>SUM(G1714:G1719)</f>
        <v>162</v>
      </c>
    </row>
    <row r="1714" spans="1:7" x14ac:dyDescent="0.2">
      <c r="A1714" s="28"/>
      <c r="B1714" s="28" t="s">
        <v>3142</v>
      </c>
      <c r="C1714" s="29" t="s">
        <v>3143</v>
      </c>
      <c r="D1714" s="29" t="s">
        <v>3157</v>
      </c>
      <c r="E1714" s="29" t="s">
        <v>1093</v>
      </c>
      <c r="F1714" s="29"/>
      <c r="G1714" s="30"/>
    </row>
    <row r="1715" spans="1:7" x14ac:dyDescent="0.2">
      <c r="A1715" s="31" t="s">
        <v>3576</v>
      </c>
      <c r="B1715" s="31"/>
      <c r="C1715" s="32">
        <v>1</v>
      </c>
      <c r="D1715" s="32">
        <v>30</v>
      </c>
      <c r="E1715" s="32">
        <v>0.5</v>
      </c>
      <c r="F1715" s="32"/>
      <c r="G1715" s="32">
        <f>PRODUCT(C1715:F1715)</f>
        <v>15</v>
      </c>
    </row>
    <row r="1716" spans="1:7" x14ac:dyDescent="0.2">
      <c r="A1716" s="31" t="s">
        <v>3578</v>
      </c>
      <c r="B1716" s="31"/>
      <c r="C1716" s="32">
        <v>1</v>
      </c>
      <c r="D1716" s="32">
        <v>23</v>
      </c>
      <c r="E1716" s="32">
        <v>0.5</v>
      </c>
      <c r="F1716" s="32"/>
      <c r="G1716" s="32">
        <f>PRODUCT(C1716:F1716)</f>
        <v>11.5</v>
      </c>
    </row>
    <row r="1717" spans="1:7" x14ac:dyDescent="0.2">
      <c r="A1717" s="31" t="s">
        <v>3583</v>
      </c>
      <c r="B1717" s="31"/>
      <c r="C1717" s="32">
        <v>1</v>
      </c>
      <c r="D1717" s="32">
        <v>135</v>
      </c>
      <c r="E1717" s="32">
        <v>0.5</v>
      </c>
      <c r="F1717" s="32"/>
      <c r="G1717" s="32">
        <f>PRODUCT(C1717:F1717)</f>
        <v>67.5</v>
      </c>
    </row>
    <row r="1718" spans="1:7" x14ac:dyDescent="0.2">
      <c r="A1718" s="31" t="s">
        <v>3580</v>
      </c>
      <c r="B1718" s="31"/>
      <c r="C1718" s="32">
        <v>1</v>
      </c>
      <c r="D1718" s="32">
        <v>93</v>
      </c>
      <c r="E1718" s="32">
        <v>0.5</v>
      </c>
      <c r="F1718" s="32"/>
      <c r="G1718" s="32">
        <f>PRODUCT(C1718:F1718)</f>
        <v>46.5</v>
      </c>
    </row>
    <row r="1719" spans="1:7" x14ac:dyDescent="0.2">
      <c r="A1719" s="31" t="s">
        <v>3584</v>
      </c>
      <c r="B1719" s="31"/>
      <c r="C1719" s="32">
        <v>1</v>
      </c>
      <c r="D1719" s="32">
        <v>43</v>
      </c>
      <c r="E1719" s="32">
        <v>0.5</v>
      </c>
      <c r="F1719" s="32"/>
      <c r="G1719" s="32">
        <f>PRODUCT(C1719:F1719)</f>
        <v>21.5</v>
      </c>
    </row>
    <row r="1721" spans="1:7" ht="45" customHeight="1" x14ac:dyDescent="0.2">
      <c r="A1721" s="17" t="s">
        <v>3587</v>
      </c>
      <c r="B1721" s="17" t="s">
        <v>3141</v>
      </c>
      <c r="C1721" s="17" t="s">
        <v>580</v>
      </c>
      <c r="D1721" s="83" t="s">
        <v>18</v>
      </c>
      <c r="E1721" s="102" t="s">
        <v>581</v>
      </c>
      <c r="F1721" s="102" t="s">
        <v>581</v>
      </c>
      <c r="G1721" s="84">
        <f>SUM(G1722:G1731)</f>
        <v>619</v>
      </c>
    </row>
    <row r="1722" spans="1:7" x14ac:dyDescent="0.2">
      <c r="A1722" s="28"/>
      <c r="B1722" s="28" t="s">
        <v>3142</v>
      </c>
      <c r="C1722" s="29" t="s">
        <v>3143</v>
      </c>
      <c r="D1722" s="29" t="s">
        <v>3157</v>
      </c>
      <c r="E1722" s="29"/>
      <c r="F1722" s="29"/>
      <c r="G1722" s="30"/>
    </row>
    <row r="1723" spans="1:7" x14ac:dyDescent="0.2">
      <c r="A1723" s="31" t="s">
        <v>3576</v>
      </c>
      <c r="B1723" s="31"/>
      <c r="C1723" s="32">
        <v>2</v>
      </c>
      <c r="D1723" s="32">
        <v>30</v>
      </c>
      <c r="E1723" s="32"/>
      <c r="F1723" s="32"/>
      <c r="G1723" s="32">
        <f t="shared" ref="G1723:G1731" si="21">PRODUCT(C1723:F1723)</f>
        <v>60</v>
      </c>
    </row>
    <row r="1724" spans="1:7" x14ac:dyDescent="0.2">
      <c r="A1724" s="31" t="s">
        <v>3577</v>
      </c>
      <c r="B1724" s="31"/>
      <c r="C1724" s="32">
        <v>2</v>
      </c>
      <c r="D1724" s="32">
        <v>30</v>
      </c>
      <c r="E1724" s="32"/>
      <c r="F1724" s="32"/>
      <c r="G1724" s="32">
        <f t="shared" si="21"/>
        <v>60</v>
      </c>
    </row>
    <row r="1725" spans="1:7" x14ac:dyDescent="0.2">
      <c r="A1725" s="31" t="s">
        <v>3578</v>
      </c>
      <c r="B1725" s="31"/>
      <c r="C1725" s="32">
        <v>2</v>
      </c>
      <c r="D1725" s="32">
        <v>23</v>
      </c>
      <c r="E1725" s="32"/>
      <c r="F1725" s="32"/>
      <c r="G1725" s="32">
        <f t="shared" si="21"/>
        <v>46</v>
      </c>
    </row>
    <row r="1726" spans="1:7" x14ac:dyDescent="0.2">
      <c r="A1726" s="31" t="s">
        <v>3579</v>
      </c>
      <c r="B1726" s="31"/>
      <c r="C1726" s="32">
        <v>2</v>
      </c>
      <c r="D1726" s="32">
        <v>48</v>
      </c>
      <c r="E1726" s="32"/>
      <c r="F1726" s="32"/>
      <c r="G1726" s="32">
        <f t="shared" si="21"/>
        <v>96</v>
      </c>
    </row>
    <row r="1727" spans="1:7" x14ac:dyDescent="0.2">
      <c r="A1727" s="31" t="s">
        <v>3583</v>
      </c>
      <c r="B1727" s="31"/>
      <c r="C1727" s="32">
        <v>1</v>
      </c>
      <c r="D1727" s="32">
        <v>135</v>
      </c>
      <c r="E1727" s="32"/>
      <c r="F1727" s="32"/>
      <c r="G1727" s="32">
        <f t="shared" si="21"/>
        <v>135</v>
      </c>
    </row>
    <row r="1728" spans="1:7" x14ac:dyDescent="0.2">
      <c r="A1728" s="31" t="s">
        <v>3580</v>
      </c>
      <c r="B1728" s="31"/>
      <c r="C1728" s="32">
        <v>1</v>
      </c>
      <c r="D1728" s="32">
        <v>93</v>
      </c>
      <c r="E1728" s="32"/>
      <c r="F1728" s="32"/>
      <c r="G1728" s="32">
        <f t="shared" si="21"/>
        <v>93</v>
      </c>
    </row>
    <row r="1729" spans="1:7" x14ac:dyDescent="0.2">
      <c r="A1729" s="31"/>
      <c r="B1729" s="31"/>
      <c r="C1729" s="32">
        <v>1</v>
      </c>
      <c r="D1729" s="32">
        <v>43</v>
      </c>
      <c r="E1729" s="32"/>
      <c r="F1729" s="32"/>
      <c r="G1729" s="32">
        <f t="shared" si="21"/>
        <v>43</v>
      </c>
    </row>
    <row r="1730" spans="1:7" x14ac:dyDescent="0.2">
      <c r="A1730" s="31" t="s">
        <v>3584</v>
      </c>
      <c r="B1730" s="31"/>
      <c r="C1730" s="32">
        <v>1</v>
      </c>
      <c r="D1730" s="32">
        <v>43</v>
      </c>
      <c r="E1730" s="32"/>
      <c r="F1730" s="32"/>
      <c r="G1730" s="32">
        <f t="shared" si="21"/>
        <v>43</v>
      </c>
    </row>
    <row r="1731" spans="1:7" x14ac:dyDescent="0.2">
      <c r="A1731" s="31" t="s">
        <v>3581</v>
      </c>
      <c r="B1731" s="31"/>
      <c r="C1731" s="32">
        <v>1</v>
      </c>
      <c r="D1731" s="32">
        <v>43</v>
      </c>
      <c r="E1731" s="32"/>
      <c r="F1731" s="32"/>
      <c r="G1731" s="32">
        <f t="shared" si="21"/>
        <v>43</v>
      </c>
    </row>
    <row r="1733" spans="1:7" ht="45" customHeight="1" x14ac:dyDescent="0.2">
      <c r="A1733" s="17" t="s">
        <v>3588</v>
      </c>
      <c r="B1733" s="17" t="s">
        <v>3141</v>
      </c>
      <c r="C1733" s="17" t="s">
        <v>582</v>
      </c>
      <c r="D1733" s="83" t="s">
        <v>18</v>
      </c>
      <c r="E1733" s="102" t="s">
        <v>4044</v>
      </c>
      <c r="F1733" s="102" t="s">
        <v>4044</v>
      </c>
      <c r="G1733" s="84">
        <f>SUM(G1734:G1744)</f>
        <v>135.14000000000001</v>
      </c>
    </row>
    <row r="1734" spans="1:7" x14ac:dyDescent="0.2">
      <c r="A1734" s="28"/>
      <c r="B1734" s="28" t="s">
        <v>3142</v>
      </c>
      <c r="C1734" s="29" t="s">
        <v>3143</v>
      </c>
      <c r="D1734" s="29" t="s">
        <v>3146</v>
      </c>
      <c r="E1734" s="29" t="s">
        <v>3148</v>
      </c>
      <c r="F1734" s="29"/>
      <c r="G1734" s="30"/>
    </row>
    <row r="1735" spans="1:7" x14ac:dyDescent="0.2">
      <c r="A1735" s="31" t="s">
        <v>4246</v>
      </c>
      <c r="B1735" s="31"/>
      <c r="C1735" s="32">
        <v>1</v>
      </c>
      <c r="D1735" s="32">
        <v>3.4</v>
      </c>
      <c r="E1735" s="32">
        <v>4</v>
      </c>
      <c r="F1735" s="32"/>
      <c r="G1735" s="32">
        <f t="shared" ref="G1735:G1744" si="22">PRODUCT(C1735:F1735)</f>
        <v>13.6</v>
      </c>
    </row>
    <row r="1736" spans="1:7" x14ac:dyDescent="0.2">
      <c r="A1736" s="31" t="s">
        <v>4246</v>
      </c>
      <c r="B1736" s="31"/>
      <c r="C1736" s="32">
        <v>2</v>
      </c>
      <c r="D1736" s="32">
        <v>2.2999999999999998</v>
      </c>
      <c r="E1736" s="32">
        <v>4</v>
      </c>
      <c r="F1736" s="32"/>
      <c r="G1736" s="32">
        <f t="shared" si="22"/>
        <v>18.399999999999999</v>
      </c>
    </row>
    <row r="1737" spans="1:7" x14ac:dyDescent="0.2">
      <c r="A1737" s="31" t="s">
        <v>4247</v>
      </c>
      <c r="B1737" s="31"/>
      <c r="C1737" s="32">
        <v>2</v>
      </c>
      <c r="D1737" s="32">
        <v>3.4</v>
      </c>
      <c r="E1737" s="32">
        <v>2.7</v>
      </c>
      <c r="F1737" s="32"/>
      <c r="G1737" s="32">
        <f t="shared" si="22"/>
        <v>18.36</v>
      </c>
    </row>
    <row r="1738" spans="1:7" x14ac:dyDescent="0.2">
      <c r="A1738" s="31" t="s">
        <v>4247</v>
      </c>
      <c r="B1738" s="31"/>
      <c r="C1738" s="32">
        <v>2</v>
      </c>
      <c r="D1738" s="32">
        <v>2.6</v>
      </c>
      <c r="E1738" s="32">
        <v>2.7</v>
      </c>
      <c r="F1738" s="32"/>
      <c r="G1738" s="32">
        <f t="shared" si="22"/>
        <v>14.040000000000001</v>
      </c>
    </row>
    <row r="1739" spans="1:7" x14ac:dyDescent="0.2">
      <c r="A1739" s="31" t="s">
        <v>4247</v>
      </c>
      <c r="B1739" s="31"/>
      <c r="C1739" s="32">
        <v>2</v>
      </c>
      <c r="D1739" s="32">
        <v>1.4</v>
      </c>
      <c r="E1739" s="32">
        <v>2.7</v>
      </c>
      <c r="F1739" s="32"/>
      <c r="G1739" s="32">
        <f t="shared" si="22"/>
        <v>7.56</v>
      </c>
    </row>
    <row r="1740" spans="1:7" x14ac:dyDescent="0.2">
      <c r="A1740" s="31" t="s">
        <v>4247</v>
      </c>
      <c r="B1740" s="31"/>
      <c r="C1740" s="32">
        <v>1</v>
      </c>
      <c r="D1740" s="32">
        <v>4</v>
      </c>
      <c r="E1740" s="32">
        <v>2.7</v>
      </c>
      <c r="F1740" s="32"/>
      <c r="G1740" s="32">
        <f t="shared" si="22"/>
        <v>10.8</v>
      </c>
    </row>
    <row r="1741" spans="1:7" x14ac:dyDescent="0.2">
      <c r="A1741" s="31" t="s">
        <v>4271</v>
      </c>
      <c r="B1741" s="31"/>
      <c r="C1741" s="32">
        <v>2</v>
      </c>
      <c r="D1741" s="32">
        <v>1.7</v>
      </c>
      <c r="E1741" s="32">
        <v>2.7</v>
      </c>
      <c r="F1741" s="32"/>
      <c r="G1741" s="32">
        <f t="shared" si="22"/>
        <v>9.18</v>
      </c>
    </row>
    <row r="1742" spans="1:7" x14ac:dyDescent="0.2">
      <c r="A1742" s="31" t="s">
        <v>4271</v>
      </c>
      <c r="B1742" s="31"/>
      <c r="C1742" s="32">
        <v>2</v>
      </c>
      <c r="D1742" s="32">
        <v>2.8</v>
      </c>
      <c r="E1742" s="32">
        <v>2.7</v>
      </c>
      <c r="F1742" s="32"/>
      <c r="G1742" s="32">
        <f t="shared" si="22"/>
        <v>15.12</v>
      </c>
    </row>
    <row r="1743" spans="1:7" x14ac:dyDescent="0.2">
      <c r="A1743" s="31" t="s">
        <v>4271</v>
      </c>
      <c r="B1743" s="31"/>
      <c r="C1743" s="32">
        <v>2</v>
      </c>
      <c r="D1743" s="32">
        <v>1.4</v>
      </c>
      <c r="E1743" s="32">
        <v>2.7</v>
      </c>
      <c r="F1743" s="32"/>
      <c r="G1743" s="32">
        <f t="shared" si="22"/>
        <v>7.56</v>
      </c>
    </row>
    <row r="1744" spans="1:7" x14ac:dyDescent="0.2">
      <c r="A1744" s="31" t="s">
        <v>4271</v>
      </c>
      <c r="B1744" s="31"/>
      <c r="C1744" s="32">
        <v>2</v>
      </c>
      <c r="D1744" s="32">
        <v>3.8</v>
      </c>
      <c r="E1744" s="32">
        <v>2.7</v>
      </c>
      <c r="F1744" s="32"/>
      <c r="G1744" s="32">
        <f t="shared" si="22"/>
        <v>20.52</v>
      </c>
    </row>
    <row r="1746" spans="1:7" ht="45" customHeight="1" x14ac:dyDescent="0.2">
      <c r="A1746" s="17" t="s">
        <v>3589</v>
      </c>
      <c r="B1746" s="17" t="s">
        <v>3141</v>
      </c>
      <c r="C1746" s="17" t="s">
        <v>4046</v>
      </c>
      <c r="D1746" s="83" t="s">
        <v>18</v>
      </c>
      <c r="E1746" s="102" t="s">
        <v>4047</v>
      </c>
      <c r="F1746" s="102" t="s">
        <v>4047</v>
      </c>
      <c r="G1746" s="84">
        <f>SUM(G1747:G1748)</f>
        <v>207.01</v>
      </c>
    </row>
    <row r="1747" spans="1:7" x14ac:dyDescent="0.2">
      <c r="A1747" s="31" t="s">
        <v>3590</v>
      </c>
      <c r="B1747" s="31" t="s">
        <v>3323</v>
      </c>
      <c r="C1747" s="32">
        <v>78</v>
      </c>
      <c r="D1747" s="32"/>
      <c r="E1747" s="32"/>
      <c r="F1747" s="32"/>
      <c r="G1747" s="32">
        <f>PRODUCT(C1747:F1747)</f>
        <v>78</v>
      </c>
    </row>
    <row r="1748" spans="1:7" x14ac:dyDescent="0.2">
      <c r="A1748" s="31" t="s">
        <v>3591</v>
      </c>
      <c r="B1748" s="31" t="s">
        <v>3323</v>
      </c>
      <c r="C1748" s="32">
        <v>129.01</v>
      </c>
      <c r="D1748" s="32"/>
      <c r="E1748" s="32"/>
      <c r="F1748" s="32"/>
      <c r="G1748" s="32">
        <f>PRODUCT(C1748:F1748)</f>
        <v>129.01</v>
      </c>
    </row>
    <row r="1750" spans="1:7" ht="45" customHeight="1" x14ac:dyDescent="0.2">
      <c r="A1750" s="17" t="s">
        <v>3592</v>
      </c>
      <c r="B1750" s="17" t="s">
        <v>3141</v>
      </c>
      <c r="C1750" s="17" t="s">
        <v>586</v>
      </c>
      <c r="D1750" s="83" t="s">
        <v>18</v>
      </c>
      <c r="E1750" s="102" t="s">
        <v>4056</v>
      </c>
      <c r="F1750" s="102" t="s">
        <v>4056</v>
      </c>
      <c r="G1750" s="84">
        <f>SUM(G1751:G1770)</f>
        <v>403.85999999999996</v>
      </c>
    </row>
    <row r="1751" spans="1:7" x14ac:dyDescent="0.2">
      <c r="A1751" s="28"/>
      <c r="B1751" s="28" t="s">
        <v>3142</v>
      </c>
      <c r="C1751" s="29" t="s">
        <v>3157</v>
      </c>
      <c r="D1751" s="29"/>
      <c r="E1751" s="29"/>
      <c r="F1751" s="29"/>
      <c r="G1751" s="30"/>
    </row>
    <row r="1752" spans="1:7" x14ac:dyDescent="0.2">
      <c r="A1752" s="31" t="s">
        <v>3593</v>
      </c>
      <c r="B1752" s="31" t="s">
        <v>3323</v>
      </c>
      <c r="C1752" s="32">
        <v>209.61</v>
      </c>
      <c r="D1752" s="32"/>
      <c r="E1752" s="32"/>
      <c r="F1752" s="32"/>
      <c r="G1752" s="32">
        <f>PRODUCT(C1752:F1752)</f>
        <v>209.61</v>
      </c>
    </row>
    <row r="1753" spans="1:7" x14ac:dyDescent="0.2">
      <c r="A1753" s="28"/>
      <c r="B1753" s="28" t="s">
        <v>3142</v>
      </c>
      <c r="C1753" s="29" t="s">
        <v>3143</v>
      </c>
      <c r="D1753" s="29" t="s">
        <v>3146</v>
      </c>
      <c r="E1753" s="29" t="s">
        <v>3147</v>
      </c>
      <c r="F1753" s="29" t="s">
        <v>4272</v>
      </c>
      <c r="G1753" s="30"/>
    </row>
    <row r="1754" spans="1:7" x14ac:dyDescent="0.2">
      <c r="A1754" s="31" t="s">
        <v>3594</v>
      </c>
      <c r="B1754" s="31" t="s">
        <v>3323</v>
      </c>
      <c r="C1754" s="32">
        <v>1</v>
      </c>
      <c r="D1754" s="32">
        <v>0.82</v>
      </c>
      <c r="E1754" s="32">
        <v>2.1800000000000002</v>
      </c>
      <c r="F1754" s="32">
        <v>2</v>
      </c>
      <c r="G1754" s="32">
        <f t="shared" ref="G1754:G1770" si="23">PRODUCT(C1754:F1754)</f>
        <v>3.5752000000000002</v>
      </c>
    </row>
    <row r="1755" spans="1:7" x14ac:dyDescent="0.2">
      <c r="A1755" s="31" t="s">
        <v>3595</v>
      </c>
      <c r="B1755" s="31" t="s">
        <v>3323</v>
      </c>
      <c r="C1755" s="32">
        <v>1</v>
      </c>
      <c r="D1755" s="32">
        <v>0.82</v>
      </c>
      <c r="E1755" s="32">
        <v>2.1800000000000002</v>
      </c>
      <c r="F1755" s="32">
        <v>2</v>
      </c>
      <c r="G1755" s="32">
        <f t="shared" si="23"/>
        <v>3.5752000000000002</v>
      </c>
    </row>
    <row r="1756" spans="1:7" x14ac:dyDescent="0.2">
      <c r="A1756" s="31" t="s">
        <v>3596</v>
      </c>
      <c r="B1756" s="31" t="s">
        <v>3323</v>
      </c>
      <c r="C1756" s="32">
        <v>5</v>
      </c>
      <c r="D1756" s="32">
        <v>0.82</v>
      </c>
      <c r="E1756" s="32">
        <v>2.1800000000000002</v>
      </c>
      <c r="F1756" s="32">
        <v>2</v>
      </c>
      <c r="G1756" s="32">
        <f t="shared" si="23"/>
        <v>17.876000000000001</v>
      </c>
    </row>
    <row r="1757" spans="1:7" x14ac:dyDescent="0.2">
      <c r="A1757" s="31" t="s">
        <v>3597</v>
      </c>
      <c r="B1757" s="31" t="s">
        <v>3323</v>
      </c>
      <c r="C1757" s="32">
        <v>2</v>
      </c>
      <c r="D1757" s="32">
        <v>0.75</v>
      </c>
      <c r="E1757" s="32">
        <v>2.2000000000000002</v>
      </c>
      <c r="F1757" s="32">
        <v>2</v>
      </c>
      <c r="G1757" s="32">
        <f t="shared" si="23"/>
        <v>6.6000000000000005</v>
      </c>
    </row>
    <row r="1758" spans="1:7" x14ac:dyDescent="0.2">
      <c r="A1758" s="31" t="s">
        <v>3598</v>
      </c>
      <c r="B1758" s="31" t="s">
        <v>3323</v>
      </c>
      <c r="C1758" s="32">
        <v>1</v>
      </c>
      <c r="D1758" s="32">
        <v>0.8</v>
      </c>
      <c r="E1758" s="32">
        <v>2.2000000000000002</v>
      </c>
      <c r="F1758" s="32">
        <v>2</v>
      </c>
      <c r="G1758" s="32">
        <f t="shared" si="23"/>
        <v>3.5200000000000005</v>
      </c>
    </row>
    <row r="1759" spans="1:7" x14ac:dyDescent="0.2">
      <c r="A1759" s="31" t="s">
        <v>3599</v>
      </c>
      <c r="B1759" s="31" t="s">
        <v>3323</v>
      </c>
      <c r="C1759" s="32">
        <v>1</v>
      </c>
      <c r="D1759" s="32">
        <v>0.8</v>
      </c>
      <c r="E1759" s="32">
        <v>2.2000000000000002</v>
      </c>
      <c r="F1759" s="32">
        <v>2</v>
      </c>
      <c r="G1759" s="32">
        <f t="shared" si="23"/>
        <v>3.5200000000000005</v>
      </c>
    </row>
    <row r="1760" spans="1:7" x14ac:dyDescent="0.2">
      <c r="A1760" s="31" t="s">
        <v>3600</v>
      </c>
      <c r="B1760" s="31" t="s">
        <v>3323</v>
      </c>
      <c r="C1760" s="32">
        <v>2</v>
      </c>
      <c r="D1760" s="32">
        <v>2.75</v>
      </c>
      <c r="E1760" s="32">
        <v>0.69</v>
      </c>
      <c r="F1760" s="32">
        <v>2</v>
      </c>
      <c r="G1760" s="32">
        <f t="shared" si="23"/>
        <v>7.59</v>
      </c>
    </row>
    <row r="1761" spans="1:7" x14ac:dyDescent="0.2">
      <c r="A1761" s="31" t="s">
        <v>3601</v>
      </c>
      <c r="B1761" s="31" t="s">
        <v>3323</v>
      </c>
      <c r="C1761" s="32">
        <v>1</v>
      </c>
      <c r="D1761" s="32">
        <v>47</v>
      </c>
      <c r="E1761" s="32"/>
      <c r="F1761" s="32"/>
      <c r="G1761" s="32">
        <f t="shared" si="23"/>
        <v>47</v>
      </c>
    </row>
    <row r="1762" spans="1:7" x14ac:dyDescent="0.2">
      <c r="A1762" s="31" t="s">
        <v>3602</v>
      </c>
      <c r="B1762" s="31" t="s">
        <v>3323</v>
      </c>
      <c r="C1762" s="32">
        <v>1</v>
      </c>
      <c r="D1762" s="32">
        <v>25</v>
      </c>
      <c r="E1762" s="32"/>
      <c r="F1762" s="32"/>
      <c r="G1762" s="32">
        <f t="shared" si="23"/>
        <v>25</v>
      </c>
    </row>
    <row r="1763" spans="1:7" x14ac:dyDescent="0.2">
      <c r="A1763" s="31" t="s">
        <v>3603</v>
      </c>
      <c r="B1763" s="31" t="s">
        <v>3323</v>
      </c>
      <c r="C1763" s="32">
        <v>1</v>
      </c>
      <c r="D1763" s="32">
        <v>3</v>
      </c>
      <c r="E1763" s="32"/>
      <c r="F1763" s="32"/>
      <c r="G1763" s="32">
        <f t="shared" si="23"/>
        <v>3</v>
      </c>
    </row>
    <row r="1764" spans="1:7" x14ac:dyDescent="0.2">
      <c r="A1764" s="31" t="s">
        <v>3604</v>
      </c>
      <c r="B1764" s="31" t="s">
        <v>3323</v>
      </c>
      <c r="C1764" s="32">
        <v>1</v>
      </c>
      <c r="D1764" s="32">
        <v>3</v>
      </c>
      <c r="E1764" s="32"/>
      <c r="F1764" s="32"/>
      <c r="G1764" s="32">
        <f t="shared" si="23"/>
        <v>3</v>
      </c>
    </row>
    <row r="1765" spans="1:7" x14ac:dyDescent="0.2">
      <c r="A1765" s="31" t="s">
        <v>3605</v>
      </c>
      <c r="B1765" s="31" t="s">
        <v>3323</v>
      </c>
      <c r="C1765" s="32">
        <v>1</v>
      </c>
      <c r="D1765" s="32">
        <v>20</v>
      </c>
      <c r="E1765" s="32"/>
      <c r="F1765" s="32"/>
      <c r="G1765" s="32">
        <f t="shared" si="23"/>
        <v>20</v>
      </c>
    </row>
    <row r="1766" spans="1:7" x14ac:dyDescent="0.2">
      <c r="A1766" s="31" t="s">
        <v>3606</v>
      </c>
      <c r="B1766" s="31" t="s">
        <v>3323</v>
      </c>
      <c r="C1766" s="32">
        <v>1</v>
      </c>
      <c r="D1766" s="32">
        <v>3</v>
      </c>
      <c r="E1766" s="32"/>
      <c r="F1766" s="32"/>
      <c r="G1766" s="32">
        <f t="shared" si="23"/>
        <v>3</v>
      </c>
    </row>
    <row r="1767" spans="1:7" x14ac:dyDescent="0.2">
      <c r="A1767" s="31" t="s">
        <v>3607</v>
      </c>
      <c r="B1767" s="31" t="s">
        <v>3323</v>
      </c>
      <c r="C1767" s="32">
        <v>1</v>
      </c>
      <c r="D1767" s="32">
        <v>3</v>
      </c>
      <c r="E1767" s="32"/>
      <c r="F1767" s="32"/>
      <c r="G1767" s="32">
        <f t="shared" si="23"/>
        <v>3</v>
      </c>
    </row>
    <row r="1768" spans="1:7" x14ac:dyDescent="0.2">
      <c r="A1768" s="31" t="s">
        <v>4273</v>
      </c>
      <c r="B1768" s="31" t="s">
        <v>3323</v>
      </c>
      <c r="C1768" s="32">
        <v>1</v>
      </c>
      <c r="D1768" s="32">
        <v>5.01</v>
      </c>
      <c r="E1768" s="32">
        <v>1.29</v>
      </c>
      <c r="F1768" s="32">
        <v>2</v>
      </c>
      <c r="G1768" s="32">
        <f t="shared" si="23"/>
        <v>12.925800000000001</v>
      </c>
    </row>
    <row r="1769" spans="1:7" x14ac:dyDescent="0.2">
      <c r="A1769" s="31" t="s">
        <v>4274</v>
      </c>
      <c r="B1769" s="31" t="s">
        <v>3323</v>
      </c>
      <c r="C1769" s="32">
        <v>1</v>
      </c>
      <c r="D1769" s="32">
        <v>4.99</v>
      </c>
      <c r="E1769" s="32">
        <v>1.61</v>
      </c>
      <c r="F1769" s="32">
        <v>2</v>
      </c>
      <c r="G1769" s="32">
        <f t="shared" si="23"/>
        <v>16.067800000000002</v>
      </c>
    </row>
    <row r="1770" spans="1:7" x14ac:dyDescent="0.2">
      <c r="A1770" s="31" t="s">
        <v>4275</v>
      </c>
      <c r="B1770" s="31" t="s">
        <v>3323</v>
      </c>
      <c r="C1770" s="32">
        <v>30</v>
      </c>
      <c r="D1770" s="32">
        <v>0.5</v>
      </c>
      <c r="E1770" s="32"/>
      <c r="F1770" s="32"/>
      <c r="G1770" s="32">
        <f t="shared" si="23"/>
        <v>15</v>
      </c>
    </row>
    <row r="1772" spans="1:7" ht="45" customHeight="1" x14ac:dyDescent="0.2">
      <c r="A1772" s="17" t="s">
        <v>4276</v>
      </c>
      <c r="B1772" s="17" t="s">
        <v>3141</v>
      </c>
      <c r="C1772" s="17" t="s">
        <v>4000</v>
      </c>
      <c r="D1772" s="83" t="s">
        <v>36</v>
      </c>
      <c r="E1772" s="102" t="s">
        <v>4001</v>
      </c>
      <c r="F1772" s="102" t="s">
        <v>4001</v>
      </c>
      <c r="G1772" s="84">
        <f>SUM(G1773:G1775)</f>
        <v>9.4</v>
      </c>
    </row>
    <row r="1773" spans="1:7" x14ac:dyDescent="0.2">
      <c r="A1773" s="28"/>
      <c r="B1773" s="28" t="s">
        <v>3142</v>
      </c>
      <c r="C1773" s="29" t="s">
        <v>3143</v>
      </c>
      <c r="D1773" s="29" t="s">
        <v>3146</v>
      </c>
      <c r="E1773" s="29"/>
      <c r="F1773" s="29"/>
      <c r="G1773" s="30"/>
    </row>
    <row r="1774" spans="1:7" x14ac:dyDescent="0.2">
      <c r="A1774" s="31" t="s">
        <v>3186</v>
      </c>
      <c r="B1774" s="31"/>
      <c r="C1774" s="32">
        <v>1</v>
      </c>
      <c r="D1774" s="32">
        <v>3.7</v>
      </c>
      <c r="E1774" s="32"/>
      <c r="F1774" s="32"/>
      <c r="G1774" s="32">
        <f>PRODUCT(C1774:F1774)</f>
        <v>3.7</v>
      </c>
    </row>
    <row r="1775" spans="1:7" x14ac:dyDescent="0.2">
      <c r="A1775" s="31" t="s">
        <v>3191</v>
      </c>
      <c r="B1775" s="31"/>
      <c r="C1775" s="32">
        <v>1</v>
      </c>
      <c r="D1775" s="32">
        <v>5.7</v>
      </c>
      <c r="E1775" s="32"/>
      <c r="F1775" s="32"/>
      <c r="G1775" s="32">
        <f>PRODUCT(C1775:F1775)</f>
        <v>5.7</v>
      </c>
    </row>
    <row r="1777" spans="1:7" x14ac:dyDescent="0.2">
      <c r="B1777" t="s">
        <v>3139</v>
      </c>
      <c r="C1777" s="6" t="s">
        <v>6</v>
      </c>
      <c r="D1777" s="7" t="s">
        <v>7</v>
      </c>
      <c r="E1777" s="6" t="s">
        <v>8</v>
      </c>
    </row>
    <row r="1778" spans="1:7" x14ac:dyDescent="0.2">
      <c r="B1778" t="s">
        <v>3139</v>
      </c>
      <c r="C1778" s="6" t="s">
        <v>9</v>
      </c>
      <c r="D1778" s="7" t="s">
        <v>385</v>
      </c>
      <c r="E1778" s="6" t="s">
        <v>588</v>
      </c>
    </row>
    <row r="1779" spans="1:7" x14ac:dyDescent="0.2">
      <c r="B1779" t="s">
        <v>3139</v>
      </c>
      <c r="C1779" s="6" t="s">
        <v>11</v>
      </c>
      <c r="D1779" s="7" t="s">
        <v>7</v>
      </c>
      <c r="E1779" s="6" t="s">
        <v>589</v>
      </c>
    </row>
    <row r="1781" spans="1:7" ht="45" customHeight="1" x14ac:dyDescent="0.2">
      <c r="A1781" s="17" t="s">
        <v>3608</v>
      </c>
      <c r="B1781" s="17" t="s">
        <v>3141</v>
      </c>
      <c r="C1781" s="17" t="s">
        <v>591</v>
      </c>
      <c r="D1781" s="83" t="s">
        <v>23</v>
      </c>
      <c r="E1781" s="102" t="s">
        <v>592</v>
      </c>
      <c r="F1781" s="102" t="s">
        <v>592</v>
      </c>
      <c r="G1781" s="84">
        <f>SUM(G1782:G1783)</f>
        <v>1</v>
      </c>
    </row>
    <row r="1782" spans="1:7" x14ac:dyDescent="0.2">
      <c r="A1782" s="28"/>
      <c r="B1782" s="28" t="s">
        <v>3142</v>
      </c>
      <c r="C1782" s="29" t="s">
        <v>3143</v>
      </c>
      <c r="D1782" s="29"/>
      <c r="E1782" s="29"/>
      <c r="F1782" s="29"/>
      <c r="G1782" s="30"/>
    </row>
    <row r="1783" spans="1:7" x14ac:dyDescent="0.2">
      <c r="A1783" s="31"/>
      <c r="B1783" s="31"/>
      <c r="C1783" s="32">
        <v>1</v>
      </c>
      <c r="D1783" s="32"/>
      <c r="E1783" s="32"/>
      <c r="F1783" s="32"/>
      <c r="G1783" s="32">
        <f>PRODUCT(C1783:F1783)</f>
        <v>1</v>
      </c>
    </row>
    <row r="1785" spans="1:7" x14ac:dyDescent="0.2">
      <c r="B1785" t="s">
        <v>3139</v>
      </c>
      <c r="C1785" s="6" t="s">
        <v>6</v>
      </c>
      <c r="D1785" s="7" t="s">
        <v>7</v>
      </c>
      <c r="E1785" s="6" t="s">
        <v>8</v>
      </c>
    </row>
    <row r="1786" spans="1:7" x14ac:dyDescent="0.2">
      <c r="B1786" t="s">
        <v>3139</v>
      </c>
      <c r="C1786" s="6" t="s">
        <v>9</v>
      </c>
      <c r="D1786" s="7" t="s">
        <v>385</v>
      </c>
      <c r="E1786" s="6" t="s">
        <v>588</v>
      </c>
    </row>
    <row r="1787" spans="1:7" x14ac:dyDescent="0.2">
      <c r="B1787" t="s">
        <v>3139</v>
      </c>
      <c r="C1787" s="6" t="s">
        <v>11</v>
      </c>
      <c r="D1787" s="7" t="s">
        <v>72</v>
      </c>
      <c r="E1787" s="6" t="s">
        <v>593</v>
      </c>
    </row>
    <row r="1788" spans="1:7" x14ac:dyDescent="0.2">
      <c r="B1788" t="s">
        <v>3139</v>
      </c>
      <c r="C1788" s="6" t="s">
        <v>91</v>
      </c>
      <c r="D1788" s="7" t="s">
        <v>7</v>
      </c>
      <c r="E1788" s="6" t="s">
        <v>600</v>
      </c>
    </row>
    <row r="1790" spans="1:7" ht="45" customHeight="1" x14ac:dyDescent="0.2">
      <c r="A1790" s="17" t="s">
        <v>3609</v>
      </c>
      <c r="B1790" s="17" t="s">
        <v>3141</v>
      </c>
      <c r="C1790" s="17" t="s">
        <v>602</v>
      </c>
      <c r="D1790" s="83" t="s">
        <v>36</v>
      </c>
      <c r="E1790" s="102" t="s">
        <v>603</v>
      </c>
      <c r="F1790" s="102" t="s">
        <v>603</v>
      </c>
      <c r="G1790" s="84">
        <f>SUM(G1791:G1791)</f>
        <v>28.799999999999997</v>
      </c>
    </row>
    <row r="1791" spans="1:7" x14ac:dyDescent="0.2">
      <c r="A1791" s="31" t="s">
        <v>3610</v>
      </c>
      <c r="B1791" s="31"/>
      <c r="C1791" s="32">
        <v>24</v>
      </c>
      <c r="D1791" s="32">
        <v>1.2</v>
      </c>
      <c r="E1791" s="32"/>
      <c r="F1791" s="32"/>
      <c r="G1791" s="32">
        <f>PRODUCT(C1791:F1791)</f>
        <v>28.799999999999997</v>
      </c>
    </row>
    <row r="1793" spans="1:7" ht="45" customHeight="1" x14ac:dyDescent="0.2">
      <c r="A1793" s="17" t="s">
        <v>3611</v>
      </c>
      <c r="B1793" s="17" t="s">
        <v>3141</v>
      </c>
      <c r="C1793" s="17" t="s">
        <v>604</v>
      </c>
      <c r="D1793" s="83" t="s">
        <v>36</v>
      </c>
      <c r="E1793" s="102" t="s">
        <v>605</v>
      </c>
      <c r="F1793" s="102" t="s">
        <v>605</v>
      </c>
      <c r="G1793" s="84">
        <f>SUM(G1794:G1797)</f>
        <v>99.600000000000009</v>
      </c>
    </row>
    <row r="1794" spans="1:7" x14ac:dyDescent="0.2">
      <c r="A1794" s="31" t="s">
        <v>3610</v>
      </c>
      <c r="B1794" s="31"/>
      <c r="C1794" s="32">
        <v>44</v>
      </c>
      <c r="D1794" s="32">
        <v>1.2</v>
      </c>
      <c r="E1794" s="32"/>
      <c r="F1794" s="32"/>
      <c r="G1794" s="32">
        <f>PRODUCT(C1794:F1794)</f>
        <v>52.8</v>
      </c>
    </row>
    <row r="1795" spans="1:7" x14ac:dyDescent="0.2">
      <c r="A1795" s="31" t="s">
        <v>3612</v>
      </c>
      <c r="B1795" s="31"/>
      <c r="C1795" s="32">
        <v>21</v>
      </c>
      <c r="D1795" s="32">
        <v>1.2</v>
      </c>
      <c r="E1795" s="32"/>
      <c r="F1795" s="32"/>
      <c r="G1795" s="32">
        <f>PRODUCT(C1795:F1795)</f>
        <v>25.2</v>
      </c>
    </row>
    <row r="1796" spans="1:7" x14ac:dyDescent="0.2">
      <c r="A1796" s="31" t="s">
        <v>3613</v>
      </c>
      <c r="B1796" s="31"/>
      <c r="C1796" s="32">
        <v>7</v>
      </c>
      <c r="D1796" s="32">
        <v>1.2</v>
      </c>
      <c r="E1796" s="32"/>
      <c r="F1796" s="32"/>
      <c r="G1796" s="32">
        <f>PRODUCT(C1796:F1796)</f>
        <v>8.4</v>
      </c>
    </row>
    <row r="1797" spans="1:7" x14ac:dyDescent="0.2">
      <c r="A1797" s="31" t="s">
        <v>3614</v>
      </c>
      <c r="B1797" s="31"/>
      <c r="C1797" s="32">
        <v>11</v>
      </c>
      <c r="D1797" s="32">
        <v>1.2</v>
      </c>
      <c r="E1797" s="32"/>
      <c r="F1797" s="32"/>
      <c r="G1797" s="32">
        <f>PRODUCT(C1797:F1797)</f>
        <v>13.2</v>
      </c>
    </row>
    <row r="1799" spans="1:7" ht="45" customHeight="1" x14ac:dyDescent="0.2">
      <c r="A1799" s="17" t="s">
        <v>3615</v>
      </c>
      <c r="B1799" s="17" t="s">
        <v>3141</v>
      </c>
      <c r="C1799" s="17" t="s">
        <v>606</v>
      </c>
      <c r="D1799" s="83" t="s">
        <v>36</v>
      </c>
      <c r="E1799" s="102" t="s">
        <v>607</v>
      </c>
      <c r="F1799" s="102" t="s">
        <v>607</v>
      </c>
      <c r="G1799" s="84">
        <f>SUM(G1800:G1800)</f>
        <v>9.6</v>
      </c>
    </row>
    <row r="1800" spans="1:7" x14ac:dyDescent="0.2">
      <c r="A1800" s="31" t="s">
        <v>3616</v>
      </c>
      <c r="B1800" s="31"/>
      <c r="C1800" s="32">
        <v>8</v>
      </c>
      <c r="D1800" s="32">
        <v>1.2</v>
      </c>
      <c r="E1800" s="32"/>
      <c r="F1800" s="32"/>
      <c r="G1800" s="32">
        <f>PRODUCT(C1800:F1800)</f>
        <v>9.6</v>
      </c>
    </row>
    <row r="1802" spans="1:7" ht="45" customHeight="1" x14ac:dyDescent="0.2">
      <c r="A1802" s="17" t="s">
        <v>3617</v>
      </c>
      <c r="B1802" s="17" t="s">
        <v>3141</v>
      </c>
      <c r="C1802" s="17" t="s">
        <v>608</v>
      </c>
      <c r="D1802" s="83" t="s">
        <v>36</v>
      </c>
      <c r="E1802" s="102" t="s">
        <v>609</v>
      </c>
      <c r="F1802" s="102" t="s">
        <v>609</v>
      </c>
      <c r="G1802" s="84">
        <f>SUM(G1803:G1805)</f>
        <v>132</v>
      </c>
    </row>
    <row r="1803" spans="1:7" x14ac:dyDescent="0.2">
      <c r="A1803" s="31" t="s">
        <v>3612</v>
      </c>
      <c r="B1803" s="31"/>
      <c r="C1803" s="32">
        <v>0</v>
      </c>
      <c r="D1803" s="32">
        <v>1.2</v>
      </c>
      <c r="E1803" s="32"/>
      <c r="F1803" s="32"/>
      <c r="G1803" s="32">
        <f>PRODUCT(C1803:F1803)</f>
        <v>0</v>
      </c>
    </row>
    <row r="1804" spans="1:7" x14ac:dyDescent="0.2">
      <c r="A1804" s="31" t="s">
        <v>3613</v>
      </c>
      <c r="B1804" s="31"/>
      <c r="C1804" s="32">
        <v>20</v>
      </c>
      <c r="D1804" s="32">
        <v>1.2</v>
      </c>
      <c r="E1804" s="32"/>
      <c r="F1804" s="32"/>
      <c r="G1804" s="32">
        <f>PRODUCT(C1804:F1804)</f>
        <v>24</v>
      </c>
    </row>
    <row r="1805" spans="1:7" x14ac:dyDescent="0.2">
      <c r="A1805" s="31" t="s">
        <v>3614</v>
      </c>
      <c r="B1805" s="31"/>
      <c r="C1805" s="32">
        <v>90</v>
      </c>
      <c r="D1805" s="32">
        <v>1.2</v>
      </c>
      <c r="E1805" s="32"/>
      <c r="F1805" s="32"/>
      <c r="G1805" s="32">
        <f>PRODUCT(C1805:F1805)</f>
        <v>108</v>
      </c>
    </row>
    <row r="1807" spans="1:7" ht="45" customHeight="1" x14ac:dyDescent="0.2">
      <c r="A1807" s="17" t="s">
        <v>3618</v>
      </c>
      <c r="B1807" s="17" t="s">
        <v>3141</v>
      </c>
      <c r="C1807" s="17" t="s">
        <v>610</v>
      </c>
      <c r="D1807" s="83" t="s">
        <v>36</v>
      </c>
      <c r="E1807" s="102" t="s">
        <v>611</v>
      </c>
      <c r="F1807" s="102" t="s">
        <v>611</v>
      </c>
      <c r="G1807" s="84">
        <f>SUM(G1808:G1810)</f>
        <v>24</v>
      </c>
    </row>
    <row r="1808" spans="1:7" x14ac:dyDescent="0.2">
      <c r="A1808" s="31" t="s">
        <v>3612</v>
      </c>
      <c r="B1808" s="31"/>
      <c r="C1808" s="32">
        <v>0</v>
      </c>
      <c r="D1808" s="32">
        <v>1.2</v>
      </c>
      <c r="E1808" s="32"/>
      <c r="F1808" s="32"/>
      <c r="G1808" s="32">
        <f>PRODUCT(C1808:F1808)</f>
        <v>0</v>
      </c>
    </row>
    <row r="1809" spans="1:7" x14ac:dyDescent="0.2">
      <c r="A1809" s="31" t="s">
        <v>3613</v>
      </c>
      <c r="B1809" s="31"/>
      <c r="C1809" s="32">
        <v>0</v>
      </c>
      <c r="D1809" s="32">
        <v>1.2</v>
      </c>
      <c r="E1809" s="32"/>
      <c r="F1809" s="32"/>
      <c r="G1809" s="32">
        <f>PRODUCT(C1809:F1809)</f>
        <v>0</v>
      </c>
    </row>
    <row r="1810" spans="1:7" x14ac:dyDescent="0.2">
      <c r="A1810" s="31" t="s">
        <v>3614</v>
      </c>
      <c r="B1810" s="31"/>
      <c r="C1810" s="32">
        <v>20</v>
      </c>
      <c r="D1810" s="32">
        <v>1.2</v>
      </c>
      <c r="E1810" s="32"/>
      <c r="F1810" s="32"/>
      <c r="G1810" s="32">
        <f>PRODUCT(C1810:F1810)</f>
        <v>24</v>
      </c>
    </row>
    <row r="1812" spans="1:7" ht="45" customHeight="1" x14ac:dyDescent="0.2">
      <c r="A1812" s="17" t="s">
        <v>3619</v>
      </c>
      <c r="B1812" s="17" t="s">
        <v>3141</v>
      </c>
      <c r="C1812" s="17" t="s">
        <v>612</v>
      </c>
      <c r="D1812" s="83" t="s">
        <v>36</v>
      </c>
      <c r="E1812" s="102" t="s">
        <v>613</v>
      </c>
      <c r="F1812" s="102" t="s">
        <v>613</v>
      </c>
      <c r="G1812" s="84">
        <f>SUM(G1813:G1815)</f>
        <v>84</v>
      </c>
    </row>
    <row r="1813" spans="1:7" x14ac:dyDescent="0.2">
      <c r="A1813" s="31" t="s">
        <v>3612</v>
      </c>
      <c r="B1813" s="31"/>
      <c r="C1813" s="32">
        <v>0</v>
      </c>
      <c r="D1813" s="32">
        <v>1.2</v>
      </c>
      <c r="E1813" s="32"/>
      <c r="F1813" s="32"/>
      <c r="G1813" s="32">
        <f>PRODUCT(C1813:F1813)</f>
        <v>0</v>
      </c>
    </row>
    <row r="1814" spans="1:7" x14ac:dyDescent="0.2">
      <c r="A1814" s="31" t="s">
        <v>3613</v>
      </c>
      <c r="B1814" s="31"/>
      <c r="C1814" s="32">
        <v>20</v>
      </c>
      <c r="D1814" s="32">
        <v>1.2</v>
      </c>
      <c r="E1814" s="32"/>
      <c r="F1814" s="32"/>
      <c r="G1814" s="32">
        <f>PRODUCT(C1814:F1814)</f>
        <v>24</v>
      </c>
    </row>
    <row r="1815" spans="1:7" x14ac:dyDescent="0.2">
      <c r="A1815" s="31" t="s">
        <v>3614</v>
      </c>
      <c r="B1815" s="31"/>
      <c r="C1815" s="32">
        <v>50</v>
      </c>
      <c r="D1815" s="32">
        <v>1.2</v>
      </c>
      <c r="E1815" s="32"/>
      <c r="F1815" s="32"/>
      <c r="G1815" s="32">
        <f>PRODUCT(C1815:F1815)</f>
        <v>60</v>
      </c>
    </row>
    <row r="1817" spans="1:7" ht="45" customHeight="1" x14ac:dyDescent="0.2">
      <c r="A1817" s="17" t="s">
        <v>3620</v>
      </c>
      <c r="B1817" s="17" t="s">
        <v>3141</v>
      </c>
      <c r="C1817" s="17" t="s">
        <v>614</v>
      </c>
      <c r="D1817" s="83" t="s">
        <v>36</v>
      </c>
      <c r="E1817" s="102" t="s">
        <v>615</v>
      </c>
      <c r="F1817" s="102" t="s">
        <v>615</v>
      </c>
      <c r="G1817" s="84">
        <f>SUM(G1818:G1820)</f>
        <v>12</v>
      </c>
    </row>
    <row r="1818" spans="1:7" x14ac:dyDescent="0.2">
      <c r="A1818" s="31" t="s">
        <v>3612</v>
      </c>
      <c r="B1818" s="31"/>
      <c r="C1818" s="32">
        <v>0</v>
      </c>
      <c r="D1818" s="32">
        <v>1.2</v>
      </c>
      <c r="E1818" s="32"/>
      <c r="F1818" s="32"/>
      <c r="G1818" s="32">
        <f>PRODUCT(C1818:F1818)</f>
        <v>0</v>
      </c>
    </row>
    <row r="1819" spans="1:7" x14ac:dyDescent="0.2">
      <c r="A1819" s="31" t="s">
        <v>3613</v>
      </c>
      <c r="B1819" s="31"/>
      <c r="C1819" s="32">
        <v>0</v>
      </c>
      <c r="D1819" s="32">
        <v>1.2</v>
      </c>
      <c r="E1819" s="32"/>
      <c r="F1819" s="32"/>
      <c r="G1819" s="32">
        <f>PRODUCT(C1819:F1819)</f>
        <v>0</v>
      </c>
    </row>
    <row r="1820" spans="1:7" x14ac:dyDescent="0.2">
      <c r="A1820" s="31" t="s">
        <v>3614</v>
      </c>
      <c r="B1820" s="31"/>
      <c r="C1820" s="32">
        <v>10</v>
      </c>
      <c r="D1820" s="32">
        <v>1.2</v>
      </c>
      <c r="E1820" s="32"/>
      <c r="F1820" s="32"/>
      <c r="G1820" s="32">
        <f>PRODUCT(C1820:F1820)</f>
        <v>12</v>
      </c>
    </row>
    <row r="1822" spans="1:7" ht="45" customHeight="1" x14ac:dyDescent="0.2">
      <c r="A1822" s="17" t="s">
        <v>3621</v>
      </c>
      <c r="B1822" s="17" t="s">
        <v>3141</v>
      </c>
      <c r="C1822" s="17" t="s">
        <v>616</v>
      </c>
      <c r="D1822" s="83" t="s">
        <v>36</v>
      </c>
      <c r="E1822" s="102" t="s">
        <v>617</v>
      </c>
      <c r="F1822" s="102" t="s">
        <v>617</v>
      </c>
      <c r="G1822" s="84">
        <f>SUM(G1823:G1825)</f>
        <v>48</v>
      </c>
    </row>
    <row r="1823" spans="1:7" x14ac:dyDescent="0.2">
      <c r="A1823" s="31" t="s">
        <v>3612</v>
      </c>
      <c r="B1823" s="31"/>
      <c r="C1823" s="32">
        <v>0</v>
      </c>
      <c r="D1823" s="32">
        <v>1.2</v>
      </c>
      <c r="E1823" s="32"/>
      <c r="F1823" s="32"/>
      <c r="G1823" s="32">
        <f>PRODUCT(C1823:F1823)</f>
        <v>0</v>
      </c>
    </row>
    <row r="1824" spans="1:7" x14ac:dyDescent="0.2">
      <c r="A1824" s="31" t="s">
        <v>3613</v>
      </c>
      <c r="B1824" s="31"/>
      <c r="C1824" s="32">
        <v>0</v>
      </c>
      <c r="D1824" s="32">
        <v>1.2</v>
      </c>
      <c r="E1824" s="32"/>
      <c r="F1824" s="32"/>
      <c r="G1824" s="32">
        <f>PRODUCT(C1824:F1824)</f>
        <v>0</v>
      </c>
    </row>
    <row r="1825" spans="1:7" x14ac:dyDescent="0.2">
      <c r="A1825" s="31" t="s">
        <v>3614</v>
      </c>
      <c r="B1825" s="31"/>
      <c r="C1825" s="32">
        <v>40</v>
      </c>
      <c r="D1825" s="32">
        <v>1.2</v>
      </c>
      <c r="E1825" s="32"/>
      <c r="F1825" s="32"/>
      <c r="G1825" s="32">
        <f>PRODUCT(C1825:F1825)</f>
        <v>48</v>
      </c>
    </row>
    <row r="1827" spans="1:7" ht="45" customHeight="1" x14ac:dyDescent="0.2">
      <c r="A1827" s="17" t="s">
        <v>3622</v>
      </c>
      <c r="B1827" s="17" t="s">
        <v>3141</v>
      </c>
      <c r="C1827" s="17" t="s">
        <v>618</v>
      </c>
      <c r="D1827" s="83" t="s">
        <v>36</v>
      </c>
      <c r="E1827" s="102" t="s">
        <v>619</v>
      </c>
      <c r="F1827" s="102" t="s">
        <v>619</v>
      </c>
      <c r="G1827" s="84">
        <f>SUM(G1828:G1831)</f>
        <v>38.4</v>
      </c>
    </row>
    <row r="1828" spans="1:7" x14ac:dyDescent="0.2">
      <c r="A1828" s="31" t="s">
        <v>3612</v>
      </c>
      <c r="B1828" s="31"/>
      <c r="C1828" s="32">
        <v>0</v>
      </c>
      <c r="D1828" s="32">
        <v>1.2</v>
      </c>
      <c r="E1828" s="32"/>
      <c r="F1828" s="32"/>
      <c r="G1828" s="32">
        <f>PRODUCT(C1828:F1828)</f>
        <v>0</v>
      </c>
    </row>
    <row r="1829" spans="1:7" x14ac:dyDescent="0.2">
      <c r="A1829" s="31" t="s">
        <v>3613</v>
      </c>
      <c r="B1829" s="31"/>
      <c r="C1829" s="32">
        <v>0</v>
      </c>
      <c r="D1829" s="32">
        <v>1.2</v>
      </c>
      <c r="E1829" s="32"/>
      <c r="F1829" s="32"/>
      <c r="G1829" s="32">
        <f>PRODUCT(C1829:F1829)</f>
        <v>0</v>
      </c>
    </row>
    <row r="1830" spans="1:7" x14ac:dyDescent="0.2">
      <c r="A1830" s="31" t="s">
        <v>3614</v>
      </c>
      <c r="B1830" s="31"/>
      <c r="C1830" s="32">
        <v>10</v>
      </c>
      <c r="D1830" s="32">
        <v>1.2</v>
      </c>
      <c r="E1830" s="32"/>
      <c r="F1830" s="32"/>
      <c r="G1830" s="32">
        <f>PRODUCT(C1830:F1830)</f>
        <v>12</v>
      </c>
    </row>
    <row r="1831" spans="1:7" x14ac:dyDescent="0.2">
      <c r="A1831" s="31" t="s">
        <v>3610</v>
      </c>
      <c r="B1831" s="31"/>
      <c r="C1831" s="32">
        <v>22</v>
      </c>
      <c r="D1831" s="32">
        <v>1.2</v>
      </c>
      <c r="E1831" s="32"/>
      <c r="F1831" s="32"/>
      <c r="G1831" s="32">
        <f>PRODUCT(C1831:F1831)</f>
        <v>26.4</v>
      </c>
    </row>
    <row r="1833" spans="1:7" ht="45" customHeight="1" x14ac:dyDescent="0.2">
      <c r="A1833" s="17" t="s">
        <v>3623</v>
      </c>
      <c r="B1833" s="17" t="s">
        <v>3141</v>
      </c>
      <c r="C1833" s="17" t="s">
        <v>620</v>
      </c>
      <c r="D1833" s="83" t="s">
        <v>36</v>
      </c>
      <c r="E1833" s="102" t="s">
        <v>621</v>
      </c>
      <c r="F1833" s="102" t="s">
        <v>621</v>
      </c>
      <c r="G1833" s="84">
        <f>SUM(G1834:G1837)</f>
        <v>52.8</v>
      </c>
    </row>
    <row r="1834" spans="1:7" x14ac:dyDescent="0.2">
      <c r="A1834" s="31" t="s">
        <v>3612</v>
      </c>
      <c r="B1834" s="31"/>
      <c r="C1834" s="32">
        <v>0</v>
      </c>
      <c r="D1834" s="32">
        <v>1.2</v>
      </c>
      <c r="E1834" s="32"/>
      <c r="F1834" s="32"/>
      <c r="G1834" s="32">
        <f>PRODUCT(C1834:F1834)</f>
        <v>0</v>
      </c>
    </row>
    <row r="1835" spans="1:7" x14ac:dyDescent="0.2">
      <c r="A1835" s="31" t="s">
        <v>3613</v>
      </c>
      <c r="B1835" s="31"/>
      <c r="C1835" s="32">
        <v>0</v>
      </c>
      <c r="D1835" s="32">
        <v>1.2</v>
      </c>
      <c r="E1835" s="32"/>
      <c r="F1835" s="32"/>
      <c r="G1835" s="32">
        <f>PRODUCT(C1835:F1835)</f>
        <v>0</v>
      </c>
    </row>
    <row r="1836" spans="1:7" x14ac:dyDescent="0.2">
      <c r="A1836" s="31" t="s">
        <v>3614</v>
      </c>
      <c r="B1836" s="31"/>
      <c r="C1836" s="32">
        <v>0</v>
      </c>
      <c r="D1836" s="32">
        <v>1.2</v>
      </c>
      <c r="E1836" s="32"/>
      <c r="F1836" s="32"/>
      <c r="G1836" s="32">
        <f>PRODUCT(C1836:F1836)</f>
        <v>0</v>
      </c>
    </row>
    <row r="1837" spans="1:7" x14ac:dyDescent="0.2">
      <c r="A1837" s="31" t="s">
        <v>3610</v>
      </c>
      <c r="B1837" s="31"/>
      <c r="C1837" s="32">
        <v>44</v>
      </c>
      <c r="D1837" s="32">
        <v>1.2</v>
      </c>
      <c r="E1837" s="32"/>
      <c r="F1837" s="32"/>
      <c r="G1837" s="32">
        <f>PRODUCT(C1837:F1837)</f>
        <v>52.8</v>
      </c>
    </row>
    <row r="1839" spans="1:7" ht="45" customHeight="1" x14ac:dyDescent="0.2">
      <c r="A1839" s="17" t="s">
        <v>3624</v>
      </c>
      <c r="B1839" s="17" t="s">
        <v>3141</v>
      </c>
      <c r="C1839" s="17" t="s">
        <v>622</v>
      </c>
      <c r="D1839" s="83" t="s">
        <v>36</v>
      </c>
      <c r="E1839" s="102" t="s">
        <v>623</v>
      </c>
      <c r="F1839" s="102" t="s">
        <v>623</v>
      </c>
      <c r="G1839" s="84">
        <f>SUM(G1840:G1840)</f>
        <v>21</v>
      </c>
    </row>
    <row r="1840" spans="1:7" x14ac:dyDescent="0.2">
      <c r="A1840" s="31" t="s">
        <v>3614</v>
      </c>
      <c r="B1840" s="31"/>
      <c r="C1840" s="32">
        <v>20</v>
      </c>
      <c r="D1840" s="32">
        <v>1.05</v>
      </c>
      <c r="E1840" s="32"/>
      <c r="F1840" s="32"/>
      <c r="G1840" s="32">
        <f>PRODUCT(C1840:F1840)</f>
        <v>21</v>
      </c>
    </row>
    <row r="1842" spans="1:7" x14ac:dyDescent="0.2">
      <c r="B1842" t="s">
        <v>3139</v>
      </c>
      <c r="C1842" s="6" t="s">
        <v>6</v>
      </c>
      <c r="D1842" s="7" t="s">
        <v>7</v>
      </c>
      <c r="E1842" s="6" t="s">
        <v>8</v>
      </c>
    </row>
    <row r="1843" spans="1:7" x14ac:dyDescent="0.2">
      <c r="B1843" t="s">
        <v>3139</v>
      </c>
      <c r="C1843" s="6" t="s">
        <v>9</v>
      </c>
      <c r="D1843" s="7" t="s">
        <v>385</v>
      </c>
      <c r="E1843" s="6" t="s">
        <v>588</v>
      </c>
    </row>
    <row r="1844" spans="1:7" x14ac:dyDescent="0.2">
      <c r="B1844" t="s">
        <v>3139</v>
      </c>
      <c r="C1844" s="6" t="s">
        <v>11</v>
      </c>
      <c r="D1844" s="7" t="s">
        <v>72</v>
      </c>
      <c r="E1844" s="6" t="s">
        <v>593</v>
      </c>
    </row>
    <row r="1845" spans="1:7" x14ac:dyDescent="0.2">
      <c r="B1845" t="s">
        <v>3139</v>
      </c>
      <c r="C1845" s="6" t="s">
        <v>91</v>
      </c>
      <c r="D1845" s="7" t="s">
        <v>26</v>
      </c>
      <c r="E1845" s="6" t="s">
        <v>629</v>
      </c>
    </row>
    <row r="1847" spans="1:7" ht="45" customHeight="1" x14ac:dyDescent="0.2">
      <c r="A1847" s="17" t="s">
        <v>3625</v>
      </c>
      <c r="B1847" s="17" t="s">
        <v>3141</v>
      </c>
      <c r="C1847" s="17" t="s">
        <v>631</v>
      </c>
      <c r="D1847" s="83" t="s">
        <v>23</v>
      </c>
      <c r="E1847" s="102" t="s">
        <v>632</v>
      </c>
      <c r="F1847" s="102" t="s">
        <v>632</v>
      </c>
      <c r="G1847" s="84">
        <f>SUM(G1848:G1850)</f>
        <v>7</v>
      </c>
    </row>
    <row r="1848" spans="1:7" x14ac:dyDescent="0.2">
      <c r="A1848" s="31" t="s">
        <v>3612</v>
      </c>
      <c r="B1848" s="31"/>
      <c r="C1848" s="32">
        <v>3</v>
      </c>
      <c r="D1848" s="32"/>
      <c r="E1848" s="32"/>
      <c r="F1848" s="32"/>
      <c r="G1848" s="32">
        <f>PRODUCT(C1848:F1848)</f>
        <v>3</v>
      </c>
    </row>
    <row r="1849" spans="1:7" x14ac:dyDescent="0.2">
      <c r="A1849" s="31" t="s">
        <v>3613</v>
      </c>
      <c r="B1849" s="31"/>
      <c r="C1849" s="32">
        <v>2</v>
      </c>
      <c r="D1849" s="32"/>
      <c r="E1849" s="32"/>
      <c r="F1849" s="32"/>
      <c r="G1849" s="32">
        <f>PRODUCT(C1849:F1849)</f>
        <v>2</v>
      </c>
    </row>
    <row r="1850" spans="1:7" x14ac:dyDescent="0.2">
      <c r="A1850" s="31" t="s">
        <v>3614</v>
      </c>
      <c r="B1850" s="31"/>
      <c r="C1850" s="32">
        <v>2</v>
      </c>
      <c r="D1850" s="32"/>
      <c r="E1850" s="32"/>
      <c r="F1850" s="32"/>
      <c r="G1850" s="32">
        <f>PRODUCT(C1850:F1850)</f>
        <v>2</v>
      </c>
    </row>
    <row r="1852" spans="1:7" ht="45" customHeight="1" x14ac:dyDescent="0.2">
      <c r="A1852" s="17" t="s">
        <v>3626</v>
      </c>
      <c r="B1852" s="17" t="s">
        <v>3141</v>
      </c>
      <c r="C1852" s="17" t="s">
        <v>633</v>
      </c>
      <c r="D1852" s="83" t="s">
        <v>23</v>
      </c>
      <c r="E1852" s="102" t="s">
        <v>634</v>
      </c>
      <c r="F1852" s="102" t="s">
        <v>634</v>
      </c>
      <c r="G1852" s="84">
        <f>SUM(G1853:G1855)</f>
        <v>5</v>
      </c>
    </row>
    <row r="1853" spans="1:7" x14ac:dyDescent="0.2">
      <c r="A1853" s="31" t="s">
        <v>3612</v>
      </c>
      <c r="B1853" s="31"/>
      <c r="C1853" s="32">
        <v>1</v>
      </c>
      <c r="D1853" s="32"/>
      <c r="E1853" s="32"/>
      <c r="F1853" s="32"/>
      <c r="G1853" s="32">
        <f>PRODUCT(C1853:F1853)</f>
        <v>1</v>
      </c>
    </row>
    <row r="1854" spans="1:7" x14ac:dyDescent="0.2">
      <c r="A1854" s="31" t="s">
        <v>3613</v>
      </c>
      <c r="B1854" s="31"/>
      <c r="C1854" s="32">
        <v>0</v>
      </c>
      <c r="D1854" s="32"/>
      <c r="E1854" s="32"/>
      <c r="F1854" s="32"/>
      <c r="G1854" s="32">
        <f>PRODUCT(C1854:F1854)</f>
        <v>0</v>
      </c>
    </row>
    <row r="1855" spans="1:7" x14ac:dyDescent="0.2">
      <c r="A1855" s="31" t="s">
        <v>3614</v>
      </c>
      <c r="B1855" s="31"/>
      <c r="C1855" s="32">
        <v>4</v>
      </c>
      <c r="D1855" s="32"/>
      <c r="E1855" s="32"/>
      <c r="F1855" s="32"/>
      <c r="G1855" s="32">
        <f>PRODUCT(C1855:F1855)</f>
        <v>4</v>
      </c>
    </row>
    <row r="1857" spans="1:7" ht="45" customHeight="1" x14ac:dyDescent="0.2">
      <c r="A1857" s="17" t="s">
        <v>3627</v>
      </c>
      <c r="B1857" s="17" t="s">
        <v>3141</v>
      </c>
      <c r="C1857" s="17" t="s">
        <v>635</v>
      </c>
      <c r="D1857" s="83" t="s">
        <v>23</v>
      </c>
      <c r="E1857" s="102" t="s">
        <v>636</v>
      </c>
      <c r="F1857" s="102" t="s">
        <v>636</v>
      </c>
      <c r="G1857" s="84">
        <f>SUM(G1858:G1861)</f>
        <v>5</v>
      </c>
    </row>
    <row r="1858" spans="1:7" x14ac:dyDescent="0.2">
      <c r="A1858" s="31" t="s">
        <v>3612</v>
      </c>
      <c r="B1858" s="31"/>
      <c r="C1858" s="32">
        <v>1</v>
      </c>
      <c r="D1858" s="32"/>
      <c r="E1858" s="32"/>
      <c r="F1858" s="32"/>
      <c r="G1858" s="32">
        <f>PRODUCT(C1858:F1858)</f>
        <v>1</v>
      </c>
    </row>
    <row r="1859" spans="1:7" x14ac:dyDescent="0.2">
      <c r="A1859" s="31" t="s">
        <v>3613</v>
      </c>
      <c r="B1859" s="31"/>
      <c r="C1859" s="32">
        <v>1</v>
      </c>
      <c r="D1859" s="32"/>
      <c r="E1859" s="32"/>
      <c r="F1859" s="32"/>
      <c r="G1859" s="32">
        <f>PRODUCT(C1859:F1859)</f>
        <v>1</v>
      </c>
    </row>
    <row r="1860" spans="1:7" x14ac:dyDescent="0.2">
      <c r="A1860" s="31" t="s">
        <v>3614</v>
      </c>
      <c r="B1860" s="31"/>
      <c r="C1860" s="32">
        <v>1</v>
      </c>
      <c r="D1860" s="32"/>
      <c r="E1860" s="32"/>
      <c r="F1860" s="32"/>
      <c r="G1860" s="32">
        <f>PRODUCT(C1860:F1860)</f>
        <v>1</v>
      </c>
    </row>
    <row r="1861" spans="1:7" x14ac:dyDescent="0.2">
      <c r="A1861" s="31" t="s">
        <v>3610</v>
      </c>
      <c r="B1861" s="31"/>
      <c r="C1861" s="32">
        <v>2</v>
      </c>
      <c r="D1861" s="32"/>
      <c r="E1861" s="32"/>
      <c r="F1861" s="32"/>
      <c r="G1861" s="32">
        <f>PRODUCT(C1861:F1861)</f>
        <v>2</v>
      </c>
    </row>
    <row r="1863" spans="1:7" ht="45" customHeight="1" x14ac:dyDescent="0.2">
      <c r="A1863" s="17" t="s">
        <v>3628</v>
      </c>
      <c r="B1863" s="17" t="s">
        <v>3141</v>
      </c>
      <c r="C1863" s="17" t="s">
        <v>637</v>
      </c>
      <c r="D1863" s="83" t="s">
        <v>23</v>
      </c>
      <c r="E1863" s="102" t="s">
        <v>638</v>
      </c>
      <c r="F1863" s="102" t="s">
        <v>638</v>
      </c>
      <c r="G1863" s="84">
        <f>SUM(G1864:G1864)</f>
        <v>1</v>
      </c>
    </row>
    <row r="1864" spans="1:7" x14ac:dyDescent="0.2">
      <c r="A1864" s="31" t="s">
        <v>3616</v>
      </c>
      <c r="B1864" s="31"/>
      <c r="C1864" s="32">
        <v>1</v>
      </c>
      <c r="D1864" s="32"/>
      <c r="E1864" s="32"/>
      <c r="F1864" s="32"/>
      <c r="G1864" s="32">
        <f>PRODUCT(C1864:F1864)</f>
        <v>1</v>
      </c>
    </row>
    <row r="1866" spans="1:7" ht="45" customHeight="1" x14ac:dyDescent="0.2">
      <c r="A1866" s="17" t="s">
        <v>3629</v>
      </c>
      <c r="B1866" s="17" t="s">
        <v>3141</v>
      </c>
      <c r="C1866" s="17" t="s">
        <v>639</v>
      </c>
      <c r="D1866" s="83" t="s">
        <v>23</v>
      </c>
      <c r="E1866" s="102" t="s">
        <v>640</v>
      </c>
      <c r="F1866" s="102" t="s">
        <v>640</v>
      </c>
      <c r="G1866" s="84">
        <f>SUM(G1867:G1869)</f>
        <v>19</v>
      </c>
    </row>
    <row r="1867" spans="1:7" x14ac:dyDescent="0.2">
      <c r="A1867" s="31" t="s">
        <v>3612</v>
      </c>
      <c r="B1867" s="31"/>
      <c r="C1867" s="32">
        <v>4</v>
      </c>
      <c r="D1867" s="32"/>
      <c r="E1867" s="32"/>
      <c r="F1867" s="32"/>
      <c r="G1867" s="32">
        <f>PRODUCT(C1867:F1867)</f>
        <v>4</v>
      </c>
    </row>
    <row r="1868" spans="1:7" x14ac:dyDescent="0.2">
      <c r="A1868" s="31" t="s">
        <v>3613</v>
      </c>
      <c r="B1868" s="31"/>
      <c r="C1868" s="32">
        <v>4</v>
      </c>
      <c r="D1868" s="32"/>
      <c r="E1868" s="32"/>
      <c r="F1868" s="32"/>
      <c r="G1868" s="32">
        <f>PRODUCT(C1868:F1868)</f>
        <v>4</v>
      </c>
    </row>
    <row r="1869" spans="1:7" x14ac:dyDescent="0.2">
      <c r="A1869" s="31" t="s">
        <v>3614</v>
      </c>
      <c r="B1869" s="31"/>
      <c r="C1869" s="32">
        <v>11</v>
      </c>
      <c r="D1869" s="32"/>
      <c r="E1869" s="32"/>
      <c r="F1869" s="32"/>
      <c r="G1869" s="32">
        <f>PRODUCT(C1869:F1869)</f>
        <v>11</v>
      </c>
    </row>
    <row r="1871" spans="1:7" x14ac:dyDescent="0.2">
      <c r="B1871" t="s">
        <v>3139</v>
      </c>
      <c r="C1871" s="6" t="s">
        <v>6</v>
      </c>
      <c r="D1871" s="7" t="s">
        <v>7</v>
      </c>
      <c r="E1871" s="6" t="s">
        <v>8</v>
      </c>
    </row>
    <row r="1872" spans="1:7" x14ac:dyDescent="0.2">
      <c r="B1872" t="s">
        <v>3139</v>
      </c>
      <c r="C1872" s="6" t="s">
        <v>9</v>
      </c>
      <c r="D1872" s="7" t="s">
        <v>385</v>
      </c>
      <c r="E1872" s="6" t="s">
        <v>588</v>
      </c>
    </row>
    <row r="1873" spans="1:7" x14ac:dyDescent="0.2">
      <c r="B1873" t="s">
        <v>3139</v>
      </c>
      <c r="C1873" s="6" t="s">
        <v>11</v>
      </c>
      <c r="D1873" s="7" t="s">
        <v>72</v>
      </c>
      <c r="E1873" s="6" t="s">
        <v>593</v>
      </c>
    </row>
    <row r="1874" spans="1:7" x14ac:dyDescent="0.2">
      <c r="B1874" t="s">
        <v>3139</v>
      </c>
      <c r="C1874" s="6" t="s">
        <v>91</v>
      </c>
      <c r="D1874" s="7" t="s">
        <v>72</v>
      </c>
      <c r="E1874" s="6" t="s">
        <v>641</v>
      </c>
    </row>
    <row r="1876" spans="1:7" ht="45" customHeight="1" x14ac:dyDescent="0.2">
      <c r="A1876" s="17" t="s">
        <v>3630</v>
      </c>
      <c r="B1876" s="17" t="s">
        <v>3141</v>
      </c>
      <c r="C1876" s="17" t="s">
        <v>3902</v>
      </c>
      <c r="D1876" s="83" t="s">
        <v>23</v>
      </c>
      <c r="E1876" s="102" t="s">
        <v>3903</v>
      </c>
      <c r="F1876" s="102" t="s">
        <v>3903</v>
      </c>
      <c r="G1876" s="84">
        <f>SUM(G1877:G1881)</f>
        <v>6</v>
      </c>
    </row>
    <row r="1877" spans="1:7" x14ac:dyDescent="0.2">
      <c r="A1877" s="28"/>
      <c r="B1877" s="28" t="s">
        <v>3142</v>
      </c>
      <c r="C1877" s="29" t="s">
        <v>3143</v>
      </c>
      <c r="D1877" s="29"/>
      <c r="E1877" s="29"/>
      <c r="F1877" s="29"/>
      <c r="G1877" s="30"/>
    </row>
    <row r="1878" spans="1:7" x14ac:dyDescent="0.2">
      <c r="A1878" s="31" t="s">
        <v>3186</v>
      </c>
      <c r="B1878" s="31"/>
      <c r="C1878" s="32">
        <v>2</v>
      </c>
      <c r="D1878" s="32"/>
      <c r="E1878" s="32"/>
      <c r="F1878" s="32"/>
      <c r="G1878" s="32">
        <f>PRODUCT(C1878:F1878)</f>
        <v>2</v>
      </c>
    </row>
    <row r="1879" spans="1:7" x14ac:dyDescent="0.2">
      <c r="A1879" s="31" t="s">
        <v>3191</v>
      </c>
      <c r="B1879" s="31"/>
      <c r="C1879" s="32">
        <v>1</v>
      </c>
      <c r="D1879" s="32"/>
      <c r="E1879" s="32"/>
      <c r="F1879" s="32"/>
      <c r="G1879" s="32">
        <f>PRODUCT(C1879:F1879)</f>
        <v>1</v>
      </c>
    </row>
    <row r="1880" spans="1:7" x14ac:dyDescent="0.2">
      <c r="A1880" s="31" t="s">
        <v>3185</v>
      </c>
      <c r="B1880" s="31"/>
      <c r="C1880" s="32">
        <v>1</v>
      </c>
      <c r="D1880" s="32"/>
      <c r="E1880" s="32"/>
      <c r="F1880" s="32"/>
      <c r="G1880" s="32">
        <f>PRODUCT(C1880:F1880)</f>
        <v>1</v>
      </c>
    </row>
    <row r="1881" spans="1:7" x14ac:dyDescent="0.2">
      <c r="A1881" s="31" t="s">
        <v>3567</v>
      </c>
      <c r="B1881" s="31"/>
      <c r="C1881" s="32">
        <v>2</v>
      </c>
      <c r="D1881" s="32"/>
      <c r="E1881" s="32"/>
      <c r="F1881" s="32"/>
      <c r="G1881" s="32">
        <f>PRODUCT(C1881:F1881)</f>
        <v>2</v>
      </c>
    </row>
    <row r="1883" spans="1:7" ht="45" customHeight="1" x14ac:dyDescent="0.2">
      <c r="A1883" s="17" t="s">
        <v>4277</v>
      </c>
      <c r="B1883" s="17" t="s">
        <v>3141</v>
      </c>
      <c r="C1883" s="17" t="s">
        <v>3904</v>
      </c>
      <c r="D1883" s="83" t="s">
        <v>23</v>
      </c>
      <c r="E1883" s="102" t="s">
        <v>3905</v>
      </c>
      <c r="F1883" s="102" t="s">
        <v>3905</v>
      </c>
      <c r="G1883" s="84">
        <f>SUM(G1884:G1888)</f>
        <v>6</v>
      </c>
    </row>
    <row r="1884" spans="1:7" x14ac:dyDescent="0.2">
      <c r="A1884" s="28"/>
      <c r="B1884" s="28" t="s">
        <v>3142</v>
      </c>
      <c r="C1884" s="29" t="s">
        <v>3143</v>
      </c>
      <c r="D1884" s="29"/>
      <c r="E1884" s="29"/>
      <c r="F1884" s="29"/>
      <c r="G1884" s="30"/>
    </row>
    <row r="1885" spans="1:7" x14ac:dyDescent="0.2">
      <c r="A1885" s="31" t="s">
        <v>3186</v>
      </c>
      <c r="B1885" s="31"/>
      <c r="C1885" s="32">
        <v>2</v>
      </c>
      <c r="D1885" s="32"/>
      <c r="E1885" s="32"/>
      <c r="F1885" s="32"/>
      <c r="G1885" s="32">
        <f>PRODUCT(C1885:F1885)</f>
        <v>2</v>
      </c>
    </row>
    <row r="1886" spans="1:7" x14ac:dyDescent="0.2">
      <c r="A1886" s="31" t="s">
        <v>3191</v>
      </c>
      <c r="B1886" s="31"/>
      <c r="C1886" s="32">
        <v>1</v>
      </c>
      <c r="D1886" s="32"/>
      <c r="E1886" s="32"/>
      <c r="F1886" s="32"/>
      <c r="G1886" s="32">
        <f>PRODUCT(C1886:F1886)</f>
        <v>1</v>
      </c>
    </row>
    <row r="1887" spans="1:7" x14ac:dyDescent="0.2">
      <c r="A1887" s="31" t="s">
        <v>3185</v>
      </c>
      <c r="B1887" s="31"/>
      <c r="C1887" s="32">
        <v>1</v>
      </c>
      <c r="D1887" s="32"/>
      <c r="E1887" s="32"/>
      <c r="F1887" s="32"/>
      <c r="G1887" s="32">
        <f>PRODUCT(C1887:F1887)</f>
        <v>1</v>
      </c>
    </row>
    <row r="1888" spans="1:7" x14ac:dyDescent="0.2">
      <c r="A1888" s="31" t="s">
        <v>3567</v>
      </c>
      <c r="B1888" s="31"/>
      <c r="C1888" s="32">
        <v>2</v>
      </c>
      <c r="D1888" s="32"/>
      <c r="E1888" s="32"/>
      <c r="F1888" s="32"/>
      <c r="G1888" s="32">
        <f>PRODUCT(C1888:F1888)</f>
        <v>2</v>
      </c>
    </row>
    <row r="1890" spans="1:7" ht="45" customHeight="1" x14ac:dyDescent="0.2">
      <c r="A1890" s="17" t="s">
        <v>4278</v>
      </c>
      <c r="B1890" s="17" t="s">
        <v>3141</v>
      </c>
      <c r="C1890" s="17" t="s">
        <v>3906</v>
      </c>
      <c r="D1890" s="83" t="s">
        <v>23</v>
      </c>
      <c r="E1890" s="102" t="s">
        <v>3907</v>
      </c>
      <c r="F1890" s="102" t="s">
        <v>3907</v>
      </c>
      <c r="G1890" s="84">
        <f>SUM(G1891:G1895)</f>
        <v>6</v>
      </c>
    </row>
    <row r="1891" spans="1:7" x14ac:dyDescent="0.2">
      <c r="A1891" s="28"/>
      <c r="B1891" s="28" t="s">
        <v>3142</v>
      </c>
      <c r="C1891" s="29" t="s">
        <v>3143</v>
      </c>
      <c r="D1891" s="29"/>
      <c r="E1891" s="29"/>
      <c r="F1891" s="29"/>
      <c r="G1891" s="30"/>
    </row>
    <row r="1892" spans="1:7" x14ac:dyDescent="0.2">
      <c r="A1892" s="31" t="s">
        <v>3186</v>
      </c>
      <c r="B1892" s="31"/>
      <c r="C1892" s="32">
        <v>2</v>
      </c>
      <c r="D1892" s="32"/>
      <c r="E1892" s="32"/>
      <c r="F1892" s="32"/>
      <c r="G1892" s="32">
        <f>PRODUCT(C1892:F1892)</f>
        <v>2</v>
      </c>
    </row>
    <row r="1893" spans="1:7" x14ac:dyDescent="0.2">
      <c r="A1893" s="31" t="s">
        <v>3191</v>
      </c>
      <c r="B1893" s="31"/>
      <c r="C1893" s="32">
        <v>1</v>
      </c>
      <c r="D1893" s="32"/>
      <c r="E1893" s="32"/>
      <c r="F1893" s="32"/>
      <c r="G1893" s="32">
        <f>PRODUCT(C1893:F1893)</f>
        <v>1</v>
      </c>
    </row>
    <row r="1894" spans="1:7" x14ac:dyDescent="0.2">
      <c r="A1894" s="31" t="s">
        <v>3185</v>
      </c>
      <c r="B1894" s="31"/>
      <c r="C1894" s="32">
        <v>1</v>
      </c>
      <c r="D1894" s="32"/>
      <c r="E1894" s="32"/>
      <c r="F1894" s="32"/>
      <c r="G1894" s="32">
        <f>PRODUCT(C1894:F1894)</f>
        <v>1</v>
      </c>
    </row>
    <row r="1895" spans="1:7" x14ac:dyDescent="0.2">
      <c r="A1895" s="31" t="s">
        <v>3567</v>
      </c>
      <c r="B1895" s="31"/>
      <c r="C1895" s="32">
        <v>2</v>
      </c>
      <c r="D1895" s="32"/>
      <c r="E1895" s="32"/>
      <c r="F1895" s="32"/>
      <c r="G1895" s="32">
        <f>PRODUCT(C1895:F1895)</f>
        <v>2</v>
      </c>
    </row>
    <row r="1897" spans="1:7" ht="45" customHeight="1" x14ac:dyDescent="0.2">
      <c r="A1897" s="17" t="s">
        <v>4279</v>
      </c>
      <c r="B1897" s="17" t="s">
        <v>3141</v>
      </c>
      <c r="C1897" s="17" t="s">
        <v>3908</v>
      </c>
      <c r="D1897" s="83" t="s">
        <v>23</v>
      </c>
      <c r="E1897" s="102" t="s">
        <v>3909</v>
      </c>
      <c r="F1897" s="102" t="s">
        <v>3909</v>
      </c>
      <c r="G1897" s="84">
        <f>SUM(G1898:G1902)</f>
        <v>6</v>
      </c>
    </row>
    <row r="1898" spans="1:7" x14ac:dyDescent="0.2">
      <c r="A1898" s="28"/>
      <c r="B1898" s="28" t="s">
        <v>3142</v>
      </c>
      <c r="C1898" s="29" t="s">
        <v>3143</v>
      </c>
      <c r="D1898" s="29"/>
      <c r="E1898" s="29"/>
      <c r="F1898" s="29"/>
      <c r="G1898" s="30"/>
    </row>
    <row r="1899" spans="1:7" x14ac:dyDescent="0.2">
      <c r="A1899" s="31" t="s">
        <v>3186</v>
      </c>
      <c r="B1899" s="31"/>
      <c r="C1899" s="32">
        <v>2</v>
      </c>
      <c r="D1899" s="32"/>
      <c r="E1899" s="32"/>
      <c r="F1899" s="32"/>
      <c r="G1899" s="32">
        <f>PRODUCT(C1899:F1899)</f>
        <v>2</v>
      </c>
    </row>
    <row r="1900" spans="1:7" x14ac:dyDescent="0.2">
      <c r="A1900" s="31" t="s">
        <v>3191</v>
      </c>
      <c r="B1900" s="31"/>
      <c r="C1900" s="32">
        <v>1</v>
      </c>
      <c r="D1900" s="32"/>
      <c r="E1900" s="32"/>
      <c r="F1900" s="32"/>
      <c r="G1900" s="32">
        <f>PRODUCT(C1900:F1900)</f>
        <v>1</v>
      </c>
    </row>
    <row r="1901" spans="1:7" x14ac:dyDescent="0.2">
      <c r="A1901" s="31" t="s">
        <v>3185</v>
      </c>
      <c r="B1901" s="31"/>
      <c r="C1901" s="32">
        <v>1</v>
      </c>
      <c r="D1901" s="32"/>
      <c r="E1901" s="32"/>
      <c r="F1901" s="32"/>
      <c r="G1901" s="32">
        <f>PRODUCT(C1901:F1901)</f>
        <v>1</v>
      </c>
    </row>
    <row r="1902" spans="1:7" x14ac:dyDescent="0.2">
      <c r="A1902" s="31" t="s">
        <v>3567</v>
      </c>
      <c r="B1902" s="31"/>
      <c r="C1902" s="32">
        <v>2</v>
      </c>
      <c r="D1902" s="32"/>
      <c r="E1902" s="32"/>
      <c r="F1902" s="32"/>
      <c r="G1902" s="32">
        <f>PRODUCT(C1902:F1902)</f>
        <v>2</v>
      </c>
    </row>
    <row r="1904" spans="1:7" ht="45" customHeight="1" x14ac:dyDescent="0.2">
      <c r="A1904" s="17" t="s">
        <v>4280</v>
      </c>
      <c r="B1904" s="17" t="s">
        <v>3141</v>
      </c>
      <c r="C1904" s="17" t="s">
        <v>3910</v>
      </c>
      <c r="D1904" s="83" t="s">
        <v>23</v>
      </c>
      <c r="E1904" s="102" t="s">
        <v>3911</v>
      </c>
      <c r="F1904" s="102" t="s">
        <v>3911</v>
      </c>
      <c r="G1904" s="84">
        <f>SUM(G1905:G1907)</f>
        <v>2</v>
      </c>
    </row>
    <row r="1905" spans="1:7" x14ac:dyDescent="0.2">
      <c r="A1905" s="28"/>
      <c r="B1905" s="28" t="s">
        <v>3142</v>
      </c>
      <c r="C1905" s="29" t="s">
        <v>3143</v>
      </c>
      <c r="D1905" s="29"/>
      <c r="E1905" s="29"/>
      <c r="F1905" s="29"/>
      <c r="G1905" s="30"/>
    </row>
    <row r="1906" spans="1:7" x14ac:dyDescent="0.2">
      <c r="A1906" s="31" t="s">
        <v>3186</v>
      </c>
      <c r="B1906" s="31"/>
      <c r="C1906" s="32">
        <v>1</v>
      </c>
      <c r="D1906" s="32"/>
      <c r="E1906" s="32"/>
      <c r="F1906" s="32"/>
      <c r="G1906" s="32">
        <f>PRODUCT(C1906:F1906)</f>
        <v>1</v>
      </c>
    </row>
    <row r="1907" spans="1:7" x14ac:dyDescent="0.2">
      <c r="A1907" s="31" t="s">
        <v>3185</v>
      </c>
      <c r="B1907" s="31"/>
      <c r="C1907" s="32">
        <v>1</v>
      </c>
      <c r="D1907" s="32"/>
      <c r="E1907" s="32"/>
      <c r="F1907" s="32"/>
      <c r="G1907" s="32">
        <f>PRODUCT(C1907:F1907)</f>
        <v>1</v>
      </c>
    </row>
    <row r="1909" spans="1:7" ht="45" customHeight="1" x14ac:dyDescent="0.2">
      <c r="A1909" s="17" t="s">
        <v>4281</v>
      </c>
      <c r="B1909" s="17" t="s">
        <v>3141</v>
      </c>
      <c r="C1909" s="17" t="s">
        <v>3912</v>
      </c>
      <c r="D1909" s="83" t="s">
        <v>23</v>
      </c>
      <c r="E1909" s="102" t="s">
        <v>3913</v>
      </c>
      <c r="F1909" s="102" t="s">
        <v>3913</v>
      </c>
      <c r="G1909" s="84">
        <f>SUM(G1910:G1913)</f>
        <v>5</v>
      </c>
    </row>
    <row r="1910" spans="1:7" x14ac:dyDescent="0.2">
      <c r="A1910" s="28"/>
      <c r="B1910" s="28" t="s">
        <v>3142</v>
      </c>
      <c r="C1910" s="29" t="s">
        <v>3143</v>
      </c>
      <c r="D1910" s="29"/>
      <c r="E1910" s="29"/>
      <c r="F1910" s="29"/>
      <c r="G1910" s="30"/>
    </row>
    <row r="1911" spans="1:7" x14ac:dyDescent="0.2">
      <c r="A1911" s="31" t="s">
        <v>3186</v>
      </c>
      <c r="B1911" s="31"/>
      <c r="C1911" s="32">
        <v>1</v>
      </c>
      <c r="D1911" s="32"/>
      <c r="E1911" s="32"/>
      <c r="F1911" s="32"/>
      <c r="G1911" s="32">
        <f>PRODUCT(C1911:F1911)</f>
        <v>1</v>
      </c>
    </row>
    <row r="1912" spans="1:7" x14ac:dyDescent="0.2">
      <c r="A1912" s="31" t="s">
        <v>3191</v>
      </c>
      <c r="B1912" s="31"/>
      <c r="C1912" s="32">
        <v>2</v>
      </c>
      <c r="D1912" s="32"/>
      <c r="E1912" s="32"/>
      <c r="F1912" s="32"/>
      <c r="G1912" s="32">
        <f>PRODUCT(C1912:F1912)</f>
        <v>2</v>
      </c>
    </row>
    <row r="1913" spans="1:7" x14ac:dyDescent="0.2">
      <c r="A1913" s="31" t="s">
        <v>3567</v>
      </c>
      <c r="B1913" s="31"/>
      <c r="C1913" s="32">
        <v>2</v>
      </c>
      <c r="D1913" s="32"/>
      <c r="E1913" s="32"/>
      <c r="F1913" s="32"/>
      <c r="G1913" s="32">
        <f>PRODUCT(C1913:F1913)</f>
        <v>2</v>
      </c>
    </row>
    <row r="1915" spans="1:7" ht="45" customHeight="1" x14ac:dyDescent="0.2">
      <c r="A1915" s="17" t="s">
        <v>4282</v>
      </c>
      <c r="B1915" s="17" t="s">
        <v>3141</v>
      </c>
      <c r="C1915" s="17" t="s">
        <v>3914</v>
      </c>
      <c r="D1915" s="83" t="s">
        <v>23</v>
      </c>
      <c r="E1915" s="102" t="s">
        <v>3915</v>
      </c>
      <c r="F1915" s="102" t="s">
        <v>3915</v>
      </c>
      <c r="G1915" s="84">
        <f>SUM(G1916:G1920)</f>
        <v>7</v>
      </c>
    </row>
    <row r="1916" spans="1:7" x14ac:dyDescent="0.2">
      <c r="A1916" s="28"/>
      <c r="B1916" s="28" t="s">
        <v>3142</v>
      </c>
      <c r="C1916" s="29" t="s">
        <v>3143</v>
      </c>
      <c r="D1916" s="29"/>
      <c r="E1916" s="29"/>
      <c r="F1916" s="29"/>
      <c r="G1916" s="30"/>
    </row>
    <row r="1917" spans="1:7" x14ac:dyDescent="0.2">
      <c r="A1917" s="31" t="s">
        <v>3186</v>
      </c>
      <c r="B1917" s="31"/>
      <c r="C1917" s="32">
        <v>2</v>
      </c>
      <c r="D1917" s="32"/>
      <c r="E1917" s="32"/>
      <c r="F1917" s="32"/>
      <c r="G1917" s="32">
        <f>PRODUCT(C1917:F1917)</f>
        <v>2</v>
      </c>
    </row>
    <row r="1918" spans="1:7" x14ac:dyDescent="0.2">
      <c r="A1918" s="31" t="s">
        <v>3191</v>
      </c>
      <c r="B1918" s="31"/>
      <c r="C1918" s="32">
        <v>2</v>
      </c>
      <c r="D1918" s="32"/>
      <c r="E1918" s="32"/>
      <c r="F1918" s="32"/>
      <c r="G1918" s="32">
        <f>PRODUCT(C1918:F1918)</f>
        <v>2</v>
      </c>
    </row>
    <row r="1919" spans="1:7" x14ac:dyDescent="0.2">
      <c r="A1919" s="31" t="s">
        <v>3185</v>
      </c>
      <c r="B1919" s="31"/>
      <c r="C1919" s="32">
        <v>1</v>
      </c>
      <c r="D1919" s="32"/>
      <c r="E1919" s="32"/>
      <c r="F1919" s="32"/>
      <c r="G1919" s="32">
        <f>PRODUCT(C1919:F1919)</f>
        <v>1</v>
      </c>
    </row>
    <row r="1920" spans="1:7" x14ac:dyDescent="0.2">
      <c r="A1920" s="31" t="s">
        <v>3567</v>
      </c>
      <c r="B1920" s="31"/>
      <c r="C1920" s="32">
        <v>2</v>
      </c>
      <c r="D1920" s="32"/>
      <c r="E1920" s="32"/>
      <c r="F1920" s="32"/>
      <c r="G1920" s="32">
        <f>PRODUCT(C1920:F1920)</f>
        <v>2</v>
      </c>
    </row>
    <row r="1922" spans="1:7" ht="45" customHeight="1" x14ac:dyDescent="0.2">
      <c r="A1922" s="17" t="s">
        <v>4283</v>
      </c>
      <c r="B1922" s="17" t="s">
        <v>3141</v>
      </c>
      <c r="C1922" s="17" t="s">
        <v>3916</v>
      </c>
      <c r="D1922" s="83" t="s">
        <v>23</v>
      </c>
      <c r="E1922" s="102" t="s">
        <v>3917</v>
      </c>
      <c r="F1922" s="102" t="s">
        <v>3917</v>
      </c>
      <c r="G1922" s="84">
        <f>SUM(G1923:G1925)</f>
        <v>2</v>
      </c>
    </row>
    <row r="1923" spans="1:7" x14ac:dyDescent="0.2">
      <c r="A1923" s="28"/>
      <c r="B1923" s="28" t="s">
        <v>3142</v>
      </c>
      <c r="C1923" s="29" t="s">
        <v>3143</v>
      </c>
      <c r="D1923" s="29"/>
      <c r="E1923" s="29"/>
      <c r="F1923" s="29"/>
      <c r="G1923" s="30"/>
    </row>
    <row r="1924" spans="1:7" x14ac:dyDescent="0.2">
      <c r="A1924" s="31" t="s">
        <v>3185</v>
      </c>
      <c r="B1924" s="31"/>
      <c r="C1924" s="32">
        <v>1</v>
      </c>
      <c r="D1924" s="32"/>
      <c r="E1924" s="32"/>
      <c r="F1924" s="32"/>
      <c r="G1924" s="32">
        <f>PRODUCT(C1924:F1924)</f>
        <v>1</v>
      </c>
    </row>
    <row r="1925" spans="1:7" x14ac:dyDescent="0.2">
      <c r="A1925" s="31" t="s">
        <v>3567</v>
      </c>
      <c r="B1925" s="31"/>
      <c r="C1925" s="32">
        <v>1</v>
      </c>
      <c r="D1925" s="32"/>
      <c r="E1925" s="32"/>
      <c r="F1925" s="32"/>
      <c r="G1925" s="32">
        <f>PRODUCT(C1925:F1925)</f>
        <v>1</v>
      </c>
    </row>
    <row r="1927" spans="1:7" ht="45" customHeight="1" x14ac:dyDescent="0.2">
      <c r="A1927" s="17" t="s">
        <v>4284</v>
      </c>
      <c r="B1927" s="17" t="s">
        <v>3141</v>
      </c>
      <c r="C1927" s="17" t="s">
        <v>3918</v>
      </c>
      <c r="D1927" s="83" t="s">
        <v>23</v>
      </c>
      <c r="E1927" s="102" t="s">
        <v>3919</v>
      </c>
      <c r="F1927" s="102" t="s">
        <v>3919</v>
      </c>
      <c r="G1927" s="84">
        <f>SUM(G1928:G1930)</f>
        <v>2</v>
      </c>
    </row>
    <row r="1928" spans="1:7" x14ac:dyDescent="0.2">
      <c r="A1928" s="28"/>
      <c r="B1928" s="28" t="s">
        <v>3142</v>
      </c>
      <c r="C1928" s="29" t="s">
        <v>3143</v>
      </c>
      <c r="D1928" s="29"/>
      <c r="E1928" s="29"/>
      <c r="F1928" s="29"/>
      <c r="G1928" s="30"/>
    </row>
    <row r="1929" spans="1:7" x14ac:dyDescent="0.2">
      <c r="A1929" s="31" t="s">
        <v>3185</v>
      </c>
      <c r="B1929" s="31"/>
      <c r="C1929" s="32">
        <v>1</v>
      </c>
      <c r="D1929" s="32"/>
      <c r="E1929" s="32"/>
      <c r="F1929" s="32"/>
      <c r="G1929" s="32">
        <f>PRODUCT(C1929:F1929)</f>
        <v>1</v>
      </c>
    </row>
    <row r="1930" spans="1:7" x14ac:dyDescent="0.2">
      <c r="A1930" s="31" t="s">
        <v>3567</v>
      </c>
      <c r="B1930" s="31"/>
      <c r="C1930" s="32">
        <v>1</v>
      </c>
      <c r="D1930" s="32"/>
      <c r="E1930" s="32"/>
      <c r="F1930" s="32"/>
      <c r="G1930" s="32">
        <f>PRODUCT(C1930:F1930)</f>
        <v>1</v>
      </c>
    </row>
    <row r="1932" spans="1:7" ht="45" customHeight="1" x14ac:dyDescent="0.2">
      <c r="A1932" s="17" t="s">
        <v>4285</v>
      </c>
      <c r="B1932" s="17" t="s">
        <v>3141</v>
      </c>
      <c r="C1932" s="17" t="s">
        <v>3920</v>
      </c>
      <c r="D1932" s="83" t="s">
        <v>23</v>
      </c>
      <c r="E1932" s="102" t="s">
        <v>3921</v>
      </c>
      <c r="F1932" s="102" t="s">
        <v>3921</v>
      </c>
      <c r="G1932" s="84">
        <f>SUM(G1933:G1934)</f>
        <v>1</v>
      </c>
    </row>
    <row r="1933" spans="1:7" x14ac:dyDescent="0.2">
      <c r="A1933" s="28"/>
      <c r="B1933" s="28" t="s">
        <v>3142</v>
      </c>
      <c r="C1933" s="29" t="s">
        <v>3143</v>
      </c>
      <c r="D1933" s="29"/>
      <c r="E1933" s="29"/>
      <c r="F1933" s="29"/>
      <c r="G1933" s="30"/>
    </row>
    <row r="1934" spans="1:7" x14ac:dyDescent="0.2">
      <c r="A1934" s="31" t="s">
        <v>3186</v>
      </c>
      <c r="B1934" s="31"/>
      <c r="C1934" s="32">
        <v>1</v>
      </c>
      <c r="D1934" s="32"/>
      <c r="E1934" s="32"/>
      <c r="F1934" s="32"/>
      <c r="G1934" s="32">
        <f>PRODUCT(C1934:F1934)</f>
        <v>1</v>
      </c>
    </row>
    <row r="1936" spans="1:7" ht="45" customHeight="1" x14ac:dyDescent="0.2">
      <c r="A1936" s="17" t="s">
        <v>4286</v>
      </c>
      <c r="B1936" s="17" t="s">
        <v>3141</v>
      </c>
      <c r="C1936" s="17" t="s">
        <v>3922</v>
      </c>
      <c r="D1936" s="83" t="s">
        <v>23</v>
      </c>
      <c r="E1936" s="102" t="s">
        <v>3923</v>
      </c>
      <c r="F1936" s="102" t="s">
        <v>3923</v>
      </c>
      <c r="G1936" s="84">
        <f>SUM(G1937:G1938)</f>
        <v>1</v>
      </c>
    </row>
    <row r="1937" spans="1:7" x14ac:dyDescent="0.2">
      <c r="A1937" s="28"/>
      <c r="B1937" s="28" t="s">
        <v>3142</v>
      </c>
      <c r="C1937" s="29" t="s">
        <v>3143</v>
      </c>
      <c r="D1937" s="29"/>
      <c r="E1937" s="29"/>
      <c r="F1937" s="29"/>
      <c r="G1937" s="30"/>
    </row>
    <row r="1938" spans="1:7" x14ac:dyDescent="0.2">
      <c r="A1938" s="31" t="s">
        <v>3186</v>
      </c>
      <c r="B1938" s="31"/>
      <c r="C1938" s="32">
        <v>1</v>
      </c>
      <c r="D1938" s="32"/>
      <c r="E1938" s="32"/>
      <c r="F1938" s="32"/>
      <c r="G1938" s="32">
        <f>PRODUCT(C1938:F1938)</f>
        <v>1</v>
      </c>
    </row>
    <row r="1940" spans="1:7" ht="45" customHeight="1" x14ac:dyDescent="0.2">
      <c r="A1940" s="17" t="s">
        <v>4287</v>
      </c>
      <c r="B1940" s="17" t="s">
        <v>3141</v>
      </c>
      <c r="C1940" s="17" t="s">
        <v>3924</v>
      </c>
      <c r="D1940" s="83" t="s">
        <v>23</v>
      </c>
      <c r="E1940" s="102" t="s">
        <v>3925</v>
      </c>
      <c r="F1940" s="102" t="s">
        <v>3925</v>
      </c>
      <c r="G1940" s="84">
        <f>SUM(G1941:G1942)</f>
        <v>1</v>
      </c>
    </row>
    <row r="1941" spans="1:7" x14ac:dyDescent="0.2">
      <c r="A1941" s="28"/>
      <c r="B1941" s="28" t="s">
        <v>3142</v>
      </c>
      <c r="C1941" s="29" t="s">
        <v>3143</v>
      </c>
      <c r="D1941" s="29"/>
      <c r="E1941" s="29"/>
      <c r="F1941" s="29"/>
      <c r="G1941" s="30"/>
    </row>
    <row r="1942" spans="1:7" x14ac:dyDescent="0.2">
      <c r="A1942" s="31" t="s">
        <v>3186</v>
      </c>
      <c r="B1942" s="31"/>
      <c r="C1942" s="32">
        <v>1</v>
      </c>
      <c r="D1942" s="32"/>
      <c r="E1942" s="32"/>
      <c r="F1942" s="32"/>
      <c r="G1942" s="32">
        <f>PRODUCT(C1942:F1942)</f>
        <v>1</v>
      </c>
    </row>
    <row r="1944" spans="1:7" ht="45" customHeight="1" x14ac:dyDescent="0.2">
      <c r="A1944" s="17" t="s">
        <v>4288</v>
      </c>
      <c r="B1944" s="17" t="s">
        <v>3141</v>
      </c>
      <c r="C1944" s="17" t="s">
        <v>3926</v>
      </c>
      <c r="D1944" s="83" t="s">
        <v>23</v>
      </c>
      <c r="E1944" s="102" t="s">
        <v>3927</v>
      </c>
      <c r="F1944" s="102" t="s">
        <v>3927</v>
      </c>
      <c r="G1944" s="84">
        <f>SUM(G1945:G1946)</f>
        <v>1</v>
      </c>
    </row>
    <row r="1945" spans="1:7" x14ac:dyDescent="0.2">
      <c r="A1945" s="28"/>
      <c r="B1945" s="28" t="s">
        <v>3142</v>
      </c>
      <c r="C1945" s="29" t="s">
        <v>3143</v>
      </c>
      <c r="D1945" s="29"/>
      <c r="E1945" s="29"/>
      <c r="F1945" s="29"/>
      <c r="G1945" s="30"/>
    </row>
    <row r="1946" spans="1:7" x14ac:dyDescent="0.2">
      <c r="A1946" s="31" t="s">
        <v>4289</v>
      </c>
      <c r="B1946" s="31"/>
      <c r="C1946" s="32">
        <v>1</v>
      </c>
      <c r="D1946" s="32"/>
      <c r="E1946" s="32"/>
      <c r="F1946" s="32"/>
      <c r="G1946" s="32">
        <f>PRODUCT(C1946:F1946)</f>
        <v>1</v>
      </c>
    </row>
    <row r="1948" spans="1:7" ht="45" customHeight="1" x14ac:dyDescent="0.2">
      <c r="A1948" s="17" t="s">
        <v>4290</v>
      </c>
      <c r="B1948" s="17" t="s">
        <v>3141</v>
      </c>
      <c r="C1948" s="17" t="s">
        <v>3928</v>
      </c>
      <c r="D1948" s="83" t="s">
        <v>23</v>
      </c>
      <c r="E1948" s="102" t="s">
        <v>3929</v>
      </c>
      <c r="F1948" s="102" t="s">
        <v>3929</v>
      </c>
      <c r="G1948" s="84">
        <f>SUM(G1949:G1950)</f>
        <v>1</v>
      </c>
    </row>
    <row r="1949" spans="1:7" x14ac:dyDescent="0.2">
      <c r="A1949" s="28"/>
      <c r="B1949" s="28" t="s">
        <v>3142</v>
      </c>
      <c r="C1949" s="29" t="s">
        <v>3143</v>
      </c>
      <c r="D1949" s="29"/>
      <c r="E1949" s="29"/>
      <c r="F1949" s="29"/>
      <c r="G1949" s="30"/>
    </row>
    <row r="1950" spans="1:7" x14ac:dyDescent="0.2">
      <c r="A1950" s="31" t="s">
        <v>4289</v>
      </c>
      <c r="B1950" s="31"/>
      <c r="C1950" s="32">
        <v>1</v>
      </c>
      <c r="D1950" s="32"/>
      <c r="E1950" s="32"/>
      <c r="F1950" s="32"/>
      <c r="G1950" s="32">
        <f>PRODUCT(C1950:F1950)</f>
        <v>1</v>
      </c>
    </row>
    <row r="1952" spans="1:7" ht="45" customHeight="1" x14ac:dyDescent="0.2">
      <c r="A1952" s="17" t="s">
        <v>4291</v>
      </c>
      <c r="B1952" s="17" t="s">
        <v>3141</v>
      </c>
      <c r="C1952" s="17" t="s">
        <v>3930</v>
      </c>
      <c r="D1952" s="83" t="s">
        <v>23</v>
      </c>
      <c r="E1952" s="102" t="s">
        <v>3931</v>
      </c>
      <c r="F1952" s="102" t="s">
        <v>3931</v>
      </c>
      <c r="G1952" s="84">
        <f>SUM(G1953:G1954)</f>
        <v>1</v>
      </c>
    </row>
    <row r="1953" spans="1:7" x14ac:dyDescent="0.2">
      <c r="A1953" s="28"/>
      <c r="B1953" s="28" t="s">
        <v>3142</v>
      </c>
      <c r="C1953" s="29" t="s">
        <v>3143</v>
      </c>
      <c r="D1953" s="29"/>
      <c r="E1953" s="29"/>
      <c r="F1953" s="29"/>
      <c r="G1953" s="30"/>
    </row>
    <row r="1954" spans="1:7" x14ac:dyDescent="0.2">
      <c r="A1954" s="31" t="s">
        <v>4292</v>
      </c>
      <c r="B1954" s="31"/>
      <c r="C1954" s="32">
        <v>1</v>
      </c>
      <c r="D1954" s="32"/>
      <c r="E1954" s="32"/>
      <c r="F1954" s="32"/>
      <c r="G1954" s="32">
        <f>PRODUCT(C1954:F1954)</f>
        <v>1</v>
      </c>
    </row>
    <row r="1956" spans="1:7" ht="45" customHeight="1" x14ac:dyDescent="0.2">
      <c r="A1956" s="17" t="s">
        <v>4293</v>
      </c>
      <c r="B1956" s="17" t="s">
        <v>3141</v>
      </c>
      <c r="C1956" s="17" t="s">
        <v>3932</v>
      </c>
      <c r="D1956" s="83" t="s">
        <v>23</v>
      </c>
      <c r="E1956" s="102" t="s">
        <v>3933</v>
      </c>
      <c r="F1956" s="102" t="s">
        <v>3933</v>
      </c>
      <c r="G1956" s="84">
        <f>SUM(G1957:G1958)</f>
        <v>1</v>
      </c>
    </row>
    <row r="1957" spans="1:7" x14ac:dyDescent="0.2">
      <c r="A1957" s="28"/>
      <c r="B1957" s="28" t="s">
        <v>3142</v>
      </c>
      <c r="C1957" s="29" t="s">
        <v>3143</v>
      </c>
      <c r="D1957" s="29"/>
      <c r="E1957" s="29"/>
      <c r="F1957" s="29"/>
      <c r="G1957" s="30"/>
    </row>
    <row r="1958" spans="1:7" x14ac:dyDescent="0.2">
      <c r="A1958" s="31" t="s">
        <v>4292</v>
      </c>
      <c r="B1958" s="31"/>
      <c r="C1958" s="32">
        <v>1</v>
      </c>
      <c r="D1958" s="32"/>
      <c r="E1958" s="32"/>
      <c r="F1958" s="32"/>
      <c r="G1958" s="32">
        <f>PRODUCT(C1958:F1958)</f>
        <v>1</v>
      </c>
    </row>
    <row r="1960" spans="1:7" ht="45" customHeight="1" x14ac:dyDescent="0.2">
      <c r="A1960" s="17" t="s">
        <v>4294</v>
      </c>
      <c r="B1960" s="17" t="s">
        <v>3141</v>
      </c>
      <c r="C1960" s="17" t="s">
        <v>3934</v>
      </c>
      <c r="D1960" s="83" t="s">
        <v>23</v>
      </c>
      <c r="E1960" s="102" t="s">
        <v>3935</v>
      </c>
      <c r="F1960" s="102" t="s">
        <v>3935</v>
      </c>
      <c r="G1960" s="84">
        <f>SUM(G1961:G1963)</f>
        <v>2</v>
      </c>
    </row>
    <row r="1961" spans="1:7" x14ac:dyDescent="0.2">
      <c r="A1961" s="28"/>
      <c r="B1961" s="28" t="s">
        <v>3142</v>
      </c>
      <c r="C1961" s="29" t="s">
        <v>3143</v>
      </c>
      <c r="D1961" s="29"/>
      <c r="E1961" s="29"/>
      <c r="F1961" s="29"/>
      <c r="G1961" s="30"/>
    </row>
    <row r="1962" spans="1:7" x14ac:dyDescent="0.2">
      <c r="A1962" s="31" t="s">
        <v>4289</v>
      </c>
      <c r="B1962" s="31"/>
      <c r="C1962" s="32">
        <v>1</v>
      </c>
      <c r="D1962" s="32"/>
      <c r="E1962" s="32"/>
      <c r="F1962" s="32"/>
      <c r="G1962" s="32">
        <f>PRODUCT(C1962:F1962)</f>
        <v>1</v>
      </c>
    </row>
    <row r="1963" spans="1:7" x14ac:dyDescent="0.2">
      <c r="A1963" s="31" t="s">
        <v>4292</v>
      </c>
      <c r="B1963" s="31"/>
      <c r="C1963" s="32">
        <v>1</v>
      </c>
      <c r="D1963" s="32"/>
      <c r="E1963" s="32"/>
      <c r="F1963" s="32"/>
      <c r="G1963" s="32">
        <f>PRODUCT(C1963:F1963)</f>
        <v>1</v>
      </c>
    </row>
    <row r="1965" spans="1:7" x14ac:dyDescent="0.2">
      <c r="B1965" t="s">
        <v>3139</v>
      </c>
      <c r="C1965" s="6" t="s">
        <v>6</v>
      </c>
      <c r="D1965" s="7" t="s">
        <v>7</v>
      </c>
      <c r="E1965" s="6" t="s">
        <v>8</v>
      </c>
    </row>
    <row r="1966" spans="1:7" x14ac:dyDescent="0.2">
      <c r="B1966" t="s">
        <v>3139</v>
      </c>
      <c r="C1966" s="6" t="s">
        <v>9</v>
      </c>
      <c r="D1966" s="7" t="s">
        <v>385</v>
      </c>
      <c r="E1966" s="6" t="s">
        <v>588</v>
      </c>
    </row>
    <row r="1967" spans="1:7" x14ac:dyDescent="0.2">
      <c r="B1967" t="s">
        <v>3139</v>
      </c>
      <c r="C1967" s="6" t="s">
        <v>11</v>
      </c>
      <c r="D1967" s="7" t="s">
        <v>153</v>
      </c>
      <c r="E1967" s="6" t="s">
        <v>643</v>
      </c>
    </row>
    <row r="1968" spans="1:7" x14ac:dyDescent="0.2">
      <c r="B1968" t="s">
        <v>3139</v>
      </c>
      <c r="C1968" s="6" t="s">
        <v>91</v>
      </c>
      <c r="D1968" s="7" t="s">
        <v>7</v>
      </c>
      <c r="E1968" s="6" t="s">
        <v>648</v>
      </c>
    </row>
    <row r="1970" spans="1:7" ht="45" customHeight="1" x14ac:dyDescent="0.2">
      <c r="A1970" s="17" t="s">
        <v>3631</v>
      </c>
      <c r="B1970" s="17" t="s">
        <v>3141</v>
      </c>
      <c r="C1970" s="17" t="s">
        <v>650</v>
      </c>
      <c r="D1970" s="83" t="s">
        <v>36</v>
      </c>
      <c r="E1970" s="102" t="s">
        <v>651</v>
      </c>
      <c r="F1970" s="102" t="s">
        <v>651</v>
      </c>
      <c r="G1970" s="84">
        <f>SUM(G1971:G1973)</f>
        <v>23.1</v>
      </c>
    </row>
    <row r="1971" spans="1:7" x14ac:dyDescent="0.2">
      <c r="A1971" s="31" t="s">
        <v>3612</v>
      </c>
      <c r="B1971" s="31"/>
      <c r="C1971" s="32">
        <v>4</v>
      </c>
      <c r="D1971" s="32">
        <v>1.1000000000000001</v>
      </c>
      <c r="E1971" s="32"/>
      <c r="F1971" s="32"/>
      <c r="G1971" s="32">
        <f>PRODUCT(C1971:F1971)</f>
        <v>4.4000000000000004</v>
      </c>
    </row>
    <row r="1972" spans="1:7" x14ac:dyDescent="0.2">
      <c r="A1972" s="31" t="s">
        <v>3613</v>
      </c>
      <c r="B1972" s="31"/>
      <c r="C1972" s="32">
        <v>4</v>
      </c>
      <c r="D1972" s="32">
        <v>1.1000000000000001</v>
      </c>
      <c r="E1972" s="32"/>
      <c r="F1972" s="32"/>
      <c r="G1972" s="32">
        <f>PRODUCT(C1972:F1972)</f>
        <v>4.4000000000000004</v>
      </c>
    </row>
    <row r="1973" spans="1:7" x14ac:dyDescent="0.2">
      <c r="A1973" s="31" t="s">
        <v>3614</v>
      </c>
      <c r="B1973" s="31"/>
      <c r="C1973" s="32">
        <v>13</v>
      </c>
      <c r="D1973" s="32">
        <v>1.1000000000000001</v>
      </c>
      <c r="E1973" s="32"/>
      <c r="F1973" s="32"/>
      <c r="G1973" s="32">
        <f>PRODUCT(C1973:F1973)</f>
        <v>14.3</v>
      </c>
    </row>
    <row r="1975" spans="1:7" ht="45" customHeight="1" x14ac:dyDescent="0.2">
      <c r="A1975" s="17" t="s">
        <v>3632</v>
      </c>
      <c r="B1975" s="17" t="s">
        <v>3141</v>
      </c>
      <c r="C1975" s="17" t="s">
        <v>652</v>
      </c>
      <c r="D1975" s="83" t="s">
        <v>36</v>
      </c>
      <c r="E1975" s="102" t="s">
        <v>653</v>
      </c>
      <c r="F1975" s="102" t="s">
        <v>653</v>
      </c>
      <c r="G1975" s="84">
        <f>SUM(G1976:G1978)</f>
        <v>3.3000000000000003</v>
      </c>
    </row>
    <row r="1976" spans="1:7" x14ac:dyDescent="0.2">
      <c r="A1976" s="31" t="s">
        <v>3612</v>
      </c>
      <c r="B1976" s="31"/>
      <c r="C1976" s="32">
        <v>0</v>
      </c>
      <c r="D1976" s="32">
        <v>1.1000000000000001</v>
      </c>
      <c r="E1976" s="32"/>
      <c r="F1976" s="32"/>
      <c r="G1976" s="32">
        <f>PRODUCT(C1976:F1976)</f>
        <v>0</v>
      </c>
    </row>
    <row r="1977" spans="1:7" x14ac:dyDescent="0.2">
      <c r="A1977" s="31" t="s">
        <v>3613</v>
      </c>
      <c r="B1977" s="31"/>
      <c r="C1977" s="32">
        <v>0</v>
      </c>
      <c r="D1977" s="32">
        <v>1.1000000000000001</v>
      </c>
      <c r="E1977" s="32"/>
      <c r="F1977" s="32"/>
      <c r="G1977" s="32">
        <f>PRODUCT(C1977:F1977)</f>
        <v>0</v>
      </c>
    </row>
    <row r="1978" spans="1:7" x14ac:dyDescent="0.2">
      <c r="A1978" s="31" t="s">
        <v>3614</v>
      </c>
      <c r="B1978" s="31"/>
      <c r="C1978" s="32">
        <v>3</v>
      </c>
      <c r="D1978" s="32">
        <v>1.1000000000000001</v>
      </c>
      <c r="E1978" s="32"/>
      <c r="F1978" s="32"/>
      <c r="G1978" s="32">
        <f>PRODUCT(C1978:F1978)</f>
        <v>3.3000000000000003</v>
      </c>
    </row>
    <row r="1980" spans="1:7" ht="45" customHeight="1" x14ac:dyDescent="0.2">
      <c r="A1980" s="17" t="s">
        <v>3633</v>
      </c>
      <c r="B1980" s="17" t="s">
        <v>3141</v>
      </c>
      <c r="C1980" s="17" t="s">
        <v>654</v>
      </c>
      <c r="D1980" s="83" t="s">
        <v>36</v>
      </c>
      <c r="E1980" s="102" t="s">
        <v>655</v>
      </c>
      <c r="F1980" s="102" t="s">
        <v>655</v>
      </c>
      <c r="G1980" s="84">
        <f>SUM(G1981:G1983)</f>
        <v>8.8000000000000007</v>
      </c>
    </row>
    <row r="1981" spans="1:7" x14ac:dyDescent="0.2">
      <c r="A1981" s="31" t="s">
        <v>3612</v>
      </c>
      <c r="B1981" s="31"/>
      <c r="C1981" s="32">
        <v>2</v>
      </c>
      <c r="D1981" s="32">
        <v>1.1000000000000001</v>
      </c>
      <c r="E1981" s="32"/>
      <c r="F1981" s="32"/>
      <c r="G1981" s="32">
        <f>PRODUCT(C1981:F1981)</f>
        <v>2.2000000000000002</v>
      </c>
    </row>
    <row r="1982" spans="1:7" x14ac:dyDescent="0.2">
      <c r="A1982" s="31" t="s">
        <v>3613</v>
      </c>
      <c r="B1982" s="31"/>
      <c r="C1982" s="32">
        <v>2</v>
      </c>
      <c r="D1982" s="32">
        <v>1.1000000000000001</v>
      </c>
      <c r="E1982" s="32"/>
      <c r="F1982" s="32"/>
      <c r="G1982" s="32">
        <f>PRODUCT(C1982:F1982)</f>
        <v>2.2000000000000002</v>
      </c>
    </row>
    <row r="1983" spans="1:7" x14ac:dyDescent="0.2">
      <c r="A1983" s="31" t="s">
        <v>3614</v>
      </c>
      <c r="B1983" s="31"/>
      <c r="C1983" s="32">
        <v>4</v>
      </c>
      <c r="D1983" s="32">
        <v>1.1000000000000001</v>
      </c>
      <c r="E1983" s="32"/>
      <c r="F1983" s="32"/>
      <c r="G1983" s="32">
        <f>PRODUCT(C1983:F1983)</f>
        <v>4.4000000000000004</v>
      </c>
    </row>
    <row r="1985" spans="1:7" ht="45" customHeight="1" x14ac:dyDescent="0.2">
      <c r="A1985" s="17" t="s">
        <v>3634</v>
      </c>
      <c r="B1985" s="17" t="s">
        <v>3141</v>
      </c>
      <c r="C1985" s="17" t="s">
        <v>656</v>
      </c>
      <c r="D1985" s="83" t="s">
        <v>36</v>
      </c>
      <c r="E1985" s="102" t="s">
        <v>657</v>
      </c>
      <c r="F1985" s="102" t="s">
        <v>657</v>
      </c>
      <c r="G1985" s="84">
        <f>SUM(G1986:G1988)</f>
        <v>13.750000000000002</v>
      </c>
    </row>
    <row r="1986" spans="1:7" x14ac:dyDescent="0.2">
      <c r="A1986" s="31" t="s">
        <v>3612</v>
      </c>
      <c r="B1986" s="31"/>
      <c r="C1986" s="32">
        <v>3.5</v>
      </c>
      <c r="D1986" s="32">
        <v>1.1000000000000001</v>
      </c>
      <c r="E1986" s="32"/>
      <c r="F1986" s="32"/>
      <c r="G1986" s="32">
        <f>PRODUCT(C1986:F1986)</f>
        <v>3.8500000000000005</v>
      </c>
    </row>
    <row r="1987" spans="1:7" x14ac:dyDescent="0.2">
      <c r="A1987" s="31" t="s">
        <v>3613</v>
      </c>
      <c r="B1987" s="31"/>
      <c r="C1987" s="32">
        <v>2</v>
      </c>
      <c r="D1987" s="32">
        <v>1.1000000000000001</v>
      </c>
      <c r="E1987" s="32"/>
      <c r="F1987" s="32"/>
      <c r="G1987" s="32">
        <f>PRODUCT(C1987:F1987)</f>
        <v>2.2000000000000002</v>
      </c>
    </row>
    <row r="1988" spans="1:7" x14ac:dyDescent="0.2">
      <c r="A1988" s="31" t="s">
        <v>3614</v>
      </c>
      <c r="B1988" s="31"/>
      <c r="C1988" s="32">
        <v>7</v>
      </c>
      <c r="D1988" s="32">
        <v>1.1000000000000001</v>
      </c>
      <c r="E1988" s="32"/>
      <c r="F1988" s="32"/>
      <c r="G1988" s="32">
        <f>PRODUCT(C1988:F1988)</f>
        <v>7.7000000000000011</v>
      </c>
    </row>
    <row r="1990" spans="1:7" x14ac:dyDescent="0.2">
      <c r="B1990" t="s">
        <v>3139</v>
      </c>
      <c r="C1990" s="6" t="s">
        <v>6</v>
      </c>
      <c r="D1990" s="7" t="s">
        <v>7</v>
      </c>
      <c r="E1990" s="6" t="s">
        <v>8</v>
      </c>
    </row>
    <row r="1991" spans="1:7" x14ac:dyDescent="0.2">
      <c r="B1991" t="s">
        <v>3139</v>
      </c>
      <c r="C1991" s="6" t="s">
        <v>9</v>
      </c>
      <c r="D1991" s="7" t="s">
        <v>385</v>
      </c>
      <c r="E1991" s="6" t="s">
        <v>588</v>
      </c>
    </row>
    <row r="1992" spans="1:7" x14ac:dyDescent="0.2">
      <c r="B1992" t="s">
        <v>3139</v>
      </c>
      <c r="C1992" s="6" t="s">
        <v>11</v>
      </c>
      <c r="D1992" s="7" t="s">
        <v>153</v>
      </c>
      <c r="E1992" s="6" t="s">
        <v>643</v>
      </c>
    </row>
    <row r="1993" spans="1:7" x14ac:dyDescent="0.2">
      <c r="B1993" t="s">
        <v>3139</v>
      </c>
      <c r="C1993" s="6" t="s">
        <v>91</v>
      </c>
      <c r="D1993" s="7" t="s">
        <v>26</v>
      </c>
      <c r="E1993" s="6" t="s">
        <v>600</v>
      </c>
    </row>
    <row r="1995" spans="1:7" ht="45" customHeight="1" x14ac:dyDescent="0.2">
      <c r="A1995" s="17" t="s">
        <v>3635</v>
      </c>
      <c r="B1995" s="17" t="s">
        <v>3141</v>
      </c>
      <c r="C1995" s="17" t="s">
        <v>659</v>
      </c>
      <c r="D1995" s="83" t="s">
        <v>36</v>
      </c>
      <c r="E1995" s="102" t="s">
        <v>660</v>
      </c>
      <c r="F1995" s="102" t="s">
        <v>660</v>
      </c>
      <c r="G1995" s="84">
        <f>SUM(G1996:G1998)</f>
        <v>32.760000000000005</v>
      </c>
    </row>
    <row r="1996" spans="1:7" x14ac:dyDescent="0.2">
      <c r="A1996" s="31" t="s">
        <v>3612</v>
      </c>
      <c r="B1996" s="31"/>
      <c r="C1996" s="32">
        <v>6</v>
      </c>
      <c r="D1996" s="32">
        <v>2.5</v>
      </c>
      <c r="E1996" s="32">
        <v>1.05</v>
      </c>
      <c r="F1996" s="32"/>
      <c r="G1996" s="32">
        <f>PRODUCT(C1996:F1996)</f>
        <v>15.75</v>
      </c>
    </row>
    <row r="1997" spans="1:7" x14ac:dyDescent="0.2">
      <c r="A1997" s="31" t="s">
        <v>3613</v>
      </c>
      <c r="B1997" s="31"/>
      <c r="C1997" s="32">
        <v>2</v>
      </c>
      <c r="D1997" s="32">
        <v>3.5</v>
      </c>
      <c r="E1997" s="32">
        <v>1.05</v>
      </c>
      <c r="F1997" s="32"/>
      <c r="G1997" s="32">
        <f>PRODUCT(C1997:F1997)</f>
        <v>7.3500000000000005</v>
      </c>
    </row>
    <row r="1998" spans="1:7" x14ac:dyDescent="0.2">
      <c r="A1998" s="31" t="s">
        <v>3614</v>
      </c>
      <c r="B1998" s="31"/>
      <c r="C1998" s="32">
        <v>2</v>
      </c>
      <c r="D1998" s="32">
        <v>4.5999999999999996</v>
      </c>
      <c r="E1998" s="32">
        <v>1.05</v>
      </c>
      <c r="F1998" s="32"/>
      <c r="G1998" s="32">
        <f>PRODUCT(C1998:F1998)</f>
        <v>9.66</v>
      </c>
    </row>
    <row r="2000" spans="1:7" ht="45" customHeight="1" x14ac:dyDescent="0.2">
      <c r="A2000" s="17" t="s">
        <v>3636</v>
      </c>
      <c r="B2000" s="17" t="s">
        <v>3141</v>
      </c>
      <c r="C2000" s="17" t="s">
        <v>661</v>
      </c>
      <c r="D2000" s="83" t="s">
        <v>36</v>
      </c>
      <c r="E2000" s="102" t="s">
        <v>662</v>
      </c>
      <c r="F2000" s="102" t="s">
        <v>662</v>
      </c>
      <c r="G2000" s="84">
        <f>SUM(G2001:G2003)</f>
        <v>31.500000000000004</v>
      </c>
    </row>
    <row r="2001" spans="1:7" x14ac:dyDescent="0.2">
      <c r="A2001" s="31" t="s">
        <v>3612</v>
      </c>
      <c r="B2001" s="31"/>
      <c r="C2001" s="32">
        <v>6</v>
      </c>
      <c r="D2001" s="32">
        <v>3</v>
      </c>
      <c r="E2001" s="32">
        <v>1.05</v>
      </c>
      <c r="F2001" s="32"/>
      <c r="G2001" s="32">
        <f>PRODUCT(C2001:F2001)</f>
        <v>18.900000000000002</v>
      </c>
    </row>
    <row r="2002" spans="1:7" x14ac:dyDescent="0.2">
      <c r="A2002" s="31" t="s">
        <v>3613</v>
      </c>
      <c r="B2002" s="31"/>
      <c r="C2002" s="32">
        <v>2</v>
      </c>
      <c r="D2002" s="32">
        <v>3</v>
      </c>
      <c r="E2002" s="32">
        <v>1.05</v>
      </c>
      <c r="F2002" s="32"/>
      <c r="G2002" s="32">
        <f>PRODUCT(C2002:F2002)</f>
        <v>6.3000000000000007</v>
      </c>
    </row>
    <row r="2003" spans="1:7" x14ac:dyDescent="0.2">
      <c r="A2003" s="31" t="s">
        <v>3614</v>
      </c>
      <c r="B2003" s="31"/>
      <c r="C2003" s="32">
        <v>2</v>
      </c>
      <c r="D2003" s="32">
        <v>3</v>
      </c>
      <c r="E2003" s="32">
        <v>1.05</v>
      </c>
      <c r="F2003" s="32"/>
      <c r="G2003" s="32">
        <f>PRODUCT(C2003:F2003)</f>
        <v>6.3000000000000007</v>
      </c>
    </row>
    <row r="2005" spans="1:7" ht="45" customHeight="1" x14ac:dyDescent="0.2">
      <c r="A2005" s="17" t="s">
        <v>3637</v>
      </c>
      <c r="B2005" s="17" t="s">
        <v>3141</v>
      </c>
      <c r="C2005" s="17" t="s">
        <v>663</v>
      </c>
      <c r="D2005" s="83" t="s">
        <v>36</v>
      </c>
      <c r="E2005" s="102" t="s">
        <v>664</v>
      </c>
      <c r="F2005" s="102" t="s">
        <v>664</v>
      </c>
      <c r="G2005" s="84">
        <f>SUM(G2006:G2006)</f>
        <v>51.45</v>
      </c>
    </row>
    <row r="2006" spans="1:7" x14ac:dyDescent="0.2">
      <c r="A2006" s="31"/>
      <c r="B2006" s="31"/>
      <c r="C2006" s="32">
        <v>49</v>
      </c>
      <c r="D2006" s="32">
        <v>1.05</v>
      </c>
      <c r="E2006" s="32"/>
      <c r="F2006" s="32"/>
      <c r="G2006" s="32">
        <f>PRODUCT(C2006:F2006)</f>
        <v>51.45</v>
      </c>
    </row>
    <row r="2008" spans="1:7" ht="45" customHeight="1" x14ac:dyDescent="0.2">
      <c r="A2008" s="17" t="s">
        <v>3638</v>
      </c>
      <c r="B2008" s="17" t="s">
        <v>3141</v>
      </c>
      <c r="C2008" s="17" t="s">
        <v>665</v>
      </c>
      <c r="D2008" s="83" t="s">
        <v>36</v>
      </c>
      <c r="E2008" s="102" t="s">
        <v>666</v>
      </c>
      <c r="F2008" s="102" t="s">
        <v>666</v>
      </c>
      <c r="G2008" s="84">
        <f>SUM(G2009:G2010)</f>
        <v>99.75</v>
      </c>
    </row>
    <row r="2009" spans="1:7" x14ac:dyDescent="0.2">
      <c r="A2009" s="31" t="s">
        <v>3639</v>
      </c>
      <c r="B2009" s="31"/>
      <c r="C2009" s="32">
        <v>65</v>
      </c>
      <c r="D2009" s="32">
        <v>1.05</v>
      </c>
      <c r="E2009" s="32"/>
      <c r="F2009" s="32"/>
      <c r="G2009" s="32">
        <f>PRODUCT(C2009:F2009)</f>
        <v>68.25</v>
      </c>
    </row>
    <row r="2010" spans="1:7" x14ac:dyDescent="0.2">
      <c r="A2010" s="31" t="s">
        <v>3640</v>
      </c>
      <c r="B2010" s="31"/>
      <c r="C2010" s="32">
        <v>30</v>
      </c>
      <c r="D2010" s="32">
        <v>1.05</v>
      </c>
      <c r="E2010" s="32"/>
      <c r="F2010" s="32"/>
      <c r="G2010" s="32">
        <f>PRODUCT(C2010:F2010)</f>
        <v>31.5</v>
      </c>
    </row>
    <row r="2012" spans="1:7" ht="45" customHeight="1" x14ac:dyDescent="0.2">
      <c r="A2012" s="17" t="s">
        <v>3641</v>
      </c>
      <c r="B2012" s="17" t="s">
        <v>3141</v>
      </c>
      <c r="C2012" s="17" t="s">
        <v>667</v>
      </c>
      <c r="D2012" s="83" t="s">
        <v>36</v>
      </c>
      <c r="E2012" s="102" t="s">
        <v>668</v>
      </c>
      <c r="F2012" s="102" t="s">
        <v>668</v>
      </c>
      <c r="G2012" s="84">
        <f>SUM(G2013:G2013)</f>
        <v>7</v>
      </c>
    </row>
    <row r="2013" spans="1:7" x14ac:dyDescent="0.2">
      <c r="A2013" s="31" t="s">
        <v>3616</v>
      </c>
      <c r="B2013" s="31"/>
      <c r="C2013" s="32">
        <v>7</v>
      </c>
      <c r="D2013" s="32"/>
      <c r="E2013" s="32"/>
      <c r="F2013" s="32"/>
      <c r="G2013" s="32">
        <f>PRODUCT(C2013:F2013)</f>
        <v>7</v>
      </c>
    </row>
    <row r="2015" spans="1:7" x14ac:dyDescent="0.2">
      <c r="B2015" t="s">
        <v>3139</v>
      </c>
      <c r="C2015" s="6" t="s">
        <v>6</v>
      </c>
      <c r="D2015" s="7" t="s">
        <v>7</v>
      </c>
      <c r="E2015" s="6" t="s">
        <v>8</v>
      </c>
    </row>
    <row r="2016" spans="1:7" x14ac:dyDescent="0.2">
      <c r="B2016" t="s">
        <v>3139</v>
      </c>
      <c r="C2016" s="6" t="s">
        <v>9</v>
      </c>
      <c r="D2016" s="7" t="s">
        <v>385</v>
      </c>
      <c r="E2016" s="6" t="s">
        <v>588</v>
      </c>
    </row>
    <row r="2017" spans="1:7" x14ac:dyDescent="0.2">
      <c r="B2017" t="s">
        <v>3139</v>
      </c>
      <c r="C2017" s="6" t="s">
        <v>11</v>
      </c>
      <c r="D2017" s="7" t="s">
        <v>153</v>
      </c>
      <c r="E2017" s="6" t="s">
        <v>643</v>
      </c>
    </row>
    <row r="2018" spans="1:7" x14ac:dyDescent="0.2">
      <c r="B2018" t="s">
        <v>3139</v>
      </c>
      <c r="C2018" s="6" t="s">
        <v>91</v>
      </c>
      <c r="D2018" s="7" t="s">
        <v>72</v>
      </c>
      <c r="E2018" s="6" t="s">
        <v>669</v>
      </c>
    </row>
    <row r="2020" spans="1:7" ht="45" customHeight="1" x14ac:dyDescent="0.2">
      <c r="A2020" s="17" t="s">
        <v>3642</v>
      </c>
      <c r="B2020" s="17" t="s">
        <v>3141</v>
      </c>
      <c r="C2020" s="17" t="s">
        <v>671</v>
      </c>
      <c r="D2020" s="83" t="s">
        <v>36</v>
      </c>
      <c r="E2020" s="102" t="s">
        <v>672</v>
      </c>
      <c r="F2020" s="102" t="s">
        <v>672</v>
      </c>
      <c r="G2020" s="84">
        <f>SUM(G2021:G2021)</f>
        <v>11</v>
      </c>
    </row>
    <row r="2021" spans="1:7" x14ac:dyDescent="0.2">
      <c r="A2021" s="31" t="s">
        <v>3643</v>
      </c>
      <c r="B2021" s="31"/>
      <c r="C2021" s="32">
        <v>11</v>
      </c>
      <c r="D2021" s="32"/>
      <c r="E2021" s="32"/>
      <c r="F2021" s="32"/>
      <c r="G2021" s="32">
        <f>PRODUCT(C2021:F2021)</f>
        <v>11</v>
      </c>
    </row>
    <row r="2023" spans="1:7" ht="45" customHeight="1" x14ac:dyDescent="0.2">
      <c r="A2023" s="17" t="s">
        <v>3644</v>
      </c>
      <c r="B2023" s="17" t="s">
        <v>3141</v>
      </c>
      <c r="C2023" s="17" t="s">
        <v>673</v>
      </c>
      <c r="D2023" s="83" t="s">
        <v>36</v>
      </c>
      <c r="E2023" s="102" t="s">
        <v>674</v>
      </c>
      <c r="F2023" s="102" t="s">
        <v>674</v>
      </c>
      <c r="G2023" s="84">
        <f>SUM(G2024:G2024)</f>
        <v>23</v>
      </c>
    </row>
    <row r="2024" spans="1:7" x14ac:dyDescent="0.2">
      <c r="A2024" s="31" t="s">
        <v>3643</v>
      </c>
      <c r="B2024" s="31"/>
      <c r="C2024" s="32">
        <v>23</v>
      </c>
      <c r="D2024" s="32"/>
      <c r="E2024" s="32"/>
      <c r="F2024" s="32"/>
      <c r="G2024" s="32">
        <f>PRODUCT(C2024:F2024)</f>
        <v>23</v>
      </c>
    </row>
    <row r="2026" spans="1:7" ht="45" customHeight="1" x14ac:dyDescent="0.2">
      <c r="A2026" s="17" t="s">
        <v>3645</v>
      </c>
      <c r="B2026" s="17" t="s">
        <v>3141</v>
      </c>
      <c r="C2026" s="17" t="s">
        <v>675</v>
      </c>
      <c r="D2026" s="83" t="s">
        <v>625</v>
      </c>
      <c r="E2026" s="102" t="s">
        <v>676</v>
      </c>
      <c r="F2026" s="102" t="s">
        <v>676</v>
      </c>
      <c r="G2026" s="84">
        <f>SUM(G2027:G2027)</f>
        <v>2</v>
      </c>
    </row>
    <row r="2027" spans="1:7" x14ac:dyDescent="0.2">
      <c r="A2027" s="31" t="s">
        <v>3616</v>
      </c>
      <c r="B2027" s="31"/>
      <c r="C2027" s="32">
        <v>2</v>
      </c>
      <c r="D2027" s="32"/>
      <c r="E2027" s="32"/>
      <c r="F2027" s="32"/>
      <c r="G2027" s="32">
        <f>PRODUCT(C2027:F2027)</f>
        <v>2</v>
      </c>
    </row>
    <row r="2029" spans="1:7" ht="45" customHeight="1" x14ac:dyDescent="0.2">
      <c r="A2029" s="17" t="s">
        <v>3646</v>
      </c>
      <c r="B2029" s="17" t="s">
        <v>3141</v>
      </c>
      <c r="C2029" s="17" t="s">
        <v>677</v>
      </c>
      <c r="D2029" s="83" t="s">
        <v>625</v>
      </c>
      <c r="E2029" s="102" t="s">
        <v>678</v>
      </c>
      <c r="F2029" s="102" t="s">
        <v>678</v>
      </c>
      <c r="G2029" s="84">
        <f>SUM(G2030:G2030)</f>
        <v>1</v>
      </c>
    </row>
    <row r="2030" spans="1:7" x14ac:dyDescent="0.2">
      <c r="A2030" s="31" t="s">
        <v>3616</v>
      </c>
      <c r="B2030" s="31"/>
      <c r="C2030" s="32">
        <v>1</v>
      </c>
      <c r="D2030" s="32"/>
      <c r="E2030" s="32"/>
      <c r="F2030" s="32"/>
      <c r="G2030" s="32">
        <f>PRODUCT(C2030:F2030)</f>
        <v>1</v>
      </c>
    </row>
    <row r="2032" spans="1:7" ht="45" customHeight="1" x14ac:dyDescent="0.2">
      <c r="A2032" s="17" t="s">
        <v>3647</v>
      </c>
      <c r="B2032" s="17" t="s">
        <v>3141</v>
      </c>
      <c r="C2032" s="17" t="s">
        <v>679</v>
      </c>
      <c r="D2032" s="83" t="s">
        <v>23</v>
      </c>
      <c r="E2032" s="102" t="s">
        <v>680</v>
      </c>
      <c r="F2032" s="102" t="s">
        <v>680</v>
      </c>
      <c r="G2032" s="84">
        <f>SUM(G2033:G2033)</f>
        <v>1</v>
      </c>
    </row>
    <row r="2033" spans="1:7" x14ac:dyDescent="0.2">
      <c r="A2033" s="31" t="s">
        <v>3643</v>
      </c>
      <c r="B2033" s="31"/>
      <c r="C2033" s="32">
        <v>1</v>
      </c>
      <c r="D2033" s="32"/>
      <c r="E2033" s="32"/>
      <c r="F2033" s="32"/>
      <c r="G2033" s="32">
        <f>PRODUCT(C2033:F2033)</f>
        <v>1</v>
      </c>
    </row>
    <row r="2035" spans="1:7" ht="45" customHeight="1" x14ac:dyDescent="0.2">
      <c r="A2035" s="17" t="s">
        <v>3648</v>
      </c>
      <c r="B2035" s="17" t="s">
        <v>3141</v>
      </c>
      <c r="C2035" s="17" t="s">
        <v>681</v>
      </c>
      <c r="D2035" s="83" t="s">
        <v>23</v>
      </c>
      <c r="E2035" s="102" t="s">
        <v>682</v>
      </c>
      <c r="F2035" s="102" t="s">
        <v>682</v>
      </c>
      <c r="G2035" s="84">
        <f>SUM(G2036:G2036)</f>
        <v>1</v>
      </c>
    </row>
    <row r="2036" spans="1:7" x14ac:dyDescent="0.2">
      <c r="A2036" s="31" t="s">
        <v>3616</v>
      </c>
      <c r="B2036" s="31"/>
      <c r="C2036" s="32">
        <v>1</v>
      </c>
      <c r="D2036" s="32"/>
      <c r="E2036" s="32"/>
      <c r="F2036" s="32"/>
      <c r="G2036" s="32">
        <f>PRODUCT(C2036:F2036)</f>
        <v>1</v>
      </c>
    </row>
    <row r="2038" spans="1:7" x14ac:dyDescent="0.2">
      <c r="B2038" t="s">
        <v>3139</v>
      </c>
      <c r="C2038" s="6" t="s">
        <v>6</v>
      </c>
      <c r="D2038" s="7" t="s">
        <v>7</v>
      </c>
      <c r="E2038" s="6" t="s">
        <v>8</v>
      </c>
    </row>
    <row r="2039" spans="1:7" x14ac:dyDescent="0.2">
      <c r="B2039" t="s">
        <v>3139</v>
      </c>
      <c r="C2039" s="6" t="s">
        <v>9</v>
      </c>
      <c r="D2039" s="7" t="s">
        <v>385</v>
      </c>
      <c r="E2039" s="6" t="s">
        <v>588</v>
      </c>
    </row>
    <row r="2040" spans="1:7" x14ac:dyDescent="0.2">
      <c r="B2040" t="s">
        <v>3139</v>
      </c>
      <c r="C2040" s="6" t="s">
        <v>11</v>
      </c>
      <c r="D2040" s="7" t="s">
        <v>158</v>
      </c>
      <c r="E2040" s="6" t="s">
        <v>685</v>
      </c>
    </row>
    <row r="2041" spans="1:7" x14ac:dyDescent="0.2">
      <c r="B2041" t="s">
        <v>3139</v>
      </c>
      <c r="C2041" s="6" t="s">
        <v>91</v>
      </c>
      <c r="D2041" s="7" t="s">
        <v>7</v>
      </c>
      <c r="E2041" s="6" t="s">
        <v>686</v>
      </c>
    </row>
    <row r="2043" spans="1:7" ht="45" customHeight="1" x14ac:dyDescent="0.2">
      <c r="A2043" s="17" t="s">
        <v>3649</v>
      </c>
      <c r="B2043" s="17" t="s">
        <v>3141</v>
      </c>
      <c r="C2043" s="17" t="s">
        <v>688</v>
      </c>
      <c r="D2043" s="83" t="s">
        <v>23</v>
      </c>
      <c r="E2043" s="102" t="s">
        <v>689</v>
      </c>
      <c r="F2043" s="102" t="s">
        <v>689</v>
      </c>
      <c r="G2043" s="84">
        <f>SUM(G2044:G2045)</f>
        <v>4</v>
      </c>
    </row>
    <row r="2044" spans="1:7" x14ac:dyDescent="0.2">
      <c r="A2044" s="31" t="s">
        <v>3613</v>
      </c>
      <c r="B2044" s="31"/>
      <c r="C2044" s="32">
        <v>2</v>
      </c>
      <c r="D2044" s="32"/>
      <c r="E2044" s="32"/>
      <c r="F2044" s="32"/>
      <c r="G2044" s="32">
        <f>PRODUCT(C2044:F2044)</f>
        <v>2</v>
      </c>
    </row>
    <row r="2045" spans="1:7" x14ac:dyDescent="0.2">
      <c r="A2045" s="31" t="s">
        <v>3614</v>
      </c>
      <c r="B2045" s="31"/>
      <c r="C2045" s="32">
        <v>2</v>
      </c>
      <c r="D2045" s="32"/>
      <c r="E2045" s="32"/>
      <c r="F2045" s="32"/>
      <c r="G2045" s="32">
        <f>PRODUCT(C2045:F2045)</f>
        <v>2</v>
      </c>
    </row>
    <row r="2047" spans="1:7" ht="45" customHeight="1" x14ac:dyDescent="0.2">
      <c r="A2047" s="17" t="s">
        <v>3650</v>
      </c>
      <c r="B2047" s="17" t="s">
        <v>3141</v>
      </c>
      <c r="C2047" s="17" t="s">
        <v>690</v>
      </c>
      <c r="D2047" s="83" t="s">
        <v>23</v>
      </c>
      <c r="E2047" s="102" t="s">
        <v>691</v>
      </c>
      <c r="F2047" s="102" t="s">
        <v>691</v>
      </c>
      <c r="G2047" s="84">
        <f>SUM(G2048:G2048)</f>
        <v>2</v>
      </c>
    </row>
    <row r="2048" spans="1:7" x14ac:dyDescent="0.2">
      <c r="A2048" s="31" t="s">
        <v>3612</v>
      </c>
      <c r="B2048" s="31"/>
      <c r="C2048" s="32">
        <v>2</v>
      </c>
      <c r="D2048" s="32"/>
      <c r="E2048" s="32"/>
      <c r="F2048" s="32"/>
      <c r="G2048" s="32">
        <f>PRODUCT(C2048:F2048)</f>
        <v>2</v>
      </c>
    </row>
    <row r="2050" spans="1:7" ht="45" customHeight="1" x14ac:dyDescent="0.2">
      <c r="A2050" s="17" t="s">
        <v>3651</v>
      </c>
      <c r="B2050" s="17" t="s">
        <v>3141</v>
      </c>
      <c r="C2050" s="17" t="s">
        <v>692</v>
      </c>
      <c r="D2050" s="83" t="s">
        <v>23</v>
      </c>
      <c r="E2050" s="102" t="s">
        <v>693</v>
      </c>
      <c r="F2050" s="102" t="s">
        <v>693</v>
      </c>
      <c r="G2050" s="84">
        <f>SUM(G2051:G2052)</f>
        <v>4</v>
      </c>
    </row>
    <row r="2051" spans="1:7" x14ac:dyDescent="0.2">
      <c r="A2051" s="31" t="s">
        <v>3613</v>
      </c>
      <c r="B2051" s="31"/>
      <c r="C2051" s="32">
        <v>2</v>
      </c>
      <c r="D2051" s="32"/>
      <c r="E2051" s="32"/>
      <c r="F2051" s="32"/>
      <c r="G2051" s="32">
        <f>PRODUCT(C2051:F2051)</f>
        <v>2</v>
      </c>
    </row>
    <row r="2052" spans="1:7" x14ac:dyDescent="0.2">
      <c r="A2052" s="31" t="s">
        <v>3614</v>
      </c>
      <c r="B2052" s="31"/>
      <c r="C2052" s="32">
        <v>2</v>
      </c>
      <c r="D2052" s="32"/>
      <c r="E2052" s="32"/>
      <c r="F2052" s="32"/>
      <c r="G2052" s="32">
        <f>PRODUCT(C2052:F2052)</f>
        <v>2</v>
      </c>
    </row>
    <row r="2054" spans="1:7" ht="45" customHeight="1" x14ac:dyDescent="0.2">
      <c r="A2054" s="17" t="s">
        <v>3652</v>
      </c>
      <c r="B2054" s="17" t="s">
        <v>3141</v>
      </c>
      <c r="C2054" s="17" t="s">
        <v>694</v>
      </c>
      <c r="D2054" s="83" t="s">
        <v>23</v>
      </c>
      <c r="E2054" s="102" t="s">
        <v>695</v>
      </c>
      <c r="F2054" s="102" t="s">
        <v>695</v>
      </c>
      <c r="G2054" s="84">
        <f>SUM(G2055:G2055)</f>
        <v>2</v>
      </c>
    </row>
    <row r="2055" spans="1:7" x14ac:dyDescent="0.2">
      <c r="A2055" s="31" t="s">
        <v>3612</v>
      </c>
      <c r="B2055" s="31"/>
      <c r="C2055" s="32">
        <v>2</v>
      </c>
      <c r="D2055" s="32"/>
      <c r="E2055" s="32"/>
      <c r="F2055" s="32"/>
      <c r="G2055" s="32">
        <f>PRODUCT(C2055:F2055)</f>
        <v>2</v>
      </c>
    </row>
    <row r="2057" spans="1:7" ht="45" customHeight="1" x14ac:dyDescent="0.2">
      <c r="A2057" s="17" t="s">
        <v>3653</v>
      </c>
      <c r="B2057" s="17" t="s">
        <v>3141</v>
      </c>
      <c r="C2057" s="17" t="s">
        <v>696</v>
      </c>
      <c r="D2057" s="83" t="s">
        <v>23</v>
      </c>
      <c r="E2057" s="102" t="s">
        <v>697</v>
      </c>
      <c r="F2057" s="102" t="s">
        <v>697</v>
      </c>
      <c r="G2057" s="84">
        <f>SUM(G2058:G2060)</f>
        <v>367</v>
      </c>
    </row>
    <row r="2058" spans="1:7" x14ac:dyDescent="0.2">
      <c r="A2058" s="31" t="s">
        <v>3612</v>
      </c>
      <c r="B2058" s="31"/>
      <c r="C2058" s="32">
        <v>220</v>
      </c>
      <c r="D2058" s="32"/>
      <c r="E2058" s="32"/>
      <c r="F2058" s="32"/>
      <c r="G2058" s="32">
        <f>PRODUCT(C2058:F2058)</f>
        <v>220</v>
      </c>
    </row>
    <row r="2059" spans="1:7" x14ac:dyDescent="0.2">
      <c r="A2059" s="31" t="s">
        <v>3613</v>
      </c>
      <c r="B2059" s="31"/>
      <c r="C2059" s="32">
        <v>82</v>
      </c>
      <c r="D2059" s="32"/>
      <c r="E2059" s="32"/>
      <c r="F2059" s="32"/>
      <c r="G2059" s="32">
        <f>PRODUCT(C2059:F2059)</f>
        <v>82</v>
      </c>
    </row>
    <row r="2060" spans="1:7" x14ac:dyDescent="0.2">
      <c r="A2060" s="31" t="s">
        <v>3614</v>
      </c>
      <c r="B2060" s="31"/>
      <c r="C2060" s="32">
        <v>65</v>
      </c>
      <c r="D2060" s="32"/>
      <c r="E2060" s="32"/>
      <c r="F2060" s="32"/>
      <c r="G2060" s="32">
        <f>PRODUCT(C2060:F2060)</f>
        <v>65</v>
      </c>
    </row>
    <row r="2062" spans="1:7" ht="45" customHeight="1" x14ac:dyDescent="0.2">
      <c r="A2062" s="17" t="s">
        <v>3654</v>
      </c>
      <c r="B2062" s="17" t="s">
        <v>3141</v>
      </c>
      <c r="C2062" s="17" t="s">
        <v>698</v>
      </c>
      <c r="D2062" s="83" t="s">
        <v>36</v>
      </c>
      <c r="E2062" s="102" t="s">
        <v>699</v>
      </c>
      <c r="F2062" s="102" t="s">
        <v>699</v>
      </c>
      <c r="G2062" s="84">
        <f>SUM(G2063:G2065)</f>
        <v>370</v>
      </c>
    </row>
    <row r="2063" spans="1:7" x14ac:dyDescent="0.2">
      <c r="A2063" s="31" t="s">
        <v>3612</v>
      </c>
      <c r="B2063" s="31"/>
      <c r="C2063" s="32">
        <v>220</v>
      </c>
      <c r="D2063" s="32"/>
      <c r="E2063" s="32"/>
      <c r="F2063" s="32"/>
      <c r="G2063" s="32">
        <f>PRODUCT(C2063:F2063)</f>
        <v>220</v>
      </c>
    </row>
    <row r="2064" spans="1:7" x14ac:dyDescent="0.2">
      <c r="A2064" s="31" t="s">
        <v>3613</v>
      </c>
      <c r="B2064" s="31"/>
      <c r="C2064" s="32">
        <v>80</v>
      </c>
      <c r="D2064" s="32"/>
      <c r="E2064" s="32"/>
      <c r="F2064" s="32"/>
      <c r="G2064" s="32">
        <f>PRODUCT(C2064:F2064)</f>
        <v>80</v>
      </c>
    </row>
    <row r="2065" spans="1:7" x14ac:dyDescent="0.2">
      <c r="A2065" s="31" t="s">
        <v>3614</v>
      </c>
      <c r="B2065" s="31"/>
      <c r="C2065" s="32">
        <v>70</v>
      </c>
      <c r="D2065" s="32"/>
      <c r="E2065" s="32"/>
      <c r="F2065" s="32"/>
      <c r="G2065" s="32">
        <f>PRODUCT(C2065:F2065)</f>
        <v>70</v>
      </c>
    </row>
    <row r="2067" spans="1:7" ht="45" customHeight="1" x14ac:dyDescent="0.2">
      <c r="A2067" s="17" t="s">
        <v>3655</v>
      </c>
      <c r="B2067" s="17" t="s">
        <v>3141</v>
      </c>
      <c r="C2067" s="17" t="s">
        <v>700</v>
      </c>
      <c r="D2067" s="83" t="s">
        <v>36</v>
      </c>
      <c r="E2067" s="102" t="s">
        <v>701</v>
      </c>
      <c r="F2067" s="102" t="s">
        <v>701</v>
      </c>
      <c r="G2067" s="84">
        <f>SUM(G2068:G2070)</f>
        <v>2704.8</v>
      </c>
    </row>
    <row r="2068" spans="1:7" x14ac:dyDescent="0.2">
      <c r="A2068" s="31" t="s">
        <v>3612</v>
      </c>
      <c r="B2068" s="31"/>
      <c r="C2068" s="32">
        <v>1600</v>
      </c>
      <c r="D2068" s="32">
        <v>1.05</v>
      </c>
      <c r="E2068" s="32"/>
      <c r="F2068" s="32"/>
      <c r="G2068" s="32">
        <f>PRODUCT(C2068:F2068)</f>
        <v>1680</v>
      </c>
    </row>
    <row r="2069" spans="1:7" x14ac:dyDescent="0.2">
      <c r="A2069" s="31" t="s">
        <v>3613</v>
      </c>
      <c r="B2069" s="31"/>
      <c r="C2069" s="32">
        <v>516</v>
      </c>
      <c r="D2069" s="32">
        <v>1.05</v>
      </c>
      <c r="E2069" s="32"/>
      <c r="F2069" s="32"/>
      <c r="G2069" s="32">
        <f>PRODUCT(C2069:F2069)</f>
        <v>541.80000000000007</v>
      </c>
    </row>
    <row r="2070" spans="1:7" x14ac:dyDescent="0.2">
      <c r="A2070" s="31" t="s">
        <v>3614</v>
      </c>
      <c r="B2070" s="31"/>
      <c r="C2070" s="32">
        <v>460</v>
      </c>
      <c r="D2070" s="32">
        <v>1.05</v>
      </c>
      <c r="E2070" s="32"/>
      <c r="F2070" s="32"/>
      <c r="G2070" s="32">
        <f>PRODUCT(C2070:F2070)</f>
        <v>483</v>
      </c>
    </row>
    <row r="2072" spans="1:7" ht="45" customHeight="1" x14ac:dyDescent="0.2">
      <c r="A2072" s="17" t="s">
        <v>3656</v>
      </c>
      <c r="B2072" s="17" t="s">
        <v>3141</v>
      </c>
      <c r="C2072" s="17" t="s">
        <v>702</v>
      </c>
      <c r="D2072" s="83" t="s">
        <v>36</v>
      </c>
      <c r="E2072" s="102" t="s">
        <v>703</v>
      </c>
      <c r="F2072" s="102" t="s">
        <v>703</v>
      </c>
      <c r="G2072" s="84">
        <f>SUM(G2073:G2075)</f>
        <v>232.05</v>
      </c>
    </row>
    <row r="2073" spans="1:7" x14ac:dyDescent="0.2">
      <c r="A2073" s="31" t="s">
        <v>3612</v>
      </c>
      <c r="B2073" s="31"/>
      <c r="C2073" s="32">
        <v>85</v>
      </c>
      <c r="D2073" s="32">
        <v>1.05</v>
      </c>
      <c r="E2073" s="32"/>
      <c r="F2073" s="32"/>
      <c r="G2073" s="32">
        <f>PRODUCT(C2073:F2073)</f>
        <v>89.25</v>
      </c>
    </row>
    <row r="2074" spans="1:7" x14ac:dyDescent="0.2">
      <c r="A2074" s="31" t="s">
        <v>3613</v>
      </c>
      <c r="B2074" s="31"/>
      <c r="C2074" s="32">
        <v>70</v>
      </c>
      <c r="D2074" s="32">
        <v>1.05</v>
      </c>
      <c r="E2074" s="32"/>
      <c r="F2074" s="32"/>
      <c r="G2074" s="32">
        <f>PRODUCT(C2074:F2074)</f>
        <v>73.5</v>
      </c>
    </row>
    <row r="2075" spans="1:7" x14ac:dyDescent="0.2">
      <c r="A2075" s="31" t="s">
        <v>3614</v>
      </c>
      <c r="B2075" s="31"/>
      <c r="C2075" s="32">
        <v>66</v>
      </c>
      <c r="D2075" s="32">
        <v>1.05</v>
      </c>
      <c r="E2075" s="32"/>
      <c r="F2075" s="32"/>
      <c r="G2075" s="32">
        <f>PRODUCT(C2075:F2075)</f>
        <v>69.3</v>
      </c>
    </row>
    <row r="2077" spans="1:7" ht="45" customHeight="1" x14ac:dyDescent="0.2">
      <c r="A2077" s="17" t="s">
        <v>3657</v>
      </c>
      <c r="B2077" s="17" t="s">
        <v>3141</v>
      </c>
      <c r="C2077" s="17" t="s">
        <v>704</v>
      </c>
      <c r="D2077" s="83" t="s">
        <v>103</v>
      </c>
      <c r="E2077" s="102" t="s">
        <v>705</v>
      </c>
      <c r="F2077" s="102" t="s">
        <v>705</v>
      </c>
      <c r="G2077" s="84">
        <f>SUM(G2078:G2080)</f>
        <v>85</v>
      </c>
    </row>
    <row r="2078" spans="1:7" x14ac:dyDescent="0.2">
      <c r="A2078" s="31" t="s">
        <v>3612</v>
      </c>
      <c r="B2078" s="31"/>
      <c r="C2078" s="32">
        <v>50</v>
      </c>
      <c r="D2078" s="32"/>
      <c r="E2078" s="32"/>
      <c r="F2078" s="32"/>
      <c r="G2078" s="32">
        <f>PRODUCT(C2078:F2078)</f>
        <v>50</v>
      </c>
    </row>
    <row r="2079" spans="1:7" x14ac:dyDescent="0.2">
      <c r="A2079" s="31" t="s">
        <v>3613</v>
      </c>
      <c r="B2079" s="31"/>
      <c r="C2079" s="32">
        <v>20</v>
      </c>
      <c r="D2079" s="32"/>
      <c r="E2079" s="32"/>
      <c r="F2079" s="32"/>
      <c r="G2079" s="32">
        <f>PRODUCT(C2079:F2079)</f>
        <v>20</v>
      </c>
    </row>
    <row r="2080" spans="1:7" x14ac:dyDescent="0.2">
      <c r="A2080" s="31" t="s">
        <v>3614</v>
      </c>
      <c r="B2080" s="31"/>
      <c r="C2080" s="32">
        <v>15</v>
      </c>
      <c r="D2080" s="32"/>
      <c r="E2080" s="32"/>
      <c r="F2080" s="32"/>
      <c r="G2080" s="32">
        <f>PRODUCT(C2080:F2080)</f>
        <v>15</v>
      </c>
    </row>
    <row r="2082" spans="1:7" ht="45" customHeight="1" x14ac:dyDescent="0.2">
      <c r="A2082" s="17" t="s">
        <v>3658</v>
      </c>
      <c r="B2082" s="17" t="s">
        <v>3141</v>
      </c>
      <c r="C2082" s="17" t="s">
        <v>706</v>
      </c>
      <c r="D2082" s="83" t="s">
        <v>23</v>
      </c>
      <c r="E2082" s="102" t="s">
        <v>707</v>
      </c>
      <c r="F2082" s="102" t="s">
        <v>707</v>
      </c>
      <c r="G2082" s="84">
        <f>SUM(G2083:G2085)</f>
        <v>100</v>
      </c>
    </row>
    <row r="2083" spans="1:7" x14ac:dyDescent="0.2">
      <c r="A2083" s="31" t="s">
        <v>3612</v>
      </c>
      <c r="B2083" s="31"/>
      <c r="C2083" s="32">
        <v>60</v>
      </c>
      <c r="D2083" s="32"/>
      <c r="E2083" s="32"/>
      <c r="F2083" s="32"/>
      <c r="G2083" s="32">
        <f>PRODUCT(C2083:F2083)</f>
        <v>60</v>
      </c>
    </row>
    <row r="2084" spans="1:7" x14ac:dyDescent="0.2">
      <c r="A2084" s="31" t="s">
        <v>3613</v>
      </c>
      <c r="B2084" s="31"/>
      <c r="C2084" s="32">
        <v>22</v>
      </c>
      <c r="D2084" s="32"/>
      <c r="E2084" s="32"/>
      <c r="F2084" s="32"/>
      <c r="G2084" s="32">
        <f>PRODUCT(C2084:F2084)</f>
        <v>22</v>
      </c>
    </row>
    <row r="2085" spans="1:7" x14ac:dyDescent="0.2">
      <c r="A2085" s="31" t="s">
        <v>3614</v>
      </c>
      <c r="B2085" s="31"/>
      <c r="C2085" s="32">
        <v>18</v>
      </c>
      <c r="D2085" s="32"/>
      <c r="E2085" s="32"/>
      <c r="F2085" s="32"/>
      <c r="G2085" s="32">
        <f>PRODUCT(C2085:F2085)</f>
        <v>18</v>
      </c>
    </row>
    <row r="2087" spans="1:7" ht="45" customHeight="1" x14ac:dyDescent="0.2">
      <c r="A2087" s="17" t="s">
        <v>3659</v>
      </c>
      <c r="B2087" s="17" t="s">
        <v>3141</v>
      </c>
      <c r="C2087" s="17" t="s">
        <v>708</v>
      </c>
      <c r="D2087" s="83" t="s">
        <v>36</v>
      </c>
      <c r="E2087" s="102" t="s">
        <v>709</v>
      </c>
      <c r="F2087" s="102" t="s">
        <v>709</v>
      </c>
      <c r="G2087" s="84">
        <f>SUM(G2088:G2090)</f>
        <v>67</v>
      </c>
    </row>
    <row r="2088" spans="1:7" x14ac:dyDescent="0.2">
      <c r="A2088" s="31" t="s">
        <v>3612</v>
      </c>
      <c r="B2088" s="31"/>
      <c r="C2088" s="32">
        <v>53</v>
      </c>
      <c r="D2088" s="32"/>
      <c r="E2088" s="32"/>
      <c r="F2088" s="32"/>
      <c r="G2088" s="32">
        <f>PRODUCT(C2088:F2088)</f>
        <v>53</v>
      </c>
    </row>
    <row r="2089" spans="1:7" x14ac:dyDescent="0.2">
      <c r="A2089" s="31" t="s">
        <v>3613</v>
      </c>
      <c r="B2089" s="31"/>
      <c r="C2089" s="32">
        <v>6</v>
      </c>
      <c r="D2089" s="32"/>
      <c r="E2089" s="32"/>
      <c r="F2089" s="32"/>
      <c r="G2089" s="32">
        <f>PRODUCT(C2089:F2089)</f>
        <v>6</v>
      </c>
    </row>
    <row r="2090" spans="1:7" x14ac:dyDescent="0.2">
      <c r="A2090" s="31" t="s">
        <v>3614</v>
      </c>
      <c r="B2090" s="31"/>
      <c r="C2090" s="32">
        <v>8</v>
      </c>
      <c r="D2090" s="32"/>
      <c r="E2090" s="32"/>
      <c r="F2090" s="32"/>
      <c r="G2090" s="32">
        <f>PRODUCT(C2090:F2090)</f>
        <v>8</v>
      </c>
    </row>
    <row r="2092" spans="1:7" ht="45" customHeight="1" x14ac:dyDescent="0.2">
      <c r="A2092" s="17" t="s">
        <v>3660</v>
      </c>
      <c r="B2092" s="17" t="s">
        <v>3141</v>
      </c>
      <c r="C2092" s="17" t="s">
        <v>710</v>
      </c>
      <c r="D2092" s="83" t="s">
        <v>23</v>
      </c>
      <c r="E2092" s="102" t="s">
        <v>711</v>
      </c>
      <c r="F2092" s="102" t="s">
        <v>711</v>
      </c>
      <c r="G2092" s="84">
        <f>SUM(G2093:G2095)</f>
        <v>64</v>
      </c>
    </row>
    <row r="2093" spans="1:7" x14ac:dyDescent="0.2">
      <c r="A2093" s="31" t="s">
        <v>3612</v>
      </c>
      <c r="B2093" s="31"/>
      <c r="C2093" s="32">
        <v>16</v>
      </c>
      <c r="D2093" s="32">
        <v>2</v>
      </c>
      <c r="E2093" s="32"/>
      <c r="F2093" s="32"/>
      <c r="G2093" s="32">
        <f>PRODUCT(C2093:F2093)</f>
        <v>32</v>
      </c>
    </row>
    <row r="2094" spans="1:7" x14ac:dyDescent="0.2">
      <c r="A2094" s="31" t="s">
        <v>3613</v>
      </c>
      <c r="B2094" s="31"/>
      <c r="C2094" s="32">
        <v>8</v>
      </c>
      <c r="D2094" s="32">
        <v>2</v>
      </c>
      <c r="E2094" s="32"/>
      <c r="F2094" s="32"/>
      <c r="G2094" s="32">
        <f>PRODUCT(C2094:F2094)</f>
        <v>16</v>
      </c>
    </row>
    <row r="2095" spans="1:7" x14ac:dyDescent="0.2">
      <c r="A2095" s="31" t="s">
        <v>3614</v>
      </c>
      <c r="B2095" s="31"/>
      <c r="C2095" s="32">
        <v>8</v>
      </c>
      <c r="D2095" s="32">
        <v>2</v>
      </c>
      <c r="E2095" s="32"/>
      <c r="F2095" s="32"/>
      <c r="G2095" s="32">
        <f>PRODUCT(C2095:F2095)</f>
        <v>16</v>
      </c>
    </row>
    <row r="2097" spans="1:7" x14ac:dyDescent="0.2">
      <c r="B2097" t="s">
        <v>3139</v>
      </c>
      <c r="C2097" s="6" t="s">
        <v>6</v>
      </c>
      <c r="D2097" s="7" t="s">
        <v>7</v>
      </c>
      <c r="E2097" s="6" t="s">
        <v>8</v>
      </c>
    </row>
    <row r="2098" spans="1:7" x14ac:dyDescent="0.2">
      <c r="B2098" t="s">
        <v>3139</v>
      </c>
      <c r="C2098" s="6" t="s">
        <v>9</v>
      </c>
      <c r="D2098" s="7" t="s">
        <v>385</v>
      </c>
      <c r="E2098" s="6" t="s">
        <v>588</v>
      </c>
    </row>
    <row r="2099" spans="1:7" x14ac:dyDescent="0.2">
      <c r="B2099" t="s">
        <v>3139</v>
      </c>
      <c r="C2099" s="6" t="s">
        <v>11</v>
      </c>
      <c r="D2099" s="7" t="s">
        <v>158</v>
      </c>
      <c r="E2099" s="6" t="s">
        <v>685</v>
      </c>
    </row>
    <row r="2100" spans="1:7" x14ac:dyDescent="0.2">
      <c r="B2100" t="s">
        <v>3139</v>
      </c>
      <c r="C2100" s="6" t="s">
        <v>91</v>
      </c>
      <c r="D2100" s="7" t="s">
        <v>26</v>
      </c>
      <c r="E2100" s="6" t="s">
        <v>712</v>
      </c>
    </row>
    <row r="2101" spans="1:7" x14ac:dyDescent="0.2">
      <c r="B2101" t="s">
        <v>3139</v>
      </c>
      <c r="C2101" s="6" t="s">
        <v>713</v>
      </c>
      <c r="D2101" s="7" t="s">
        <v>7</v>
      </c>
      <c r="E2101" s="6" t="s">
        <v>714</v>
      </c>
    </row>
    <row r="2103" spans="1:7" ht="45" customHeight="1" x14ac:dyDescent="0.2">
      <c r="A2103" s="17" t="s">
        <v>3661</v>
      </c>
      <c r="B2103" s="17" t="s">
        <v>3141</v>
      </c>
      <c r="C2103" s="17" t="s">
        <v>716</v>
      </c>
      <c r="D2103" s="83" t="s">
        <v>23</v>
      </c>
      <c r="E2103" s="102" t="s">
        <v>717</v>
      </c>
      <c r="F2103" s="102" t="s">
        <v>717</v>
      </c>
      <c r="G2103" s="84">
        <f>SUM(G2104:G2104)</f>
        <v>1</v>
      </c>
    </row>
    <row r="2104" spans="1:7" x14ac:dyDescent="0.2">
      <c r="A2104" s="31" t="s">
        <v>3612</v>
      </c>
      <c r="B2104" s="31"/>
      <c r="C2104" s="32">
        <v>1</v>
      </c>
      <c r="D2104" s="32"/>
      <c r="E2104" s="32"/>
      <c r="F2104" s="32"/>
      <c r="G2104" s="32">
        <f>PRODUCT(C2104:F2104)</f>
        <v>1</v>
      </c>
    </row>
    <row r="2106" spans="1:7" ht="45" customHeight="1" x14ac:dyDescent="0.2">
      <c r="A2106" s="17" t="s">
        <v>3662</v>
      </c>
      <c r="B2106" s="17" t="s">
        <v>3141</v>
      </c>
      <c r="C2106" s="17" t="s">
        <v>718</v>
      </c>
      <c r="D2106" s="83" t="s">
        <v>23</v>
      </c>
      <c r="E2106" s="102" t="s">
        <v>719</v>
      </c>
      <c r="F2106" s="102" t="s">
        <v>719</v>
      </c>
      <c r="G2106" s="84">
        <f>SUM(G2107:G2107)</f>
        <v>1</v>
      </c>
    </row>
    <row r="2107" spans="1:7" x14ac:dyDescent="0.2">
      <c r="A2107" s="31" t="s">
        <v>3613</v>
      </c>
      <c r="B2107" s="31"/>
      <c r="C2107" s="32">
        <v>1</v>
      </c>
      <c r="D2107" s="32"/>
      <c r="E2107" s="32"/>
      <c r="F2107" s="32"/>
      <c r="G2107" s="32">
        <f>PRODUCT(C2107:F2107)</f>
        <v>1</v>
      </c>
    </row>
    <row r="2109" spans="1:7" ht="45" customHeight="1" x14ac:dyDescent="0.2">
      <c r="A2109" s="17" t="s">
        <v>3663</v>
      </c>
      <c r="B2109" s="17" t="s">
        <v>3141</v>
      </c>
      <c r="C2109" s="17" t="s">
        <v>720</v>
      </c>
      <c r="D2109" s="83" t="s">
        <v>23</v>
      </c>
      <c r="E2109" s="102" t="s">
        <v>721</v>
      </c>
      <c r="F2109" s="102" t="s">
        <v>721</v>
      </c>
      <c r="G2109" s="84">
        <f>SUM(G2110:G2110)</f>
        <v>1</v>
      </c>
    </row>
    <row r="2110" spans="1:7" x14ac:dyDescent="0.2">
      <c r="A2110" s="31" t="s">
        <v>3614</v>
      </c>
      <c r="B2110" s="31"/>
      <c r="C2110" s="32">
        <v>1</v>
      </c>
      <c r="D2110" s="32"/>
      <c r="E2110" s="32"/>
      <c r="F2110" s="32"/>
      <c r="G2110" s="32">
        <f>PRODUCT(C2110:F2110)</f>
        <v>1</v>
      </c>
    </row>
    <row r="2112" spans="1:7" ht="45" customHeight="1" x14ac:dyDescent="0.2">
      <c r="A2112" s="17" t="s">
        <v>3664</v>
      </c>
      <c r="B2112" s="17" t="s">
        <v>3141</v>
      </c>
      <c r="C2112" s="17" t="s">
        <v>722</v>
      </c>
      <c r="D2112" s="83" t="s">
        <v>23</v>
      </c>
      <c r="E2112" s="102" t="s">
        <v>723</v>
      </c>
      <c r="F2112" s="102" t="s">
        <v>723</v>
      </c>
      <c r="G2112" s="84">
        <f>SUM(G2113:G2114)</f>
        <v>2</v>
      </c>
    </row>
    <row r="2113" spans="1:7" x14ac:dyDescent="0.2">
      <c r="A2113" s="31" t="s">
        <v>3612</v>
      </c>
      <c r="B2113" s="31"/>
      <c r="C2113" s="32">
        <v>1</v>
      </c>
      <c r="D2113" s="32"/>
      <c r="E2113" s="32"/>
      <c r="F2113" s="32"/>
      <c r="G2113" s="32">
        <f>PRODUCT(C2113:F2113)</f>
        <v>1</v>
      </c>
    </row>
    <row r="2114" spans="1:7" x14ac:dyDescent="0.2">
      <c r="A2114" s="31" t="s">
        <v>3613</v>
      </c>
      <c r="B2114" s="31"/>
      <c r="C2114" s="32">
        <v>1</v>
      </c>
      <c r="D2114" s="32"/>
      <c r="E2114" s="32"/>
      <c r="F2114" s="32"/>
      <c r="G2114" s="32">
        <f>PRODUCT(C2114:F2114)</f>
        <v>1</v>
      </c>
    </row>
    <row r="2116" spans="1:7" x14ac:dyDescent="0.2">
      <c r="B2116" t="s">
        <v>3139</v>
      </c>
      <c r="C2116" s="6" t="s">
        <v>6</v>
      </c>
      <c r="D2116" s="7" t="s">
        <v>7</v>
      </c>
      <c r="E2116" s="6" t="s">
        <v>8</v>
      </c>
    </row>
    <row r="2117" spans="1:7" x14ac:dyDescent="0.2">
      <c r="B2117" t="s">
        <v>3139</v>
      </c>
      <c r="C2117" s="6" t="s">
        <v>9</v>
      </c>
      <c r="D2117" s="7" t="s">
        <v>385</v>
      </c>
      <c r="E2117" s="6" t="s">
        <v>588</v>
      </c>
    </row>
    <row r="2118" spans="1:7" x14ac:dyDescent="0.2">
      <c r="B2118" t="s">
        <v>3139</v>
      </c>
      <c r="C2118" s="6" t="s">
        <v>11</v>
      </c>
      <c r="D2118" s="7" t="s">
        <v>158</v>
      </c>
      <c r="E2118" s="6" t="s">
        <v>685</v>
      </c>
    </row>
    <row r="2119" spans="1:7" x14ac:dyDescent="0.2">
      <c r="B2119" t="s">
        <v>3139</v>
      </c>
      <c r="C2119" s="6" t="s">
        <v>91</v>
      </c>
      <c r="D2119" s="7" t="s">
        <v>26</v>
      </c>
      <c r="E2119" s="6" t="s">
        <v>712</v>
      </c>
    </row>
    <row r="2120" spans="1:7" x14ac:dyDescent="0.2">
      <c r="B2120" t="s">
        <v>3139</v>
      </c>
      <c r="C2120" s="6" t="s">
        <v>713</v>
      </c>
      <c r="D2120" s="7" t="s">
        <v>26</v>
      </c>
      <c r="E2120" s="6" t="s">
        <v>600</v>
      </c>
    </row>
    <row r="2122" spans="1:7" ht="45" customHeight="1" x14ac:dyDescent="0.2">
      <c r="A2122" s="17" t="s">
        <v>3665</v>
      </c>
      <c r="B2122" s="17" t="s">
        <v>3141</v>
      </c>
      <c r="C2122" s="17" t="s">
        <v>725</v>
      </c>
      <c r="D2122" s="83" t="s">
        <v>18</v>
      </c>
      <c r="E2122" s="102" t="s">
        <v>726</v>
      </c>
      <c r="F2122" s="102" t="s">
        <v>726</v>
      </c>
      <c r="G2122" s="84">
        <f>SUM(G2123:G2124)</f>
        <v>55</v>
      </c>
    </row>
    <row r="2123" spans="1:7" x14ac:dyDescent="0.2">
      <c r="A2123" s="31" t="s">
        <v>3612</v>
      </c>
      <c r="B2123" s="31"/>
      <c r="C2123" s="32">
        <v>35</v>
      </c>
      <c r="D2123" s="32">
        <v>1.1000000000000001</v>
      </c>
      <c r="E2123" s="32"/>
      <c r="F2123" s="32"/>
      <c r="G2123" s="32">
        <f>PRODUCT(C2123:F2123)</f>
        <v>38.5</v>
      </c>
    </row>
    <row r="2124" spans="1:7" x14ac:dyDescent="0.2">
      <c r="A2124" s="31" t="s">
        <v>3613</v>
      </c>
      <c r="B2124" s="31"/>
      <c r="C2124" s="32">
        <v>15</v>
      </c>
      <c r="D2124" s="32">
        <v>1.1000000000000001</v>
      </c>
      <c r="E2124" s="32"/>
      <c r="F2124" s="32"/>
      <c r="G2124" s="32">
        <f>PRODUCT(C2124:F2124)</f>
        <v>16.5</v>
      </c>
    </row>
    <row r="2126" spans="1:7" ht="45" customHeight="1" x14ac:dyDescent="0.2">
      <c r="A2126" s="17" t="s">
        <v>3666</v>
      </c>
      <c r="B2126" s="17" t="s">
        <v>3141</v>
      </c>
      <c r="C2126" s="17" t="s">
        <v>727</v>
      </c>
      <c r="D2126" s="83" t="s">
        <v>36</v>
      </c>
      <c r="E2126" s="102" t="s">
        <v>728</v>
      </c>
      <c r="F2126" s="102" t="s">
        <v>728</v>
      </c>
      <c r="G2126" s="84">
        <f>SUM(G2127:G2129)</f>
        <v>39.900000000000006</v>
      </c>
    </row>
    <row r="2127" spans="1:7" x14ac:dyDescent="0.2">
      <c r="A2127" s="31" t="s">
        <v>3667</v>
      </c>
      <c r="B2127" s="31"/>
      <c r="C2127" s="32">
        <v>7</v>
      </c>
      <c r="D2127" s="32">
        <v>1.05</v>
      </c>
      <c r="E2127" s="32"/>
      <c r="F2127" s="32"/>
      <c r="G2127" s="32">
        <f>PRODUCT(C2127:F2127)</f>
        <v>7.3500000000000005</v>
      </c>
    </row>
    <row r="2128" spans="1:7" x14ac:dyDescent="0.2">
      <c r="A2128" s="31" t="s">
        <v>3613</v>
      </c>
      <c r="B2128" s="31"/>
      <c r="C2128" s="32">
        <v>6</v>
      </c>
      <c r="D2128" s="32">
        <v>1.05</v>
      </c>
      <c r="E2128" s="32"/>
      <c r="F2128" s="32"/>
      <c r="G2128" s="32">
        <f>PRODUCT(C2128:F2128)</f>
        <v>6.3000000000000007</v>
      </c>
    </row>
    <row r="2129" spans="1:7" x14ac:dyDescent="0.2">
      <c r="A2129" s="31" t="s">
        <v>3614</v>
      </c>
      <c r="B2129" s="31"/>
      <c r="C2129" s="32">
        <v>25</v>
      </c>
      <c r="D2129" s="32">
        <v>1.05</v>
      </c>
      <c r="E2129" s="32"/>
      <c r="F2129" s="32"/>
      <c r="G2129" s="32">
        <f>PRODUCT(C2129:F2129)</f>
        <v>26.25</v>
      </c>
    </row>
    <row r="2131" spans="1:7" ht="45" customHeight="1" x14ac:dyDescent="0.2">
      <c r="A2131" s="17" t="s">
        <v>3668</v>
      </c>
      <c r="B2131" s="17" t="s">
        <v>3141</v>
      </c>
      <c r="C2131" s="17" t="s">
        <v>729</v>
      </c>
      <c r="D2131" s="83" t="s">
        <v>36</v>
      </c>
      <c r="E2131" s="102" t="s">
        <v>730</v>
      </c>
      <c r="F2131" s="102" t="s">
        <v>730</v>
      </c>
      <c r="G2131" s="84">
        <f>SUM(G2132:G2134)</f>
        <v>26.25</v>
      </c>
    </row>
    <row r="2132" spans="1:7" x14ac:dyDescent="0.2">
      <c r="A2132" s="31" t="s">
        <v>3667</v>
      </c>
      <c r="B2132" s="31"/>
      <c r="C2132" s="32"/>
      <c r="D2132" s="32"/>
      <c r="E2132" s="32"/>
      <c r="F2132" s="32"/>
      <c r="G2132" s="32"/>
    </row>
    <row r="2133" spans="1:7" x14ac:dyDescent="0.2">
      <c r="A2133" s="31" t="s">
        <v>3669</v>
      </c>
      <c r="B2133" s="31"/>
      <c r="C2133" s="32">
        <v>15</v>
      </c>
      <c r="D2133" s="32">
        <v>1.05</v>
      </c>
      <c r="E2133" s="32"/>
      <c r="F2133" s="32"/>
      <c r="G2133" s="32">
        <f>PRODUCT(C2133:F2133)</f>
        <v>15.75</v>
      </c>
    </row>
    <row r="2134" spans="1:7" x14ac:dyDescent="0.2">
      <c r="A2134" s="31" t="s">
        <v>3670</v>
      </c>
      <c r="B2134" s="31"/>
      <c r="C2134" s="32">
        <v>10</v>
      </c>
      <c r="D2134" s="32">
        <v>1.05</v>
      </c>
      <c r="E2134" s="32"/>
      <c r="F2134" s="32"/>
      <c r="G2134" s="32">
        <f>PRODUCT(C2134:F2134)</f>
        <v>10.5</v>
      </c>
    </row>
    <row r="2136" spans="1:7" ht="45" customHeight="1" x14ac:dyDescent="0.2">
      <c r="A2136" s="17" t="s">
        <v>3671</v>
      </c>
      <c r="B2136" s="17" t="s">
        <v>3141</v>
      </c>
      <c r="C2136" s="17" t="s">
        <v>731</v>
      </c>
      <c r="D2136" s="83" t="s">
        <v>36</v>
      </c>
      <c r="E2136" s="102" t="s">
        <v>732</v>
      </c>
      <c r="F2136" s="102" t="s">
        <v>732</v>
      </c>
      <c r="G2136" s="84">
        <f>SUM(G2137:G2137)</f>
        <v>6.3000000000000007</v>
      </c>
    </row>
    <row r="2137" spans="1:7" x14ac:dyDescent="0.2">
      <c r="A2137" s="31" t="s">
        <v>3613</v>
      </c>
      <c r="B2137" s="31"/>
      <c r="C2137" s="32">
        <v>6</v>
      </c>
      <c r="D2137" s="32">
        <v>1.05</v>
      </c>
      <c r="E2137" s="32"/>
      <c r="F2137" s="32"/>
      <c r="G2137" s="32">
        <f>PRODUCT(C2137:F2137)</f>
        <v>6.3000000000000007</v>
      </c>
    </row>
    <row r="2139" spans="1:7" ht="45" customHeight="1" x14ac:dyDescent="0.2">
      <c r="A2139" s="17" t="s">
        <v>3672</v>
      </c>
      <c r="B2139" s="17" t="s">
        <v>3141</v>
      </c>
      <c r="C2139" s="17" t="s">
        <v>733</v>
      </c>
      <c r="D2139" s="83" t="s">
        <v>36</v>
      </c>
      <c r="E2139" s="102" t="s">
        <v>734</v>
      </c>
      <c r="F2139" s="102" t="s">
        <v>734</v>
      </c>
      <c r="G2139" s="84">
        <f>SUM(G2140:G2141)</f>
        <v>21</v>
      </c>
    </row>
    <row r="2140" spans="1:7" x14ac:dyDescent="0.2">
      <c r="A2140" s="31" t="s">
        <v>3613</v>
      </c>
      <c r="B2140" s="31"/>
      <c r="C2140" s="32">
        <v>12</v>
      </c>
      <c r="D2140" s="32">
        <v>1.05</v>
      </c>
      <c r="E2140" s="32"/>
      <c r="F2140" s="32"/>
      <c r="G2140" s="32">
        <f>PRODUCT(C2140:F2140)</f>
        <v>12.600000000000001</v>
      </c>
    </row>
    <row r="2141" spans="1:7" x14ac:dyDescent="0.2">
      <c r="A2141" s="31" t="s">
        <v>3614</v>
      </c>
      <c r="B2141" s="31"/>
      <c r="C2141" s="32">
        <v>8</v>
      </c>
      <c r="D2141" s="32">
        <v>1.05</v>
      </c>
      <c r="E2141" s="32"/>
      <c r="F2141" s="32"/>
      <c r="G2141" s="32">
        <f>PRODUCT(C2141:F2141)</f>
        <v>8.4</v>
      </c>
    </row>
    <row r="2143" spans="1:7" ht="45" customHeight="1" x14ac:dyDescent="0.2">
      <c r="A2143" s="17" t="s">
        <v>3673</v>
      </c>
      <c r="B2143" s="17" t="s">
        <v>3141</v>
      </c>
      <c r="C2143" s="17" t="s">
        <v>735</v>
      </c>
      <c r="D2143" s="83" t="s">
        <v>36</v>
      </c>
      <c r="E2143" s="102" t="s">
        <v>736</v>
      </c>
      <c r="F2143" s="102" t="s">
        <v>736</v>
      </c>
      <c r="G2143" s="84">
        <f>SUM(G2144:G2146)</f>
        <v>10.5</v>
      </c>
    </row>
    <row r="2144" spans="1:7" x14ac:dyDescent="0.2">
      <c r="A2144" s="31" t="s">
        <v>3612</v>
      </c>
      <c r="B2144" s="31"/>
      <c r="C2144" s="32">
        <v>4</v>
      </c>
      <c r="D2144" s="32">
        <v>1.05</v>
      </c>
      <c r="E2144" s="32"/>
      <c r="F2144" s="32"/>
      <c r="G2144" s="32">
        <f>PRODUCT(C2144:F2144)</f>
        <v>4.2</v>
      </c>
    </row>
    <row r="2145" spans="1:7" x14ac:dyDescent="0.2">
      <c r="A2145" s="31" t="s">
        <v>3613</v>
      </c>
      <c r="B2145" s="31"/>
      <c r="C2145" s="32">
        <v>2</v>
      </c>
      <c r="D2145" s="32">
        <v>1.05</v>
      </c>
      <c r="E2145" s="32"/>
      <c r="F2145" s="32"/>
      <c r="G2145" s="32">
        <f>PRODUCT(C2145:F2145)</f>
        <v>2.1</v>
      </c>
    </row>
    <row r="2146" spans="1:7" x14ac:dyDescent="0.2">
      <c r="A2146" s="31" t="s">
        <v>3614</v>
      </c>
      <c r="B2146" s="31"/>
      <c r="C2146" s="32">
        <v>4</v>
      </c>
      <c r="D2146" s="32">
        <v>1.05</v>
      </c>
      <c r="E2146" s="32"/>
      <c r="F2146" s="32"/>
      <c r="G2146" s="32">
        <f>PRODUCT(C2146:F2146)</f>
        <v>4.2</v>
      </c>
    </row>
    <row r="2148" spans="1:7" ht="45" customHeight="1" x14ac:dyDescent="0.2">
      <c r="A2148" s="17" t="s">
        <v>3674</v>
      </c>
      <c r="B2148" s="17" t="s">
        <v>3141</v>
      </c>
      <c r="C2148" s="17" t="s">
        <v>737</v>
      </c>
      <c r="D2148" s="83" t="s">
        <v>36</v>
      </c>
      <c r="E2148" s="102" t="s">
        <v>738</v>
      </c>
      <c r="F2148" s="102" t="s">
        <v>738</v>
      </c>
      <c r="G2148" s="84">
        <f>SUM(G2149:G2149)</f>
        <v>6.3000000000000007</v>
      </c>
    </row>
    <row r="2149" spans="1:7" x14ac:dyDescent="0.2">
      <c r="A2149" s="31" t="s">
        <v>3613</v>
      </c>
      <c r="B2149" s="31"/>
      <c r="C2149" s="32">
        <v>6</v>
      </c>
      <c r="D2149" s="32">
        <v>1.05</v>
      </c>
      <c r="E2149" s="32"/>
      <c r="F2149" s="32"/>
      <c r="G2149" s="32">
        <f>PRODUCT(C2149:F2149)</f>
        <v>6.3000000000000007</v>
      </c>
    </row>
    <row r="2151" spans="1:7" x14ac:dyDescent="0.2">
      <c r="B2151" t="s">
        <v>3139</v>
      </c>
      <c r="C2151" s="6" t="s">
        <v>6</v>
      </c>
      <c r="D2151" s="7" t="s">
        <v>7</v>
      </c>
      <c r="E2151" s="6" t="s">
        <v>8</v>
      </c>
    </row>
    <row r="2152" spans="1:7" x14ac:dyDescent="0.2">
      <c r="B2152" t="s">
        <v>3139</v>
      </c>
      <c r="C2152" s="6" t="s">
        <v>9</v>
      </c>
      <c r="D2152" s="7" t="s">
        <v>385</v>
      </c>
      <c r="E2152" s="6" t="s">
        <v>588</v>
      </c>
    </row>
    <row r="2153" spans="1:7" x14ac:dyDescent="0.2">
      <c r="B2153" t="s">
        <v>3139</v>
      </c>
      <c r="C2153" s="6" t="s">
        <v>11</v>
      </c>
      <c r="D2153" s="7" t="s">
        <v>158</v>
      </c>
      <c r="E2153" s="6" t="s">
        <v>685</v>
      </c>
    </row>
    <row r="2154" spans="1:7" x14ac:dyDescent="0.2">
      <c r="B2154" t="s">
        <v>3139</v>
      </c>
      <c r="C2154" s="6" t="s">
        <v>91</v>
      </c>
      <c r="D2154" s="7" t="s">
        <v>26</v>
      </c>
      <c r="E2154" s="6" t="s">
        <v>712</v>
      </c>
    </row>
    <row r="2155" spans="1:7" x14ac:dyDescent="0.2">
      <c r="B2155" t="s">
        <v>3139</v>
      </c>
      <c r="C2155" s="6" t="s">
        <v>713</v>
      </c>
      <c r="D2155" s="7" t="s">
        <v>72</v>
      </c>
      <c r="E2155" s="6" t="s">
        <v>739</v>
      </c>
    </row>
    <row r="2157" spans="1:7" ht="45" customHeight="1" x14ac:dyDescent="0.2">
      <c r="A2157" s="17" t="s">
        <v>3675</v>
      </c>
      <c r="B2157" s="17" t="s">
        <v>3141</v>
      </c>
      <c r="C2157" s="17" t="s">
        <v>741</v>
      </c>
      <c r="D2157" s="83" t="s">
        <v>742</v>
      </c>
      <c r="E2157" s="102" t="s">
        <v>743</v>
      </c>
      <c r="F2157" s="102" t="s">
        <v>743</v>
      </c>
      <c r="G2157" s="84">
        <f>SUM(G2158:G2160)</f>
        <v>10</v>
      </c>
    </row>
    <row r="2158" spans="1:7" x14ac:dyDescent="0.2">
      <c r="A2158" s="31" t="s">
        <v>3612</v>
      </c>
      <c r="B2158" s="31"/>
      <c r="C2158" s="32">
        <v>4</v>
      </c>
      <c r="D2158" s="32"/>
      <c r="E2158" s="32"/>
      <c r="F2158" s="32"/>
      <c r="G2158" s="32">
        <f>PRODUCT(C2158:F2158)</f>
        <v>4</v>
      </c>
    </row>
    <row r="2159" spans="1:7" x14ac:dyDescent="0.2">
      <c r="A2159" s="31" t="s">
        <v>3613</v>
      </c>
      <c r="B2159" s="31"/>
      <c r="C2159" s="32">
        <v>2</v>
      </c>
      <c r="D2159" s="32"/>
      <c r="E2159" s="32"/>
      <c r="F2159" s="32"/>
      <c r="G2159" s="32">
        <f>PRODUCT(C2159:F2159)</f>
        <v>2</v>
      </c>
    </row>
    <row r="2160" spans="1:7" x14ac:dyDescent="0.2">
      <c r="A2160" s="31" t="s">
        <v>3614</v>
      </c>
      <c r="B2160" s="31"/>
      <c r="C2160" s="32">
        <v>4</v>
      </c>
      <c r="D2160" s="32"/>
      <c r="E2160" s="32"/>
      <c r="F2160" s="32"/>
      <c r="G2160" s="32">
        <f>PRODUCT(C2160:F2160)</f>
        <v>4</v>
      </c>
    </row>
    <row r="2162" spans="1:7" ht="45" customHeight="1" x14ac:dyDescent="0.2">
      <c r="A2162" s="17" t="s">
        <v>3676</v>
      </c>
      <c r="B2162" s="17" t="s">
        <v>3141</v>
      </c>
      <c r="C2162" s="17" t="s">
        <v>744</v>
      </c>
      <c r="D2162" s="83" t="s">
        <v>23</v>
      </c>
      <c r="E2162" s="102" t="s">
        <v>745</v>
      </c>
      <c r="F2162" s="102" t="s">
        <v>745</v>
      </c>
      <c r="G2162" s="84">
        <f>SUM(G2163:G2163)</f>
        <v>4</v>
      </c>
    </row>
    <row r="2163" spans="1:7" x14ac:dyDescent="0.2">
      <c r="A2163" s="31" t="s">
        <v>3614</v>
      </c>
      <c r="B2163" s="31"/>
      <c r="C2163" s="32">
        <v>4</v>
      </c>
      <c r="D2163" s="32"/>
      <c r="E2163" s="32"/>
      <c r="F2163" s="32"/>
      <c r="G2163" s="32">
        <f>PRODUCT(C2163:F2163)</f>
        <v>4</v>
      </c>
    </row>
    <row r="2165" spans="1:7" ht="45" customHeight="1" x14ac:dyDescent="0.2">
      <c r="A2165" s="17" t="s">
        <v>3677</v>
      </c>
      <c r="B2165" s="17" t="s">
        <v>3141</v>
      </c>
      <c r="C2165" s="17" t="s">
        <v>746</v>
      </c>
      <c r="D2165" s="83" t="s">
        <v>23</v>
      </c>
      <c r="E2165" s="102" t="s">
        <v>747</v>
      </c>
      <c r="F2165" s="102" t="s">
        <v>747</v>
      </c>
      <c r="G2165" s="84">
        <f>SUM(G2166:G2166)</f>
        <v>7</v>
      </c>
    </row>
    <row r="2166" spans="1:7" x14ac:dyDescent="0.2">
      <c r="A2166" s="31" t="s">
        <v>3612</v>
      </c>
      <c r="B2166" s="31"/>
      <c r="C2166" s="32">
        <v>7</v>
      </c>
      <c r="D2166" s="32"/>
      <c r="E2166" s="32"/>
      <c r="F2166" s="32"/>
      <c r="G2166" s="32">
        <f>PRODUCT(C2166:F2166)</f>
        <v>7</v>
      </c>
    </row>
    <row r="2168" spans="1:7" x14ac:dyDescent="0.2">
      <c r="B2168" t="s">
        <v>3139</v>
      </c>
      <c r="C2168" s="6" t="s">
        <v>6</v>
      </c>
      <c r="D2168" s="7" t="s">
        <v>7</v>
      </c>
      <c r="E2168" s="6" t="s">
        <v>8</v>
      </c>
    </row>
    <row r="2169" spans="1:7" x14ac:dyDescent="0.2">
      <c r="B2169" t="s">
        <v>3139</v>
      </c>
      <c r="C2169" s="6" t="s">
        <v>9</v>
      </c>
      <c r="D2169" s="7" t="s">
        <v>385</v>
      </c>
      <c r="E2169" s="6" t="s">
        <v>588</v>
      </c>
    </row>
    <row r="2170" spans="1:7" x14ac:dyDescent="0.2">
      <c r="B2170" t="s">
        <v>3139</v>
      </c>
      <c r="C2170" s="6" t="s">
        <v>11</v>
      </c>
      <c r="D2170" s="7" t="s">
        <v>385</v>
      </c>
      <c r="E2170" s="6" t="s">
        <v>748</v>
      </c>
    </row>
    <row r="2171" spans="1:7" x14ac:dyDescent="0.2">
      <c r="B2171" t="s">
        <v>3139</v>
      </c>
      <c r="C2171" s="6" t="s">
        <v>91</v>
      </c>
      <c r="D2171" s="7" t="s">
        <v>7</v>
      </c>
      <c r="E2171" s="6" t="s">
        <v>753</v>
      </c>
    </row>
    <row r="2173" spans="1:7" ht="45" customHeight="1" x14ac:dyDescent="0.2">
      <c r="A2173" s="17" t="s">
        <v>3678</v>
      </c>
      <c r="B2173" s="17" t="s">
        <v>3141</v>
      </c>
      <c r="C2173" s="17" t="s">
        <v>755</v>
      </c>
      <c r="D2173" s="83" t="s">
        <v>23</v>
      </c>
      <c r="E2173" s="102" t="s">
        <v>756</v>
      </c>
      <c r="F2173" s="102" t="s">
        <v>756</v>
      </c>
      <c r="G2173" s="84">
        <f>SUM(G2174:G2174)</f>
        <v>11</v>
      </c>
    </row>
    <row r="2174" spans="1:7" x14ac:dyDescent="0.2">
      <c r="A2174" s="31"/>
      <c r="B2174" s="31"/>
      <c r="C2174" s="32">
        <v>11</v>
      </c>
      <c r="D2174" s="32"/>
      <c r="E2174" s="32"/>
      <c r="F2174" s="32"/>
      <c r="G2174" s="32">
        <f>PRODUCT(C2174:F2174)</f>
        <v>11</v>
      </c>
    </row>
    <row r="2176" spans="1:7" ht="45" customHeight="1" x14ac:dyDescent="0.2">
      <c r="A2176" s="17" t="s">
        <v>3679</v>
      </c>
      <c r="B2176" s="17" t="s">
        <v>3141</v>
      </c>
      <c r="C2176" s="17" t="s">
        <v>757</v>
      </c>
      <c r="D2176" s="83" t="s">
        <v>36</v>
      </c>
      <c r="E2176" s="102" t="s">
        <v>758</v>
      </c>
      <c r="F2176" s="102" t="s">
        <v>758</v>
      </c>
      <c r="G2176" s="84">
        <f>SUM(G2177:G2177)</f>
        <v>42</v>
      </c>
    </row>
    <row r="2177" spans="1:7" x14ac:dyDescent="0.2">
      <c r="A2177" s="31"/>
      <c r="B2177" s="31"/>
      <c r="C2177" s="32">
        <v>42</v>
      </c>
      <c r="D2177" s="32"/>
      <c r="E2177" s="32"/>
      <c r="F2177" s="32"/>
      <c r="G2177" s="32">
        <f>PRODUCT(C2177:F2177)</f>
        <v>42</v>
      </c>
    </row>
    <row r="2179" spans="1:7" ht="45" customHeight="1" x14ac:dyDescent="0.2">
      <c r="A2179" s="17" t="s">
        <v>3680</v>
      </c>
      <c r="B2179" s="17" t="s">
        <v>3141</v>
      </c>
      <c r="C2179" s="17" t="s">
        <v>759</v>
      </c>
      <c r="D2179" s="83" t="s">
        <v>23</v>
      </c>
      <c r="E2179" s="102" t="s">
        <v>760</v>
      </c>
      <c r="F2179" s="102" t="s">
        <v>760</v>
      </c>
      <c r="G2179" s="84">
        <f>SUM(G2180:G2180)</f>
        <v>3</v>
      </c>
    </row>
    <row r="2180" spans="1:7" x14ac:dyDescent="0.2">
      <c r="A2180" s="31"/>
      <c r="B2180" s="31"/>
      <c r="C2180" s="32">
        <v>3</v>
      </c>
      <c r="D2180" s="32"/>
      <c r="E2180" s="32"/>
      <c r="F2180" s="32"/>
      <c r="G2180" s="32">
        <f>PRODUCT(C2180:F2180)</f>
        <v>3</v>
      </c>
    </row>
    <row r="2182" spans="1:7" ht="45" customHeight="1" x14ac:dyDescent="0.2">
      <c r="A2182" s="17" t="s">
        <v>3681</v>
      </c>
      <c r="B2182" s="17" t="s">
        <v>3141</v>
      </c>
      <c r="C2182" s="17" t="s">
        <v>761</v>
      </c>
      <c r="D2182" s="83" t="s">
        <v>625</v>
      </c>
      <c r="E2182" s="102" t="s">
        <v>762</v>
      </c>
      <c r="F2182" s="102" t="s">
        <v>762</v>
      </c>
      <c r="G2182" s="84">
        <f>SUM(G2183:G2183)</f>
        <v>1</v>
      </c>
    </row>
    <row r="2183" spans="1:7" x14ac:dyDescent="0.2">
      <c r="A2183" s="31"/>
      <c r="B2183" s="31"/>
      <c r="C2183" s="32">
        <v>1</v>
      </c>
      <c r="D2183" s="32"/>
      <c r="E2183" s="32"/>
      <c r="F2183" s="32"/>
      <c r="G2183" s="32">
        <f>PRODUCT(C2183:F2183)</f>
        <v>1</v>
      </c>
    </row>
    <row r="2185" spans="1:7" x14ac:dyDescent="0.2">
      <c r="B2185" t="s">
        <v>3139</v>
      </c>
      <c r="C2185" s="6" t="s">
        <v>6</v>
      </c>
      <c r="D2185" s="7" t="s">
        <v>7</v>
      </c>
      <c r="E2185" s="6" t="s">
        <v>8</v>
      </c>
    </row>
    <row r="2186" spans="1:7" x14ac:dyDescent="0.2">
      <c r="B2186" t="s">
        <v>3139</v>
      </c>
      <c r="C2186" s="6" t="s">
        <v>9</v>
      </c>
      <c r="D2186" s="7" t="s">
        <v>385</v>
      </c>
      <c r="E2186" s="6" t="s">
        <v>588</v>
      </c>
    </row>
    <row r="2187" spans="1:7" x14ac:dyDescent="0.2">
      <c r="B2187" t="s">
        <v>3139</v>
      </c>
      <c r="C2187" s="6" t="s">
        <v>11</v>
      </c>
      <c r="D2187" s="7" t="s">
        <v>385</v>
      </c>
      <c r="E2187" s="6" t="s">
        <v>748</v>
      </c>
    </row>
    <row r="2188" spans="1:7" x14ac:dyDescent="0.2">
      <c r="B2188" t="s">
        <v>3139</v>
      </c>
      <c r="C2188" s="6" t="s">
        <v>91</v>
      </c>
      <c r="D2188" s="7" t="s">
        <v>26</v>
      </c>
      <c r="E2188" s="6" t="s">
        <v>600</v>
      </c>
    </row>
    <row r="2190" spans="1:7" ht="45" customHeight="1" x14ac:dyDescent="0.2">
      <c r="A2190" s="17" t="s">
        <v>3682</v>
      </c>
      <c r="B2190" s="17" t="s">
        <v>3141</v>
      </c>
      <c r="C2190" s="17" t="s">
        <v>764</v>
      </c>
      <c r="D2190" s="83" t="s">
        <v>36</v>
      </c>
      <c r="E2190" s="102" t="s">
        <v>765</v>
      </c>
      <c r="F2190" s="102" t="s">
        <v>765</v>
      </c>
      <c r="G2190" s="84">
        <f>SUM(G2191:G2192)</f>
        <v>4485</v>
      </c>
    </row>
    <row r="2191" spans="1:7" x14ac:dyDescent="0.2">
      <c r="A2191" s="31" t="s">
        <v>3683</v>
      </c>
      <c r="B2191" s="31"/>
      <c r="C2191" s="32">
        <v>265</v>
      </c>
      <c r="D2191" s="32">
        <v>15</v>
      </c>
      <c r="E2191" s="32"/>
      <c r="F2191" s="32"/>
      <c r="G2191" s="32">
        <f>PRODUCT(C2191:F2191)</f>
        <v>3975</v>
      </c>
    </row>
    <row r="2192" spans="1:7" x14ac:dyDescent="0.2">
      <c r="A2192" s="31" t="s">
        <v>788</v>
      </c>
      <c r="B2192" s="31"/>
      <c r="C2192" s="32">
        <v>34</v>
      </c>
      <c r="D2192" s="32">
        <v>15</v>
      </c>
      <c r="E2192" s="32"/>
      <c r="F2192" s="32"/>
      <c r="G2192" s="32">
        <f>PRODUCT(C2192:F2192)</f>
        <v>510</v>
      </c>
    </row>
    <row r="2194" spans="1:7" ht="45" customHeight="1" x14ac:dyDescent="0.2">
      <c r="A2194" s="17" t="s">
        <v>3684</v>
      </c>
      <c r="B2194" s="17" t="s">
        <v>3141</v>
      </c>
      <c r="C2194" s="17" t="s">
        <v>766</v>
      </c>
      <c r="D2194" s="83" t="s">
        <v>36</v>
      </c>
      <c r="E2194" s="102" t="s">
        <v>767</v>
      </c>
      <c r="F2194" s="102" t="s">
        <v>767</v>
      </c>
      <c r="G2194" s="84">
        <f>SUM(G2195:G2198)</f>
        <v>1520</v>
      </c>
    </row>
    <row r="2195" spans="1:7" x14ac:dyDescent="0.2">
      <c r="A2195" s="31" t="s">
        <v>3685</v>
      </c>
      <c r="B2195" s="31"/>
      <c r="C2195" s="32">
        <v>27</v>
      </c>
      <c r="D2195" s="32">
        <v>2</v>
      </c>
      <c r="E2195" s="32">
        <v>20</v>
      </c>
      <c r="F2195" s="32"/>
      <c r="G2195" s="32">
        <f>PRODUCT(C2195:F2195)</f>
        <v>1080</v>
      </c>
    </row>
    <row r="2196" spans="1:7" x14ac:dyDescent="0.2">
      <c r="A2196" s="31" t="s">
        <v>3686</v>
      </c>
      <c r="B2196" s="31"/>
      <c r="C2196" s="32">
        <v>11</v>
      </c>
      <c r="D2196" s="32"/>
      <c r="E2196" s="32">
        <v>20</v>
      </c>
      <c r="F2196" s="32"/>
      <c r="G2196" s="32">
        <f>PRODUCT(C2196:F2196)</f>
        <v>220</v>
      </c>
    </row>
    <row r="2197" spans="1:7" x14ac:dyDescent="0.2">
      <c r="A2197" s="31" t="s">
        <v>3687</v>
      </c>
      <c r="B2197" s="31"/>
      <c r="C2197" s="32">
        <v>2</v>
      </c>
      <c r="D2197" s="32">
        <v>2</v>
      </c>
      <c r="E2197" s="32">
        <v>25</v>
      </c>
      <c r="F2197" s="32"/>
      <c r="G2197" s="32">
        <f>PRODUCT(C2197:F2197)</f>
        <v>100</v>
      </c>
    </row>
    <row r="2198" spans="1:7" x14ac:dyDescent="0.2">
      <c r="A2198" s="31" t="s">
        <v>3688</v>
      </c>
      <c r="B2198" s="31"/>
      <c r="C2198" s="32">
        <v>4</v>
      </c>
      <c r="D2198" s="32"/>
      <c r="E2198" s="32">
        <v>30</v>
      </c>
      <c r="F2198" s="32"/>
      <c r="G2198" s="32">
        <f>PRODUCT(C2198:F2198)</f>
        <v>120</v>
      </c>
    </row>
    <row r="2200" spans="1:7" ht="45" customHeight="1" x14ac:dyDescent="0.2">
      <c r="A2200" s="17" t="s">
        <v>3689</v>
      </c>
      <c r="B2200" s="17" t="s">
        <v>3141</v>
      </c>
      <c r="C2200" s="17" t="s">
        <v>768</v>
      </c>
      <c r="D2200" s="83" t="s">
        <v>36</v>
      </c>
      <c r="E2200" s="102" t="s">
        <v>769</v>
      </c>
      <c r="F2200" s="102" t="s">
        <v>769</v>
      </c>
      <c r="G2200" s="84">
        <f>SUM(G2201:G2201)</f>
        <v>15.75</v>
      </c>
    </row>
    <row r="2201" spans="1:7" x14ac:dyDescent="0.2">
      <c r="A2201" s="31"/>
      <c r="B2201" s="31"/>
      <c r="C2201" s="32">
        <v>15</v>
      </c>
      <c r="D2201" s="32">
        <v>1.05</v>
      </c>
      <c r="E2201" s="32"/>
      <c r="F2201" s="32"/>
      <c r="G2201" s="32">
        <f>PRODUCT(C2201:F2201)</f>
        <v>15.75</v>
      </c>
    </row>
    <row r="2203" spans="1:7" ht="45" customHeight="1" x14ac:dyDescent="0.2">
      <c r="A2203" s="17" t="s">
        <v>3690</v>
      </c>
      <c r="B2203" s="17" t="s">
        <v>3141</v>
      </c>
      <c r="C2203" s="17" t="s">
        <v>770</v>
      </c>
      <c r="D2203" s="83" t="s">
        <v>36</v>
      </c>
      <c r="E2203" s="102" t="s">
        <v>771</v>
      </c>
      <c r="F2203" s="102" t="s">
        <v>771</v>
      </c>
      <c r="G2203" s="84">
        <f>SUM(G2204:G2204)</f>
        <v>100</v>
      </c>
    </row>
    <row r="2204" spans="1:7" x14ac:dyDescent="0.2">
      <c r="A2204" s="31" t="s">
        <v>3691</v>
      </c>
      <c r="B2204" s="31"/>
      <c r="C2204" s="32">
        <v>50</v>
      </c>
      <c r="D2204" s="32">
        <v>2</v>
      </c>
      <c r="E2204" s="32"/>
      <c r="F2204" s="32"/>
      <c r="G2204" s="32">
        <f>PRODUCT(C2204:F2204)</f>
        <v>100</v>
      </c>
    </row>
    <row r="2206" spans="1:7" ht="45" customHeight="1" x14ac:dyDescent="0.2">
      <c r="A2206" s="17" t="s">
        <v>3692</v>
      </c>
      <c r="B2206" s="17" t="s">
        <v>3141</v>
      </c>
      <c r="C2206" s="17" t="s">
        <v>772</v>
      </c>
      <c r="D2206" s="83" t="s">
        <v>36</v>
      </c>
      <c r="E2206" s="102" t="s">
        <v>773</v>
      </c>
      <c r="F2206" s="102" t="s">
        <v>773</v>
      </c>
      <c r="G2206" s="84">
        <f>SUM(G2207:G2207)</f>
        <v>42</v>
      </c>
    </row>
    <row r="2207" spans="1:7" x14ac:dyDescent="0.2">
      <c r="A2207" s="31" t="s">
        <v>3693</v>
      </c>
      <c r="B2207" s="31"/>
      <c r="C2207" s="32">
        <v>40</v>
      </c>
      <c r="D2207" s="32">
        <v>1.05</v>
      </c>
      <c r="E2207" s="32"/>
      <c r="F2207" s="32"/>
      <c r="G2207" s="32">
        <f>PRODUCT(C2207:F2207)</f>
        <v>42</v>
      </c>
    </row>
    <row r="2209" spans="1:7" ht="45" customHeight="1" x14ac:dyDescent="0.2">
      <c r="A2209" s="17" t="s">
        <v>3694</v>
      </c>
      <c r="B2209" s="17" t="s">
        <v>3141</v>
      </c>
      <c r="C2209" s="17" t="s">
        <v>774</v>
      </c>
      <c r="D2209" s="83" t="s">
        <v>36</v>
      </c>
      <c r="E2209" s="102" t="s">
        <v>775</v>
      </c>
      <c r="F2209" s="102" t="s">
        <v>775</v>
      </c>
      <c r="G2209" s="84">
        <f>SUM(G2210:G2210)</f>
        <v>18.900000000000002</v>
      </c>
    </row>
    <row r="2210" spans="1:7" x14ac:dyDescent="0.2">
      <c r="A2210" s="31" t="s">
        <v>3695</v>
      </c>
      <c r="B2210" s="31"/>
      <c r="C2210" s="32">
        <v>18</v>
      </c>
      <c r="D2210" s="32">
        <v>1.05</v>
      </c>
      <c r="E2210" s="32"/>
      <c r="F2210" s="32"/>
      <c r="G2210" s="32">
        <f>PRODUCT(C2210:F2210)</f>
        <v>18.900000000000002</v>
      </c>
    </row>
    <row r="2212" spans="1:7" ht="45" customHeight="1" x14ac:dyDescent="0.2">
      <c r="A2212" s="17" t="s">
        <v>3696</v>
      </c>
      <c r="B2212" s="17" t="s">
        <v>3141</v>
      </c>
      <c r="C2212" s="17" t="s">
        <v>776</v>
      </c>
      <c r="D2212" s="83" t="s">
        <v>36</v>
      </c>
      <c r="E2212" s="102" t="s">
        <v>777</v>
      </c>
      <c r="F2212" s="102" t="s">
        <v>777</v>
      </c>
      <c r="G2212" s="84">
        <f>SUM(G2213:G2213)</f>
        <v>35</v>
      </c>
    </row>
    <row r="2213" spans="1:7" x14ac:dyDescent="0.2">
      <c r="A2213" s="31" t="s">
        <v>3612</v>
      </c>
      <c r="B2213" s="31"/>
      <c r="C2213" s="32">
        <v>35</v>
      </c>
      <c r="D2213" s="32"/>
      <c r="E2213" s="32"/>
      <c r="F2213" s="32"/>
      <c r="G2213" s="32">
        <f>PRODUCT(C2213:F2213)</f>
        <v>35</v>
      </c>
    </row>
    <row r="2215" spans="1:7" ht="45" customHeight="1" x14ac:dyDescent="0.2">
      <c r="A2215" s="17" t="s">
        <v>3697</v>
      </c>
      <c r="B2215" s="17" t="s">
        <v>3141</v>
      </c>
      <c r="C2215" s="17" t="s">
        <v>778</v>
      </c>
      <c r="D2215" s="83" t="s">
        <v>36</v>
      </c>
      <c r="E2215" s="102" t="s">
        <v>779</v>
      </c>
      <c r="F2215" s="102" t="s">
        <v>779</v>
      </c>
      <c r="G2215" s="84">
        <f>SUM(G2216:G2216)</f>
        <v>36.75</v>
      </c>
    </row>
    <row r="2216" spans="1:7" x14ac:dyDescent="0.2">
      <c r="A2216" s="31" t="s">
        <v>3612</v>
      </c>
      <c r="B2216" s="31"/>
      <c r="C2216" s="32">
        <v>35</v>
      </c>
      <c r="D2216" s="32">
        <v>1.05</v>
      </c>
      <c r="E2216" s="32"/>
      <c r="F2216" s="32"/>
      <c r="G2216" s="32">
        <f>PRODUCT(C2216:F2216)</f>
        <v>36.75</v>
      </c>
    </row>
    <row r="2218" spans="1:7" ht="45" customHeight="1" x14ac:dyDescent="0.2">
      <c r="A2218" s="17" t="s">
        <v>3698</v>
      </c>
      <c r="B2218" s="17" t="s">
        <v>3141</v>
      </c>
      <c r="C2218" s="17" t="s">
        <v>780</v>
      </c>
      <c r="D2218" s="83" t="s">
        <v>36</v>
      </c>
      <c r="E2218" s="102" t="s">
        <v>781</v>
      </c>
      <c r="F2218" s="102" t="s">
        <v>781</v>
      </c>
      <c r="G2218" s="84">
        <f>SUM(G2219:G2221)</f>
        <v>735</v>
      </c>
    </row>
    <row r="2219" spans="1:7" x14ac:dyDescent="0.2">
      <c r="A2219" s="31" t="s">
        <v>3612</v>
      </c>
      <c r="B2219" s="31"/>
      <c r="C2219" s="32">
        <v>6</v>
      </c>
      <c r="D2219" s="32">
        <v>25</v>
      </c>
      <c r="E2219" s="32"/>
      <c r="F2219" s="32"/>
      <c r="G2219" s="32">
        <f>PRODUCT(C2219:F2219)</f>
        <v>150</v>
      </c>
    </row>
    <row r="2220" spans="1:7" x14ac:dyDescent="0.2">
      <c r="A2220" s="31" t="s">
        <v>3613</v>
      </c>
      <c r="B2220" s="31"/>
      <c r="C2220" s="32">
        <v>5</v>
      </c>
      <c r="D2220" s="32">
        <v>15</v>
      </c>
      <c r="E2220" s="32"/>
      <c r="F2220" s="32"/>
      <c r="G2220" s="32">
        <f>PRODUCT(C2220:F2220)</f>
        <v>75</v>
      </c>
    </row>
    <row r="2221" spans="1:7" x14ac:dyDescent="0.2">
      <c r="A2221" s="31" t="s">
        <v>3643</v>
      </c>
      <c r="B2221" s="31"/>
      <c r="C2221" s="32">
        <v>15</v>
      </c>
      <c r="D2221" s="32">
        <v>34</v>
      </c>
      <c r="E2221" s="32"/>
      <c r="F2221" s="32"/>
      <c r="G2221" s="32">
        <f>PRODUCT(C2221:F2221)</f>
        <v>510</v>
      </c>
    </row>
    <row r="2223" spans="1:7" ht="45" customHeight="1" x14ac:dyDescent="0.2">
      <c r="A2223" s="17" t="s">
        <v>3699</v>
      </c>
      <c r="B2223" s="17" t="s">
        <v>3141</v>
      </c>
      <c r="C2223" s="17" t="s">
        <v>782</v>
      </c>
      <c r="D2223" s="83" t="s">
        <v>36</v>
      </c>
      <c r="E2223" s="102" t="s">
        <v>783</v>
      </c>
      <c r="F2223" s="102" t="s">
        <v>783</v>
      </c>
      <c r="G2223" s="84">
        <f>SUM(G2224:G2227)</f>
        <v>97.5</v>
      </c>
    </row>
    <row r="2224" spans="1:7" x14ac:dyDescent="0.2">
      <c r="A2224" s="31" t="s">
        <v>3612</v>
      </c>
      <c r="B2224" s="31"/>
      <c r="C2224" s="32">
        <v>6</v>
      </c>
      <c r="D2224" s="32">
        <v>5</v>
      </c>
      <c r="E2224" s="32"/>
      <c r="F2224" s="32"/>
      <c r="G2224" s="32">
        <f>PRODUCT(C2224:F2224)</f>
        <v>30</v>
      </c>
    </row>
    <row r="2225" spans="1:7" x14ac:dyDescent="0.2">
      <c r="A2225" s="31" t="s">
        <v>3612</v>
      </c>
      <c r="B2225" s="31"/>
      <c r="C2225" s="32">
        <v>13</v>
      </c>
      <c r="D2225" s="32">
        <v>50</v>
      </c>
      <c r="E2225" s="32">
        <v>0.05</v>
      </c>
      <c r="F2225" s="32"/>
      <c r="G2225" s="32">
        <f>PRODUCT(C2225:F2225)</f>
        <v>32.5</v>
      </c>
    </row>
    <row r="2226" spans="1:7" x14ac:dyDescent="0.2">
      <c r="A2226" s="31" t="s">
        <v>3613</v>
      </c>
      <c r="B2226" s="31"/>
      <c r="C2226" s="32">
        <v>9</v>
      </c>
      <c r="D2226" s="32">
        <v>50</v>
      </c>
      <c r="E2226" s="32">
        <v>0.05</v>
      </c>
      <c r="F2226" s="32"/>
      <c r="G2226" s="32">
        <f>PRODUCT(C2226:F2226)</f>
        <v>22.5</v>
      </c>
    </row>
    <row r="2227" spans="1:7" x14ac:dyDescent="0.2">
      <c r="A2227" s="31" t="s">
        <v>3614</v>
      </c>
      <c r="B2227" s="31"/>
      <c r="C2227" s="32">
        <v>5</v>
      </c>
      <c r="D2227" s="32">
        <v>50</v>
      </c>
      <c r="E2227" s="32">
        <v>0.05</v>
      </c>
      <c r="F2227" s="32"/>
      <c r="G2227" s="32">
        <f>PRODUCT(C2227:F2227)</f>
        <v>12.5</v>
      </c>
    </row>
    <row r="2229" spans="1:7" ht="45" customHeight="1" x14ac:dyDescent="0.2">
      <c r="A2229" s="17" t="s">
        <v>3700</v>
      </c>
      <c r="B2229" s="17" t="s">
        <v>3141</v>
      </c>
      <c r="C2229" s="17" t="s">
        <v>784</v>
      </c>
      <c r="D2229" s="83" t="s">
        <v>36</v>
      </c>
      <c r="E2229" s="102" t="s">
        <v>785</v>
      </c>
      <c r="F2229" s="102" t="s">
        <v>785</v>
      </c>
      <c r="G2229" s="84">
        <f>SUM(G2230:G2231)</f>
        <v>812.75</v>
      </c>
    </row>
    <row r="2230" spans="1:7" x14ac:dyDescent="0.2">
      <c r="A2230" s="31" t="s">
        <v>3701</v>
      </c>
      <c r="B2230" s="31"/>
      <c r="C2230" s="32">
        <v>4485</v>
      </c>
      <c r="D2230" s="32">
        <v>0.15</v>
      </c>
      <c r="E2230" s="32"/>
      <c r="F2230" s="32"/>
      <c r="G2230" s="32">
        <f>PRODUCT(C2230:F2230)</f>
        <v>672.75</v>
      </c>
    </row>
    <row r="2231" spans="1:7" x14ac:dyDescent="0.2">
      <c r="A2231" s="31" t="s">
        <v>3702</v>
      </c>
      <c r="B2231" s="31"/>
      <c r="C2231" s="32">
        <v>1400</v>
      </c>
      <c r="D2231" s="32">
        <v>0.1</v>
      </c>
      <c r="E2231" s="32"/>
      <c r="F2231" s="32"/>
      <c r="G2231" s="32">
        <f>PRODUCT(C2231:F2231)</f>
        <v>140</v>
      </c>
    </row>
    <row r="2233" spans="1:7" ht="45" customHeight="1" x14ac:dyDescent="0.2">
      <c r="A2233" s="17" t="s">
        <v>3703</v>
      </c>
      <c r="B2233" s="17" t="s">
        <v>3141</v>
      </c>
      <c r="C2233" s="17" t="s">
        <v>786</v>
      </c>
      <c r="D2233" s="83" t="s">
        <v>36</v>
      </c>
      <c r="E2233" s="102" t="s">
        <v>787</v>
      </c>
      <c r="F2233" s="102" t="s">
        <v>787</v>
      </c>
      <c r="G2233" s="84">
        <f>SUM(G2234:G2235)</f>
        <v>434.25</v>
      </c>
    </row>
    <row r="2234" spans="1:7" x14ac:dyDescent="0.2">
      <c r="A2234" s="31" t="s">
        <v>3701</v>
      </c>
      <c r="B2234" s="31"/>
      <c r="C2234" s="32">
        <v>4485</v>
      </c>
      <c r="D2234" s="32">
        <v>0.05</v>
      </c>
      <c r="E2234" s="32"/>
      <c r="F2234" s="32"/>
      <c r="G2234" s="32">
        <f>PRODUCT(C2234:F2234)</f>
        <v>224.25</v>
      </c>
    </row>
    <row r="2235" spans="1:7" x14ac:dyDescent="0.2">
      <c r="A2235" s="31" t="s">
        <v>3702</v>
      </c>
      <c r="B2235" s="31"/>
      <c r="C2235" s="32">
        <v>1400</v>
      </c>
      <c r="D2235" s="32">
        <v>0.15</v>
      </c>
      <c r="E2235" s="32"/>
      <c r="F2235" s="32"/>
      <c r="G2235" s="32">
        <f>PRODUCT(C2235:F2235)</f>
        <v>210</v>
      </c>
    </row>
    <row r="2237" spans="1:7" x14ac:dyDescent="0.2">
      <c r="B2237" t="s">
        <v>3139</v>
      </c>
      <c r="C2237" s="6" t="s">
        <v>6</v>
      </c>
      <c r="D2237" s="7" t="s">
        <v>7</v>
      </c>
      <c r="E2237" s="6" t="s">
        <v>8</v>
      </c>
    </row>
    <row r="2238" spans="1:7" x14ac:dyDescent="0.2">
      <c r="B2238" t="s">
        <v>3139</v>
      </c>
      <c r="C2238" s="6" t="s">
        <v>9</v>
      </c>
      <c r="D2238" s="7" t="s">
        <v>385</v>
      </c>
      <c r="E2238" s="6" t="s">
        <v>588</v>
      </c>
    </row>
    <row r="2239" spans="1:7" x14ac:dyDescent="0.2">
      <c r="B2239" t="s">
        <v>3139</v>
      </c>
      <c r="C2239" s="6" t="s">
        <v>11</v>
      </c>
      <c r="D2239" s="7" t="s">
        <v>385</v>
      </c>
      <c r="E2239" s="6" t="s">
        <v>748</v>
      </c>
    </row>
    <row r="2240" spans="1:7" x14ac:dyDescent="0.2">
      <c r="B2240" t="s">
        <v>3139</v>
      </c>
      <c r="C2240" s="6" t="s">
        <v>91</v>
      </c>
      <c r="D2240" s="7" t="s">
        <v>72</v>
      </c>
      <c r="E2240" s="6" t="s">
        <v>788</v>
      </c>
    </row>
    <row r="2242" spans="1:7" ht="45" customHeight="1" x14ac:dyDescent="0.2">
      <c r="A2242" s="17" t="s">
        <v>3704</v>
      </c>
      <c r="B2242" s="17" t="s">
        <v>3141</v>
      </c>
      <c r="C2242" s="17" t="s">
        <v>790</v>
      </c>
      <c r="D2242" s="83" t="s">
        <v>23</v>
      </c>
      <c r="E2242" s="102" t="s">
        <v>791</v>
      </c>
      <c r="F2242" s="102" t="s">
        <v>791</v>
      </c>
      <c r="G2242" s="84">
        <f>SUM(G2243:G2245)</f>
        <v>27</v>
      </c>
    </row>
    <row r="2243" spans="1:7" x14ac:dyDescent="0.2">
      <c r="A2243" s="31" t="s">
        <v>3612</v>
      </c>
      <c r="B2243" s="31"/>
      <c r="C2243" s="32">
        <v>13</v>
      </c>
      <c r="D2243" s="32"/>
      <c r="E2243" s="32"/>
      <c r="F2243" s="32"/>
      <c r="G2243" s="32">
        <f>PRODUCT(C2243:F2243)</f>
        <v>13</v>
      </c>
    </row>
    <row r="2244" spans="1:7" x14ac:dyDescent="0.2">
      <c r="A2244" s="31" t="s">
        <v>3613</v>
      </c>
      <c r="B2244" s="31"/>
      <c r="C2244" s="32">
        <v>9</v>
      </c>
      <c r="D2244" s="32"/>
      <c r="E2244" s="32"/>
      <c r="F2244" s="32"/>
      <c r="G2244" s="32">
        <f>PRODUCT(C2244:F2244)</f>
        <v>9</v>
      </c>
    </row>
    <row r="2245" spans="1:7" x14ac:dyDescent="0.2">
      <c r="A2245" s="31" t="s">
        <v>3614</v>
      </c>
      <c r="B2245" s="31"/>
      <c r="C2245" s="32">
        <v>5</v>
      </c>
      <c r="D2245" s="32"/>
      <c r="E2245" s="32"/>
      <c r="F2245" s="32"/>
      <c r="G2245" s="32">
        <f>PRODUCT(C2245:F2245)</f>
        <v>5</v>
      </c>
    </row>
    <row r="2247" spans="1:7" ht="45" customHeight="1" x14ac:dyDescent="0.2">
      <c r="A2247" s="17" t="s">
        <v>3705</v>
      </c>
      <c r="B2247" s="17" t="s">
        <v>3141</v>
      </c>
      <c r="C2247" s="17" t="s">
        <v>792</v>
      </c>
      <c r="D2247" s="83" t="s">
        <v>23</v>
      </c>
      <c r="E2247" s="102" t="s">
        <v>793</v>
      </c>
      <c r="F2247" s="102" t="s">
        <v>793</v>
      </c>
      <c r="G2247" s="84">
        <f>SUM(G2248:G2248)</f>
        <v>2</v>
      </c>
    </row>
    <row r="2248" spans="1:7" x14ac:dyDescent="0.2">
      <c r="A2248" s="31" t="s">
        <v>3643</v>
      </c>
      <c r="B2248" s="31"/>
      <c r="C2248" s="32">
        <v>2</v>
      </c>
      <c r="D2248" s="32"/>
      <c r="E2248" s="32"/>
      <c r="F2248" s="32"/>
      <c r="G2248" s="32">
        <f>PRODUCT(C2248:F2248)</f>
        <v>2</v>
      </c>
    </row>
    <row r="2250" spans="1:7" ht="45" customHeight="1" x14ac:dyDescent="0.2">
      <c r="A2250" s="17" t="s">
        <v>3706</v>
      </c>
      <c r="B2250" s="17" t="s">
        <v>3141</v>
      </c>
      <c r="C2250" s="17" t="s">
        <v>794</v>
      </c>
      <c r="D2250" s="83" t="s">
        <v>23</v>
      </c>
      <c r="E2250" s="102" t="s">
        <v>795</v>
      </c>
      <c r="F2250" s="102" t="s">
        <v>795</v>
      </c>
      <c r="G2250" s="84">
        <f>SUM(G2251:G2253)</f>
        <v>8</v>
      </c>
    </row>
    <row r="2251" spans="1:7" x14ac:dyDescent="0.2">
      <c r="A2251" s="31" t="s">
        <v>3612</v>
      </c>
      <c r="B2251" s="31"/>
      <c r="C2251" s="32">
        <v>6</v>
      </c>
      <c r="D2251" s="32"/>
      <c r="E2251" s="32"/>
      <c r="F2251" s="32"/>
      <c r="G2251" s="32">
        <f>PRODUCT(C2251:F2251)</f>
        <v>6</v>
      </c>
    </row>
    <row r="2252" spans="1:7" x14ac:dyDescent="0.2">
      <c r="A2252" s="31" t="s">
        <v>3613</v>
      </c>
      <c r="B2252" s="31"/>
      <c r="C2252" s="32">
        <v>2</v>
      </c>
      <c r="D2252" s="32"/>
      <c r="E2252" s="32"/>
      <c r="F2252" s="32"/>
      <c r="G2252" s="32">
        <f>PRODUCT(C2252:F2252)</f>
        <v>2</v>
      </c>
    </row>
    <row r="2253" spans="1:7" x14ac:dyDescent="0.2">
      <c r="A2253" s="31" t="s">
        <v>3614</v>
      </c>
      <c r="B2253" s="31"/>
      <c r="C2253" s="32"/>
      <c r="D2253" s="32"/>
      <c r="E2253" s="32"/>
      <c r="F2253" s="32"/>
      <c r="G2253" s="32">
        <f>PRODUCT(C2253:F2253)</f>
        <v>0</v>
      </c>
    </row>
    <row r="2255" spans="1:7" ht="45" customHeight="1" x14ac:dyDescent="0.2">
      <c r="A2255" s="17" t="s">
        <v>3707</v>
      </c>
      <c r="B2255" s="17" t="s">
        <v>3141</v>
      </c>
      <c r="C2255" s="17" t="s">
        <v>796</v>
      </c>
      <c r="D2255" s="83" t="s">
        <v>23</v>
      </c>
      <c r="E2255" s="102" t="s">
        <v>797</v>
      </c>
      <c r="F2255" s="102" t="s">
        <v>797</v>
      </c>
      <c r="G2255" s="84">
        <f>SUM(G2256:G2258)</f>
        <v>8</v>
      </c>
    </row>
    <row r="2256" spans="1:7" x14ac:dyDescent="0.2">
      <c r="A2256" s="31" t="s">
        <v>3612</v>
      </c>
      <c r="B2256" s="31"/>
      <c r="C2256" s="32"/>
      <c r="D2256" s="32"/>
      <c r="E2256" s="32"/>
      <c r="F2256" s="32"/>
      <c r="G2256" s="32"/>
    </row>
    <row r="2257" spans="1:7" x14ac:dyDescent="0.2">
      <c r="A2257" s="31" t="s">
        <v>3613</v>
      </c>
      <c r="B2257" s="31"/>
      <c r="C2257" s="32">
        <v>3</v>
      </c>
      <c r="D2257" s="32"/>
      <c r="E2257" s="32"/>
      <c r="F2257" s="32"/>
      <c r="G2257" s="32">
        <f>PRODUCT(C2257:F2257)</f>
        <v>3</v>
      </c>
    </row>
    <row r="2258" spans="1:7" x14ac:dyDescent="0.2">
      <c r="A2258" s="31" t="s">
        <v>3614</v>
      </c>
      <c r="B2258" s="31"/>
      <c r="C2258" s="32">
        <v>5</v>
      </c>
      <c r="D2258" s="32"/>
      <c r="E2258" s="32"/>
      <c r="F2258" s="32"/>
      <c r="G2258" s="32">
        <f>PRODUCT(C2258:F2258)</f>
        <v>5</v>
      </c>
    </row>
    <row r="2260" spans="1:7" ht="45" customHeight="1" x14ac:dyDescent="0.2">
      <c r="A2260" s="17" t="s">
        <v>3708</v>
      </c>
      <c r="B2260" s="17" t="s">
        <v>3141</v>
      </c>
      <c r="C2260" s="17" t="s">
        <v>798</v>
      </c>
      <c r="D2260" s="83" t="s">
        <v>23</v>
      </c>
      <c r="E2260" s="102" t="s">
        <v>799</v>
      </c>
      <c r="F2260" s="102" t="s">
        <v>799</v>
      </c>
      <c r="G2260" s="84">
        <f>SUM(G2261:G2263)</f>
        <v>8</v>
      </c>
    </row>
    <row r="2261" spans="1:7" x14ac:dyDescent="0.2">
      <c r="A2261" s="31" t="s">
        <v>3612</v>
      </c>
      <c r="B2261" s="31"/>
      <c r="C2261" s="32"/>
      <c r="D2261" s="32"/>
      <c r="E2261" s="32"/>
      <c r="F2261" s="32"/>
      <c r="G2261" s="32"/>
    </row>
    <row r="2262" spans="1:7" x14ac:dyDescent="0.2">
      <c r="A2262" s="31" t="s">
        <v>3613</v>
      </c>
      <c r="B2262" s="31"/>
      <c r="C2262" s="32"/>
      <c r="D2262" s="32"/>
      <c r="E2262" s="32"/>
      <c r="F2262" s="32"/>
      <c r="G2262" s="32"/>
    </row>
    <row r="2263" spans="1:7" x14ac:dyDescent="0.2">
      <c r="A2263" s="31" t="s">
        <v>3614</v>
      </c>
      <c r="B2263" s="31"/>
      <c r="C2263" s="32">
        <v>8</v>
      </c>
      <c r="D2263" s="32"/>
      <c r="E2263" s="32"/>
      <c r="F2263" s="32"/>
      <c r="G2263" s="32">
        <f>PRODUCT(C2263:F2263)</f>
        <v>8</v>
      </c>
    </row>
    <row r="2265" spans="1:7" ht="45" customHeight="1" x14ac:dyDescent="0.2">
      <c r="A2265" s="17" t="s">
        <v>3709</v>
      </c>
      <c r="B2265" s="17" t="s">
        <v>3141</v>
      </c>
      <c r="C2265" s="17" t="s">
        <v>800</v>
      </c>
      <c r="D2265" s="83" t="s">
        <v>23</v>
      </c>
      <c r="E2265" s="102" t="s">
        <v>801</v>
      </c>
      <c r="F2265" s="102" t="s">
        <v>801</v>
      </c>
      <c r="G2265" s="84">
        <f>SUM(G2266:G2268)</f>
        <v>5</v>
      </c>
    </row>
    <row r="2266" spans="1:7" x14ac:dyDescent="0.2">
      <c r="A2266" s="31" t="s">
        <v>3612</v>
      </c>
      <c r="B2266" s="31"/>
      <c r="C2266" s="32">
        <v>2</v>
      </c>
      <c r="D2266" s="32"/>
      <c r="E2266" s="32"/>
      <c r="F2266" s="32"/>
      <c r="G2266" s="32">
        <f>PRODUCT(C2266:F2266)</f>
        <v>2</v>
      </c>
    </row>
    <row r="2267" spans="1:7" x14ac:dyDescent="0.2">
      <c r="A2267" s="31" t="s">
        <v>3613</v>
      </c>
      <c r="B2267" s="31"/>
      <c r="C2267" s="32">
        <v>3</v>
      </c>
      <c r="D2267" s="32"/>
      <c r="E2267" s="32"/>
      <c r="F2267" s="32"/>
      <c r="G2267" s="32">
        <f>PRODUCT(C2267:F2267)</f>
        <v>3</v>
      </c>
    </row>
    <row r="2268" spans="1:7" x14ac:dyDescent="0.2">
      <c r="A2268" s="31" t="s">
        <v>3614</v>
      </c>
      <c r="B2268" s="31"/>
      <c r="C2268" s="32"/>
      <c r="D2268" s="32"/>
      <c r="E2268" s="32"/>
      <c r="F2268" s="32"/>
      <c r="G2268" s="32">
        <f>PRODUCT(C2268:F2268)</f>
        <v>0</v>
      </c>
    </row>
    <row r="2270" spans="1:7" ht="45" customHeight="1" x14ac:dyDescent="0.2">
      <c r="A2270" s="17" t="s">
        <v>3710</v>
      </c>
      <c r="B2270" s="17" t="s">
        <v>3141</v>
      </c>
      <c r="C2270" s="17" t="s">
        <v>802</v>
      </c>
      <c r="D2270" s="83" t="s">
        <v>23</v>
      </c>
      <c r="E2270" s="102" t="s">
        <v>803</v>
      </c>
      <c r="F2270" s="102" t="s">
        <v>803</v>
      </c>
      <c r="G2270" s="84">
        <f>SUM(G2271:G2273)</f>
        <v>50</v>
      </c>
    </row>
    <row r="2271" spans="1:7" x14ac:dyDescent="0.2">
      <c r="A2271" s="31" t="s">
        <v>3612</v>
      </c>
      <c r="B2271" s="31"/>
      <c r="C2271" s="32">
        <v>25</v>
      </c>
      <c r="D2271" s="32"/>
      <c r="E2271" s="32"/>
      <c r="F2271" s="32"/>
      <c r="G2271" s="32">
        <f>PRODUCT(C2271:F2271)</f>
        <v>25</v>
      </c>
    </row>
    <row r="2272" spans="1:7" x14ac:dyDescent="0.2">
      <c r="A2272" s="31" t="s">
        <v>3613</v>
      </c>
      <c r="B2272" s="31"/>
      <c r="C2272" s="32">
        <v>10</v>
      </c>
      <c r="D2272" s="32"/>
      <c r="E2272" s="32"/>
      <c r="F2272" s="32"/>
      <c r="G2272" s="32">
        <f>PRODUCT(C2272:F2272)</f>
        <v>10</v>
      </c>
    </row>
    <row r="2273" spans="1:7" x14ac:dyDescent="0.2">
      <c r="A2273" s="31" t="s">
        <v>3614</v>
      </c>
      <c r="B2273" s="31"/>
      <c r="C2273" s="32">
        <v>15</v>
      </c>
      <c r="D2273" s="32"/>
      <c r="E2273" s="32"/>
      <c r="F2273" s="32"/>
      <c r="G2273" s="32">
        <f>PRODUCT(C2273:F2273)</f>
        <v>15</v>
      </c>
    </row>
    <row r="2275" spans="1:7" ht="45" customHeight="1" x14ac:dyDescent="0.2">
      <c r="A2275" s="17" t="s">
        <v>3711</v>
      </c>
      <c r="B2275" s="17" t="s">
        <v>3141</v>
      </c>
      <c r="C2275" s="17" t="s">
        <v>804</v>
      </c>
      <c r="D2275" s="83" t="s">
        <v>23</v>
      </c>
      <c r="E2275" s="102" t="s">
        <v>805</v>
      </c>
      <c r="F2275" s="102" t="s">
        <v>805</v>
      </c>
      <c r="G2275" s="84">
        <f>SUM(G2276:G2277)</f>
        <v>11</v>
      </c>
    </row>
    <row r="2276" spans="1:7" x14ac:dyDescent="0.2">
      <c r="A2276" s="31" t="s">
        <v>3613</v>
      </c>
      <c r="B2276" s="31"/>
      <c r="C2276" s="32">
        <v>3</v>
      </c>
      <c r="D2276" s="32"/>
      <c r="E2276" s="32"/>
      <c r="F2276" s="32"/>
      <c r="G2276" s="32">
        <f>PRODUCT(C2276:F2276)</f>
        <v>3</v>
      </c>
    </row>
    <row r="2277" spans="1:7" x14ac:dyDescent="0.2">
      <c r="A2277" s="31" t="s">
        <v>3614</v>
      </c>
      <c r="B2277" s="31"/>
      <c r="C2277" s="32">
        <v>8</v>
      </c>
      <c r="D2277" s="32"/>
      <c r="E2277" s="32"/>
      <c r="F2277" s="32"/>
      <c r="G2277" s="32">
        <f>PRODUCT(C2277:F2277)</f>
        <v>8</v>
      </c>
    </row>
    <row r="2279" spans="1:7" ht="45" customHeight="1" x14ac:dyDescent="0.2">
      <c r="A2279" s="17" t="s">
        <v>3712</v>
      </c>
      <c r="B2279" s="17" t="s">
        <v>3141</v>
      </c>
      <c r="C2279" s="17" t="s">
        <v>806</v>
      </c>
      <c r="D2279" s="83" t="s">
        <v>23</v>
      </c>
      <c r="E2279" s="102" t="s">
        <v>807</v>
      </c>
      <c r="F2279" s="102" t="s">
        <v>807</v>
      </c>
      <c r="G2279" s="84">
        <f>SUM(G2280:G2280)</f>
        <v>5</v>
      </c>
    </row>
    <row r="2280" spans="1:7" x14ac:dyDescent="0.2">
      <c r="A2280" s="31" t="s">
        <v>3612</v>
      </c>
      <c r="B2280" s="31"/>
      <c r="C2280" s="32">
        <v>5</v>
      </c>
      <c r="D2280" s="32"/>
      <c r="E2280" s="32"/>
      <c r="F2280" s="32"/>
      <c r="G2280" s="32">
        <f>PRODUCT(C2280:F2280)</f>
        <v>5</v>
      </c>
    </row>
    <row r="2282" spans="1:7" ht="45" customHeight="1" x14ac:dyDescent="0.2">
      <c r="A2282" s="17" t="s">
        <v>3713</v>
      </c>
      <c r="B2282" s="17" t="s">
        <v>3141</v>
      </c>
      <c r="C2282" s="17" t="s">
        <v>808</v>
      </c>
      <c r="D2282" s="83" t="s">
        <v>23</v>
      </c>
      <c r="E2282" s="102" t="s">
        <v>809</v>
      </c>
      <c r="F2282" s="102" t="s">
        <v>809</v>
      </c>
      <c r="G2282" s="84">
        <f>SUM(G2283:G2283)</f>
        <v>3</v>
      </c>
    </row>
    <row r="2283" spans="1:7" x14ac:dyDescent="0.2">
      <c r="A2283" s="31"/>
      <c r="B2283" s="31"/>
      <c r="C2283" s="32">
        <v>3</v>
      </c>
      <c r="D2283" s="32"/>
      <c r="E2283" s="32"/>
      <c r="F2283" s="32"/>
      <c r="G2283" s="32">
        <f>PRODUCT(C2283:F2283)</f>
        <v>3</v>
      </c>
    </row>
    <row r="2285" spans="1:7" x14ac:dyDescent="0.2">
      <c r="B2285" t="s">
        <v>3139</v>
      </c>
      <c r="C2285" s="6" t="s">
        <v>6</v>
      </c>
      <c r="D2285" s="7" t="s">
        <v>7</v>
      </c>
      <c r="E2285" s="6" t="s">
        <v>8</v>
      </c>
    </row>
    <row r="2286" spans="1:7" x14ac:dyDescent="0.2">
      <c r="B2286" t="s">
        <v>3139</v>
      </c>
      <c r="C2286" s="6" t="s">
        <v>9</v>
      </c>
      <c r="D2286" s="7" t="s">
        <v>385</v>
      </c>
      <c r="E2286" s="6" t="s">
        <v>588</v>
      </c>
    </row>
    <row r="2287" spans="1:7" x14ac:dyDescent="0.2">
      <c r="B2287" t="s">
        <v>3139</v>
      </c>
      <c r="C2287" s="6" t="s">
        <v>11</v>
      </c>
      <c r="D2287" s="7" t="s">
        <v>385</v>
      </c>
      <c r="E2287" s="6" t="s">
        <v>748</v>
      </c>
    </row>
    <row r="2288" spans="1:7" x14ac:dyDescent="0.2">
      <c r="B2288" t="s">
        <v>3139</v>
      </c>
      <c r="C2288" s="6" t="s">
        <v>91</v>
      </c>
      <c r="D2288" s="7" t="s">
        <v>153</v>
      </c>
      <c r="E2288" s="6" t="s">
        <v>810</v>
      </c>
    </row>
    <row r="2290" spans="1:7" ht="45" customHeight="1" x14ac:dyDescent="0.2">
      <c r="A2290" s="17" t="s">
        <v>3714</v>
      </c>
      <c r="B2290" s="17" t="s">
        <v>3141</v>
      </c>
      <c r="C2290" s="17" t="s">
        <v>812</v>
      </c>
      <c r="D2290" s="83" t="s">
        <v>23</v>
      </c>
      <c r="E2290" s="102" t="s">
        <v>813</v>
      </c>
      <c r="F2290" s="102" t="s">
        <v>813</v>
      </c>
      <c r="G2290" s="84">
        <f>SUM(G2291:G2291)</f>
        <v>1</v>
      </c>
    </row>
    <row r="2291" spans="1:7" x14ac:dyDescent="0.2">
      <c r="A2291" s="31" t="s">
        <v>3715</v>
      </c>
      <c r="B2291" s="31"/>
      <c r="C2291" s="32">
        <v>1</v>
      </c>
      <c r="D2291" s="32"/>
      <c r="E2291" s="32"/>
      <c r="F2291" s="32"/>
      <c r="G2291" s="32">
        <f>PRODUCT(C2291:F2291)</f>
        <v>1</v>
      </c>
    </row>
    <row r="2293" spans="1:7" ht="45" customHeight="1" x14ac:dyDescent="0.2">
      <c r="A2293" s="17" t="s">
        <v>3716</v>
      </c>
      <c r="B2293" s="17" t="s">
        <v>3141</v>
      </c>
      <c r="C2293" s="17" t="s">
        <v>814</v>
      </c>
      <c r="D2293" s="83" t="s">
        <v>23</v>
      </c>
      <c r="E2293" s="102" t="s">
        <v>815</v>
      </c>
      <c r="F2293" s="102" t="s">
        <v>815</v>
      </c>
      <c r="G2293" s="84">
        <f>SUM(G2294:G2294)</f>
        <v>1</v>
      </c>
    </row>
    <row r="2294" spans="1:7" x14ac:dyDescent="0.2">
      <c r="A2294" s="31" t="s">
        <v>3614</v>
      </c>
      <c r="B2294" s="31"/>
      <c r="C2294" s="32">
        <v>1</v>
      </c>
      <c r="D2294" s="32"/>
      <c r="E2294" s="32"/>
      <c r="F2294" s="32"/>
      <c r="G2294" s="32">
        <f>PRODUCT(C2294:F2294)</f>
        <v>1</v>
      </c>
    </row>
    <row r="2296" spans="1:7" ht="45" customHeight="1" x14ac:dyDescent="0.2">
      <c r="A2296" s="17" t="s">
        <v>3717</v>
      </c>
      <c r="B2296" s="17" t="s">
        <v>3141</v>
      </c>
      <c r="C2296" s="17" t="s">
        <v>816</v>
      </c>
      <c r="D2296" s="83" t="s">
        <v>23</v>
      </c>
      <c r="E2296" s="102" t="s">
        <v>817</v>
      </c>
      <c r="F2296" s="102" t="s">
        <v>817</v>
      </c>
      <c r="G2296" s="84">
        <f>SUM(G2297:G2297)</f>
        <v>1</v>
      </c>
    </row>
    <row r="2297" spans="1:7" x14ac:dyDescent="0.2">
      <c r="A2297" s="31" t="s">
        <v>3715</v>
      </c>
      <c r="B2297" s="31"/>
      <c r="C2297" s="32">
        <v>1</v>
      </c>
      <c r="D2297" s="32"/>
      <c r="E2297" s="32"/>
      <c r="F2297" s="32"/>
      <c r="G2297" s="32">
        <f>PRODUCT(C2297:F2297)</f>
        <v>1</v>
      </c>
    </row>
    <row r="2299" spans="1:7" ht="45" customHeight="1" x14ac:dyDescent="0.2">
      <c r="A2299" s="17" t="s">
        <v>3718</v>
      </c>
      <c r="B2299" s="17" t="s">
        <v>3141</v>
      </c>
      <c r="C2299" s="17" t="s">
        <v>818</v>
      </c>
      <c r="D2299" s="83" t="s">
        <v>23</v>
      </c>
      <c r="E2299" s="102" t="s">
        <v>819</v>
      </c>
      <c r="F2299" s="102" t="s">
        <v>819</v>
      </c>
      <c r="G2299" s="84">
        <f>SUM(G2300:G2300)</f>
        <v>1</v>
      </c>
    </row>
    <row r="2300" spans="1:7" x14ac:dyDescent="0.2">
      <c r="A2300" s="31"/>
      <c r="B2300" s="31"/>
      <c r="C2300" s="32">
        <v>1</v>
      </c>
      <c r="D2300" s="32"/>
      <c r="E2300" s="32"/>
      <c r="F2300" s="32"/>
      <c r="G2300" s="32">
        <f>PRODUCT(C2300:F2300)</f>
        <v>1</v>
      </c>
    </row>
    <row r="2302" spans="1:7" ht="45" customHeight="1" x14ac:dyDescent="0.2">
      <c r="A2302" s="17" t="s">
        <v>3719</v>
      </c>
      <c r="B2302" s="17" t="s">
        <v>3141</v>
      </c>
      <c r="C2302" s="17" t="s">
        <v>820</v>
      </c>
      <c r="D2302" s="83" t="s">
        <v>23</v>
      </c>
      <c r="E2302" s="102" t="s">
        <v>821</v>
      </c>
      <c r="F2302" s="102" t="s">
        <v>821</v>
      </c>
      <c r="G2302" s="84">
        <f>SUM(G2303:G2303)</f>
        <v>1</v>
      </c>
    </row>
    <row r="2303" spans="1:7" x14ac:dyDescent="0.2">
      <c r="A2303" s="31"/>
      <c r="B2303" s="31"/>
      <c r="C2303" s="32">
        <v>1</v>
      </c>
      <c r="D2303" s="32"/>
      <c r="E2303" s="32"/>
      <c r="F2303" s="32"/>
      <c r="G2303" s="32">
        <f>PRODUCT(C2303:F2303)</f>
        <v>1</v>
      </c>
    </row>
    <row r="2305" spans="1:7" ht="45" customHeight="1" x14ac:dyDescent="0.2">
      <c r="A2305" s="17" t="s">
        <v>3720</v>
      </c>
      <c r="B2305" s="17" t="s">
        <v>3141</v>
      </c>
      <c r="C2305" s="17" t="s">
        <v>822</v>
      </c>
      <c r="D2305" s="83" t="s">
        <v>23</v>
      </c>
      <c r="E2305" s="102" t="s">
        <v>823</v>
      </c>
      <c r="F2305" s="102" t="s">
        <v>823</v>
      </c>
      <c r="G2305" s="84">
        <f>SUM(G2306:G2307)</f>
        <v>6</v>
      </c>
    </row>
    <row r="2306" spans="1:7" x14ac:dyDescent="0.2">
      <c r="A2306" s="31" t="s">
        <v>3721</v>
      </c>
      <c r="B2306" s="31"/>
      <c r="C2306" s="32">
        <v>3</v>
      </c>
      <c r="D2306" s="32"/>
      <c r="E2306" s="32"/>
      <c r="F2306" s="32"/>
      <c r="G2306" s="32">
        <f>PRODUCT(C2306:F2306)</f>
        <v>3</v>
      </c>
    </row>
    <row r="2307" spans="1:7" x14ac:dyDescent="0.2">
      <c r="A2307" s="31" t="s">
        <v>3722</v>
      </c>
      <c r="B2307" s="31"/>
      <c r="C2307" s="32">
        <v>3</v>
      </c>
      <c r="D2307" s="32"/>
      <c r="E2307" s="32"/>
      <c r="F2307" s="32"/>
      <c r="G2307" s="32">
        <f>PRODUCT(C2307:F2307)</f>
        <v>3</v>
      </c>
    </row>
    <row r="2309" spans="1:7" x14ac:dyDescent="0.2">
      <c r="B2309" t="s">
        <v>3139</v>
      </c>
      <c r="C2309" s="6" t="s">
        <v>6</v>
      </c>
      <c r="D2309" s="7" t="s">
        <v>7</v>
      </c>
      <c r="E2309" s="6" t="s">
        <v>8</v>
      </c>
    </row>
    <row r="2310" spans="1:7" x14ac:dyDescent="0.2">
      <c r="B2310" t="s">
        <v>3139</v>
      </c>
      <c r="C2310" s="6" t="s">
        <v>9</v>
      </c>
      <c r="D2310" s="7" t="s">
        <v>385</v>
      </c>
      <c r="E2310" s="6" t="s">
        <v>588</v>
      </c>
    </row>
    <row r="2311" spans="1:7" x14ac:dyDescent="0.2">
      <c r="B2311" t="s">
        <v>3139</v>
      </c>
      <c r="C2311" s="6" t="s">
        <v>11</v>
      </c>
      <c r="D2311" s="7" t="s">
        <v>385</v>
      </c>
      <c r="E2311" s="6" t="s">
        <v>748</v>
      </c>
    </row>
    <row r="2312" spans="1:7" x14ac:dyDescent="0.2">
      <c r="B2312" t="s">
        <v>3139</v>
      </c>
      <c r="C2312" s="6" t="s">
        <v>91</v>
      </c>
      <c r="D2312" s="7" t="s">
        <v>158</v>
      </c>
      <c r="E2312" s="6" t="s">
        <v>824</v>
      </c>
    </row>
    <row r="2314" spans="1:7" ht="45" customHeight="1" x14ac:dyDescent="0.2">
      <c r="A2314" s="17" t="s">
        <v>3723</v>
      </c>
      <c r="B2314" s="17" t="s">
        <v>3141</v>
      </c>
      <c r="C2314" s="17" t="s">
        <v>826</v>
      </c>
      <c r="D2314" s="83" t="s">
        <v>827</v>
      </c>
      <c r="E2314" s="102" t="s">
        <v>828</v>
      </c>
      <c r="F2314" s="102" t="s">
        <v>828</v>
      </c>
      <c r="G2314" s="84">
        <f>SUM(G2315:G2315)</f>
        <v>1</v>
      </c>
    </row>
    <row r="2315" spans="1:7" x14ac:dyDescent="0.2">
      <c r="A2315" s="31"/>
      <c r="B2315" s="31"/>
      <c r="C2315" s="32">
        <v>1</v>
      </c>
      <c r="D2315" s="32"/>
      <c r="E2315" s="32"/>
      <c r="F2315" s="32"/>
      <c r="G2315" s="32">
        <f>PRODUCT(C2315:F2315)</f>
        <v>1</v>
      </c>
    </row>
    <row r="2317" spans="1:7" ht="45" customHeight="1" x14ac:dyDescent="0.2">
      <c r="A2317" s="17" t="s">
        <v>3724</v>
      </c>
      <c r="B2317" s="17" t="s">
        <v>3141</v>
      </c>
      <c r="C2317" s="17" t="s">
        <v>829</v>
      </c>
      <c r="D2317" s="83" t="s">
        <v>625</v>
      </c>
      <c r="E2317" s="102" t="s">
        <v>830</v>
      </c>
      <c r="F2317" s="102" t="s">
        <v>830</v>
      </c>
      <c r="G2317" s="84">
        <f>SUM(G2318:G2318)</f>
        <v>1</v>
      </c>
    </row>
    <row r="2318" spans="1:7" x14ac:dyDescent="0.2">
      <c r="A2318" s="31"/>
      <c r="B2318" s="31"/>
      <c r="C2318" s="32">
        <v>1</v>
      </c>
      <c r="D2318" s="32"/>
      <c r="E2318" s="32"/>
      <c r="F2318" s="32"/>
      <c r="G2318" s="32">
        <f>PRODUCT(C2318:F2318)</f>
        <v>1</v>
      </c>
    </row>
    <row r="2320" spans="1:7" x14ac:dyDescent="0.2">
      <c r="B2320" t="s">
        <v>3139</v>
      </c>
      <c r="C2320" s="6" t="s">
        <v>6</v>
      </c>
      <c r="D2320" s="7" t="s">
        <v>7</v>
      </c>
      <c r="E2320" s="6" t="s">
        <v>8</v>
      </c>
    </row>
    <row r="2321" spans="1:7" x14ac:dyDescent="0.2">
      <c r="B2321" t="s">
        <v>3139</v>
      </c>
      <c r="C2321" s="6" t="s">
        <v>9</v>
      </c>
      <c r="D2321" s="7" t="s">
        <v>385</v>
      </c>
      <c r="E2321" s="6" t="s">
        <v>588</v>
      </c>
    </row>
    <row r="2322" spans="1:7" x14ac:dyDescent="0.2">
      <c r="B2322" t="s">
        <v>3139</v>
      </c>
      <c r="C2322" s="6" t="s">
        <v>11</v>
      </c>
      <c r="D2322" s="7" t="s">
        <v>400</v>
      </c>
      <c r="E2322" s="6" t="s">
        <v>831</v>
      </c>
    </row>
    <row r="2324" spans="1:7" ht="45" customHeight="1" x14ac:dyDescent="0.2">
      <c r="A2324" s="17" t="s">
        <v>3725</v>
      </c>
      <c r="B2324" s="17" t="s">
        <v>3141</v>
      </c>
      <c r="C2324" s="17" t="s">
        <v>833</v>
      </c>
      <c r="D2324" s="83" t="s">
        <v>625</v>
      </c>
      <c r="E2324" s="102" t="s">
        <v>834</v>
      </c>
      <c r="F2324" s="102" t="s">
        <v>834</v>
      </c>
      <c r="G2324" s="84">
        <f>SUM(G2325:G2331)</f>
        <v>15</v>
      </c>
    </row>
    <row r="2325" spans="1:7" x14ac:dyDescent="0.2">
      <c r="A2325" s="31" t="s">
        <v>3643</v>
      </c>
      <c r="B2325" s="31"/>
      <c r="C2325" s="32"/>
      <c r="D2325" s="32"/>
      <c r="E2325" s="32"/>
      <c r="F2325" s="32"/>
      <c r="G2325" s="32"/>
    </row>
    <row r="2326" spans="1:7" x14ac:dyDescent="0.2">
      <c r="A2326" s="31" t="s">
        <v>3726</v>
      </c>
      <c r="B2326" s="31"/>
      <c r="C2326" s="32">
        <v>10</v>
      </c>
      <c r="D2326" s="32"/>
      <c r="E2326" s="32"/>
      <c r="F2326" s="32"/>
      <c r="G2326" s="32">
        <f t="shared" ref="G2326:G2331" si="24">PRODUCT(C2326:F2326)</f>
        <v>10</v>
      </c>
    </row>
    <row r="2327" spans="1:7" x14ac:dyDescent="0.2">
      <c r="A2327" s="31" t="s">
        <v>3727</v>
      </c>
      <c r="B2327" s="31"/>
      <c r="C2327" s="32">
        <v>1</v>
      </c>
      <c r="D2327" s="32"/>
      <c r="E2327" s="32"/>
      <c r="F2327" s="32"/>
      <c r="G2327" s="32">
        <f t="shared" si="24"/>
        <v>1</v>
      </c>
    </row>
    <row r="2328" spans="1:7" x14ac:dyDescent="0.2">
      <c r="A2328" s="31" t="s">
        <v>3728</v>
      </c>
      <c r="B2328" s="31"/>
      <c r="C2328" s="32">
        <v>1</v>
      </c>
      <c r="D2328" s="32"/>
      <c r="E2328" s="32"/>
      <c r="F2328" s="32"/>
      <c r="G2328" s="32">
        <f t="shared" si="24"/>
        <v>1</v>
      </c>
    </row>
    <row r="2329" spans="1:7" x14ac:dyDescent="0.2">
      <c r="A2329" s="31" t="s">
        <v>3729</v>
      </c>
      <c r="B2329" s="31"/>
      <c r="C2329" s="32">
        <v>1</v>
      </c>
      <c r="D2329" s="32"/>
      <c r="E2329" s="32"/>
      <c r="F2329" s="32"/>
      <c r="G2329" s="32">
        <f t="shared" si="24"/>
        <v>1</v>
      </c>
    </row>
    <row r="2330" spans="1:7" x14ac:dyDescent="0.2">
      <c r="A2330" s="31" t="s">
        <v>3730</v>
      </c>
      <c r="B2330" s="31"/>
      <c r="C2330" s="32">
        <v>1</v>
      </c>
      <c r="D2330" s="32"/>
      <c r="E2330" s="32"/>
      <c r="F2330" s="32"/>
      <c r="G2330" s="32">
        <f t="shared" si="24"/>
        <v>1</v>
      </c>
    </row>
    <row r="2331" spans="1:7" x14ac:dyDescent="0.2">
      <c r="A2331" s="31" t="s">
        <v>3731</v>
      </c>
      <c r="B2331" s="31"/>
      <c r="C2331" s="32">
        <v>1</v>
      </c>
      <c r="D2331" s="32"/>
      <c r="E2331" s="32"/>
      <c r="F2331" s="32"/>
      <c r="G2331" s="32">
        <f t="shared" si="24"/>
        <v>1</v>
      </c>
    </row>
    <row r="2333" spans="1:7" ht="45" customHeight="1" x14ac:dyDescent="0.2">
      <c r="A2333" s="17" t="s">
        <v>3732</v>
      </c>
      <c r="B2333" s="17" t="s">
        <v>3141</v>
      </c>
      <c r="C2333" s="17" t="s">
        <v>835</v>
      </c>
      <c r="D2333" s="83" t="s">
        <v>36</v>
      </c>
      <c r="E2333" s="102" t="s">
        <v>836</v>
      </c>
      <c r="F2333" s="102" t="s">
        <v>836</v>
      </c>
      <c r="G2333" s="84">
        <f>SUM(G2334:G2334)</f>
        <v>56</v>
      </c>
    </row>
    <row r="2334" spans="1:7" x14ac:dyDescent="0.2">
      <c r="A2334" s="31" t="s">
        <v>3612</v>
      </c>
      <c r="B2334" s="31"/>
      <c r="C2334" s="32">
        <v>56</v>
      </c>
      <c r="D2334" s="32"/>
      <c r="E2334" s="32"/>
      <c r="F2334" s="32"/>
      <c r="G2334" s="32">
        <f>PRODUCT(C2334:F2334)</f>
        <v>56</v>
      </c>
    </row>
    <row r="2336" spans="1:7" ht="45" customHeight="1" x14ac:dyDescent="0.2">
      <c r="A2336" s="17" t="s">
        <v>3733</v>
      </c>
      <c r="B2336" s="17" t="s">
        <v>3141</v>
      </c>
      <c r="C2336" s="17" t="s">
        <v>837</v>
      </c>
      <c r="D2336" s="83" t="s">
        <v>625</v>
      </c>
      <c r="E2336" s="102" t="s">
        <v>838</v>
      </c>
      <c r="F2336" s="102" t="s">
        <v>838</v>
      </c>
      <c r="G2336" s="84">
        <f>SUM(G2337:G2337)</f>
        <v>46</v>
      </c>
    </row>
    <row r="2337" spans="1:7" x14ac:dyDescent="0.2">
      <c r="A2337" s="31" t="s">
        <v>3612</v>
      </c>
      <c r="B2337" s="31"/>
      <c r="C2337" s="32">
        <v>46</v>
      </c>
      <c r="D2337" s="32"/>
      <c r="E2337" s="32"/>
      <c r="F2337" s="32"/>
      <c r="G2337" s="32">
        <f>PRODUCT(C2337:F2337)</f>
        <v>46</v>
      </c>
    </row>
    <row r="2339" spans="1:7" ht="45" customHeight="1" x14ac:dyDescent="0.2">
      <c r="A2339" s="17" t="s">
        <v>3734</v>
      </c>
      <c r="B2339" s="17" t="s">
        <v>3141</v>
      </c>
      <c r="C2339" s="17" t="s">
        <v>839</v>
      </c>
      <c r="D2339" s="83" t="s">
        <v>625</v>
      </c>
      <c r="E2339" s="102" t="s">
        <v>840</v>
      </c>
      <c r="F2339" s="102" t="s">
        <v>840</v>
      </c>
      <c r="G2339" s="84">
        <f>SUM(G2340:G2340)</f>
        <v>6</v>
      </c>
    </row>
    <row r="2340" spans="1:7" x14ac:dyDescent="0.2">
      <c r="A2340" s="31" t="s">
        <v>3613</v>
      </c>
      <c r="B2340" s="31"/>
      <c r="C2340" s="32">
        <v>6</v>
      </c>
      <c r="D2340" s="32"/>
      <c r="E2340" s="32"/>
      <c r="F2340" s="32"/>
      <c r="G2340" s="32">
        <f>PRODUCT(C2340:F2340)</f>
        <v>6</v>
      </c>
    </row>
    <row r="2342" spans="1:7" ht="45" customHeight="1" x14ac:dyDescent="0.2">
      <c r="A2342" s="17" t="s">
        <v>3735</v>
      </c>
      <c r="B2342" s="17" t="s">
        <v>3141</v>
      </c>
      <c r="C2342" s="17" t="s">
        <v>841</v>
      </c>
      <c r="D2342" s="83" t="s">
        <v>625</v>
      </c>
      <c r="E2342" s="102" t="s">
        <v>842</v>
      </c>
      <c r="F2342" s="102" t="s">
        <v>842</v>
      </c>
      <c r="G2342" s="84">
        <f>SUM(G2343:G2345)</f>
        <v>17</v>
      </c>
    </row>
    <row r="2343" spans="1:7" x14ac:dyDescent="0.2">
      <c r="A2343" s="31" t="s">
        <v>3612</v>
      </c>
      <c r="B2343" s="31"/>
      <c r="C2343" s="32">
        <v>4</v>
      </c>
      <c r="D2343" s="32"/>
      <c r="E2343" s="32"/>
      <c r="F2343" s="32"/>
      <c r="G2343" s="32">
        <f>PRODUCT(C2343:F2343)</f>
        <v>4</v>
      </c>
    </row>
    <row r="2344" spans="1:7" x14ac:dyDescent="0.2">
      <c r="A2344" s="31" t="s">
        <v>3613</v>
      </c>
      <c r="B2344" s="31"/>
      <c r="C2344" s="32">
        <v>9</v>
      </c>
      <c r="D2344" s="32"/>
      <c r="E2344" s="32"/>
      <c r="F2344" s="32"/>
      <c r="G2344" s="32">
        <f>PRODUCT(C2344:F2344)</f>
        <v>9</v>
      </c>
    </row>
    <row r="2345" spans="1:7" x14ac:dyDescent="0.2">
      <c r="A2345" s="31" t="s">
        <v>3614</v>
      </c>
      <c r="B2345" s="31"/>
      <c r="C2345" s="32">
        <v>4</v>
      </c>
      <c r="D2345" s="32"/>
      <c r="E2345" s="32"/>
      <c r="F2345" s="32"/>
      <c r="G2345" s="32">
        <f>PRODUCT(C2345:F2345)</f>
        <v>4</v>
      </c>
    </row>
    <row r="2347" spans="1:7" ht="45" customHeight="1" x14ac:dyDescent="0.2">
      <c r="A2347" s="17" t="s">
        <v>3736</v>
      </c>
      <c r="B2347" s="17" t="s">
        <v>3141</v>
      </c>
      <c r="C2347" s="17" t="s">
        <v>843</v>
      </c>
      <c r="D2347" s="83" t="s">
        <v>625</v>
      </c>
      <c r="E2347" s="102" t="s">
        <v>844</v>
      </c>
      <c r="F2347" s="102" t="s">
        <v>844</v>
      </c>
      <c r="G2347" s="84">
        <f>SUM(G2348:G2348)</f>
        <v>11</v>
      </c>
    </row>
    <row r="2348" spans="1:7" x14ac:dyDescent="0.2">
      <c r="A2348" s="31" t="s">
        <v>3613</v>
      </c>
      <c r="B2348" s="31"/>
      <c r="C2348" s="32">
        <v>11</v>
      </c>
      <c r="D2348" s="32"/>
      <c r="E2348" s="32"/>
      <c r="F2348" s="32"/>
      <c r="G2348" s="32">
        <f>PRODUCT(C2348:F2348)</f>
        <v>11</v>
      </c>
    </row>
    <row r="2350" spans="1:7" ht="45" customHeight="1" x14ac:dyDescent="0.2">
      <c r="A2350" s="17" t="s">
        <v>3737</v>
      </c>
      <c r="B2350" s="17" t="s">
        <v>3141</v>
      </c>
      <c r="C2350" s="17" t="s">
        <v>845</v>
      </c>
      <c r="D2350" s="83" t="s">
        <v>625</v>
      </c>
      <c r="E2350" s="102" t="s">
        <v>846</v>
      </c>
      <c r="F2350" s="102" t="s">
        <v>846</v>
      </c>
      <c r="G2350" s="84">
        <f>SUM(G2351:G2352)</f>
        <v>20</v>
      </c>
    </row>
    <row r="2351" spans="1:7" x14ac:dyDescent="0.2">
      <c r="A2351" s="31" t="s">
        <v>3612</v>
      </c>
      <c r="B2351" s="31"/>
      <c r="C2351" s="32">
        <v>14</v>
      </c>
      <c r="D2351" s="32"/>
      <c r="E2351" s="32"/>
      <c r="F2351" s="32"/>
      <c r="G2351" s="32">
        <f>PRODUCT(C2351:F2351)</f>
        <v>14</v>
      </c>
    </row>
    <row r="2352" spans="1:7" x14ac:dyDescent="0.2">
      <c r="A2352" s="31" t="s">
        <v>3614</v>
      </c>
      <c r="B2352" s="31"/>
      <c r="C2352" s="32">
        <v>6</v>
      </c>
      <c r="D2352" s="32"/>
      <c r="E2352" s="32"/>
      <c r="F2352" s="32"/>
      <c r="G2352" s="32">
        <f>PRODUCT(C2352:F2352)</f>
        <v>6</v>
      </c>
    </row>
    <row r="2354" spans="1:7" ht="45" customHeight="1" x14ac:dyDescent="0.2">
      <c r="A2354" s="17" t="s">
        <v>3738</v>
      </c>
      <c r="B2354" s="17" t="s">
        <v>3141</v>
      </c>
      <c r="C2354" s="17" t="s">
        <v>847</v>
      </c>
      <c r="D2354" s="83" t="s">
        <v>625</v>
      </c>
      <c r="E2354" s="102" t="s">
        <v>848</v>
      </c>
      <c r="F2354" s="102" t="s">
        <v>848</v>
      </c>
      <c r="G2354" s="84">
        <f>SUM(G2355:G2356)</f>
        <v>39</v>
      </c>
    </row>
    <row r="2355" spans="1:7" x14ac:dyDescent="0.2">
      <c r="A2355" s="31" t="s">
        <v>3643</v>
      </c>
      <c r="B2355" s="31"/>
      <c r="C2355" s="32">
        <v>34</v>
      </c>
      <c r="D2355" s="32"/>
      <c r="E2355" s="32"/>
      <c r="F2355" s="32"/>
      <c r="G2355" s="32">
        <f>PRODUCT(C2355:F2355)</f>
        <v>34</v>
      </c>
    </row>
    <row r="2356" spans="1:7" x14ac:dyDescent="0.2">
      <c r="A2356" s="31" t="s">
        <v>3613</v>
      </c>
      <c r="B2356" s="31"/>
      <c r="C2356" s="32">
        <v>5</v>
      </c>
      <c r="D2356" s="32"/>
      <c r="E2356" s="32"/>
      <c r="F2356" s="32"/>
      <c r="G2356" s="32">
        <f>PRODUCT(C2356:F2356)</f>
        <v>5</v>
      </c>
    </row>
    <row r="2358" spans="1:7" ht="45" customHeight="1" x14ac:dyDescent="0.2">
      <c r="A2358" s="17" t="s">
        <v>3739</v>
      </c>
      <c r="B2358" s="17" t="s">
        <v>3141</v>
      </c>
      <c r="C2358" s="17" t="s">
        <v>849</v>
      </c>
      <c r="D2358" s="83" t="s">
        <v>36</v>
      </c>
      <c r="E2358" s="102" t="s">
        <v>850</v>
      </c>
      <c r="F2358" s="102" t="s">
        <v>850</v>
      </c>
      <c r="G2358" s="84">
        <f>SUM(G2359:G2362)</f>
        <v>55.5</v>
      </c>
    </row>
    <row r="2359" spans="1:7" x14ac:dyDescent="0.2">
      <c r="A2359" s="31" t="s">
        <v>3612</v>
      </c>
      <c r="B2359" s="31"/>
      <c r="C2359" s="32">
        <v>4</v>
      </c>
      <c r="D2359" s="32"/>
      <c r="E2359" s="32"/>
      <c r="F2359" s="32"/>
      <c r="G2359" s="32">
        <f>PRODUCT(C2359:F2359)</f>
        <v>4</v>
      </c>
    </row>
    <row r="2360" spans="1:7" x14ac:dyDescent="0.2">
      <c r="A2360" s="31" t="s">
        <v>3613</v>
      </c>
      <c r="B2360" s="31"/>
      <c r="C2360" s="32">
        <v>5.5</v>
      </c>
      <c r="D2360" s="32"/>
      <c r="E2360" s="32"/>
      <c r="F2360" s="32"/>
      <c r="G2360" s="32">
        <f>PRODUCT(C2360:F2360)</f>
        <v>5.5</v>
      </c>
    </row>
    <row r="2361" spans="1:7" x14ac:dyDescent="0.2">
      <c r="A2361" s="31" t="s">
        <v>3614</v>
      </c>
      <c r="B2361" s="31"/>
      <c r="C2361" s="32">
        <v>18</v>
      </c>
      <c r="D2361" s="32"/>
      <c r="E2361" s="32"/>
      <c r="F2361" s="32"/>
      <c r="G2361" s="32">
        <f>PRODUCT(C2361:F2361)</f>
        <v>18</v>
      </c>
    </row>
    <row r="2362" spans="1:7" x14ac:dyDescent="0.2">
      <c r="A2362" s="31" t="s">
        <v>3643</v>
      </c>
      <c r="B2362" s="31"/>
      <c r="C2362" s="32">
        <v>28</v>
      </c>
      <c r="D2362" s="32"/>
      <c r="E2362" s="32"/>
      <c r="F2362" s="32"/>
      <c r="G2362" s="32">
        <f>PRODUCT(C2362:F2362)</f>
        <v>28</v>
      </c>
    </row>
    <row r="2364" spans="1:7" x14ac:dyDescent="0.2">
      <c r="B2364" t="s">
        <v>3139</v>
      </c>
      <c r="C2364" s="6" t="s">
        <v>6</v>
      </c>
      <c r="D2364" s="7" t="s">
        <v>7</v>
      </c>
      <c r="E2364" s="6" t="s">
        <v>8</v>
      </c>
    </row>
    <row r="2365" spans="1:7" x14ac:dyDescent="0.2">
      <c r="B2365" t="s">
        <v>3139</v>
      </c>
      <c r="C2365" s="6" t="s">
        <v>9</v>
      </c>
      <c r="D2365" s="7" t="s">
        <v>385</v>
      </c>
      <c r="E2365" s="6" t="s">
        <v>588</v>
      </c>
    </row>
    <row r="2366" spans="1:7" x14ac:dyDescent="0.2">
      <c r="B2366" t="s">
        <v>3139</v>
      </c>
      <c r="C2366" s="6" t="s">
        <v>11</v>
      </c>
      <c r="D2366" s="7" t="s">
        <v>851</v>
      </c>
      <c r="E2366" s="6" t="s">
        <v>852</v>
      </c>
    </row>
    <row r="2367" spans="1:7" x14ac:dyDescent="0.2">
      <c r="B2367" t="s">
        <v>3139</v>
      </c>
      <c r="C2367" s="6" t="s">
        <v>91</v>
      </c>
      <c r="D2367" s="7" t="s">
        <v>26</v>
      </c>
      <c r="E2367" s="6" t="s">
        <v>863</v>
      </c>
    </row>
    <row r="2369" spans="1:7" ht="45" customHeight="1" x14ac:dyDescent="0.2">
      <c r="A2369" s="17" t="s">
        <v>3740</v>
      </c>
      <c r="B2369" s="17" t="s">
        <v>3141</v>
      </c>
      <c r="C2369" s="17" t="s">
        <v>867</v>
      </c>
      <c r="D2369" s="83" t="s">
        <v>36</v>
      </c>
      <c r="E2369" s="102" t="s">
        <v>868</v>
      </c>
      <c r="F2369" s="102" t="s">
        <v>868</v>
      </c>
      <c r="G2369" s="84">
        <f>SUM(G2370:G2370)</f>
        <v>150</v>
      </c>
    </row>
    <row r="2370" spans="1:7" x14ac:dyDescent="0.2">
      <c r="A2370" s="31"/>
      <c r="B2370" s="31"/>
      <c r="C2370" s="32">
        <v>150</v>
      </c>
      <c r="D2370" s="32"/>
      <c r="E2370" s="32"/>
      <c r="F2370" s="32"/>
      <c r="G2370" s="32">
        <f>PRODUCT(C2370:F2370)</f>
        <v>150</v>
      </c>
    </row>
    <row r="2372" spans="1:7" ht="45" customHeight="1" x14ac:dyDescent="0.2">
      <c r="A2372" s="17" t="s">
        <v>3741</v>
      </c>
      <c r="B2372" s="17" t="s">
        <v>3141</v>
      </c>
      <c r="C2372" s="17" t="s">
        <v>869</v>
      </c>
      <c r="D2372" s="83" t="s">
        <v>36</v>
      </c>
      <c r="E2372" s="102" t="s">
        <v>870</v>
      </c>
      <c r="F2372" s="102" t="s">
        <v>870</v>
      </c>
      <c r="G2372" s="84">
        <f>SUM(G2373:G2373)</f>
        <v>30</v>
      </c>
    </row>
    <row r="2373" spans="1:7" x14ac:dyDescent="0.2">
      <c r="A2373" s="31"/>
      <c r="B2373" s="31"/>
      <c r="C2373" s="32">
        <v>30</v>
      </c>
      <c r="D2373" s="32"/>
      <c r="E2373" s="32"/>
      <c r="F2373" s="32"/>
      <c r="G2373" s="32">
        <f>PRODUCT(C2373:F2373)</f>
        <v>30</v>
      </c>
    </row>
    <row r="2375" spans="1:7" ht="45" customHeight="1" x14ac:dyDescent="0.2">
      <c r="A2375" s="17" t="s">
        <v>3742</v>
      </c>
      <c r="B2375" s="17" t="s">
        <v>3141</v>
      </c>
      <c r="C2375" s="17" t="s">
        <v>782</v>
      </c>
      <c r="D2375" s="83" t="s">
        <v>36</v>
      </c>
      <c r="E2375" s="102" t="s">
        <v>783</v>
      </c>
      <c r="F2375" s="102" t="s">
        <v>783</v>
      </c>
      <c r="G2375" s="84">
        <f>SUM(G2376:G2376)</f>
        <v>50</v>
      </c>
    </row>
    <row r="2376" spans="1:7" x14ac:dyDescent="0.2">
      <c r="A2376" s="31"/>
      <c r="B2376" s="31"/>
      <c r="C2376" s="32">
        <v>50</v>
      </c>
      <c r="D2376" s="32"/>
      <c r="E2376" s="32"/>
      <c r="F2376" s="32"/>
      <c r="G2376" s="32">
        <f>PRODUCT(C2376:F2376)</f>
        <v>50</v>
      </c>
    </row>
    <row r="2378" spans="1:7" x14ac:dyDescent="0.2">
      <c r="B2378" t="s">
        <v>3139</v>
      </c>
      <c r="C2378" s="6" t="s">
        <v>6</v>
      </c>
      <c r="D2378" s="7" t="s">
        <v>7</v>
      </c>
      <c r="E2378" s="6" t="s">
        <v>8</v>
      </c>
    </row>
    <row r="2379" spans="1:7" x14ac:dyDescent="0.2">
      <c r="B2379" t="s">
        <v>3139</v>
      </c>
      <c r="C2379" s="6" t="s">
        <v>9</v>
      </c>
      <c r="D2379" s="7" t="s">
        <v>385</v>
      </c>
      <c r="E2379" s="6" t="s">
        <v>588</v>
      </c>
    </row>
    <row r="2380" spans="1:7" x14ac:dyDescent="0.2">
      <c r="B2380" t="s">
        <v>3139</v>
      </c>
      <c r="C2380" s="6" t="s">
        <v>11</v>
      </c>
      <c r="D2380" s="7" t="s">
        <v>877</v>
      </c>
      <c r="E2380" s="6" t="s">
        <v>878</v>
      </c>
    </row>
    <row r="2381" spans="1:7" x14ac:dyDescent="0.2">
      <c r="B2381" t="s">
        <v>3139</v>
      </c>
      <c r="C2381" s="6" t="s">
        <v>91</v>
      </c>
      <c r="D2381" s="7" t="s">
        <v>7</v>
      </c>
      <c r="E2381" s="6" t="s">
        <v>883</v>
      </c>
    </row>
    <row r="2383" spans="1:7" ht="45" customHeight="1" x14ac:dyDescent="0.2">
      <c r="A2383" s="17" t="s">
        <v>3743</v>
      </c>
      <c r="B2383" s="17" t="s">
        <v>3141</v>
      </c>
      <c r="C2383" s="17" t="s">
        <v>885</v>
      </c>
      <c r="D2383" s="83" t="s">
        <v>23</v>
      </c>
      <c r="E2383" s="102" t="s">
        <v>886</v>
      </c>
      <c r="F2383" s="102" t="s">
        <v>886</v>
      </c>
      <c r="G2383" s="84">
        <f>SUM(G2384:G2384)</f>
        <v>1</v>
      </c>
    </row>
    <row r="2384" spans="1:7" x14ac:dyDescent="0.2">
      <c r="A2384" s="31"/>
      <c r="B2384" s="31"/>
      <c r="C2384" s="32">
        <v>1</v>
      </c>
      <c r="D2384" s="32"/>
      <c r="E2384" s="32"/>
      <c r="F2384" s="32"/>
      <c r="G2384" s="32">
        <f>PRODUCT(C2384:F2384)</f>
        <v>1</v>
      </c>
    </row>
    <row r="2386" spans="1:7" ht="45" customHeight="1" x14ac:dyDescent="0.2">
      <c r="A2386" s="17" t="s">
        <v>3744</v>
      </c>
      <c r="B2386" s="17" t="s">
        <v>3141</v>
      </c>
      <c r="C2386" s="17" t="s">
        <v>887</v>
      </c>
      <c r="D2386" s="83" t="s">
        <v>23</v>
      </c>
      <c r="E2386" s="102" t="s">
        <v>888</v>
      </c>
      <c r="F2386" s="102" t="s">
        <v>888</v>
      </c>
      <c r="G2386" s="84">
        <f>SUM(G2387:G2387)</f>
        <v>1</v>
      </c>
    </row>
    <row r="2387" spans="1:7" x14ac:dyDescent="0.2">
      <c r="A2387" s="31"/>
      <c r="B2387" s="31"/>
      <c r="C2387" s="32">
        <v>1</v>
      </c>
      <c r="D2387" s="32"/>
      <c r="E2387" s="32"/>
      <c r="F2387" s="32"/>
      <c r="G2387" s="32">
        <f>PRODUCT(C2387:F2387)</f>
        <v>1</v>
      </c>
    </row>
    <row r="2389" spans="1:7" ht="45" customHeight="1" x14ac:dyDescent="0.2">
      <c r="A2389" s="17" t="s">
        <v>3745</v>
      </c>
      <c r="B2389" s="17" t="s">
        <v>3141</v>
      </c>
      <c r="C2389" s="17" t="s">
        <v>889</v>
      </c>
      <c r="D2389" s="83" t="s">
        <v>23</v>
      </c>
      <c r="E2389" s="102" t="s">
        <v>890</v>
      </c>
      <c r="F2389" s="102" t="s">
        <v>890</v>
      </c>
      <c r="G2389" s="84">
        <f>SUM(G2390:G2390)</f>
        <v>2</v>
      </c>
    </row>
    <row r="2390" spans="1:7" x14ac:dyDescent="0.2">
      <c r="A2390" s="31"/>
      <c r="B2390" s="31"/>
      <c r="C2390" s="32">
        <v>2</v>
      </c>
      <c r="D2390" s="32"/>
      <c r="E2390" s="32"/>
      <c r="F2390" s="32"/>
      <c r="G2390" s="32">
        <f>PRODUCT(C2390:F2390)</f>
        <v>2</v>
      </c>
    </row>
    <row r="2392" spans="1:7" ht="45" customHeight="1" x14ac:dyDescent="0.2">
      <c r="A2392" s="17" t="s">
        <v>3746</v>
      </c>
      <c r="B2392" s="17" t="s">
        <v>3141</v>
      </c>
      <c r="C2392" s="17" t="s">
        <v>891</v>
      </c>
      <c r="D2392" s="83" t="s">
        <v>23</v>
      </c>
      <c r="E2392" s="102" t="s">
        <v>892</v>
      </c>
      <c r="F2392" s="102" t="s">
        <v>892</v>
      </c>
      <c r="G2392" s="84">
        <f>SUM(G2393:G2393)</f>
        <v>1</v>
      </c>
    </row>
    <row r="2393" spans="1:7" x14ac:dyDescent="0.2">
      <c r="A2393" s="31"/>
      <c r="B2393" s="31"/>
      <c r="C2393" s="32">
        <v>1</v>
      </c>
      <c r="D2393" s="32"/>
      <c r="E2393" s="32"/>
      <c r="F2393" s="32"/>
      <c r="G2393" s="32">
        <f>PRODUCT(C2393:F2393)</f>
        <v>1</v>
      </c>
    </row>
    <row r="2395" spans="1:7" ht="45" customHeight="1" x14ac:dyDescent="0.2">
      <c r="A2395" s="17" t="s">
        <v>3747</v>
      </c>
      <c r="B2395" s="17" t="s">
        <v>3141</v>
      </c>
      <c r="C2395" s="17" t="s">
        <v>893</v>
      </c>
      <c r="D2395" s="83" t="s">
        <v>23</v>
      </c>
      <c r="E2395" s="102" t="s">
        <v>894</v>
      </c>
      <c r="F2395" s="102" t="s">
        <v>894</v>
      </c>
      <c r="G2395" s="84">
        <f>SUM(G2396:G2396)</f>
        <v>2</v>
      </c>
    </row>
    <row r="2396" spans="1:7" x14ac:dyDescent="0.2">
      <c r="A2396" s="31"/>
      <c r="B2396" s="31"/>
      <c r="C2396" s="32">
        <v>2</v>
      </c>
      <c r="D2396" s="32"/>
      <c r="E2396" s="32"/>
      <c r="F2396" s="32"/>
      <c r="G2396" s="32">
        <f>PRODUCT(C2396:F2396)</f>
        <v>2</v>
      </c>
    </row>
    <row r="2398" spans="1:7" ht="45" customHeight="1" x14ac:dyDescent="0.2">
      <c r="A2398" s="17" t="s">
        <v>3748</v>
      </c>
      <c r="B2398" s="17" t="s">
        <v>3141</v>
      </c>
      <c r="C2398" s="17" t="s">
        <v>895</v>
      </c>
      <c r="D2398" s="83" t="s">
        <v>23</v>
      </c>
      <c r="E2398" s="102" t="s">
        <v>896</v>
      </c>
      <c r="F2398" s="102" t="s">
        <v>896</v>
      </c>
      <c r="G2398" s="84">
        <f>SUM(G2399:G2401)</f>
        <v>4</v>
      </c>
    </row>
    <row r="2399" spans="1:7" x14ac:dyDescent="0.2">
      <c r="A2399" s="31" t="s">
        <v>3749</v>
      </c>
      <c r="B2399" s="31"/>
      <c r="C2399" s="32">
        <v>2</v>
      </c>
      <c r="D2399" s="32"/>
      <c r="E2399" s="32"/>
      <c r="F2399" s="32"/>
      <c r="G2399" s="32">
        <f>PRODUCT(C2399:F2399)</f>
        <v>2</v>
      </c>
    </row>
    <row r="2400" spans="1:7" x14ac:dyDescent="0.2">
      <c r="A2400" s="31" t="s">
        <v>3613</v>
      </c>
      <c r="B2400" s="31"/>
      <c r="C2400" s="32">
        <v>1</v>
      </c>
      <c r="D2400" s="32"/>
      <c r="E2400" s="32"/>
      <c r="F2400" s="32"/>
      <c r="G2400" s="32">
        <f>PRODUCT(C2400:F2400)</f>
        <v>1</v>
      </c>
    </row>
    <row r="2401" spans="1:7" x14ac:dyDescent="0.2">
      <c r="A2401" s="31" t="s">
        <v>3614</v>
      </c>
      <c r="B2401" s="31"/>
      <c r="C2401" s="32">
        <v>1</v>
      </c>
      <c r="D2401" s="32"/>
      <c r="E2401" s="32"/>
      <c r="F2401" s="32"/>
      <c r="G2401" s="32">
        <f>PRODUCT(C2401:F2401)</f>
        <v>1</v>
      </c>
    </row>
    <row r="2403" spans="1:7" ht="45" customHeight="1" x14ac:dyDescent="0.2">
      <c r="A2403" s="17" t="s">
        <v>3750</v>
      </c>
      <c r="B2403" s="17" t="s">
        <v>3141</v>
      </c>
      <c r="C2403" s="17" t="s">
        <v>897</v>
      </c>
      <c r="D2403" s="83" t="s">
        <v>625</v>
      </c>
      <c r="E2403" s="102" t="s">
        <v>898</v>
      </c>
      <c r="F2403" s="102" t="s">
        <v>898</v>
      </c>
      <c r="G2403" s="84">
        <f>SUM(G2404:G2407)</f>
        <v>58</v>
      </c>
    </row>
    <row r="2404" spans="1:7" x14ac:dyDescent="0.2">
      <c r="A2404" s="31" t="s">
        <v>3612</v>
      </c>
      <c r="B2404" s="31"/>
      <c r="C2404" s="32">
        <v>13</v>
      </c>
      <c r="D2404" s="32">
        <v>2</v>
      </c>
      <c r="E2404" s="32"/>
      <c r="F2404" s="32"/>
      <c r="G2404" s="32">
        <f>PRODUCT(C2404:F2404)</f>
        <v>26</v>
      </c>
    </row>
    <row r="2405" spans="1:7" x14ac:dyDescent="0.2">
      <c r="A2405" s="31" t="s">
        <v>3613</v>
      </c>
      <c r="B2405" s="31"/>
      <c r="C2405" s="32">
        <v>9</v>
      </c>
      <c r="D2405" s="32">
        <v>2</v>
      </c>
      <c r="E2405" s="32"/>
      <c r="F2405" s="32"/>
      <c r="G2405" s="32">
        <f>PRODUCT(C2405:F2405)</f>
        <v>18</v>
      </c>
    </row>
    <row r="2406" spans="1:7" x14ac:dyDescent="0.2">
      <c r="A2406" s="31" t="s">
        <v>3614</v>
      </c>
      <c r="B2406" s="31"/>
      <c r="C2406" s="32">
        <v>5</v>
      </c>
      <c r="D2406" s="32">
        <v>2</v>
      </c>
      <c r="E2406" s="32"/>
      <c r="F2406" s="32"/>
      <c r="G2406" s="32">
        <f>PRODUCT(C2406:F2406)</f>
        <v>10</v>
      </c>
    </row>
    <row r="2407" spans="1:7" x14ac:dyDescent="0.2">
      <c r="A2407" s="31" t="s">
        <v>3643</v>
      </c>
      <c r="B2407" s="31"/>
      <c r="C2407" s="32">
        <v>2</v>
      </c>
      <c r="D2407" s="32">
        <v>2</v>
      </c>
      <c r="E2407" s="32"/>
      <c r="F2407" s="32"/>
      <c r="G2407" s="32">
        <f>PRODUCT(C2407:F2407)</f>
        <v>4</v>
      </c>
    </row>
    <row r="2409" spans="1:7" x14ac:dyDescent="0.2">
      <c r="B2409" t="s">
        <v>3139</v>
      </c>
      <c r="C2409" s="6" t="s">
        <v>6</v>
      </c>
      <c r="D2409" s="7" t="s">
        <v>7</v>
      </c>
      <c r="E2409" s="6" t="s">
        <v>8</v>
      </c>
    </row>
    <row r="2410" spans="1:7" x14ac:dyDescent="0.2">
      <c r="B2410" t="s">
        <v>3139</v>
      </c>
      <c r="C2410" s="6" t="s">
        <v>9</v>
      </c>
      <c r="D2410" s="7" t="s">
        <v>385</v>
      </c>
      <c r="E2410" s="6" t="s">
        <v>588</v>
      </c>
    </row>
    <row r="2411" spans="1:7" x14ac:dyDescent="0.2">
      <c r="B2411" t="s">
        <v>3139</v>
      </c>
      <c r="C2411" s="6" t="s">
        <v>11</v>
      </c>
      <c r="D2411" s="7" t="s">
        <v>877</v>
      </c>
      <c r="E2411" s="6" t="s">
        <v>878</v>
      </c>
    </row>
    <row r="2412" spans="1:7" x14ac:dyDescent="0.2">
      <c r="B2412" t="s">
        <v>3139</v>
      </c>
      <c r="C2412" s="6" t="s">
        <v>91</v>
      </c>
      <c r="D2412" s="7" t="s">
        <v>26</v>
      </c>
      <c r="E2412" s="6" t="s">
        <v>600</v>
      </c>
    </row>
    <row r="2414" spans="1:7" ht="45" customHeight="1" x14ac:dyDescent="0.2">
      <c r="A2414" s="17" t="s">
        <v>3751</v>
      </c>
      <c r="B2414" s="17" t="s">
        <v>3141</v>
      </c>
      <c r="C2414" s="17" t="s">
        <v>776</v>
      </c>
      <c r="D2414" s="83" t="s">
        <v>36</v>
      </c>
      <c r="E2414" s="102" t="s">
        <v>777</v>
      </c>
      <c r="F2414" s="102" t="s">
        <v>777</v>
      </c>
      <c r="G2414" s="84">
        <f>SUM(G2415:G2415)</f>
        <v>35</v>
      </c>
    </row>
    <row r="2415" spans="1:7" x14ac:dyDescent="0.2">
      <c r="A2415" s="31" t="s">
        <v>3612</v>
      </c>
      <c r="B2415" s="31"/>
      <c r="C2415" s="32">
        <v>35</v>
      </c>
      <c r="D2415" s="32"/>
      <c r="E2415" s="32"/>
      <c r="F2415" s="32"/>
      <c r="G2415" s="32">
        <f>PRODUCT(C2415:F2415)</f>
        <v>35</v>
      </c>
    </row>
    <row r="2417" spans="1:7" ht="45" customHeight="1" x14ac:dyDescent="0.2">
      <c r="A2417" s="17" t="s">
        <v>3752</v>
      </c>
      <c r="B2417" s="17" t="s">
        <v>3141</v>
      </c>
      <c r="C2417" s="17" t="s">
        <v>778</v>
      </c>
      <c r="D2417" s="83" t="s">
        <v>36</v>
      </c>
      <c r="E2417" s="102" t="s">
        <v>779</v>
      </c>
      <c r="F2417" s="102" t="s">
        <v>779</v>
      </c>
      <c r="G2417" s="84">
        <f>SUM(G2418:G2418)</f>
        <v>35</v>
      </c>
    </row>
    <row r="2418" spans="1:7" x14ac:dyDescent="0.2">
      <c r="A2418" s="31" t="s">
        <v>3612</v>
      </c>
      <c r="B2418" s="31"/>
      <c r="C2418" s="32">
        <v>35</v>
      </c>
      <c r="D2418" s="32"/>
      <c r="E2418" s="32"/>
      <c r="F2418" s="32"/>
      <c r="G2418" s="32">
        <f>PRODUCT(C2418:F2418)</f>
        <v>35</v>
      </c>
    </row>
    <row r="2420" spans="1:7" ht="45" customHeight="1" x14ac:dyDescent="0.2">
      <c r="A2420" s="17" t="s">
        <v>3753</v>
      </c>
      <c r="B2420" s="17" t="s">
        <v>3141</v>
      </c>
      <c r="C2420" s="17" t="s">
        <v>780</v>
      </c>
      <c r="D2420" s="83" t="s">
        <v>36</v>
      </c>
      <c r="E2420" s="102" t="s">
        <v>781</v>
      </c>
      <c r="F2420" s="102" t="s">
        <v>781</v>
      </c>
      <c r="G2420" s="84">
        <f>SUM(G2421:G2423)</f>
        <v>285</v>
      </c>
    </row>
    <row r="2421" spans="1:7" x14ac:dyDescent="0.2">
      <c r="A2421" s="31" t="s">
        <v>3612</v>
      </c>
      <c r="B2421" s="31"/>
      <c r="C2421" s="32">
        <v>6</v>
      </c>
      <c r="D2421" s="32">
        <v>25</v>
      </c>
      <c r="E2421" s="32"/>
      <c r="F2421" s="32"/>
      <c r="G2421" s="32">
        <f>PRODUCT(C2421:F2421)</f>
        <v>150</v>
      </c>
    </row>
    <row r="2422" spans="1:7" x14ac:dyDescent="0.2">
      <c r="A2422" s="31" t="s">
        <v>3613</v>
      </c>
      <c r="B2422" s="31"/>
      <c r="C2422" s="32">
        <v>5</v>
      </c>
      <c r="D2422" s="32">
        <v>15</v>
      </c>
      <c r="E2422" s="32"/>
      <c r="F2422" s="32"/>
      <c r="G2422" s="32">
        <f>PRODUCT(C2422:F2422)</f>
        <v>75</v>
      </c>
    </row>
    <row r="2423" spans="1:7" x14ac:dyDescent="0.2">
      <c r="A2423" s="31" t="s">
        <v>3614</v>
      </c>
      <c r="B2423" s="31"/>
      <c r="C2423" s="32">
        <v>30</v>
      </c>
      <c r="D2423" s="32">
        <v>2</v>
      </c>
      <c r="E2423" s="32"/>
      <c r="F2423" s="32"/>
      <c r="G2423" s="32">
        <f>PRODUCT(C2423:F2423)</f>
        <v>60</v>
      </c>
    </row>
    <row r="2425" spans="1:7" ht="45" customHeight="1" x14ac:dyDescent="0.2">
      <c r="A2425" s="17" t="s">
        <v>3754</v>
      </c>
      <c r="B2425" s="17" t="s">
        <v>3141</v>
      </c>
      <c r="C2425" s="17" t="s">
        <v>900</v>
      </c>
      <c r="D2425" s="83" t="s">
        <v>36</v>
      </c>
      <c r="E2425" s="102" t="s">
        <v>901</v>
      </c>
      <c r="F2425" s="102" t="s">
        <v>901</v>
      </c>
      <c r="G2425" s="84">
        <f>SUM(G2426:G2431)</f>
        <v>1550</v>
      </c>
    </row>
    <row r="2426" spans="1:7" x14ac:dyDescent="0.2">
      <c r="A2426" s="31" t="s">
        <v>3612</v>
      </c>
      <c r="B2426" s="31"/>
      <c r="C2426" s="32">
        <v>13</v>
      </c>
      <c r="D2426" s="32">
        <v>50</v>
      </c>
      <c r="E2426" s="32"/>
      <c r="F2426" s="32"/>
      <c r="G2426" s="32">
        <f t="shared" ref="G2426:G2431" si="25">PRODUCT(C2426:F2426)</f>
        <v>650</v>
      </c>
    </row>
    <row r="2427" spans="1:7" x14ac:dyDescent="0.2">
      <c r="A2427" s="31" t="s">
        <v>3613</v>
      </c>
      <c r="B2427" s="31"/>
      <c r="C2427" s="32">
        <v>9</v>
      </c>
      <c r="D2427" s="32">
        <v>50</v>
      </c>
      <c r="E2427" s="32"/>
      <c r="F2427" s="32"/>
      <c r="G2427" s="32">
        <f t="shared" si="25"/>
        <v>450</v>
      </c>
    </row>
    <row r="2428" spans="1:7" x14ac:dyDescent="0.2">
      <c r="A2428" s="31" t="s">
        <v>3614</v>
      </c>
      <c r="B2428" s="31"/>
      <c r="C2428" s="32">
        <v>5</v>
      </c>
      <c r="D2428" s="32">
        <v>50</v>
      </c>
      <c r="E2428" s="32"/>
      <c r="F2428" s="32"/>
      <c r="G2428" s="32">
        <f t="shared" si="25"/>
        <v>250</v>
      </c>
    </row>
    <row r="2429" spans="1:7" x14ac:dyDescent="0.2">
      <c r="A2429" s="31" t="s">
        <v>3749</v>
      </c>
      <c r="B2429" s="31"/>
      <c r="C2429" s="32">
        <v>2</v>
      </c>
      <c r="D2429" s="32">
        <v>50</v>
      </c>
      <c r="E2429" s="32"/>
      <c r="F2429" s="32"/>
      <c r="G2429" s="32">
        <f t="shared" si="25"/>
        <v>100</v>
      </c>
    </row>
    <row r="2430" spans="1:7" x14ac:dyDescent="0.2">
      <c r="A2430" s="31" t="s">
        <v>3755</v>
      </c>
      <c r="B2430" s="31"/>
      <c r="C2430" s="32">
        <v>1</v>
      </c>
      <c r="D2430" s="32">
        <v>50</v>
      </c>
      <c r="E2430" s="32"/>
      <c r="F2430" s="32"/>
      <c r="G2430" s="32">
        <f t="shared" si="25"/>
        <v>50</v>
      </c>
    </row>
    <row r="2431" spans="1:7" x14ac:dyDescent="0.2">
      <c r="A2431" s="31" t="s">
        <v>3756</v>
      </c>
      <c r="B2431" s="31"/>
      <c r="C2431" s="32">
        <v>1</v>
      </c>
      <c r="D2431" s="32">
        <v>50</v>
      </c>
      <c r="E2431" s="32"/>
      <c r="F2431" s="32"/>
      <c r="G2431" s="32">
        <f t="shared" si="25"/>
        <v>50</v>
      </c>
    </row>
    <row r="2433" spans="1:7" ht="45" customHeight="1" x14ac:dyDescent="0.2">
      <c r="A2433" s="17" t="s">
        <v>3757</v>
      </c>
      <c r="B2433" s="17" t="s">
        <v>3141</v>
      </c>
      <c r="C2433" s="17" t="s">
        <v>782</v>
      </c>
      <c r="D2433" s="83" t="s">
        <v>36</v>
      </c>
      <c r="E2433" s="102" t="s">
        <v>783</v>
      </c>
      <c r="F2433" s="102" t="s">
        <v>783</v>
      </c>
      <c r="G2433" s="84">
        <f>SUM(G2434:G2436)</f>
        <v>67.5</v>
      </c>
    </row>
    <row r="2434" spans="1:7" x14ac:dyDescent="0.2">
      <c r="A2434" s="31" t="s">
        <v>3612</v>
      </c>
      <c r="B2434" s="31"/>
      <c r="C2434" s="32">
        <v>13</v>
      </c>
      <c r="D2434" s="32">
        <v>50</v>
      </c>
      <c r="E2434" s="32">
        <v>0.05</v>
      </c>
      <c r="F2434" s="32"/>
      <c r="G2434" s="32">
        <f>PRODUCT(C2434:F2434)</f>
        <v>32.5</v>
      </c>
    </row>
    <row r="2435" spans="1:7" x14ac:dyDescent="0.2">
      <c r="A2435" s="31" t="s">
        <v>3613</v>
      </c>
      <c r="B2435" s="31"/>
      <c r="C2435" s="32">
        <v>9</v>
      </c>
      <c r="D2435" s="32">
        <v>50</v>
      </c>
      <c r="E2435" s="32">
        <v>0.05</v>
      </c>
      <c r="F2435" s="32"/>
      <c r="G2435" s="32">
        <f>PRODUCT(C2435:F2435)</f>
        <v>22.5</v>
      </c>
    </row>
    <row r="2436" spans="1:7" x14ac:dyDescent="0.2">
      <c r="A2436" s="31" t="s">
        <v>3614</v>
      </c>
      <c r="B2436" s="31"/>
      <c r="C2436" s="32">
        <v>5</v>
      </c>
      <c r="D2436" s="32">
        <v>50</v>
      </c>
      <c r="E2436" s="32">
        <v>0.05</v>
      </c>
      <c r="F2436" s="32"/>
      <c r="G2436" s="32">
        <f>PRODUCT(C2436:F2436)</f>
        <v>12.5</v>
      </c>
    </row>
    <row r="2438" spans="1:7" ht="45" customHeight="1" x14ac:dyDescent="0.2">
      <c r="A2438" s="17" t="s">
        <v>3758</v>
      </c>
      <c r="B2438" s="17" t="s">
        <v>3141</v>
      </c>
      <c r="C2438" s="17" t="s">
        <v>786</v>
      </c>
      <c r="D2438" s="83" t="s">
        <v>36</v>
      </c>
      <c r="E2438" s="102" t="s">
        <v>787</v>
      </c>
      <c r="F2438" s="102" t="s">
        <v>787</v>
      </c>
      <c r="G2438" s="84">
        <f>SUM(G2439:G2444)</f>
        <v>270</v>
      </c>
    </row>
    <row r="2439" spans="1:7" x14ac:dyDescent="0.2">
      <c r="A2439" s="31" t="s">
        <v>3612</v>
      </c>
      <c r="B2439" s="31"/>
      <c r="C2439" s="32">
        <v>13</v>
      </c>
      <c r="D2439" s="32">
        <v>50</v>
      </c>
      <c r="E2439" s="32">
        <v>0.1</v>
      </c>
      <c r="F2439" s="32"/>
      <c r="G2439" s="32">
        <f t="shared" ref="G2439:G2444" si="26">PRODUCT(C2439:F2439)</f>
        <v>65</v>
      </c>
    </row>
    <row r="2440" spans="1:7" x14ac:dyDescent="0.2">
      <c r="A2440" s="31" t="s">
        <v>3613</v>
      </c>
      <c r="B2440" s="31"/>
      <c r="C2440" s="32">
        <v>9</v>
      </c>
      <c r="D2440" s="32">
        <v>50</v>
      </c>
      <c r="E2440" s="32">
        <v>0.2</v>
      </c>
      <c r="F2440" s="32"/>
      <c r="G2440" s="32">
        <f t="shared" si="26"/>
        <v>90</v>
      </c>
    </row>
    <row r="2441" spans="1:7" x14ac:dyDescent="0.2">
      <c r="A2441" s="31" t="s">
        <v>3614</v>
      </c>
      <c r="B2441" s="31"/>
      <c r="C2441" s="32">
        <v>5</v>
      </c>
      <c r="D2441" s="32">
        <v>50</v>
      </c>
      <c r="E2441" s="32">
        <v>0.3</v>
      </c>
      <c r="F2441" s="32"/>
      <c r="G2441" s="32">
        <f t="shared" si="26"/>
        <v>75</v>
      </c>
    </row>
    <row r="2442" spans="1:7" x14ac:dyDescent="0.2">
      <c r="A2442" s="31" t="s">
        <v>3749</v>
      </c>
      <c r="B2442" s="31"/>
      <c r="C2442" s="32">
        <v>2</v>
      </c>
      <c r="D2442" s="32">
        <v>50</v>
      </c>
      <c r="E2442" s="32">
        <v>0.2</v>
      </c>
      <c r="F2442" s="32"/>
      <c r="G2442" s="32">
        <f t="shared" si="26"/>
        <v>20</v>
      </c>
    </row>
    <row r="2443" spans="1:7" x14ac:dyDescent="0.2">
      <c r="A2443" s="31" t="s">
        <v>3755</v>
      </c>
      <c r="B2443" s="31"/>
      <c r="C2443" s="32">
        <v>1</v>
      </c>
      <c r="D2443" s="32">
        <v>50</v>
      </c>
      <c r="E2443" s="32">
        <v>0.2</v>
      </c>
      <c r="F2443" s="32"/>
      <c r="G2443" s="32">
        <f t="shared" si="26"/>
        <v>10</v>
      </c>
    </row>
    <row r="2444" spans="1:7" x14ac:dyDescent="0.2">
      <c r="A2444" s="31" t="s">
        <v>3756</v>
      </c>
      <c r="B2444" s="31"/>
      <c r="C2444" s="32">
        <v>1</v>
      </c>
      <c r="D2444" s="32">
        <v>50</v>
      </c>
      <c r="E2444" s="32">
        <v>0.2</v>
      </c>
      <c r="F2444" s="32"/>
      <c r="G2444" s="32">
        <f t="shared" si="26"/>
        <v>10</v>
      </c>
    </row>
    <row r="2446" spans="1:7" x14ac:dyDescent="0.2">
      <c r="B2446" t="s">
        <v>3139</v>
      </c>
      <c r="C2446" s="6" t="s">
        <v>6</v>
      </c>
      <c r="D2446" s="7" t="s">
        <v>7</v>
      </c>
      <c r="E2446" s="6" t="s">
        <v>8</v>
      </c>
    </row>
    <row r="2447" spans="1:7" x14ac:dyDescent="0.2">
      <c r="B2447" t="s">
        <v>3139</v>
      </c>
      <c r="C2447" s="6" t="s">
        <v>9</v>
      </c>
      <c r="D2447" s="7" t="s">
        <v>385</v>
      </c>
      <c r="E2447" s="6" t="s">
        <v>588</v>
      </c>
    </row>
    <row r="2448" spans="1:7" x14ac:dyDescent="0.2">
      <c r="B2448" t="s">
        <v>3139</v>
      </c>
      <c r="C2448" s="6" t="s">
        <v>11</v>
      </c>
      <c r="D2448" s="7" t="s">
        <v>902</v>
      </c>
      <c r="E2448" s="6" t="s">
        <v>903</v>
      </c>
    </row>
    <row r="2450" spans="1:7" ht="45" customHeight="1" x14ac:dyDescent="0.2">
      <c r="A2450" s="17" t="s">
        <v>3759</v>
      </c>
      <c r="B2450" s="17" t="s">
        <v>3141</v>
      </c>
      <c r="C2450" s="17" t="s">
        <v>905</v>
      </c>
      <c r="D2450" s="83" t="s">
        <v>23</v>
      </c>
      <c r="E2450" s="102" t="s">
        <v>906</v>
      </c>
      <c r="F2450" s="102" t="s">
        <v>906</v>
      </c>
      <c r="G2450" s="84">
        <f>SUM(G2451:G2453)</f>
        <v>7</v>
      </c>
    </row>
    <row r="2451" spans="1:7" x14ac:dyDescent="0.2">
      <c r="A2451" s="31" t="s">
        <v>3612</v>
      </c>
      <c r="B2451" s="31"/>
      <c r="C2451" s="32">
        <v>3</v>
      </c>
      <c r="D2451" s="32"/>
      <c r="E2451" s="32"/>
      <c r="F2451" s="32"/>
      <c r="G2451" s="32">
        <f>PRODUCT(C2451:F2451)</f>
        <v>3</v>
      </c>
    </row>
    <row r="2452" spans="1:7" x14ac:dyDescent="0.2">
      <c r="A2452" s="31" t="s">
        <v>3613</v>
      </c>
      <c r="B2452" s="31"/>
      <c r="C2452" s="32">
        <v>2</v>
      </c>
      <c r="D2452" s="32"/>
      <c r="E2452" s="32"/>
      <c r="F2452" s="32"/>
      <c r="G2452" s="32">
        <f>PRODUCT(C2452:F2452)</f>
        <v>2</v>
      </c>
    </row>
    <row r="2453" spans="1:7" x14ac:dyDescent="0.2">
      <c r="A2453" s="31" t="s">
        <v>3614</v>
      </c>
      <c r="B2453" s="31"/>
      <c r="C2453" s="32">
        <v>2</v>
      </c>
      <c r="D2453" s="32"/>
      <c r="E2453" s="32"/>
      <c r="F2453" s="32"/>
      <c r="G2453" s="32">
        <f>PRODUCT(C2453:F2453)</f>
        <v>2</v>
      </c>
    </row>
    <row r="2455" spans="1:7" ht="45" customHeight="1" x14ac:dyDescent="0.2">
      <c r="A2455" s="17" t="s">
        <v>3760</v>
      </c>
      <c r="B2455" s="17" t="s">
        <v>3141</v>
      </c>
      <c r="C2455" s="17" t="s">
        <v>907</v>
      </c>
      <c r="D2455" s="83" t="s">
        <v>23</v>
      </c>
      <c r="E2455" s="102" t="s">
        <v>908</v>
      </c>
      <c r="F2455" s="102" t="s">
        <v>908</v>
      </c>
      <c r="G2455" s="84">
        <f>SUM(G2456:G2459)</f>
        <v>7</v>
      </c>
    </row>
    <row r="2456" spans="1:7" x14ac:dyDescent="0.2">
      <c r="A2456" s="31" t="s">
        <v>3612</v>
      </c>
      <c r="B2456" s="31"/>
      <c r="C2456" s="32">
        <v>3</v>
      </c>
      <c r="D2456" s="32"/>
      <c r="E2456" s="32"/>
      <c r="F2456" s="32"/>
      <c r="G2456" s="32">
        <f>PRODUCT(C2456:F2456)</f>
        <v>3</v>
      </c>
    </row>
    <row r="2457" spans="1:7" x14ac:dyDescent="0.2">
      <c r="A2457" s="31" t="s">
        <v>3613</v>
      </c>
      <c r="B2457" s="31"/>
      <c r="C2457" s="32">
        <v>2</v>
      </c>
      <c r="D2457" s="32"/>
      <c r="E2457" s="32"/>
      <c r="F2457" s="32"/>
      <c r="G2457" s="32">
        <f>PRODUCT(C2457:F2457)</f>
        <v>2</v>
      </c>
    </row>
    <row r="2458" spans="1:7" x14ac:dyDescent="0.2">
      <c r="A2458" s="31" t="s">
        <v>3614</v>
      </c>
      <c r="B2458" s="31"/>
      <c r="C2458" s="32">
        <v>1</v>
      </c>
      <c r="D2458" s="32"/>
      <c r="E2458" s="32"/>
      <c r="F2458" s="32"/>
      <c r="G2458" s="32">
        <f>PRODUCT(C2458:F2458)</f>
        <v>1</v>
      </c>
    </row>
    <row r="2459" spans="1:7" x14ac:dyDescent="0.2">
      <c r="A2459" s="31" t="s">
        <v>3643</v>
      </c>
      <c r="B2459" s="31"/>
      <c r="C2459" s="32">
        <v>1</v>
      </c>
      <c r="D2459" s="32"/>
      <c r="E2459" s="32"/>
      <c r="F2459" s="32"/>
      <c r="G2459" s="32">
        <f>PRODUCT(C2459:F2459)</f>
        <v>1</v>
      </c>
    </row>
    <row r="2461" spans="1:7" ht="45" customHeight="1" x14ac:dyDescent="0.2">
      <c r="A2461" s="17" t="s">
        <v>3761</v>
      </c>
      <c r="B2461" s="17" t="s">
        <v>3141</v>
      </c>
      <c r="C2461" s="17" t="s">
        <v>909</v>
      </c>
      <c r="D2461" s="83" t="s">
        <v>23</v>
      </c>
      <c r="E2461" s="102" t="s">
        <v>910</v>
      </c>
      <c r="F2461" s="102" t="s">
        <v>910</v>
      </c>
      <c r="G2461" s="84">
        <f>SUM(G2462:G2465)</f>
        <v>11</v>
      </c>
    </row>
    <row r="2462" spans="1:7" x14ac:dyDescent="0.2">
      <c r="A2462" s="31" t="s">
        <v>3612</v>
      </c>
      <c r="B2462" s="31"/>
      <c r="C2462" s="32">
        <v>4</v>
      </c>
      <c r="D2462" s="32"/>
      <c r="E2462" s="32"/>
      <c r="F2462" s="32"/>
      <c r="G2462" s="32">
        <f>PRODUCT(C2462:F2462)</f>
        <v>4</v>
      </c>
    </row>
    <row r="2463" spans="1:7" x14ac:dyDescent="0.2">
      <c r="A2463" s="31" t="s">
        <v>3613</v>
      </c>
      <c r="B2463" s="31"/>
      <c r="C2463" s="32">
        <v>3</v>
      </c>
      <c r="D2463" s="32"/>
      <c r="E2463" s="32"/>
      <c r="F2463" s="32"/>
      <c r="G2463" s="32">
        <f>PRODUCT(C2463:F2463)</f>
        <v>3</v>
      </c>
    </row>
    <row r="2464" spans="1:7" x14ac:dyDescent="0.2">
      <c r="A2464" s="31" t="s">
        <v>3614</v>
      </c>
      <c r="B2464" s="31"/>
      <c r="C2464" s="32">
        <v>2</v>
      </c>
      <c r="D2464" s="32"/>
      <c r="E2464" s="32"/>
      <c r="F2464" s="32"/>
      <c r="G2464" s="32">
        <f>PRODUCT(C2464:F2464)</f>
        <v>2</v>
      </c>
    </row>
    <row r="2465" spans="1:7" x14ac:dyDescent="0.2">
      <c r="A2465" s="31" t="s">
        <v>3643</v>
      </c>
      <c r="B2465" s="31"/>
      <c r="C2465" s="32">
        <v>2</v>
      </c>
      <c r="D2465" s="32"/>
      <c r="E2465" s="32"/>
      <c r="F2465" s="32"/>
      <c r="G2465" s="32">
        <f>PRODUCT(C2465:F2465)</f>
        <v>2</v>
      </c>
    </row>
    <row r="2467" spans="1:7" ht="45" customHeight="1" x14ac:dyDescent="0.2">
      <c r="A2467" s="17" t="s">
        <v>3762</v>
      </c>
      <c r="B2467" s="17" t="s">
        <v>3141</v>
      </c>
      <c r="C2467" s="17" t="s">
        <v>911</v>
      </c>
      <c r="D2467" s="83" t="s">
        <v>23</v>
      </c>
      <c r="E2467" s="102" t="s">
        <v>912</v>
      </c>
      <c r="F2467" s="102" t="s">
        <v>912</v>
      </c>
      <c r="G2467" s="84">
        <f>SUM(G2468:G2470)</f>
        <v>7</v>
      </c>
    </row>
    <row r="2468" spans="1:7" x14ac:dyDescent="0.2">
      <c r="A2468" s="31" t="s">
        <v>3612</v>
      </c>
      <c r="B2468" s="31"/>
      <c r="C2468" s="32">
        <v>3</v>
      </c>
      <c r="D2468" s="32"/>
      <c r="E2468" s="32"/>
      <c r="F2468" s="32"/>
      <c r="G2468" s="32">
        <f>PRODUCT(C2468:F2468)</f>
        <v>3</v>
      </c>
    </row>
    <row r="2469" spans="1:7" x14ac:dyDescent="0.2">
      <c r="A2469" s="31" t="s">
        <v>3613</v>
      </c>
      <c r="B2469" s="31"/>
      <c r="C2469" s="32">
        <v>2</v>
      </c>
      <c r="D2469" s="32"/>
      <c r="E2469" s="32"/>
      <c r="F2469" s="32"/>
      <c r="G2469" s="32">
        <f>PRODUCT(C2469:F2469)</f>
        <v>2</v>
      </c>
    </row>
    <row r="2470" spans="1:7" x14ac:dyDescent="0.2">
      <c r="A2470" s="31" t="s">
        <v>3614</v>
      </c>
      <c r="B2470" s="31"/>
      <c r="C2470" s="32">
        <v>2</v>
      </c>
      <c r="D2470" s="32"/>
      <c r="E2470" s="32"/>
      <c r="F2470" s="32"/>
      <c r="G2470" s="32">
        <f>PRODUCT(C2470:F2470)</f>
        <v>2</v>
      </c>
    </row>
    <row r="2472" spans="1:7" ht="45" customHeight="1" x14ac:dyDescent="0.2">
      <c r="A2472" s="17" t="s">
        <v>3763</v>
      </c>
      <c r="B2472" s="17" t="s">
        <v>3141</v>
      </c>
      <c r="C2472" s="17" t="s">
        <v>913</v>
      </c>
      <c r="D2472" s="83" t="s">
        <v>23</v>
      </c>
      <c r="E2472" s="102" t="s">
        <v>914</v>
      </c>
      <c r="F2472" s="102" t="s">
        <v>914</v>
      </c>
      <c r="G2472" s="84">
        <f>SUM(G2473:G2475)</f>
        <v>27</v>
      </c>
    </row>
    <row r="2473" spans="1:7" x14ac:dyDescent="0.2">
      <c r="A2473" s="31" t="s">
        <v>3612</v>
      </c>
      <c r="B2473" s="31"/>
      <c r="C2473" s="32">
        <v>10</v>
      </c>
      <c r="D2473" s="32"/>
      <c r="E2473" s="32"/>
      <c r="F2473" s="32"/>
      <c r="G2473" s="32">
        <f>PRODUCT(C2473:F2473)</f>
        <v>10</v>
      </c>
    </row>
    <row r="2474" spans="1:7" x14ac:dyDescent="0.2">
      <c r="A2474" s="31" t="s">
        <v>3613</v>
      </c>
      <c r="B2474" s="31"/>
      <c r="C2474" s="32">
        <v>9</v>
      </c>
      <c r="D2474" s="32"/>
      <c r="E2474" s="32"/>
      <c r="F2474" s="32"/>
      <c r="G2474" s="32">
        <f>PRODUCT(C2474:F2474)</f>
        <v>9</v>
      </c>
    </row>
    <row r="2475" spans="1:7" x14ac:dyDescent="0.2">
      <c r="A2475" s="31" t="s">
        <v>3614</v>
      </c>
      <c r="B2475" s="31"/>
      <c r="C2475" s="32">
        <v>8</v>
      </c>
      <c r="D2475" s="32"/>
      <c r="E2475" s="32"/>
      <c r="F2475" s="32"/>
      <c r="G2475" s="32">
        <f>PRODUCT(C2475:F2475)</f>
        <v>8</v>
      </c>
    </row>
    <row r="2477" spans="1:7" ht="45" customHeight="1" x14ac:dyDescent="0.2">
      <c r="A2477" s="17" t="s">
        <v>3764</v>
      </c>
      <c r="B2477" s="17" t="s">
        <v>3141</v>
      </c>
      <c r="C2477" s="17" t="s">
        <v>915</v>
      </c>
      <c r="D2477" s="83" t="s">
        <v>23</v>
      </c>
      <c r="E2477" s="102" t="s">
        <v>916</v>
      </c>
      <c r="F2477" s="102" t="s">
        <v>916</v>
      </c>
      <c r="G2477" s="84">
        <f>SUM(G2478:G2478)</f>
        <v>3</v>
      </c>
    </row>
    <row r="2478" spans="1:7" x14ac:dyDescent="0.2">
      <c r="A2478" s="31" t="s">
        <v>3643</v>
      </c>
      <c r="B2478" s="31"/>
      <c r="C2478" s="32">
        <v>3</v>
      </c>
      <c r="D2478" s="32"/>
      <c r="E2478" s="32"/>
      <c r="F2478" s="32"/>
      <c r="G2478" s="32">
        <f>PRODUCT(C2478:F2478)</f>
        <v>3</v>
      </c>
    </row>
    <row r="2480" spans="1:7" x14ac:dyDescent="0.2">
      <c r="B2480" t="s">
        <v>3139</v>
      </c>
      <c r="C2480" s="6" t="s">
        <v>6</v>
      </c>
      <c r="D2480" s="7" t="s">
        <v>7</v>
      </c>
      <c r="E2480" s="6" t="s">
        <v>8</v>
      </c>
    </row>
    <row r="2481" spans="1:7" x14ac:dyDescent="0.2">
      <c r="B2481" t="s">
        <v>3139</v>
      </c>
      <c r="C2481" s="6" t="s">
        <v>9</v>
      </c>
      <c r="D2481" s="7" t="s">
        <v>385</v>
      </c>
      <c r="E2481" s="6" t="s">
        <v>588</v>
      </c>
    </row>
    <row r="2482" spans="1:7" x14ac:dyDescent="0.2">
      <c r="B2482" t="s">
        <v>3139</v>
      </c>
      <c r="C2482" s="6" t="s">
        <v>11</v>
      </c>
      <c r="D2482" s="7" t="s">
        <v>917</v>
      </c>
      <c r="E2482" s="6" t="s">
        <v>918</v>
      </c>
    </row>
    <row r="2484" spans="1:7" ht="45" customHeight="1" x14ac:dyDescent="0.2">
      <c r="A2484" s="17" t="s">
        <v>3765</v>
      </c>
      <c r="B2484" s="17" t="s">
        <v>3141</v>
      </c>
      <c r="C2484" s="17" t="s">
        <v>920</v>
      </c>
      <c r="D2484" s="83" t="s">
        <v>23</v>
      </c>
      <c r="E2484" s="102" t="s">
        <v>921</v>
      </c>
      <c r="F2484" s="102" t="s">
        <v>921</v>
      </c>
      <c r="G2484" s="84">
        <f>SUM(G2485:G2485)</f>
        <v>1</v>
      </c>
    </row>
    <row r="2485" spans="1:7" x14ac:dyDescent="0.2">
      <c r="A2485" s="31"/>
      <c r="B2485" s="31"/>
      <c r="C2485" s="32">
        <v>1</v>
      </c>
      <c r="D2485" s="32"/>
      <c r="E2485" s="32"/>
      <c r="F2485" s="32"/>
      <c r="G2485" s="32">
        <f>PRODUCT(C2485:F2485)</f>
        <v>1</v>
      </c>
    </row>
    <row r="2487" spans="1:7" x14ac:dyDescent="0.2">
      <c r="B2487" t="s">
        <v>3139</v>
      </c>
      <c r="C2487" s="6" t="s">
        <v>6</v>
      </c>
      <c r="D2487" s="7" t="s">
        <v>7</v>
      </c>
      <c r="E2487" s="6" t="s">
        <v>8</v>
      </c>
    </row>
    <row r="2488" spans="1:7" x14ac:dyDescent="0.2">
      <c r="B2488" t="s">
        <v>3139</v>
      </c>
      <c r="C2488" s="6" t="s">
        <v>9</v>
      </c>
      <c r="D2488" s="7" t="s">
        <v>385</v>
      </c>
      <c r="E2488" s="6" t="s">
        <v>588</v>
      </c>
    </row>
    <row r="2489" spans="1:7" x14ac:dyDescent="0.2">
      <c r="B2489" t="s">
        <v>3139</v>
      </c>
      <c r="C2489" s="6" t="s">
        <v>11</v>
      </c>
      <c r="D2489" s="7" t="s">
        <v>922</v>
      </c>
      <c r="E2489" s="6" t="s">
        <v>923</v>
      </c>
    </row>
    <row r="2490" spans="1:7" x14ac:dyDescent="0.2">
      <c r="B2490" t="s">
        <v>3139</v>
      </c>
      <c r="C2490" s="6" t="s">
        <v>91</v>
      </c>
      <c r="D2490" s="7" t="s">
        <v>7</v>
      </c>
      <c r="E2490" s="6" t="s">
        <v>924</v>
      </c>
    </row>
    <row r="2492" spans="1:7" ht="45" customHeight="1" x14ac:dyDescent="0.2">
      <c r="A2492" s="17" t="s">
        <v>3766</v>
      </c>
      <c r="B2492" s="17" t="s">
        <v>3141</v>
      </c>
      <c r="C2492" s="17" t="s">
        <v>926</v>
      </c>
      <c r="D2492" s="83" t="s">
        <v>23</v>
      </c>
      <c r="E2492" s="102" t="s">
        <v>927</v>
      </c>
      <c r="F2492" s="102" t="s">
        <v>927</v>
      </c>
      <c r="G2492" s="84">
        <f>SUM(G2493:G2493)</f>
        <v>1</v>
      </c>
    </row>
    <row r="2493" spans="1:7" x14ac:dyDescent="0.2">
      <c r="A2493" s="31" t="s">
        <v>3767</v>
      </c>
      <c r="B2493" s="31"/>
      <c r="C2493" s="32">
        <v>1</v>
      </c>
      <c r="D2493" s="32"/>
      <c r="E2493" s="32"/>
      <c r="F2493" s="32"/>
      <c r="G2493" s="32">
        <f>PRODUCT(C2493:F2493)</f>
        <v>1</v>
      </c>
    </row>
    <row r="2495" spans="1:7" ht="45" customHeight="1" x14ac:dyDescent="0.2">
      <c r="A2495" s="17" t="s">
        <v>3768</v>
      </c>
      <c r="B2495" s="17" t="s">
        <v>3141</v>
      </c>
      <c r="C2495" s="17" t="s">
        <v>928</v>
      </c>
      <c r="D2495" s="83" t="s">
        <v>23</v>
      </c>
      <c r="E2495" s="102" t="s">
        <v>929</v>
      </c>
      <c r="F2495" s="102" t="s">
        <v>929</v>
      </c>
      <c r="G2495" s="84">
        <f>SUM(G2496:G2496)</f>
        <v>1</v>
      </c>
    </row>
    <row r="2496" spans="1:7" x14ac:dyDescent="0.2">
      <c r="A2496" s="31" t="s">
        <v>3614</v>
      </c>
      <c r="B2496" s="31"/>
      <c r="C2496" s="32">
        <v>1</v>
      </c>
      <c r="D2496" s="32"/>
      <c r="E2496" s="32"/>
      <c r="F2496" s="32"/>
      <c r="G2496" s="32">
        <f>PRODUCT(C2496:F2496)</f>
        <v>1</v>
      </c>
    </row>
    <row r="2498" spans="1:7" ht="45" customHeight="1" x14ac:dyDescent="0.2">
      <c r="A2498" s="17" t="s">
        <v>3769</v>
      </c>
      <c r="B2498" s="17" t="s">
        <v>3141</v>
      </c>
      <c r="C2498" s="17" t="s">
        <v>930</v>
      </c>
      <c r="D2498" s="83" t="s">
        <v>23</v>
      </c>
      <c r="E2498" s="102" t="s">
        <v>931</v>
      </c>
      <c r="F2498" s="102" t="s">
        <v>931</v>
      </c>
      <c r="G2498" s="84">
        <f>SUM(G2499:G2500)</f>
        <v>2</v>
      </c>
    </row>
    <row r="2499" spans="1:7" x14ac:dyDescent="0.2">
      <c r="A2499" s="31" t="s">
        <v>3612</v>
      </c>
      <c r="B2499" s="31"/>
      <c r="C2499" s="32">
        <v>1</v>
      </c>
      <c r="D2499" s="32"/>
      <c r="E2499" s="32"/>
      <c r="F2499" s="32"/>
      <c r="G2499" s="32">
        <f>PRODUCT(C2499:F2499)</f>
        <v>1</v>
      </c>
    </row>
    <row r="2500" spans="1:7" x14ac:dyDescent="0.2">
      <c r="A2500" s="31" t="s">
        <v>3613</v>
      </c>
      <c r="B2500" s="31"/>
      <c r="C2500" s="32">
        <v>1</v>
      </c>
      <c r="D2500" s="32"/>
      <c r="E2500" s="32"/>
      <c r="F2500" s="32"/>
      <c r="G2500" s="32">
        <f>PRODUCT(C2500:F2500)</f>
        <v>1</v>
      </c>
    </row>
    <row r="2502" spans="1:7" ht="45" customHeight="1" x14ac:dyDescent="0.2">
      <c r="A2502" s="17" t="s">
        <v>3770</v>
      </c>
      <c r="B2502" s="17" t="s">
        <v>3141</v>
      </c>
      <c r="C2502" s="17" t="s">
        <v>932</v>
      </c>
      <c r="D2502" s="83" t="s">
        <v>36</v>
      </c>
      <c r="E2502" s="102" t="s">
        <v>933</v>
      </c>
      <c r="F2502" s="102" t="s">
        <v>933</v>
      </c>
      <c r="G2502" s="84">
        <f>SUM(G2503:G2503)</f>
        <v>100</v>
      </c>
    </row>
    <row r="2503" spans="1:7" x14ac:dyDescent="0.2">
      <c r="A2503" s="31"/>
      <c r="B2503" s="31"/>
      <c r="C2503" s="32">
        <v>100</v>
      </c>
      <c r="D2503" s="32"/>
      <c r="E2503" s="32"/>
      <c r="F2503" s="32"/>
      <c r="G2503" s="32">
        <f>PRODUCT(C2503:F2503)</f>
        <v>100</v>
      </c>
    </row>
    <row r="2505" spans="1:7" ht="45" customHeight="1" x14ac:dyDescent="0.2">
      <c r="A2505" s="17" t="s">
        <v>3771</v>
      </c>
      <c r="B2505" s="17" t="s">
        <v>3141</v>
      </c>
      <c r="C2505" s="17" t="s">
        <v>764</v>
      </c>
      <c r="D2505" s="83" t="s">
        <v>36</v>
      </c>
      <c r="E2505" s="102" t="s">
        <v>765</v>
      </c>
      <c r="F2505" s="102" t="s">
        <v>765</v>
      </c>
      <c r="G2505" s="84">
        <f>SUM(G2506:G2506)</f>
        <v>50</v>
      </c>
    </row>
    <row r="2506" spans="1:7" x14ac:dyDescent="0.2">
      <c r="A2506" s="31"/>
      <c r="B2506" s="31"/>
      <c r="C2506" s="32">
        <v>50</v>
      </c>
      <c r="D2506" s="32"/>
      <c r="E2506" s="32"/>
      <c r="F2506" s="32"/>
      <c r="G2506" s="32">
        <f>PRODUCT(C2506:F2506)</f>
        <v>50</v>
      </c>
    </row>
    <row r="2508" spans="1:7" ht="45" customHeight="1" x14ac:dyDescent="0.2">
      <c r="A2508" s="17" t="s">
        <v>3772</v>
      </c>
      <c r="B2508" s="17" t="s">
        <v>3141</v>
      </c>
      <c r="C2508" s="17" t="s">
        <v>780</v>
      </c>
      <c r="D2508" s="83" t="s">
        <v>36</v>
      </c>
      <c r="E2508" s="102" t="s">
        <v>781</v>
      </c>
      <c r="F2508" s="102" t="s">
        <v>781</v>
      </c>
      <c r="G2508" s="84">
        <f>SUM(G2509:G2509)</f>
        <v>52.5</v>
      </c>
    </row>
    <row r="2509" spans="1:7" x14ac:dyDescent="0.2">
      <c r="A2509" s="31"/>
      <c r="B2509" s="31"/>
      <c r="C2509" s="32">
        <v>50</v>
      </c>
      <c r="D2509" s="32">
        <v>1.05</v>
      </c>
      <c r="E2509" s="32"/>
      <c r="F2509" s="32"/>
      <c r="G2509" s="32">
        <f>PRODUCT(C2509:F2509)</f>
        <v>52.5</v>
      </c>
    </row>
    <row r="2511" spans="1:7" ht="45" customHeight="1" x14ac:dyDescent="0.2">
      <c r="A2511" s="17" t="s">
        <v>3773</v>
      </c>
      <c r="B2511" s="17" t="s">
        <v>3141</v>
      </c>
      <c r="C2511" s="17" t="s">
        <v>784</v>
      </c>
      <c r="D2511" s="83" t="s">
        <v>36</v>
      </c>
      <c r="E2511" s="102" t="s">
        <v>785</v>
      </c>
      <c r="F2511" s="102" t="s">
        <v>785</v>
      </c>
      <c r="G2511" s="84">
        <f>SUM(G2512:G2512)</f>
        <v>31.5</v>
      </c>
    </row>
    <row r="2512" spans="1:7" x14ac:dyDescent="0.2">
      <c r="A2512" s="31"/>
      <c r="B2512" s="31"/>
      <c r="C2512" s="32">
        <v>30</v>
      </c>
      <c r="D2512" s="32">
        <v>1.05</v>
      </c>
      <c r="E2512" s="32"/>
      <c r="F2512" s="32"/>
      <c r="G2512" s="32">
        <f>PRODUCT(C2512:F2512)</f>
        <v>31.5</v>
      </c>
    </row>
    <row r="2514" spans="1:7" x14ac:dyDescent="0.2">
      <c r="B2514" t="s">
        <v>3139</v>
      </c>
      <c r="C2514" s="6" t="s">
        <v>6</v>
      </c>
      <c r="D2514" s="7" t="s">
        <v>7</v>
      </c>
      <c r="E2514" s="6" t="s">
        <v>8</v>
      </c>
    </row>
    <row r="2515" spans="1:7" x14ac:dyDescent="0.2">
      <c r="B2515" t="s">
        <v>3139</v>
      </c>
      <c r="C2515" s="6" t="s">
        <v>9</v>
      </c>
      <c r="D2515" s="7" t="s">
        <v>385</v>
      </c>
      <c r="E2515" s="6" t="s">
        <v>588</v>
      </c>
    </row>
    <row r="2516" spans="1:7" x14ac:dyDescent="0.2">
      <c r="B2516" t="s">
        <v>3139</v>
      </c>
      <c r="C2516" s="6" t="s">
        <v>11</v>
      </c>
      <c r="D2516" s="7" t="s">
        <v>922</v>
      </c>
      <c r="E2516" s="6" t="s">
        <v>923</v>
      </c>
    </row>
    <row r="2517" spans="1:7" x14ac:dyDescent="0.2">
      <c r="B2517" t="s">
        <v>3139</v>
      </c>
      <c r="C2517" s="6" t="s">
        <v>91</v>
      </c>
      <c r="D2517" s="7" t="s">
        <v>26</v>
      </c>
      <c r="E2517" s="6" t="s">
        <v>934</v>
      </c>
    </row>
    <row r="2519" spans="1:7" ht="45" customHeight="1" x14ac:dyDescent="0.2">
      <c r="A2519" s="17" t="s">
        <v>3774</v>
      </c>
      <c r="B2519" s="17" t="s">
        <v>3141</v>
      </c>
      <c r="C2519" s="17" t="s">
        <v>936</v>
      </c>
      <c r="D2519" s="83" t="s">
        <v>625</v>
      </c>
      <c r="E2519" s="102" t="s">
        <v>937</v>
      </c>
      <c r="F2519" s="102" t="s">
        <v>937</v>
      </c>
      <c r="G2519" s="84">
        <f>SUM(G2520:G2520)</f>
        <v>1</v>
      </c>
    </row>
    <row r="2520" spans="1:7" x14ac:dyDescent="0.2">
      <c r="A2520" s="31"/>
      <c r="B2520" s="31"/>
      <c r="C2520" s="32">
        <v>1</v>
      </c>
      <c r="D2520" s="32"/>
      <c r="E2520" s="32"/>
      <c r="F2520" s="32"/>
      <c r="G2520" s="32">
        <f>PRODUCT(C2520:F2520)</f>
        <v>1</v>
      </c>
    </row>
    <row r="2522" spans="1:7" ht="45" customHeight="1" x14ac:dyDescent="0.2">
      <c r="A2522" s="17" t="s">
        <v>3775</v>
      </c>
      <c r="B2522" s="17" t="s">
        <v>3141</v>
      </c>
      <c r="C2522" s="17" t="s">
        <v>938</v>
      </c>
      <c r="D2522" s="83" t="s">
        <v>625</v>
      </c>
      <c r="E2522" s="102" t="s">
        <v>939</v>
      </c>
      <c r="F2522" s="102" t="s">
        <v>939</v>
      </c>
      <c r="G2522" s="84">
        <f>SUM(G2523:G2525)</f>
        <v>5</v>
      </c>
    </row>
    <row r="2523" spans="1:7" x14ac:dyDescent="0.2">
      <c r="A2523" s="31" t="s">
        <v>3612</v>
      </c>
      <c r="B2523" s="31"/>
      <c r="C2523" s="32">
        <v>2</v>
      </c>
      <c r="D2523" s="32"/>
      <c r="E2523" s="32"/>
      <c r="F2523" s="32"/>
      <c r="G2523" s="32">
        <f>PRODUCT(C2523:F2523)</f>
        <v>2</v>
      </c>
    </row>
    <row r="2524" spans="1:7" x14ac:dyDescent="0.2">
      <c r="A2524" s="31" t="s">
        <v>3613</v>
      </c>
      <c r="B2524" s="31"/>
      <c r="C2524" s="32">
        <v>2</v>
      </c>
      <c r="D2524" s="32"/>
      <c r="E2524" s="32"/>
      <c r="F2524" s="32"/>
      <c r="G2524" s="32">
        <f>PRODUCT(C2524:F2524)</f>
        <v>2</v>
      </c>
    </row>
    <row r="2525" spans="1:7" x14ac:dyDescent="0.2">
      <c r="A2525" s="31" t="s">
        <v>3614</v>
      </c>
      <c r="B2525" s="31"/>
      <c r="C2525" s="32">
        <v>1</v>
      </c>
      <c r="D2525" s="32"/>
      <c r="E2525" s="32"/>
      <c r="F2525" s="32"/>
      <c r="G2525" s="32">
        <f>PRODUCT(C2525:F2525)</f>
        <v>1</v>
      </c>
    </row>
    <row r="2527" spans="1:7" ht="45" customHeight="1" x14ac:dyDescent="0.2">
      <c r="A2527" s="17" t="s">
        <v>3776</v>
      </c>
      <c r="B2527" s="17" t="s">
        <v>3141</v>
      </c>
      <c r="C2527" s="17" t="s">
        <v>940</v>
      </c>
      <c r="D2527" s="83" t="s">
        <v>625</v>
      </c>
      <c r="E2527" s="102" t="s">
        <v>941</v>
      </c>
      <c r="F2527" s="102" t="s">
        <v>941</v>
      </c>
      <c r="G2527" s="84">
        <f>SUM(G2528:G2531)</f>
        <v>11</v>
      </c>
    </row>
    <row r="2528" spans="1:7" x14ac:dyDescent="0.2">
      <c r="A2528" s="31" t="s">
        <v>3612</v>
      </c>
      <c r="B2528" s="31"/>
      <c r="C2528" s="32">
        <v>5</v>
      </c>
      <c r="D2528" s="32"/>
      <c r="E2528" s="32"/>
      <c r="F2528" s="32"/>
      <c r="G2528" s="32">
        <f>PRODUCT(C2528:F2528)</f>
        <v>5</v>
      </c>
    </row>
    <row r="2529" spans="1:7" x14ac:dyDescent="0.2">
      <c r="A2529" s="31" t="s">
        <v>3613</v>
      </c>
      <c r="B2529" s="31"/>
      <c r="C2529" s="32">
        <v>2</v>
      </c>
      <c r="D2529" s="32"/>
      <c r="E2529" s="32"/>
      <c r="F2529" s="32"/>
      <c r="G2529" s="32">
        <f>PRODUCT(C2529:F2529)</f>
        <v>2</v>
      </c>
    </row>
    <row r="2530" spans="1:7" x14ac:dyDescent="0.2">
      <c r="A2530" s="31" t="s">
        <v>3614</v>
      </c>
      <c r="B2530" s="31"/>
      <c r="C2530" s="32">
        <v>2</v>
      </c>
      <c r="D2530" s="32"/>
      <c r="E2530" s="32"/>
      <c r="F2530" s="32"/>
      <c r="G2530" s="32">
        <f>PRODUCT(C2530:F2530)</f>
        <v>2</v>
      </c>
    </row>
    <row r="2531" spans="1:7" x14ac:dyDescent="0.2">
      <c r="A2531" s="31" t="s">
        <v>3643</v>
      </c>
      <c r="B2531" s="31"/>
      <c r="C2531" s="32">
        <v>2</v>
      </c>
      <c r="D2531" s="32"/>
      <c r="E2531" s="32"/>
      <c r="F2531" s="32"/>
      <c r="G2531" s="32">
        <f>PRODUCT(C2531:F2531)</f>
        <v>2</v>
      </c>
    </row>
    <row r="2533" spans="1:7" ht="45" customHeight="1" x14ac:dyDescent="0.2">
      <c r="A2533" s="17" t="s">
        <v>3777</v>
      </c>
      <c r="B2533" s="17" t="s">
        <v>3141</v>
      </c>
      <c r="C2533" s="17" t="s">
        <v>942</v>
      </c>
      <c r="D2533" s="83" t="s">
        <v>625</v>
      </c>
      <c r="E2533" s="102" t="s">
        <v>943</v>
      </c>
      <c r="F2533" s="102" t="s">
        <v>943</v>
      </c>
      <c r="G2533" s="84">
        <f>SUM(G2534:G2534)</f>
        <v>1</v>
      </c>
    </row>
    <row r="2534" spans="1:7" x14ac:dyDescent="0.2">
      <c r="A2534" s="31"/>
      <c r="B2534" s="31"/>
      <c r="C2534" s="32">
        <v>1</v>
      </c>
      <c r="D2534" s="32"/>
      <c r="E2534" s="32"/>
      <c r="F2534" s="32"/>
      <c r="G2534" s="32">
        <f>PRODUCT(C2534:F2534)</f>
        <v>1</v>
      </c>
    </row>
    <row r="2536" spans="1:7" ht="45" customHeight="1" x14ac:dyDescent="0.2">
      <c r="A2536" s="17" t="s">
        <v>3778</v>
      </c>
      <c r="B2536" s="17" t="s">
        <v>3141</v>
      </c>
      <c r="C2536" s="17" t="s">
        <v>764</v>
      </c>
      <c r="D2536" s="83" t="s">
        <v>36</v>
      </c>
      <c r="E2536" s="102" t="s">
        <v>765</v>
      </c>
      <c r="F2536" s="102" t="s">
        <v>765</v>
      </c>
      <c r="G2536" s="84">
        <f>SUM(G2537:G2537)</f>
        <v>320</v>
      </c>
    </row>
    <row r="2537" spans="1:7" x14ac:dyDescent="0.2">
      <c r="A2537" s="31"/>
      <c r="B2537" s="31"/>
      <c r="C2537" s="32">
        <v>16</v>
      </c>
      <c r="D2537" s="32">
        <v>20</v>
      </c>
      <c r="E2537" s="32"/>
      <c r="F2537" s="32"/>
      <c r="G2537" s="32">
        <f>PRODUCT(C2537:F2537)</f>
        <v>320</v>
      </c>
    </row>
    <row r="2539" spans="1:7" ht="45" customHeight="1" x14ac:dyDescent="0.2">
      <c r="A2539" s="17" t="s">
        <v>3779</v>
      </c>
      <c r="B2539" s="17" t="s">
        <v>3141</v>
      </c>
      <c r="C2539" s="17" t="s">
        <v>780</v>
      </c>
      <c r="D2539" s="83" t="s">
        <v>36</v>
      </c>
      <c r="E2539" s="102" t="s">
        <v>781</v>
      </c>
      <c r="F2539" s="102" t="s">
        <v>781</v>
      </c>
      <c r="G2539" s="84">
        <f>SUM(G2540:G2540)</f>
        <v>38.85</v>
      </c>
    </row>
    <row r="2540" spans="1:7" x14ac:dyDescent="0.2">
      <c r="A2540" s="31"/>
      <c r="B2540" s="31"/>
      <c r="C2540" s="32">
        <v>37</v>
      </c>
      <c r="D2540" s="32">
        <v>1.05</v>
      </c>
      <c r="E2540" s="32"/>
      <c r="F2540" s="32"/>
      <c r="G2540" s="32">
        <f>PRODUCT(C2540:F2540)</f>
        <v>38.85</v>
      </c>
    </row>
    <row r="2542" spans="1:7" ht="45" customHeight="1" x14ac:dyDescent="0.2">
      <c r="A2542" s="17" t="s">
        <v>3780</v>
      </c>
      <c r="B2542" s="17" t="s">
        <v>3141</v>
      </c>
      <c r="C2542" s="17" t="s">
        <v>784</v>
      </c>
      <c r="D2542" s="83" t="s">
        <v>36</v>
      </c>
      <c r="E2542" s="102" t="s">
        <v>785</v>
      </c>
      <c r="F2542" s="102" t="s">
        <v>785</v>
      </c>
      <c r="G2542" s="84">
        <f>SUM(G2543:G2543)</f>
        <v>31.5</v>
      </c>
    </row>
    <row r="2543" spans="1:7" x14ac:dyDescent="0.2">
      <c r="A2543" s="31"/>
      <c r="B2543" s="31"/>
      <c r="C2543" s="32">
        <v>30</v>
      </c>
      <c r="D2543" s="32">
        <v>1.05</v>
      </c>
      <c r="E2543" s="32"/>
      <c r="F2543" s="32"/>
      <c r="G2543" s="32">
        <f>PRODUCT(C2543:F2543)</f>
        <v>31.5</v>
      </c>
    </row>
    <row r="2545" spans="1:7" x14ac:dyDescent="0.2">
      <c r="B2545" t="s">
        <v>3139</v>
      </c>
      <c r="C2545" s="6" t="s">
        <v>6</v>
      </c>
      <c r="D2545" s="7" t="s">
        <v>7</v>
      </c>
      <c r="E2545" s="6" t="s">
        <v>8</v>
      </c>
    </row>
    <row r="2546" spans="1:7" x14ac:dyDescent="0.2">
      <c r="B2546" t="s">
        <v>3139</v>
      </c>
      <c r="C2546" s="6" t="s">
        <v>9</v>
      </c>
      <c r="D2546" s="7" t="s">
        <v>385</v>
      </c>
      <c r="E2546" s="6" t="s">
        <v>588</v>
      </c>
    </row>
    <row r="2547" spans="1:7" x14ac:dyDescent="0.2">
      <c r="B2547" t="s">
        <v>3139</v>
      </c>
      <c r="C2547" s="6" t="s">
        <v>11</v>
      </c>
      <c r="D2547" s="7" t="s">
        <v>944</v>
      </c>
      <c r="E2547" s="6" t="s">
        <v>945</v>
      </c>
    </row>
    <row r="2548" spans="1:7" x14ac:dyDescent="0.2">
      <c r="B2548" t="s">
        <v>3139</v>
      </c>
      <c r="C2548" s="6" t="s">
        <v>91</v>
      </c>
      <c r="D2548" s="7" t="s">
        <v>7</v>
      </c>
      <c r="E2548" s="6" t="s">
        <v>686</v>
      </c>
    </row>
    <row r="2550" spans="1:7" ht="45" customHeight="1" x14ac:dyDescent="0.2">
      <c r="A2550" s="17" t="s">
        <v>3781</v>
      </c>
      <c r="B2550" s="17" t="s">
        <v>3141</v>
      </c>
      <c r="C2550" s="17" t="s">
        <v>947</v>
      </c>
      <c r="D2550" s="83" t="s">
        <v>23</v>
      </c>
      <c r="E2550" s="102" t="s">
        <v>948</v>
      </c>
      <c r="F2550" s="102" t="s">
        <v>948</v>
      </c>
      <c r="G2550" s="84">
        <f>SUM(G2551:G2553)</f>
        <v>32</v>
      </c>
    </row>
    <row r="2551" spans="1:7" x14ac:dyDescent="0.2">
      <c r="A2551" s="31" t="s">
        <v>3612</v>
      </c>
      <c r="B2551" s="31"/>
      <c r="C2551" s="32">
        <v>16</v>
      </c>
      <c r="D2551" s="32"/>
      <c r="E2551" s="32"/>
      <c r="F2551" s="32"/>
      <c r="G2551" s="32">
        <f>PRODUCT(C2551:F2551)</f>
        <v>16</v>
      </c>
    </row>
    <row r="2552" spans="1:7" x14ac:dyDescent="0.2">
      <c r="A2552" s="31" t="s">
        <v>3613</v>
      </c>
      <c r="B2552" s="31"/>
      <c r="C2552" s="32">
        <v>8</v>
      </c>
      <c r="D2552" s="32"/>
      <c r="E2552" s="32"/>
      <c r="F2552" s="32"/>
      <c r="G2552" s="32">
        <f>PRODUCT(C2552:F2552)</f>
        <v>8</v>
      </c>
    </row>
    <row r="2553" spans="1:7" x14ac:dyDescent="0.2">
      <c r="A2553" s="31" t="s">
        <v>3614</v>
      </c>
      <c r="B2553" s="31"/>
      <c r="C2553" s="32">
        <v>8</v>
      </c>
      <c r="D2553" s="32"/>
      <c r="E2553" s="32"/>
      <c r="F2553" s="32"/>
      <c r="G2553" s="32">
        <f>PRODUCT(C2553:F2553)</f>
        <v>8</v>
      </c>
    </row>
    <row r="2555" spans="1:7" ht="45" customHeight="1" x14ac:dyDescent="0.2">
      <c r="A2555" s="17" t="s">
        <v>3782</v>
      </c>
      <c r="B2555" s="17" t="s">
        <v>3141</v>
      </c>
      <c r="C2555" s="17" t="s">
        <v>949</v>
      </c>
      <c r="D2555" s="83" t="s">
        <v>23</v>
      </c>
      <c r="E2555" s="102" t="s">
        <v>950</v>
      </c>
      <c r="F2555" s="102" t="s">
        <v>950</v>
      </c>
      <c r="G2555" s="84">
        <f>SUM(G2556:G2558)</f>
        <v>7</v>
      </c>
    </row>
    <row r="2556" spans="1:7" x14ac:dyDescent="0.2">
      <c r="A2556" s="31" t="s">
        <v>3612</v>
      </c>
      <c r="B2556" s="31"/>
      <c r="C2556" s="32">
        <v>1</v>
      </c>
      <c r="D2556" s="32"/>
      <c r="E2556" s="32"/>
      <c r="F2556" s="32"/>
      <c r="G2556" s="32">
        <f>PRODUCT(C2556:F2556)</f>
        <v>1</v>
      </c>
    </row>
    <row r="2557" spans="1:7" x14ac:dyDescent="0.2">
      <c r="A2557" s="31" t="s">
        <v>3613</v>
      </c>
      <c r="B2557" s="31"/>
      <c r="C2557" s="32">
        <v>2</v>
      </c>
      <c r="D2557" s="32"/>
      <c r="E2557" s="32"/>
      <c r="F2557" s="32"/>
      <c r="G2557" s="32">
        <f>PRODUCT(C2557:F2557)</f>
        <v>2</v>
      </c>
    </row>
    <row r="2558" spans="1:7" x14ac:dyDescent="0.2">
      <c r="A2558" s="31" t="s">
        <v>3614</v>
      </c>
      <c r="B2558" s="31"/>
      <c r="C2558" s="32">
        <v>4</v>
      </c>
      <c r="D2558" s="32"/>
      <c r="E2558" s="32"/>
      <c r="F2558" s="32"/>
      <c r="G2558" s="32">
        <f>PRODUCT(C2558:F2558)</f>
        <v>4</v>
      </c>
    </row>
    <row r="2560" spans="1:7" ht="45" customHeight="1" x14ac:dyDescent="0.2">
      <c r="A2560" s="17" t="s">
        <v>3783</v>
      </c>
      <c r="B2560" s="17" t="s">
        <v>3141</v>
      </c>
      <c r="C2560" s="17" t="s">
        <v>951</v>
      </c>
      <c r="D2560" s="83" t="s">
        <v>23</v>
      </c>
      <c r="E2560" s="102" t="s">
        <v>952</v>
      </c>
      <c r="F2560" s="102" t="s">
        <v>952</v>
      </c>
      <c r="G2560" s="84">
        <f>SUM(G2561:G2563)</f>
        <v>4</v>
      </c>
    </row>
    <row r="2561" spans="1:7" x14ac:dyDescent="0.2">
      <c r="A2561" s="31" t="s">
        <v>3612</v>
      </c>
      <c r="B2561" s="31"/>
      <c r="C2561" s="32">
        <v>2</v>
      </c>
      <c r="D2561" s="32"/>
      <c r="E2561" s="32"/>
      <c r="F2561" s="32"/>
      <c r="G2561" s="32">
        <f>PRODUCT(C2561:F2561)</f>
        <v>2</v>
      </c>
    </row>
    <row r="2562" spans="1:7" x14ac:dyDescent="0.2">
      <c r="A2562" s="31" t="s">
        <v>3613</v>
      </c>
      <c r="B2562" s="31"/>
      <c r="C2562" s="32">
        <v>1</v>
      </c>
      <c r="D2562" s="32"/>
      <c r="E2562" s="32"/>
      <c r="F2562" s="32"/>
      <c r="G2562" s="32">
        <f>PRODUCT(C2562:F2562)</f>
        <v>1</v>
      </c>
    </row>
    <row r="2563" spans="1:7" x14ac:dyDescent="0.2">
      <c r="A2563" s="31" t="s">
        <v>3614</v>
      </c>
      <c r="B2563" s="31"/>
      <c r="C2563" s="32">
        <v>1</v>
      </c>
      <c r="D2563" s="32"/>
      <c r="E2563" s="32"/>
      <c r="F2563" s="32"/>
      <c r="G2563" s="32">
        <f>PRODUCT(C2563:F2563)</f>
        <v>1</v>
      </c>
    </row>
    <row r="2565" spans="1:7" ht="45" customHeight="1" x14ac:dyDescent="0.2">
      <c r="A2565" s="17" t="s">
        <v>3784</v>
      </c>
      <c r="B2565" s="17" t="s">
        <v>3141</v>
      </c>
      <c r="C2565" s="17" t="s">
        <v>932</v>
      </c>
      <c r="D2565" s="83" t="s">
        <v>36</v>
      </c>
      <c r="E2565" s="102" t="s">
        <v>933</v>
      </c>
      <c r="F2565" s="102" t="s">
        <v>933</v>
      </c>
      <c r="G2565" s="84">
        <f>SUM(G2566:G2566)</f>
        <v>640</v>
      </c>
    </row>
    <row r="2566" spans="1:7" x14ac:dyDescent="0.2">
      <c r="A2566" s="31"/>
      <c r="B2566" s="31"/>
      <c r="C2566" s="32">
        <v>20</v>
      </c>
      <c r="D2566" s="32">
        <v>32</v>
      </c>
      <c r="E2566" s="32"/>
      <c r="F2566" s="32"/>
      <c r="G2566" s="32">
        <f>PRODUCT(C2566:F2566)</f>
        <v>640</v>
      </c>
    </row>
    <row r="2568" spans="1:7" x14ac:dyDescent="0.2">
      <c r="B2568" t="s">
        <v>3139</v>
      </c>
      <c r="C2568" s="6" t="s">
        <v>6</v>
      </c>
      <c r="D2568" s="7" t="s">
        <v>7</v>
      </c>
      <c r="E2568" s="6" t="s">
        <v>8</v>
      </c>
    </row>
    <row r="2569" spans="1:7" x14ac:dyDescent="0.2">
      <c r="B2569" t="s">
        <v>3139</v>
      </c>
      <c r="C2569" s="6" t="s">
        <v>9</v>
      </c>
      <c r="D2569" s="7" t="s">
        <v>385</v>
      </c>
      <c r="E2569" s="6" t="s">
        <v>588</v>
      </c>
    </row>
    <row r="2570" spans="1:7" x14ac:dyDescent="0.2">
      <c r="B2570" t="s">
        <v>3139</v>
      </c>
      <c r="C2570" s="6" t="s">
        <v>11</v>
      </c>
      <c r="D2570" s="7" t="s">
        <v>944</v>
      </c>
      <c r="E2570" s="6" t="s">
        <v>945</v>
      </c>
    </row>
    <row r="2571" spans="1:7" x14ac:dyDescent="0.2">
      <c r="B2571" t="s">
        <v>3139</v>
      </c>
      <c r="C2571" s="6" t="s">
        <v>91</v>
      </c>
      <c r="D2571" s="7" t="s">
        <v>26</v>
      </c>
      <c r="E2571" s="6" t="s">
        <v>953</v>
      </c>
    </row>
    <row r="2573" spans="1:7" ht="45" customHeight="1" x14ac:dyDescent="0.2">
      <c r="A2573" s="17" t="s">
        <v>3785</v>
      </c>
      <c r="B2573" s="17" t="s">
        <v>3141</v>
      </c>
      <c r="C2573" s="17" t="s">
        <v>955</v>
      </c>
      <c r="D2573" s="83" t="s">
        <v>23</v>
      </c>
      <c r="E2573" s="102" t="s">
        <v>956</v>
      </c>
      <c r="F2573" s="102" t="s">
        <v>956</v>
      </c>
      <c r="G2573" s="84">
        <f>SUM(G2574:G2574)</f>
        <v>4</v>
      </c>
    </row>
    <row r="2574" spans="1:7" x14ac:dyDescent="0.2">
      <c r="A2574" s="31" t="s">
        <v>3612</v>
      </c>
      <c r="B2574" s="31"/>
      <c r="C2574" s="32">
        <v>4</v>
      </c>
      <c r="D2574" s="32"/>
      <c r="E2574" s="32"/>
      <c r="F2574" s="32"/>
      <c r="G2574" s="32">
        <f>PRODUCT(C2574:F2574)</f>
        <v>4</v>
      </c>
    </row>
    <row r="2576" spans="1:7" ht="45" customHeight="1" x14ac:dyDescent="0.2">
      <c r="A2576" s="17" t="s">
        <v>3786</v>
      </c>
      <c r="B2576" s="17" t="s">
        <v>3141</v>
      </c>
      <c r="C2576" s="17" t="s">
        <v>957</v>
      </c>
      <c r="D2576" s="83" t="s">
        <v>23</v>
      </c>
      <c r="E2576" s="102" t="s">
        <v>958</v>
      </c>
      <c r="F2576" s="102" t="s">
        <v>958</v>
      </c>
      <c r="G2576" s="84">
        <f>SUM(G2577:G2577)</f>
        <v>5</v>
      </c>
    </row>
    <row r="2577" spans="1:7" x14ac:dyDescent="0.2">
      <c r="A2577" s="31" t="s">
        <v>3643</v>
      </c>
      <c r="B2577" s="31"/>
      <c r="C2577" s="32">
        <v>5</v>
      </c>
      <c r="D2577" s="32"/>
      <c r="E2577" s="32"/>
      <c r="F2577" s="32"/>
      <c r="G2577" s="32">
        <f>PRODUCT(C2577:F2577)</f>
        <v>5</v>
      </c>
    </row>
    <row r="2579" spans="1:7" ht="45" customHeight="1" x14ac:dyDescent="0.2">
      <c r="A2579" s="17" t="s">
        <v>3787</v>
      </c>
      <c r="B2579" s="17" t="s">
        <v>3141</v>
      </c>
      <c r="C2579" s="17" t="s">
        <v>932</v>
      </c>
      <c r="D2579" s="83" t="s">
        <v>36</v>
      </c>
      <c r="E2579" s="102" t="s">
        <v>933</v>
      </c>
      <c r="F2579" s="102" t="s">
        <v>933</v>
      </c>
      <c r="G2579" s="84">
        <f>SUM(G2580:G2580)</f>
        <v>1452.0000000000002</v>
      </c>
    </row>
    <row r="2580" spans="1:7" x14ac:dyDescent="0.2">
      <c r="A2580" s="31"/>
      <c r="B2580" s="31"/>
      <c r="C2580" s="32">
        <v>20</v>
      </c>
      <c r="D2580" s="32">
        <v>66</v>
      </c>
      <c r="E2580" s="32">
        <v>1.1000000000000001</v>
      </c>
      <c r="F2580" s="32"/>
      <c r="G2580" s="32">
        <f>PRODUCT(C2580:F2580)</f>
        <v>1452.0000000000002</v>
      </c>
    </row>
    <row r="2582" spans="1:7" x14ac:dyDescent="0.2">
      <c r="B2582" t="s">
        <v>3139</v>
      </c>
      <c r="C2582" s="6" t="s">
        <v>6</v>
      </c>
      <c r="D2582" s="7" t="s">
        <v>7</v>
      </c>
      <c r="E2582" s="6" t="s">
        <v>8</v>
      </c>
    </row>
    <row r="2583" spans="1:7" x14ac:dyDescent="0.2">
      <c r="B2583" t="s">
        <v>3139</v>
      </c>
      <c r="C2583" s="6" t="s">
        <v>9</v>
      </c>
      <c r="D2583" s="7" t="s">
        <v>400</v>
      </c>
      <c r="E2583" s="6" t="s">
        <v>959</v>
      </c>
    </row>
    <row r="2584" spans="1:7" x14ac:dyDescent="0.2">
      <c r="B2584" t="s">
        <v>3139</v>
      </c>
      <c r="C2584" s="6" t="s">
        <v>11</v>
      </c>
      <c r="D2584" s="7" t="s">
        <v>7</v>
      </c>
      <c r="E2584" s="6" t="s">
        <v>960</v>
      </c>
    </row>
    <row r="2586" spans="1:7" ht="45" customHeight="1" x14ac:dyDescent="0.2">
      <c r="A2586" s="17" t="s">
        <v>3788</v>
      </c>
      <c r="B2586" s="17" t="s">
        <v>3141</v>
      </c>
      <c r="C2586" s="17" t="s">
        <v>962</v>
      </c>
      <c r="D2586" s="83" t="s">
        <v>23</v>
      </c>
      <c r="E2586" s="102" t="s">
        <v>3947</v>
      </c>
      <c r="F2586" s="102" t="s">
        <v>3947</v>
      </c>
      <c r="G2586" s="84">
        <f>SUM(G2587:G2587)</f>
        <v>1</v>
      </c>
    </row>
    <row r="2587" spans="1:7" x14ac:dyDescent="0.2">
      <c r="A2587" s="31"/>
      <c r="B2587" s="31"/>
      <c r="C2587" s="32">
        <v>1</v>
      </c>
      <c r="D2587" s="32"/>
      <c r="E2587" s="32"/>
      <c r="F2587" s="32"/>
      <c r="G2587" s="32">
        <f>PRODUCT(C2587:F2587)</f>
        <v>1</v>
      </c>
    </row>
    <row r="2589" spans="1:7" ht="45" customHeight="1" x14ac:dyDescent="0.2">
      <c r="A2589" s="17" t="s">
        <v>3789</v>
      </c>
      <c r="B2589" s="17" t="s">
        <v>3141</v>
      </c>
      <c r="C2589" s="17" t="s">
        <v>963</v>
      </c>
      <c r="D2589" s="83" t="s">
        <v>23</v>
      </c>
      <c r="E2589" s="102" t="s">
        <v>3948</v>
      </c>
      <c r="F2589" s="102" t="s">
        <v>3948</v>
      </c>
      <c r="G2589" s="84">
        <f>SUM(G2590:G2590)</f>
        <v>1</v>
      </c>
    </row>
    <row r="2590" spans="1:7" x14ac:dyDescent="0.2">
      <c r="A2590" s="31"/>
      <c r="B2590" s="31"/>
      <c r="C2590" s="32">
        <v>1</v>
      </c>
      <c r="D2590" s="32"/>
      <c r="E2590" s="32"/>
      <c r="F2590" s="32"/>
      <c r="G2590" s="32">
        <f>PRODUCT(C2590:F2590)</f>
        <v>1</v>
      </c>
    </row>
    <row r="2592" spans="1:7" ht="45" customHeight="1" x14ac:dyDescent="0.2">
      <c r="A2592" s="17" t="s">
        <v>3790</v>
      </c>
      <c r="B2592" s="17" t="s">
        <v>3141</v>
      </c>
      <c r="C2592" s="17" t="s">
        <v>964</v>
      </c>
      <c r="D2592" s="83" t="s">
        <v>23</v>
      </c>
      <c r="E2592" s="102" t="s">
        <v>3949</v>
      </c>
      <c r="F2592" s="102" t="s">
        <v>3949</v>
      </c>
      <c r="G2592" s="84">
        <f>SUM(G2593:G2593)</f>
        <v>1</v>
      </c>
    </row>
    <row r="2593" spans="1:7" x14ac:dyDescent="0.2">
      <c r="A2593" s="31"/>
      <c r="B2593" s="31"/>
      <c r="C2593" s="32">
        <v>1</v>
      </c>
      <c r="D2593" s="32"/>
      <c r="E2593" s="32"/>
      <c r="F2593" s="32"/>
      <c r="G2593" s="32">
        <f>PRODUCT(C2593:F2593)</f>
        <v>1</v>
      </c>
    </row>
    <row r="2595" spans="1:7" ht="45" customHeight="1" x14ac:dyDescent="0.2">
      <c r="A2595" s="17" t="s">
        <v>3791</v>
      </c>
      <c r="B2595" s="17" t="s">
        <v>3141</v>
      </c>
      <c r="C2595" s="17" t="s">
        <v>965</v>
      </c>
      <c r="D2595" s="83" t="s">
        <v>23</v>
      </c>
      <c r="E2595" s="102" t="s">
        <v>3950</v>
      </c>
      <c r="F2595" s="102" t="s">
        <v>3950</v>
      </c>
      <c r="G2595" s="84">
        <f>SUM(G2596:G2596)</f>
        <v>1</v>
      </c>
    </row>
    <row r="2596" spans="1:7" x14ac:dyDescent="0.2">
      <c r="A2596" s="31"/>
      <c r="B2596" s="31"/>
      <c r="C2596" s="32">
        <v>1</v>
      </c>
      <c r="D2596" s="32"/>
      <c r="E2596" s="32"/>
      <c r="F2596" s="32"/>
      <c r="G2596" s="32">
        <f>PRODUCT(C2596:F2596)</f>
        <v>1</v>
      </c>
    </row>
    <row r="2598" spans="1:7" ht="45" customHeight="1" x14ac:dyDescent="0.2">
      <c r="A2598" s="17" t="s">
        <v>3792</v>
      </c>
      <c r="B2598" s="17" t="s">
        <v>3141</v>
      </c>
      <c r="C2598" s="17" t="s">
        <v>966</v>
      </c>
      <c r="D2598" s="83" t="s">
        <v>23</v>
      </c>
      <c r="E2598" s="102" t="s">
        <v>3951</v>
      </c>
      <c r="F2598" s="102" t="s">
        <v>3951</v>
      </c>
      <c r="G2598" s="84">
        <f>SUM(G2599:G2599)</f>
        <v>1</v>
      </c>
    </row>
    <row r="2599" spans="1:7" x14ac:dyDescent="0.2">
      <c r="A2599" s="31"/>
      <c r="B2599" s="31"/>
      <c r="C2599" s="32">
        <v>1</v>
      </c>
      <c r="D2599" s="32"/>
      <c r="E2599" s="32"/>
      <c r="F2599" s="32"/>
      <c r="G2599" s="32">
        <f>PRODUCT(C2599:F2599)</f>
        <v>1</v>
      </c>
    </row>
    <row r="2601" spans="1:7" ht="45" customHeight="1" x14ac:dyDescent="0.2">
      <c r="A2601" s="17" t="s">
        <v>3793</v>
      </c>
      <c r="B2601" s="17" t="s">
        <v>3141</v>
      </c>
      <c r="C2601" s="17" t="s">
        <v>967</v>
      </c>
      <c r="D2601" s="83" t="s">
        <v>23</v>
      </c>
      <c r="E2601" s="102" t="s">
        <v>3952</v>
      </c>
      <c r="F2601" s="102" t="s">
        <v>3952</v>
      </c>
      <c r="G2601" s="84">
        <f>SUM(G2602:G2602)</f>
        <v>1</v>
      </c>
    </row>
    <row r="2602" spans="1:7" x14ac:dyDescent="0.2">
      <c r="A2602" s="31"/>
      <c r="B2602" s="31"/>
      <c r="C2602" s="32">
        <v>1</v>
      </c>
      <c r="D2602" s="32"/>
      <c r="E2602" s="32"/>
      <c r="F2602" s="32"/>
      <c r="G2602" s="32">
        <f>PRODUCT(C2602:F2602)</f>
        <v>1</v>
      </c>
    </row>
    <row r="2604" spans="1:7" ht="45" customHeight="1" x14ac:dyDescent="0.2">
      <c r="A2604" s="17" t="s">
        <v>3794</v>
      </c>
      <c r="B2604" s="17" t="s">
        <v>3141</v>
      </c>
      <c r="C2604" s="17" t="s">
        <v>968</v>
      </c>
      <c r="D2604" s="83" t="s">
        <v>23</v>
      </c>
      <c r="E2604" s="102" t="s">
        <v>3953</v>
      </c>
      <c r="F2604" s="102" t="s">
        <v>3953</v>
      </c>
      <c r="G2604" s="84">
        <f>SUM(G2605:G2605)</f>
        <v>1</v>
      </c>
    </row>
    <row r="2605" spans="1:7" x14ac:dyDescent="0.2">
      <c r="A2605" s="31"/>
      <c r="B2605" s="31"/>
      <c r="C2605" s="32">
        <v>1</v>
      </c>
      <c r="D2605" s="32"/>
      <c r="E2605" s="32"/>
      <c r="F2605" s="32"/>
      <c r="G2605" s="32">
        <f>PRODUCT(C2605:F2605)</f>
        <v>1</v>
      </c>
    </row>
    <row r="2607" spans="1:7" ht="45" customHeight="1" x14ac:dyDescent="0.2">
      <c r="A2607" s="17" t="s">
        <v>3795</v>
      </c>
      <c r="B2607" s="17" t="s">
        <v>3141</v>
      </c>
      <c r="C2607" s="17" t="s">
        <v>4002</v>
      </c>
      <c r="D2607" s="83" t="s">
        <v>23</v>
      </c>
      <c r="E2607" s="102" t="s">
        <v>4003</v>
      </c>
      <c r="F2607" s="102" t="s">
        <v>4003</v>
      </c>
      <c r="G2607" s="84">
        <f>SUM(G2608:G2608)</f>
        <v>1</v>
      </c>
    </row>
    <row r="2608" spans="1:7" x14ac:dyDescent="0.2">
      <c r="A2608" s="31" t="s">
        <v>3192</v>
      </c>
      <c r="B2608" s="31"/>
      <c r="C2608" s="32">
        <v>1</v>
      </c>
      <c r="D2608" s="32"/>
      <c r="E2608" s="32"/>
      <c r="F2608" s="32"/>
      <c r="G2608" s="32">
        <f>PRODUCT(C2608:F2608)</f>
        <v>1</v>
      </c>
    </row>
    <row r="2610" spans="1:7" ht="45" customHeight="1" x14ac:dyDescent="0.2">
      <c r="A2610" s="17" t="s">
        <v>4295</v>
      </c>
      <c r="B2610" s="17" t="s">
        <v>3141</v>
      </c>
      <c r="C2610" s="17" t="s">
        <v>969</v>
      </c>
      <c r="D2610" s="83" t="s">
        <v>23</v>
      </c>
      <c r="E2610" s="102" t="s">
        <v>4004</v>
      </c>
      <c r="F2610" s="102" t="s">
        <v>4004</v>
      </c>
      <c r="G2610" s="84">
        <f>SUM(G2611:G2611)</f>
        <v>1</v>
      </c>
    </row>
    <row r="2611" spans="1:7" x14ac:dyDescent="0.2">
      <c r="A2611" s="31" t="s">
        <v>3191</v>
      </c>
      <c r="B2611" s="31"/>
      <c r="C2611" s="32">
        <v>1</v>
      </c>
      <c r="D2611" s="32"/>
      <c r="E2611" s="32"/>
      <c r="F2611" s="32"/>
      <c r="G2611" s="32">
        <f>PRODUCT(C2611:F2611)</f>
        <v>1</v>
      </c>
    </row>
    <row r="2613" spans="1:7" ht="45" customHeight="1" x14ac:dyDescent="0.2">
      <c r="A2613" s="17" t="s">
        <v>4296</v>
      </c>
      <c r="B2613" s="17" t="s">
        <v>3141</v>
      </c>
      <c r="C2613" s="17" t="s">
        <v>4005</v>
      </c>
      <c r="D2613" s="83" t="s">
        <v>23</v>
      </c>
      <c r="E2613" s="102" t="s">
        <v>4006</v>
      </c>
      <c r="F2613" s="102" t="s">
        <v>4006</v>
      </c>
      <c r="G2613" s="84">
        <f>SUM(G2614:G2614)</f>
        <v>1</v>
      </c>
    </row>
    <row r="2614" spans="1:7" x14ac:dyDescent="0.2">
      <c r="A2614" s="31" t="s">
        <v>3191</v>
      </c>
      <c r="B2614" s="31"/>
      <c r="C2614" s="32">
        <v>1</v>
      </c>
      <c r="D2614" s="32"/>
      <c r="E2614" s="32"/>
      <c r="F2614" s="32"/>
      <c r="G2614" s="32">
        <f>PRODUCT(C2614:F2614)</f>
        <v>1</v>
      </c>
    </row>
    <row r="2616" spans="1:7" ht="45" customHeight="1" x14ac:dyDescent="0.2">
      <c r="A2616" s="17" t="s">
        <v>4297</v>
      </c>
      <c r="B2616" s="17" t="s">
        <v>3141</v>
      </c>
      <c r="C2616" s="17" t="s">
        <v>4007</v>
      </c>
      <c r="D2616" s="83" t="s">
        <v>23</v>
      </c>
      <c r="E2616" s="102" t="s">
        <v>4008</v>
      </c>
      <c r="F2616" s="102" t="s">
        <v>4008</v>
      </c>
      <c r="G2616" s="84">
        <f>SUM(G2617:G2617)</f>
        <v>1</v>
      </c>
    </row>
    <row r="2617" spans="1:7" x14ac:dyDescent="0.2">
      <c r="A2617" s="31" t="s">
        <v>3191</v>
      </c>
      <c r="B2617" s="31"/>
      <c r="C2617" s="32">
        <v>1</v>
      </c>
      <c r="D2617" s="32"/>
      <c r="E2617" s="32"/>
      <c r="F2617" s="32"/>
      <c r="G2617" s="32">
        <f>PRODUCT(C2617:F2617)</f>
        <v>1</v>
      </c>
    </row>
    <row r="2619" spans="1:7" x14ac:dyDescent="0.2">
      <c r="B2619" t="s">
        <v>3139</v>
      </c>
      <c r="C2619" s="6" t="s">
        <v>6</v>
      </c>
      <c r="D2619" s="7" t="s">
        <v>7</v>
      </c>
      <c r="E2619" s="6" t="s">
        <v>8</v>
      </c>
    </row>
    <row r="2620" spans="1:7" x14ac:dyDescent="0.2">
      <c r="B2620" t="s">
        <v>3139</v>
      </c>
      <c r="C2620" s="6" t="s">
        <v>9</v>
      </c>
      <c r="D2620" s="7" t="s">
        <v>400</v>
      </c>
      <c r="E2620" s="6" t="s">
        <v>959</v>
      </c>
    </row>
    <row r="2621" spans="1:7" x14ac:dyDescent="0.2">
      <c r="B2621" t="s">
        <v>3139</v>
      </c>
      <c r="C2621" s="6" t="s">
        <v>11</v>
      </c>
      <c r="D2621" s="7" t="s">
        <v>26</v>
      </c>
      <c r="E2621" s="6" t="s">
        <v>3954</v>
      </c>
    </row>
    <row r="2623" spans="1:7" ht="45" customHeight="1" x14ac:dyDescent="0.2">
      <c r="A2623" s="17" t="s">
        <v>4298</v>
      </c>
      <c r="B2623" s="17" t="s">
        <v>3141</v>
      </c>
      <c r="C2623" s="17" t="s">
        <v>3956</v>
      </c>
      <c r="D2623" s="83" t="s">
        <v>23</v>
      </c>
      <c r="E2623" s="102" t="s">
        <v>3957</v>
      </c>
      <c r="F2623" s="102" t="s">
        <v>3957</v>
      </c>
      <c r="G2623" s="84">
        <f>SUM(G2624:G2628)</f>
        <v>7</v>
      </c>
    </row>
    <row r="2624" spans="1:7" x14ac:dyDescent="0.2">
      <c r="A2624" s="28"/>
      <c r="B2624" s="28" t="s">
        <v>3142</v>
      </c>
      <c r="C2624" s="29" t="s">
        <v>3143</v>
      </c>
      <c r="D2624" s="29"/>
      <c r="E2624" s="29"/>
      <c r="F2624" s="29"/>
      <c r="G2624" s="30"/>
    </row>
    <row r="2625" spans="1:7" x14ac:dyDescent="0.2">
      <c r="A2625" s="31" t="s">
        <v>3186</v>
      </c>
      <c r="B2625" s="31"/>
      <c r="C2625" s="32">
        <v>2</v>
      </c>
      <c r="D2625" s="32"/>
      <c r="E2625" s="32"/>
      <c r="F2625" s="32"/>
      <c r="G2625" s="32">
        <f>PRODUCT(C2625:F2625)</f>
        <v>2</v>
      </c>
    </row>
    <row r="2626" spans="1:7" x14ac:dyDescent="0.2">
      <c r="A2626" s="31" t="s">
        <v>3191</v>
      </c>
      <c r="B2626" s="31"/>
      <c r="C2626" s="32">
        <v>2</v>
      </c>
      <c r="D2626" s="32"/>
      <c r="E2626" s="32"/>
      <c r="F2626" s="32"/>
      <c r="G2626" s="32">
        <f>PRODUCT(C2626:F2626)</f>
        <v>2</v>
      </c>
    </row>
    <row r="2627" spans="1:7" x14ac:dyDescent="0.2">
      <c r="A2627" s="31" t="s">
        <v>3185</v>
      </c>
      <c r="B2627" s="31"/>
      <c r="C2627" s="32">
        <v>1</v>
      </c>
      <c r="D2627" s="32"/>
      <c r="E2627" s="32"/>
      <c r="F2627" s="32"/>
      <c r="G2627" s="32">
        <f>PRODUCT(C2627:F2627)</f>
        <v>1</v>
      </c>
    </row>
    <row r="2628" spans="1:7" x14ac:dyDescent="0.2">
      <c r="A2628" s="31" t="s">
        <v>3567</v>
      </c>
      <c r="B2628" s="31"/>
      <c r="C2628" s="32">
        <v>2</v>
      </c>
      <c r="D2628" s="32"/>
      <c r="E2628" s="32"/>
      <c r="F2628" s="32"/>
      <c r="G2628" s="32">
        <f>PRODUCT(C2628:F2628)</f>
        <v>2</v>
      </c>
    </row>
    <row r="2630" spans="1:7" ht="45" customHeight="1" x14ac:dyDescent="0.2">
      <c r="A2630" s="17" t="s">
        <v>4299</v>
      </c>
      <c r="B2630" s="17" t="s">
        <v>3141</v>
      </c>
      <c r="C2630" s="17" t="s">
        <v>3958</v>
      </c>
      <c r="D2630" s="83" t="s">
        <v>23</v>
      </c>
      <c r="E2630" s="102" t="s">
        <v>3959</v>
      </c>
      <c r="F2630" s="102" t="s">
        <v>3959</v>
      </c>
      <c r="G2630" s="84">
        <f>SUM(G2631:G2633)</f>
        <v>3</v>
      </c>
    </row>
    <row r="2631" spans="1:7" x14ac:dyDescent="0.2">
      <c r="A2631" s="28"/>
      <c r="B2631" s="28" t="s">
        <v>3142</v>
      </c>
      <c r="C2631" s="29" t="s">
        <v>3143</v>
      </c>
      <c r="D2631" s="29"/>
      <c r="E2631" s="29"/>
      <c r="F2631" s="29"/>
      <c r="G2631" s="30"/>
    </row>
    <row r="2632" spans="1:7" x14ac:dyDescent="0.2">
      <c r="A2632" s="31" t="s">
        <v>3186</v>
      </c>
      <c r="B2632" s="31"/>
      <c r="C2632" s="32">
        <v>2</v>
      </c>
      <c r="D2632" s="32"/>
      <c r="E2632" s="32"/>
      <c r="F2632" s="32"/>
      <c r="G2632" s="32">
        <f>PRODUCT(C2632:F2632)</f>
        <v>2</v>
      </c>
    </row>
    <row r="2633" spans="1:7" x14ac:dyDescent="0.2">
      <c r="A2633" s="31" t="s">
        <v>3191</v>
      </c>
      <c r="B2633" s="31"/>
      <c r="C2633" s="32">
        <v>1</v>
      </c>
      <c r="D2633" s="32"/>
      <c r="E2633" s="32"/>
      <c r="F2633" s="32"/>
      <c r="G2633" s="32">
        <f>PRODUCT(C2633:F2633)</f>
        <v>1</v>
      </c>
    </row>
    <row r="2635" spans="1:7" ht="45" customHeight="1" x14ac:dyDescent="0.2">
      <c r="A2635" s="17" t="s">
        <v>4300</v>
      </c>
      <c r="B2635" s="17" t="s">
        <v>3141</v>
      </c>
      <c r="C2635" s="17" t="s">
        <v>3960</v>
      </c>
      <c r="D2635" s="83" t="s">
        <v>23</v>
      </c>
      <c r="E2635" s="102" t="s">
        <v>3961</v>
      </c>
      <c r="F2635" s="102" t="s">
        <v>3961</v>
      </c>
      <c r="G2635" s="84">
        <f>SUM(G2636:G2638)</f>
        <v>3</v>
      </c>
    </row>
    <row r="2636" spans="1:7" x14ac:dyDescent="0.2">
      <c r="A2636" s="28"/>
      <c r="B2636" s="28" t="s">
        <v>3142</v>
      </c>
      <c r="C2636" s="29" t="s">
        <v>3143</v>
      </c>
      <c r="D2636" s="29"/>
      <c r="E2636" s="29"/>
      <c r="F2636" s="29"/>
      <c r="G2636" s="30"/>
    </row>
    <row r="2637" spans="1:7" x14ac:dyDescent="0.2">
      <c r="A2637" s="31" t="s">
        <v>3186</v>
      </c>
      <c r="B2637" s="31"/>
      <c r="C2637" s="32">
        <v>2</v>
      </c>
      <c r="D2637" s="32"/>
      <c r="E2637" s="32"/>
      <c r="F2637" s="32"/>
      <c r="G2637" s="32">
        <f>PRODUCT(C2637:F2637)</f>
        <v>2</v>
      </c>
    </row>
    <row r="2638" spans="1:7" x14ac:dyDescent="0.2">
      <c r="A2638" s="31" t="s">
        <v>3191</v>
      </c>
      <c r="B2638" s="31"/>
      <c r="C2638" s="32">
        <v>1</v>
      </c>
      <c r="D2638" s="32"/>
      <c r="E2638" s="32"/>
      <c r="F2638" s="32"/>
      <c r="G2638" s="32">
        <f>PRODUCT(C2638:F2638)</f>
        <v>1</v>
      </c>
    </row>
    <row r="2640" spans="1:7" ht="45" customHeight="1" x14ac:dyDescent="0.2">
      <c r="A2640" s="17" t="s">
        <v>4301</v>
      </c>
      <c r="B2640" s="17" t="s">
        <v>3141</v>
      </c>
      <c r="C2640" s="17" t="s">
        <v>3962</v>
      </c>
      <c r="D2640" s="83" t="s">
        <v>23</v>
      </c>
      <c r="E2640" s="102" t="s">
        <v>3963</v>
      </c>
      <c r="F2640" s="102" t="s">
        <v>3963</v>
      </c>
      <c r="G2640" s="84">
        <f>SUM(G2641:G2643)</f>
        <v>3</v>
      </c>
    </row>
    <row r="2641" spans="1:7" x14ac:dyDescent="0.2">
      <c r="A2641" s="28"/>
      <c r="B2641" s="28" t="s">
        <v>3142</v>
      </c>
      <c r="C2641" s="29" t="s">
        <v>3143</v>
      </c>
      <c r="D2641" s="29"/>
      <c r="E2641" s="29"/>
      <c r="F2641" s="29"/>
      <c r="G2641" s="30"/>
    </row>
    <row r="2642" spans="1:7" x14ac:dyDescent="0.2">
      <c r="A2642" s="31" t="s">
        <v>3185</v>
      </c>
      <c r="B2642" s="31"/>
      <c r="C2642" s="32">
        <v>1</v>
      </c>
      <c r="D2642" s="32"/>
      <c r="E2642" s="32"/>
      <c r="F2642" s="32"/>
      <c r="G2642" s="32">
        <f>PRODUCT(C2642:F2642)</f>
        <v>1</v>
      </c>
    </row>
    <row r="2643" spans="1:7" x14ac:dyDescent="0.2">
      <c r="A2643" s="31" t="s">
        <v>3567</v>
      </c>
      <c r="B2643" s="31"/>
      <c r="C2643" s="32">
        <v>2</v>
      </c>
      <c r="D2643" s="32"/>
      <c r="E2643" s="32"/>
      <c r="F2643" s="32"/>
      <c r="G2643" s="32">
        <f>PRODUCT(C2643:F2643)</f>
        <v>2</v>
      </c>
    </row>
    <row r="2645" spans="1:7" ht="45" customHeight="1" x14ac:dyDescent="0.2">
      <c r="A2645" s="17" t="s">
        <v>4302</v>
      </c>
      <c r="B2645" s="17" t="s">
        <v>3141</v>
      </c>
      <c r="C2645" s="17" t="s">
        <v>3964</v>
      </c>
      <c r="D2645" s="83" t="s">
        <v>23</v>
      </c>
      <c r="E2645" s="102" t="s">
        <v>3965</v>
      </c>
      <c r="F2645" s="102" t="s">
        <v>3965</v>
      </c>
      <c r="G2645" s="84">
        <f>SUM(G2646:G2650)</f>
        <v>6</v>
      </c>
    </row>
    <row r="2646" spans="1:7" x14ac:dyDescent="0.2">
      <c r="A2646" s="28"/>
      <c r="B2646" s="28" t="s">
        <v>3142</v>
      </c>
      <c r="C2646" s="29" t="s">
        <v>3143</v>
      </c>
      <c r="D2646" s="29"/>
      <c r="E2646" s="29"/>
      <c r="F2646" s="29"/>
      <c r="G2646" s="30"/>
    </row>
    <row r="2647" spans="1:7" x14ac:dyDescent="0.2">
      <c r="A2647" s="31" t="s">
        <v>3186</v>
      </c>
      <c r="B2647" s="31"/>
      <c r="C2647" s="32">
        <v>2</v>
      </c>
      <c r="D2647" s="32"/>
      <c r="E2647" s="32"/>
      <c r="F2647" s="32"/>
      <c r="G2647" s="32">
        <f>PRODUCT(C2647:F2647)</f>
        <v>2</v>
      </c>
    </row>
    <row r="2648" spans="1:7" x14ac:dyDescent="0.2">
      <c r="A2648" s="31" t="s">
        <v>3191</v>
      </c>
      <c r="B2648" s="31"/>
      <c r="C2648" s="32">
        <v>1</v>
      </c>
      <c r="D2648" s="32"/>
      <c r="E2648" s="32"/>
      <c r="F2648" s="32"/>
      <c r="G2648" s="32">
        <f>PRODUCT(C2648:F2648)</f>
        <v>1</v>
      </c>
    </row>
    <row r="2649" spans="1:7" x14ac:dyDescent="0.2">
      <c r="A2649" s="31" t="s">
        <v>3185</v>
      </c>
      <c r="B2649" s="31"/>
      <c r="C2649" s="32">
        <v>1</v>
      </c>
      <c r="D2649" s="32"/>
      <c r="E2649" s="32"/>
      <c r="F2649" s="32"/>
      <c r="G2649" s="32">
        <f>PRODUCT(C2649:F2649)</f>
        <v>1</v>
      </c>
    </row>
    <row r="2650" spans="1:7" x14ac:dyDescent="0.2">
      <c r="A2650" s="31" t="s">
        <v>3567</v>
      </c>
      <c r="B2650" s="31"/>
      <c r="C2650" s="32">
        <v>2</v>
      </c>
      <c r="D2650" s="32"/>
      <c r="E2650" s="32"/>
      <c r="F2650" s="32"/>
      <c r="G2650" s="32">
        <f>PRODUCT(C2650:F2650)</f>
        <v>2</v>
      </c>
    </row>
    <row r="2652" spans="1:7" ht="45" customHeight="1" x14ac:dyDescent="0.2">
      <c r="A2652" s="17" t="s">
        <v>4303</v>
      </c>
      <c r="B2652" s="17" t="s">
        <v>3141</v>
      </c>
      <c r="C2652" s="17" t="s">
        <v>3966</v>
      </c>
      <c r="D2652" s="83" t="s">
        <v>23</v>
      </c>
      <c r="E2652" s="102" t="s">
        <v>3967</v>
      </c>
      <c r="F2652" s="102" t="s">
        <v>3967</v>
      </c>
      <c r="G2652" s="84">
        <f>SUM(G2653:G2655)</f>
        <v>4</v>
      </c>
    </row>
    <row r="2653" spans="1:7" x14ac:dyDescent="0.2">
      <c r="A2653" s="28"/>
      <c r="B2653" s="28" t="s">
        <v>3142</v>
      </c>
      <c r="C2653" s="29" t="s">
        <v>3143</v>
      </c>
      <c r="D2653" s="29" t="s">
        <v>3143</v>
      </c>
      <c r="E2653" s="29"/>
      <c r="F2653" s="29"/>
      <c r="G2653" s="30"/>
    </row>
    <row r="2654" spans="1:7" x14ac:dyDescent="0.2">
      <c r="A2654" s="31" t="s">
        <v>3186</v>
      </c>
      <c r="B2654" s="31"/>
      <c r="C2654" s="32">
        <v>1</v>
      </c>
      <c r="D2654" s="32">
        <v>2</v>
      </c>
      <c r="E2654" s="32"/>
      <c r="F2654" s="32"/>
      <c r="G2654" s="32">
        <f>PRODUCT(C2654:F2654)</f>
        <v>2</v>
      </c>
    </row>
    <row r="2655" spans="1:7" x14ac:dyDescent="0.2">
      <c r="A2655" s="31" t="s">
        <v>3185</v>
      </c>
      <c r="B2655" s="31"/>
      <c r="C2655" s="32">
        <v>1</v>
      </c>
      <c r="D2655" s="32">
        <v>2</v>
      </c>
      <c r="E2655" s="32"/>
      <c r="F2655" s="32"/>
      <c r="G2655" s="32">
        <f>PRODUCT(C2655:F2655)</f>
        <v>2</v>
      </c>
    </row>
    <row r="2657" spans="1:7" ht="45" customHeight="1" x14ac:dyDescent="0.2">
      <c r="A2657" s="17" t="s">
        <v>4304</v>
      </c>
      <c r="B2657" s="17" t="s">
        <v>3141</v>
      </c>
      <c r="C2657" s="17" t="s">
        <v>3968</v>
      </c>
      <c r="D2657" s="83" t="s">
        <v>23</v>
      </c>
      <c r="E2657" s="102" t="s">
        <v>3969</v>
      </c>
      <c r="F2657" s="102" t="s">
        <v>3969</v>
      </c>
      <c r="G2657" s="84">
        <f>SUM(G2658:G2659)</f>
        <v>1</v>
      </c>
    </row>
    <row r="2658" spans="1:7" x14ac:dyDescent="0.2">
      <c r="A2658" s="28"/>
      <c r="B2658" s="28" t="s">
        <v>3142</v>
      </c>
      <c r="C2658" s="29" t="s">
        <v>3143</v>
      </c>
      <c r="D2658" s="29"/>
      <c r="E2658" s="29"/>
      <c r="F2658" s="29"/>
      <c r="G2658" s="30"/>
    </row>
    <row r="2659" spans="1:7" x14ac:dyDescent="0.2">
      <c r="A2659" s="31" t="s">
        <v>3185</v>
      </c>
      <c r="B2659" s="31"/>
      <c r="C2659" s="32">
        <v>1</v>
      </c>
      <c r="D2659" s="32"/>
      <c r="E2659" s="32"/>
      <c r="F2659" s="32"/>
      <c r="G2659" s="32">
        <f>PRODUCT(C2659:F2659)</f>
        <v>1</v>
      </c>
    </row>
    <row r="2661" spans="1:7" ht="45" customHeight="1" x14ac:dyDescent="0.2">
      <c r="A2661" s="17" t="s">
        <v>4305</v>
      </c>
      <c r="B2661" s="17" t="s">
        <v>3141</v>
      </c>
      <c r="C2661" s="17" t="s">
        <v>3970</v>
      </c>
      <c r="D2661" s="83" t="s">
        <v>23</v>
      </c>
      <c r="E2661" s="102" t="s">
        <v>3971</v>
      </c>
      <c r="F2661" s="102" t="s">
        <v>3971</v>
      </c>
      <c r="G2661" s="84">
        <f>SUM(G2662:G2663)</f>
        <v>1</v>
      </c>
    </row>
    <row r="2662" spans="1:7" x14ac:dyDescent="0.2">
      <c r="A2662" s="28"/>
      <c r="B2662" s="28" t="s">
        <v>3142</v>
      </c>
      <c r="C2662" s="29" t="s">
        <v>3143</v>
      </c>
      <c r="D2662" s="29"/>
      <c r="E2662" s="29"/>
      <c r="F2662" s="29"/>
      <c r="G2662" s="30"/>
    </row>
    <row r="2663" spans="1:7" x14ac:dyDescent="0.2">
      <c r="A2663" s="31" t="s">
        <v>3185</v>
      </c>
      <c r="B2663" s="31"/>
      <c r="C2663" s="32">
        <v>1</v>
      </c>
      <c r="D2663" s="32"/>
      <c r="E2663" s="32"/>
      <c r="F2663" s="32"/>
      <c r="G2663" s="32">
        <f>PRODUCT(C2663:F2663)</f>
        <v>1</v>
      </c>
    </row>
    <row r="2665" spans="1:7" ht="45" customHeight="1" x14ac:dyDescent="0.2">
      <c r="A2665" s="17" t="s">
        <v>4306</v>
      </c>
      <c r="B2665" s="17" t="s">
        <v>3141</v>
      </c>
      <c r="C2665" s="17" t="s">
        <v>3972</v>
      </c>
      <c r="D2665" s="83" t="s">
        <v>23</v>
      </c>
      <c r="E2665" s="102" t="s">
        <v>3973</v>
      </c>
      <c r="F2665" s="102" t="s">
        <v>3973</v>
      </c>
      <c r="G2665" s="84">
        <f>SUM(G2666:G2667)</f>
        <v>1</v>
      </c>
    </row>
    <row r="2666" spans="1:7" x14ac:dyDescent="0.2">
      <c r="A2666" s="28"/>
      <c r="B2666" s="28" t="s">
        <v>3142</v>
      </c>
      <c r="C2666" s="29" t="s">
        <v>3143</v>
      </c>
      <c r="D2666" s="29"/>
      <c r="E2666" s="29"/>
      <c r="F2666" s="29"/>
      <c r="G2666" s="30"/>
    </row>
    <row r="2667" spans="1:7" x14ac:dyDescent="0.2">
      <c r="A2667" s="31" t="s">
        <v>3185</v>
      </c>
      <c r="B2667" s="31"/>
      <c r="C2667" s="32">
        <v>1</v>
      </c>
      <c r="D2667" s="32"/>
      <c r="E2667" s="32"/>
      <c r="F2667" s="32"/>
      <c r="G2667" s="32">
        <f>PRODUCT(C2667:F2667)</f>
        <v>1</v>
      </c>
    </row>
    <row r="2669" spans="1:7" ht="45" customHeight="1" x14ac:dyDescent="0.2">
      <c r="A2669" s="17" t="s">
        <v>4307</v>
      </c>
      <c r="B2669" s="17" t="s">
        <v>3141</v>
      </c>
      <c r="C2669" s="17" t="s">
        <v>3974</v>
      </c>
      <c r="D2669" s="83" t="s">
        <v>23</v>
      </c>
      <c r="E2669" s="102" t="s">
        <v>3975</v>
      </c>
      <c r="F2669" s="102" t="s">
        <v>3975</v>
      </c>
      <c r="G2669" s="84">
        <f>SUM(G2670:G2674)</f>
        <v>7</v>
      </c>
    </row>
    <row r="2670" spans="1:7" x14ac:dyDescent="0.2">
      <c r="A2670" s="28"/>
      <c r="B2670" s="28" t="s">
        <v>3142</v>
      </c>
      <c r="C2670" s="29" t="s">
        <v>3143</v>
      </c>
      <c r="D2670" s="29"/>
      <c r="E2670" s="29"/>
      <c r="F2670" s="29"/>
      <c r="G2670" s="30"/>
    </row>
    <row r="2671" spans="1:7" x14ac:dyDescent="0.2">
      <c r="A2671" s="31" t="s">
        <v>3186</v>
      </c>
      <c r="B2671" s="31"/>
      <c r="C2671" s="32">
        <v>2</v>
      </c>
      <c r="D2671" s="32"/>
      <c r="E2671" s="32"/>
      <c r="F2671" s="32"/>
      <c r="G2671" s="32">
        <f>PRODUCT(C2671:F2671)</f>
        <v>2</v>
      </c>
    </row>
    <row r="2672" spans="1:7" x14ac:dyDescent="0.2">
      <c r="A2672" s="31" t="s">
        <v>3191</v>
      </c>
      <c r="B2672" s="31"/>
      <c r="C2672" s="32">
        <v>2</v>
      </c>
      <c r="D2672" s="32"/>
      <c r="E2672" s="32"/>
      <c r="F2672" s="32"/>
      <c r="G2672" s="32">
        <f>PRODUCT(C2672:F2672)</f>
        <v>2</v>
      </c>
    </row>
    <row r="2673" spans="1:7" x14ac:dyDescent="0.2">
      <c r="A2673" s="31" t="s">
        <v>3185</v>
      </c>
      <c r="B2673" s="31"/>
      <c r="C2673" s="32">
        <v>1</v>
      </c>
      <c r="D2673" s="32"/>
      <c r="E2673" s="32"/>
      <c r="F2673" s="32"/>
      <c r="G2673" s="32">
        <f>PRODUCT(C2673:F2673)</f>
        <v>1</v>
      </c>
    </row>
    <row r="2674" spans="1:7" x14ac:dyDescent="0.2">
      <c r="A2674" s="31" t="s">
        <v>3567</v>
      </c>
      <c r="B2674" s="31"/>
      <c r="C2674" s="32">
        <v>2</v>
      </c>
      <c r="D2674" s="32"/>
      <c r="E2674" s="32"/>
      <c r="F2674" s="32"/>
      <c r="G2674" s="32">
        <f>PRODUCT(C2674:F2674)</f>
        <v>2</v>
      </c>
    </row>
    <row r="2676" spans="1:7" ht="45" customHeight="1" x14ac:dyDescent="0.2">
      <c r="A2676" s="17" t="s">
        <v>4308</v>
      </c>
      <c r="B2676" s="17" t="s">
        <v>3141</v>
      </c>
      <c r="C2676" s="17" t="s">
        <v>3976</v>
      </c>
      <c r="D2676" s="83" t="s">
        <v>23</v>
      </c>
      <c r="E2676" s="102" t="s">
        <v>3977</v>
      </c>
      <c r="F2676" s="102" t="s">
        <v>3977</v>
      </c>
      <c r="G2676" s="84">
        <f>SUM(G2677:G2681)</f>
        <v>7</v>
      </c>
    </row>
    <row r="2677" spans="1:7" x14ac:dyDescent="0.2">
      <c r="A2677" s="28"/>
      <c r="B2677" s="28" t="s">
        <v>3142</v>
      </c>
      <c r="C2677" s="29" t="s">
        <v>3143</v>
      </c>
      <c r="D2677" s="29"/>
      <c r="E2677" s="29"/>
      <c r="F2677" s="29"/>
      <c r="G2677" s="30"/>
    </row>
    <row r="2678" spans="1:7" x14ac:dyDescent="0.2">
      <c r="A2678" s="31" t="s">
        <v>3186</v>
      </c>
      <c r="B2678" s="31"/>
      <c r="C2678" s="32">
        <v>2</v>
      </c>
      <c r="D2678" s="32"/>
      <c r="E2678" s="32"/>
      <c r="F2678" s="32"/>
      <c r="G2678" s="32">
        <f>PRODUCT(C2678:F2678)</f>
        <v>2</v>
      </c>
    </row>
    <row r="2679" spans="1:7" x14ac:dyDescent="0.2">
      <c r="A2679" s="31" t="s">
        <v>3191</v>
      </c>
      <c r="B2679" s="31"/>
      <c r="C2679" s="32">
        <v>2</v>
      </c>
      <c r="D2679" s="32"/>
      <c r="E2679" s="32"/>
      <c r="F2679" s="32"/>
      <c r="G2679" s="32">
        <f>PRODUCT(C2679:F2679)</f>
        <v>2</v>
      </c>
    </row>
    <row r="2680" spans="1:7" x14ac:dyDescent="0.2">
      <c r="A2680" s="31" t="s">
        <v>3185</v>
      </c>
      <c r="B2680" s="31"/>
      <c r="C2680" s="32">
        <v>1</v>
      </c>
      <c r="D2680" s="32"/>
      <c r="E2680" s="32"/>
      <c r="F2680" s="32"/>
      <c r="G2680" s="32">
        <f>PRODUCT(C2680:F2680)</f>
        <v>1</v>
      </c>
    </row>
    <row r="2681" spans="1:7" x14ac:dyDescent="0.2">
      <c r="A2681" s="31" t="s">
        <v>3567</v>
      </c>
      <c r="B2681" s="31"/>
      <c r="C2681" s="32">
        <v>2</v>
      </c>
      <c r="D2681" s="32"/>
      <c r="E2681" s="32"/>
      <c r="F2681" s="32"/>
      <c r="G2681" s="32">
        <f>PRODUCT(C2681:F2681)</f>
        <v>2</v>
      </c>
    </row>
    <row r="2683" spans="1:7" ht="45" customHeight="1" x14ac:dyDescent="0.2">
      <c r="A2683" s="17" t="s">
        <v>4309</v>
      </c>
      <c r="B2683" s="17" t="s">
        <v>3141</v>
      </c>
      <c r="C2683" s="17" t="s">
        <v>3978</v>
      </c>
      <c r="D2683" s="83" t="s">
        <v>23</v>
      </c>
      <c r="E2683" s="102" t="s">
        <v>3979</v>
      </c>
      <c r="F2683" s="102" t="s">
        <v>3979</v>
      </c>
      <c r="G2683" s="84">
        <f>SUM(G2684:G2688)</f>
        <v>6</v>
      </c>
    </row>
    <row r="2684" spans="1:7" x14ac:dyDescent="0.2">
      <c r="A2684" s="28"/>
      <c r="B2684" s="28" t="s">
        <v>3142</v>
      </c>
      <c r="C2684" s="29" t="s">
        <v>3143</v>
      </c>
      <c r="D2684" s="29"/>
      <c r="E2684" s="29"/>
      <c r="F2684" s="29"/>
      <c r="G2684" s="30"/>
    </row>
    <row r="2685" spans="1:7" x14ac:dyDescent="0.2">
      <c r="A2685" s="31" t="s">
        <v>3186</v>
      </c>
      <c r="B2685" s="31"/>
      <c r="C2685" s="32">
        <v>2</v>
      </c>
      <c r="D2685" s="32"/>
      <c r="E2685" s="32"/>
      <c r="F2685" s="32"/>
      <c r="G2685" s="32">
        <f>PRODUCT(C2685:F2685)</f>
        <v>2</v>
      </c>
    </row>
    <row r="2686" spans="1:7" x14ac:dyDescent="0.2">
      <c r="A2686" s="31" t="s">
        <v>3191</v>
      </c>
      <c r="B2686" s="31"/>
      <c r="C2686" s="32">
        <v>1</v>
      </c>
      <c r="D2686" s="32"/>
      <c r="E2686" s="32"/>
      <c r="F2686" s="32"/>
      <c r="G2686" s="32">
        <f>PRODUCT(C2686:F2686)</f>
        <v>1</v>
      </c>
    </row>
    <row r="2687" spans="1:7" x14ac:dyDescent="0.2">
      <c r="A2687" s="31" t="s">
        <v>3185</v>
      </c>
      <c r="B2687" s="31"/>
      <c r="C2687" s="32">
        <v>1</v>
      </c>
      <c r="D2687" s="32"/>
      <c r="E2687" s="32"/>
      <c r="F2687" s="32"/>
      <c r="G2687" s="32">
        <f>PRODUCT(C2687:F2687)</f>
        <v>1</v>
      </c>
    </row>
    <row r="2688" spans="1:7" x14ac:dyDescent="0.2">
      <c r="A2688" s="31" t="s">
        <v>3567</v>
      </c>
      <c r="B2688" s="31"/>
      <c r="C2688" s="32">
        <v>2</v>
      </c>
      <c r="D2688" s="32"/>
      <c r="E2688" s="32"/>
      <c r="F2688" s="32"/>
      <c r="G2688" s="32">
        <f>PRODUCT(C2688:F2688)</f>
        <v>2</v>
      </c>
    </row>
    <row r="2690" spans="1:7" ht="45" customHeight="1" x14ac:dyDescent="0.2">
      <c r="A2690" s="17" t="s">
        <v>4310</v>
      </c>
      <c r="B2690" s="17" t="s">
        <v>3141</v>
      </c>
      <c r="C2690" s="17" t="s">
        <v>3980</v>
      </c>
      <c r="D2690" s="83" t="s">
        <v>18</v>
      </c>
      <c r="E2690" s="102" t="s">
        <v>3981</v>
      </c>
      <c r="F2690" s="102" t="s">
        <v>3981</v>
      </c>
      <c r="G2690" s="84">
        <f>SUM(G2691:G2695)</f>
        <v>1.62</v>
      </c>
    </row>
    <row r="2691" spans="1:7" x14ac:dyDescent="0.2">
      <c r="A2691" s="28"/>
      <c r="B2691" s="28" t="s">
        <v>3142</v>
      </c>
      <c r="C2691" s="29" t="s">
        <v>3143</v>
      </c>
      <c r="D2691" s="29" t="s">
        <v>3147</v>
      </c>
      <c r="E2691" s="29" t="s">
        <v>3148</v>
      </c>
      <c r="F2691" s="29"/>
      <c r="G2691" s="30"/>
    </row>
    <row r="2692" spans="1:7" x14ac:dyDescent="0.2">
      <c r="A2692" s="31" t="s">
        <v>3186</v>
      </c>
      <c r="B2692" s="31"/>
      <c r="C2692" s="32">
        <v>2</v>
      </c>
      <c r="D2692" s="32">
        <v>0.45</v>
      </c>
      <c r="E2692" s="32">
        <v>0.6</v>
      </c>
      <c r="F2692" s="32"/>
      <c r="G2692" s="32">
        <f>PRODUCT(C2692:F2692)</f>
        <v>0.54</v>
      </c>
    </row>
    <row r="2693" spans="1:7" x14ac:dyDescent="0.2">
      <c r="A2693" s="31" t="s">
        <v>3191</v>
      </c>
      <c r="B2693" s="31"/>
      <c r="C2693" s="32">
        <v>1</v>
      </c>
      <c r="D2693" s="32">
        <v>0.45</v>
      </c>
      <c r="E2693" s="32">
        <v>0.6</v>
      </c>
      <c r="F2693" s="32"/>
      <c r="G2693" s="32">
        <f>PRODUCT(C2693:F2693)</f>
        <v>0.27</v>
      </c>
    </row>
    <row r="2694" spans="1:7" x14ac:dyDescent="0.2">
      <c r="A2694" s="31" t="s">
        <v>3185</v>
      </c>
      <c r="B2694" s="31"/>
      <c r="C2694" s="32">
        <v>1</v>
      </c>
      <c r="D2694" s="32">
        <v>0.45</v>
      </c>
      <c r="E2694" s="32">
        <v>0.6</v>
      </c>
      <c r="F2694" s="32"/>
      <c r="G2694" s="32">
        <f>PRODUCT(C2694:F2694)</f>
        <v>0.27</v>
      </c>
    </row>
    <row r="2695" spans="1:7" x14ac:dyDescent="0.2">
      <c r="A2695" s="31" t="s">
        <v>3567</v>
      </c>
      <c r="B2695" s="31"/>
      <c r="C2695" s="32">
        <v>2</v>
      </c>
      <c r="D2695" s="32">
        <v>0.45</v>
      </c>
      <c r="E2695" s="32">
        <v>0.6</v>
      </c>
      <c r="F2695" s="32"/>
      <c r="G2695" s="32">
        <f>PRODUCT(C2695:F2695)</f>
        <v>0.54</v>
      </c>
    </row>
    <row r="2697" spans="1:7" x14ac:dyDescent="0.2">
      <c r="B2697" t="s">
        <v>3139</v>
      </c>
      <c r="C2697" s="6" t="s">
        <v>6</v>
      </c>
      <c r="D2697" s="7" t="s">
        <v>7</v>
      </c>
      <c r="E2697" s="6" t="s">
        <v>8</v>
      </c>
    </row>
    <row r="2698" spans="1:7" x14ac:dyDescent="0.2">
      <c r="B2698" t="s">
        <v>3139</v>
      </c>
      <c r="C2698" s="6" t="s">
        <v>9</v>
      </c>
      <c r="D2698" s="7" t="s">
        <v>851</v>
      </c>
      <c r="E2698" s="6" t="s">
        <v>970</v>
      </c>
    </row>
    <row r="2699" spans="1:7" x14ac:dyDescent="0.2">
      <c r="B2699" t="s">
        <v>3139</v>
      </c>
      <c r="C2699" s="6" t="s">
        <v>11</v>
      </c>
      <c r="D2699" s="7" t="s">
        <v>7</v>
      </c>
      <c r="E2699" s="6" t="s">
        <v>971</v>
      </c>
    </row>
    <row r="2701" spans="1:7" ht="45" customHeight="1" x14ac:dyDescent="0.2">
      <c r="A2701" s="17" t="s">
        <v>3796</v>
      </c>
      <c r="B2701" s="17" t="s">
        <v>3141</v>
      </c>
      <c r="C2701" s="17" t="s">
        <v>973</v>
      </c>
      <c r="D2701" s="83" t="s">
        <v>23</v>
      </c>
      <c r="E2701" s="102" t="s">
        <v>4009</v>
      </c>
      <c r="F2701" s="102" t="s">
        <v>4009</v>
      </c>
      <c r="G2701" s="84">
        <f>SUM(G2702:G2702)</f>
        <v>1</v>
      </c>
    </row>
    <row r="2702" spans="1:7" x14ac:dyDescent="0.2">
      <c r="A2702" s="31"/>
      <c r="B2702" s="31"/>
      <c r="C2702" s="32">
        <v>1</v>
      </c>
      <c r="D2702" s="32"/>
      <c r="E2702" s="32"/>
      <c r="F2702" s="32"/>
      <c r="G2702" s="32">
        <f>PRODUCT(C2702:F2702)</f>
        <v>1</v>
      </c>
    </row>
    <row r="2704" spans="1:7" x14ac:dyDescent="0.2">
      <c r="B2704" t="s">
        <v>3139</v>
      </c>
      <c r="C2704" s="6" t="s">
        <v>6</v>
      </c>
      <c r="D2704" s="7" t="s">
        <v>7</v>
      </c>
      <c r="E2704" s="6" t="s">
        <v>8</v>
      </c>
    </row>
    <row r="2705" spans="1:7" x14ac:dyDescent="0.2">
      <c r="B2705" t="s">
        <v>3139</v>
      </c>
      <c r="C2705" s="6" t="s">
        <v>9</v>
      </c>
      <c r="D2705" s="7" t="s">
        <v>851</v>
      </c>
      <c r="E2705" s="6" t="s">
        <v>970</v>
      </c>
    </row>
    <row r="2706" spans="1:7" x14ac:dyDescent="0.2">
      <c r="B2706" t="s">
        <v>3139</v>
      </c>
      <c r="C2706" s="6" t="s">
        <v>11</v>
      </c>
      <c r="D2706" s="7" t="s">
        <v>26</v>
      </c>
      <c r="E2706" s="6" t="s">
        <v>974</v>
      </c>
    </row>
    <row r="2708" spans="1:7" ht="45" customHeight="1" x14ac:dyDescent="0.2">
      <c r="A2708" s="17" t="s">
        <v>3797</v>
      </c>
      <c r="B2708" s="17" t="s">
        <v>3141</v>
      </c>
      <c r="C2708" s="17" t="s">
        <v>4035</v>
      </c>
      <c r="D2708" s="83" t="s">
        <v>15</v>
      </c>
      <c r="E2708" s="102" t="s">
        <v>4010</v>
      </c>
      <c r="F2708" s="102" t="s">
        <v>4010</v>
      </c>
      <c r="G2708" s="84">
        <f>SUM(G2709:G2714)</f>
        <v>31.541999999999998</v>
      </c>
    </row>
    <row r="2709" spans="1:7" x14ac:dyDescent="0.2">
      <c r="A2709" s="28"/>
      <c r="B2709" s="28" t="s">
        <v>3142</v>
      </c>
      <c r="C2709" s="29" t="s">
        <v>3218</v>
      </c>
      <c r="D2709" s="29" t="s">
        <v>3303</v>
      </c>
      <c r="E2709" s="29"/>
      <c r="F2709" s="29"/>
      <c r="G2709" s="30"/>
    </row>
    <row r="2710" spans="1:7" x14ac:dyDescent="0.2">
      <c r="A2710" s="31" t="s">
        <v>3798</v>
      </c>
      <c r="B2710" s="31"/>
      <c r="C2710" s="32"/>
      <c r="D2710" s="32"/>
      <c r="E2710" s="32"/>
      <c r="F2710" s="32"/>
      <c r="G2710" s="32"/>
    </row>
    <row r="2711" spans="1:7" x14ac:dyDescent="0.2">
      <c r="A2711" s="31"/>
      <c r="B2711" s="31"/>
      <c r="C2711" s="32">
        <v>3.94</v>
      </c>
      <c r="D2711" s="32">
        <v>2.2000000000000002</v>
      </c>
      <c r="E2711" s="32"/>
      <c r="F2711" s="32"/>
      <c r="G2711" s="32">
        <f>PRODUCT(C2711:F2711)</f>
        <v>8.668000000000001</v>
      </c>
    </row>
    <row r="2712" spans="1:7" x14ac:dyDescent="0.2">
      <c r="A2712" s="31"/>
      <c r="B2712" s="31"/>
      <c r="C2712" s="32">
        <v>3.46</v>
      </c>
      <c r="D2712" s="32">
        <v>2.9</v>
      </c>
      <c r="E2712" s="32"/>
      <c r="F2712" s="32"/>
      <c r="G2712" s="32">
        <f>PRODUCT(C2712:F2712)</f>
        <v>10.033999999999999</v>
      </c>
    </row>
    <row r="2713" spans="1:7" x14ac:dyDescent="0.2">
      <c r="A2713" s="31"/>
      <c r="B2713" s="31"/>
      <c r="C2713" s="32">
        <v>2.1</v>
      </c>
      <c r="D2713" s="32">
        <v>3.4</v>
      </c>
      <c r="E2713" s="32"/>
      <c r="F2713" s="32"/>
      <c r="G2713" s="32">
        <f>PRODUCT(C2713:F2713)</f>
        <v>7.14</v>
      </c>
    </row>
    <row r="2714" spans="1:7" x14ac:dyDescent="0.2">
      <c r="A2714" s="31"/>
      <c r="B2714" s="31"/>
      <c r="C2714" s="32">
        <v>3</v>
      </c>
      <c r="D2714" s="32">
        <v>1.9</v>
      </c>
      <c r="E2714" s="32"/>
      <c r="F2714" s="32"/>
      <c r="G2714" s="32">
        <f>PRODUCT(C2714:F2714)</f>
        <v>5.6999999999999993</v>
      </c>
    </row>
    <row r="2716" spans="1:7" ht="45" customHeight="1" x14ac:dyDescent="0.2">
      <c r="A2716" s="17" t="s">
        <v>3799</v>
      </c>
      <c r="B2716" s="17" t="s">
        <v>3141</v>
      </c>
      <c r="C2716" s="17" t="s">
        <v>151</v>
      </c>
      <c r="D2716" s="83" t="s">
        <v>36</v>
      </c>
      <c r="E2716" s="102" t="s">
        <v>152</v>
      </c>
      <c r="F2716" s="102" t="s">
        <v>152</v>
      </c>
      <c r="G2716" s="84">
        <f>SUM(G2717:G2720)</f>
        <v>947.1</v>
      </c>
    </row>
    <row r="2717" spans="1:7" x14ac:dyDescent="0.2">
      <c r="A2717" s="28"/>
      <c r="B2717" s="28" t="s">
        <v>3142</v>
      </c>
      <c r="C2717" s="29" t="s">
        <v>3260</v>
      </c>
      <c r="D2717" s="29" t="s">
        <v>3223</v>
      </c>
      <c r="E2717" s="29"/>
      <c r="F2717" s="29"/>
      <c r="G2717" s="30"/>
    </row>
    <row r="2718" spans="1:7" x14ac:dyDescent="0.2">
      <c r="A2718" s="31" t="s">
        <v>3800</v>
      </c>
      <c r="B2718" s="31"/>
      <c r="C2718" s="32"/>
      <c r="D2718" s="32"/>
      <c r="E2718" s="32"/>
      <c r="F2718" s="32"/>
      <c r="G2718" s="32"/>
    </row>
    <row r="2719" spans="1:7" x14ac:dyDescent="0.2">
      <c r="A2719" s="31"/>
      <c r="B2719" s="31"/>
      <c r="C2719" s="32">
        <v>21</v>
      </c>
      <c r="D2719" s="32">
        <v>41</v>
      </c>
      <c r="E2719" s="32"/>
      <c r="F2719" s="32"/>
      <c r="G2719" s="32">
        <f>PRODUCT(C2719:F2719)</f>
        <v>861</v>
      </c>
    </row>
    <row r="2720" spans="1:7" x14ac:dyDescent="0.2">
      <c r="A2720" s="31" t="s">
        <v>3283</v>
      </c>
      <c r="B2720" s="31"/>
      <c r="C2720" s="32">
        <v>10</v>
      </c>
      <c r="D2720" s="32">
        <v>861</v>
      </c>
      <c r="E2720" s="32"/>
      <c r="F2720" s="32"/>
      <c r="G2720" s="32">
        <f>C2720 * D2720/100</f>
        <v>86.1</v>
      </c>
    </row>
    <row r="2722" spans="1:7" x14ac:dyDescent="0.2">
      <c r="B2722" t="s">
        <v>3139</v>
      </c>
      <c r="C2722" s="6" t="s">
        <v>6</v>
      </c>
      <c r="D2722" s="7" t="s">
        <v>7</v>
      </c>
      <c r="E2722" s="6" t="s">
        <v>8</v>
      </c>
    </row>
    <row r="2723" spans="1:7" x14ac:dyDescent="0.2">
      <c r="B2723" t="s">
        <v>3139</v>
      </c>
      <c r="C2723" s="6" t="s">
        <v>9</v>
      </c>
      <c r="D2723" s="7" t="s">
        <v>851</v>
      </c>
      <c r="E2723" s="6" t="s">
        <v>970</v>
      </c>
    </row>
    <row r="2724" spans="1:7" x14ac:dyDescent="0.2">
      <c r="B2724" t="s">
        <v>3139</v>
      </c>
      <c r="C2724" s="6" t="s">
        <v>11</v>
      </c>
      <c r="D2724" s="7" t="s">
        <v>72</v>
      </c>
      <c r="E2724" s="6" t="s">
        <v>976</v>
      </c>
    </row>
    <row r="2726" spans="1:7" ht="45" customHeight="1" x14ac:dyDescent="0.2">
      <c r="A2726" s="17" t="s">
        <v>3801</v>
      </c>
      <c r="B2726" s="17" t="s">
        <v>3141</v>
      </c>
      <c r="C2726" s="17" t="s">
        <v>4011</v>
      </c>
      <c r="D2726" s="83" t="s">
        <v>36</v>
      </c>
      <c r="E2726" s="102" t="s">
        <v>4012</v>
      </c>
      <c r="F2726" s="102" t="s">
        <v>4012</v>
      </c>
      <c r="G2726" s="84">
        <f>SUM(G2727:G2728)</f>
        <v>52</v>
      </c>
    </row>
    <row r="2727" spans="1:7" x14ac:dyDescent="0.2">
      <c r="A2727" s="28"/>
      <c r="B2727" s="28" t="s">
        <v>3142</v>
      </c>
      <c r="C2727" s="29" t="s">
        <v>3143</v>
      </c>
      <c r="D2727" s="29" t="s">
        <v>3146</v>
      </c>
      <c r="E2727" s="29"/>
      <c r="F2727" s="29"/>
      <c r="G2727" s="30"/>
    </row>
    <row r="2728" spans="1:7" x14ac:dyDescent="0.2">
      <c r="A2728" s="31" t="s">
        <v>3249</v>
      </c>
      <c r="B2728" s="31"/>
      <c r="C2728" s="32">
        <v>2</v>
      </c>
      <c r="D2728" s="32">
        <v>26</v>
      </c>
      <c r="E2728" s="32"/>
      <c r="F2728" s="32"/>
      <c r="G2728" s="32">
        <f>PRODUCT(C2728:F2728)</f>
        <v>52</v>
      </c>
    </row>
    <row r="2730" spans="1:7" ht="45" customHeight="1" x14ac:dyDescent="0.2">
      <c r="A2730" s="17" t="s">
        <v>4311</v>
      </c>
      <c r="B2730" s="17" t="s">
        <v>3141</v>
      </c>
      <c r="C2730" s="17" t="s">
        <v>4013</v>
      </c>
      <c r="D2730" s="83" t="s">
        <v>36</v>
      </c>
      <c r="E2730" s="102" t="s">
        <v>4014</v>
      </c>
      <c r="F2730" s="102" t="s">
        <v>4014</v>
      </c>
      <c r="G2730" s="84">
        <f>SUM(G2731:G2732)</f>
        <v>52</v>
      </c>
    </row>
    <row r="2731" spans="1:7" x14ac:dyDescent="0.2">
      <c r="A2731" s="28"/>
      <c r="B2731" s="28" t="s">
        <v>3142</v>
      </c>
      <c r="C2731" s="29" t="s">
        <v>3143</v>
      </c>
      <c r="D2731" s="29" t="s">
        <v>3146</v>
      </c>
      <c r="E2731" s="29"/>
      <c r="F2731" s="29"/>
      <c r="G2731" s="30"/>
    </row>
    <row r="2732" spans="1:7" x14ac:dyDescent="0.2">
      <c r="A2732" s="31" t="s">
        <v>3249</v>
      </c>
      <c r="B2732" s="31"/>
      <c r="C2732" s="32">
        <v>2</v>
      </c>
      <c r="D2732" s="32">
        <v>26</v>
      </c>
      <c r="E2732" s="32"/>
      <c r="F2732" s="32"/>
      <c r="G2732" s="32">
        <f>PRODUCT(C2732:F2732)</f>
        <v>52</v>
      </c>
    </row>
    <row r="2734" spans="1:7" x14ac:dyDescent="0.2">
      <c r="B2734" t="s">
        <v>3139</v>
      </c>
      <c r="C2734" s="6" t="s">
        <v>6</v>
      </c>
      <c r="D2734" s="7" t="s">
        <v>7</v>
      </c>
      <c r="E2734" s="6" t="s">
        <v>8</v>
      </c>
    </row>
    <row r="2735" spans="1:7" x14ac:dyDescent="0.2">
      <c r="B2735" t="s">
        <v>3139</v>
      </c>
      <c r="C2735" s="6" t="s">
        <v>9</v>
      </c>
      <c r="D2735" s="7" t="s">
        <v>851</v>
      </c>
      <c r="E2735" s="6" t="s">
        <v>970</v>
      </c>
    </row>
    <row r="2736" spans="1:7" x14ac:dyDescent="0.2">
      <c r="B2736" t="s">
        <v>3139</v>
      </c>
      <c r="C2736" s="6" t="s">
        <v>11</v>
      </c>
      <c r="D2736" s="7" t="s">
        <v>153</v>
      </c>
      <c r="E2736" s="6" t="s">
        <v>558</v>
      </c>
    </row>
    <row r="2738" spans="1:7" ht="45" customHeight="1" x14ac:dyDescent="0.2">
      <c r="A2738" s="17" t="s">
        <v>3802</v>
      </c>
      <c r="B2738" s="17" t="s">
        <v>3141</v>
      </c>
      <c r="C2738" s="17" t="s">
        <v>979</v>
      </c>
      <c r="D2738" s="83" t="s">
        <v>18</v>
      </c>
      <c r="E2738" s="102" t="s">
        <v>3996</v>
      </c>
      <c r="F2738" s="102" t="s">
        <v>3996</v>
      </c>
      <c r="G2738" s="84">
        <f>SUM(G2739:G2742)</f>
        <v>95</v>
      </c>
    </row>
    <row r="2739" spans="1:7" x14ac:dyDescent="0.2">
      <c r="A2739" s="28"/>
      <c r="B2739" s="28" t="s">
        <v>3142</v>
      </c>
      <c r="C2739" s="29" t="s">
        <v>3143</v>
      </c>
      <c r="D2739" s="29" t="s">
        <v>3157</v>
      </c>
      <c r="E2739" s="29"/>
      <c r="F2739" s="29"/>
      <c r="G2739" s="30"/>
    </row>
    <row r="2740" spans="1:7" x14ac:dyDescent="0.2">
      <c r="A2740" s="31" t="s">
        <v>3339</v>
      </c>
      <c r="B2740" s="31"/>
      <c r="C2740" s="32"/>
      <c r="D2740" s="32"/>
      <c r="E2740" s="32"/>
      <c r="F2740" s="32"/>
      <c r="G2740" s="32"/>
    </row>
    <row r="2741" spans="1:7" x14ac:dyDescent="0.2">
      <c r="A2741" s="31" t="s">
        <v>4312</v>
      </c>
      <c r="B2741" s="31"/>
      <c r="C2741" s="32">
        <v>1</v>
      </c>
      <c r="D2741" s="32">
        <v>50</v>
      </c>
      <c r="E2741" s="32"/>
      <c r="F2741" s="32"/>
      <c r="G2741" s="32">
        <f>PRODUCT(C2741:F2741)</f>
        <v>50</v>
      </c>
    </row>
    <row r="2742" spans="1:7" x14ac:dyDescent="0.2">
      <c r="A2742" s="31"/>
      <c r="B2742" s="31"/>
      <c r="C2742" s="32">
        <v>1</v>
      </c>
      <c r="D2742" s="32">
        <v>45</v>
      </c>
      <c r="E2742" s="32"/>
      <c r="F2742" s="32"/>
      <c r="G2742" s="32">
        <f>PRODUCT(C2742:F2742)</f>
        <v>45</v>
      </c>
    </row>
    <row r="2744" spans="1:7" ht="45" customHeight="1" x14ac:dyDescent="0.2">
      <c r="A2744" s="17" t="s">
        <v>3803</v>
      </c>
      <c r="B2744" s="17" t="s">
        <v>3141</v>
      </c>
      <c r="C2744" s="17" t="s">
        <v>4015</v>
      </c>
      <c r="D2744" s="83" t="s">
        <v>18</v>
      </c>
      <c r="E2744" s="102" t="s">
        <v>4016</v>
      </c>
      <c r="F2744" s="102" t="s">
        <v>4016</v>
      </c>
      <c r="G2744" s="84">
        <f>SUM(G2745:G2747)</f>
        <v>128</v>
      </c>
    </row>
    <row r="2745" spans="1:7" x14ac:dyDescent="0.2">
      <c r="A2745" s="28"/>
      <c r="B2745" s="28" t="s">
        <v>3142</v>
      </c>
      <c r="C2745" s="29" t="s">
        <v>3143</v>
      </c>
      <c r="D2745" s="29" t="s">
        <v>3157</v>
      </c>
      <c r="E2745" s="29"/>
      <c r="F2745" s="29"/>
      <c r="G2745" s="30"/>
    </row>
    <row r="2746" spans="1:7" x14ac:dyDescent="0.2">
      <c r="A2746" s="31" t="s">
        <v>3804</v>
      </c>
      <c r="B2746" s="31"/>
      <c r="C2746" s="32"/>
      <c r="D2746" s="32"/>
      <c r="E2746" s="32"/>
      <c r="F2746" s="32"/>
      <c r="G2746" s="32"/>
    </row>
    <row r="2747" spans="1:7" x14ac:dyDescent="0.2">
      <c r="A2747" s="31"/>
      <c r="B2747" s="31"/>
      <c r="C2747" s="32">
        <v>1</v>
      </c>
      <c r="D2747" s="32">
        <v>128</v>
      </c>
      <c r="E2747" s="32"/>
      <c r="F2747" s="32"/>
      <c r="G2747" s="32">
        <f>PRODUCT(C2747:F2747)</f>
        <v>128</v>
      </c>
    </row>
    <row r="2749" spans="1:7" ht="45" customHeight="1" x14ac:dyDescent="0.2">
      <c r="A2749" s="17" t="s">
        <v>4313</v>
      </c>
      <c r="B2749" s="17" t="s">
        <v>3141</v>
      </c>
      <c r="C2749" s="17" t="s">
        <v>980</v>
      </c>
      <c r="D2749" s="83" t="s">
        <v>18</v>
      </c>
      <c r="E2749" s="102" t="s">
        <v>4017</v>
      </c>
      <c r="F2749" s="102" t="s">
        <v>4017</v>
      </c>
      <c r="G2749" s="84">
        <f>SUM(G2750:G2752)</f>
        <v>128</v>
      </c>
    </row>
    <row r="2750" spans="1:7" x14ac:dyDescent="0.2">
      <c r="A2750" s="28"/>
      <c r="B2750" s="28" t="s">
        <v>3142</v>
      </c>
      <c r="C2750" s="29" t="s">
        <v>3143</v>
      </c>
      <c r="D2750" s="29" t="s">
        <v>3157</v>
      </c>
      <c r="E2750" s="29"/>
      <c r="F2750" s="29"/>
      <c r="G2750" s="30"/>
    </row>
    <row r="2751" spans="1:7" x14ac:dyDescent="0.2">
      <c r="A2751" s="31" t="s">
        <v>3804</v>
      </c>
      <c r="B2751" s="31"/>
      <c r="C2751" s="32"/>
      <c r="D2751" s="32"/>
      <c r="E2751" s="32"/>
      <c r="F2751" s="32"/>
      <c r="G2751" s="32"/>
    </row>
    <row r="2752" spans="1:7" x14ac:dyDescent="0.2">
      <c r="A2752" s="31"/>
      <c r="B2752" s="31"/>
      <c r="C2752" s="32">
        <v>1</v>
      </c>
      <c r="D2752" s="32">
        <v>128</v>
      </c>
      <c r="E2752" s="32"/>
      <c r="F2752" s="32"/>
      <c r="G2752" s="32">
        <f>PRODUCT(C2752:F2752)</f>
        <v>128</v>
      </c>
    </row>
    <row r="2754" spans="1:7" x14ac:dyDescent="0.2">
      <c r="B2754" t="s">
        <v>3139</v>
      </c>
      <c r="C2754" s="6" t="s">
        <v>6</v>
      </c>
      <c r="D2754" s="7" t="s">
        <v>7</v>
      </c>
      <c r="E2754" s="6" t="s">
        <v>8</v>
      </c>
    </row>
    <row r="2755" spans="1:7" x14ac:dyDescent="0.2">
      <c r="B2755" t="s">
        <v>3139</v>
      </c>
      <c r="C2755" s="6" t="s">
        <v>9</v>
      </c>
      <c r="D2755" s="7" t="s">
        <v>851</v>
      </c>
      <c r="E2755" s="6" t="s">
        <v>970</v>
      </c>
    </row>
    <row r="2756" spans="1:7" x14ac:dyDescent="0.2">
      <c r="B2756" t="s">
        <v>3139</v>
      </c>
      <c r="C2756" s="6" t="s">
        <v>11</v>
      </c>
      <c r="D2756" s="7" t="s">
        <v>158</v>
      </c>
      <c r="E2756" s="6" t="s">
        <v>981</v>
      </c>
    </row>
    <row r="2758" spans="1:7" ht="45" customHeight="1" x14ac:dyDescent="0.2">
      <c r="A2758" s="17" t="s">
        <v>3805</v>
      </c>
      <c r="B2758" s="17" t="s">
        <v>3141</v>
      </c>
      <c r="C2758" s="17" t="s">
        <v>983</v>
      </c>
      <c r="D2758" s="83" t="s">
        <v>23</v>
      </c>
      <c r="E2758" s="102" t="s">
        <v>984</v>
      </c>
      <c r="F2758" s="102" t="s">
        <v>984</v>
      </c>
      <c r="G2758" s="84">
        <f>SUM(G2759:G2759)</f>
        <v>1</v>
      </c>
    </row>
    <row r="2759" spans="1:7" x14ac:dyDescent="0.2">
      <c r="A2759" s="31"/>
      <c r="B2759" s="31"/>
      <c r="C2759" s="32">
        <v>1</v>
      </c>
      <c r="D2759" s="32"/>
      <c r="E2759" s="32"/>
      <c r="F2759" s="32"/>
      <c r="G2759" s="32">
        <f>PRODUCT(C2759:F2759)</f>
        <v>1</v>
      </c>
    </row>
    <row r="2761" spans="1:7" ht="45" customHeight="1" x14ac:dyDescent="0.2">
      <c r="A2761" s="17" t="s">
        <v>3806</v>
      </c>
      <c r="B2761" s="17" t="s">
        <v>3141</v>
      </c>
      <c r="C2761" s="17" t="s">
        <v>985</v>
      </c>
      <c r="D2761" s="83" t="s">
        <v>23</v>
      </c>
      <c r="E2761" s="102" t="s">
        <v>986</v>
      </c>
      <c r="F2761" s="102" t="s">
        <v>986</v>
      </c>
      <c r="G2761" s="84">
        <f>SUM(G2762:G2762)</f>
        <v>1</v>
      </c>
    </row>
    <row r="2762" spans="1:7" x14ac:dyDescent="0.2">
      <c r="A2762" s="31"/>
      <c r="B2762" s="31"/>
      <c r="C2762" s="32">
        <v>1</v>
      </c>
      <c r="D2762" s="32"/>
      <c r="E2762" s="32"/>
      <c r="F2762" s="32"/>
      <c r="G2762" s="32">
        <f>PRODUCT(C2762:F2762)</f>
        <v>1</v>
      </c>
    </row>
    <row r="2764" spans="1:7" ht="45" customHeight="1" x14ac:dyDescent="0.2">
      <c r="A2764" s="17" t="s">
        <v>3807</v>
      </c>
      <c r="B2764" s="17" t="s">
        <v>3141</v>
      </c>
      <c r="C2764" s="17" t="s">
        <v>987</v>
      </c>
      <c r="D2764" s="83" t="s">
        <v>23</v>
      </c>
      <c r="E2764" s="102" t="s">
        <v>988</v>
      </c>
      <c r="F2764" s="102" t="s">
        <v>988</v>
      </c>
      <c r="G2764" s="84">
        <f>SUM(G2765:G2765)</f>
        <v>4</v>
      </c>
    </row>
    <row r="2765" spans="1:7" x14ac:dyDescent="0.2">
      <c r="A2765" s="31"/>
      <c r="B2765" s="31"/>
      <c r="C2765" s="32">
        <v>4</v>
      </c>
      <c r="D2765" s="32"/>
      <c r="E2765" s="32"/>
      <c r="F2765" s="32"/>
      <c r="G2765" s="32">
        <f>PRODUCT(C2765:F2765)</f>
        <v>4</v>
      </c>
    </row>
    <row r="2767" spans="1:7" ht="45" customHeight="1" x14ac:dyDescent="0.2">
      <c r="A2767" s="17" t="s">
        <v>3808</v>
      </c>
      <c r="B2767" s="17" t="s">
        <v>3141</v>
      </c>
      <c r="C2767" s="17" t="s">
        <v>989</v>
      </c>
      <c r="D2767" s="83" t="s">
        <v>23</v>
      </c>
      <c r="E2767" s="102" t="s">
        <v>990</v>
      </c>
      <c r="F2767" s="102" t="s">
        <v>990</v>
      </c>
      <c r="G2767" s="84">
        <f>SUM(G2768:G2768)</f>
        <v>1</v>
      </c>
    </row>
    <row r="2768" spans="1:7" x14ac:dyDescent="0.2">
      <c r="A2768" s="31"/>
      <c r="B2768" s="31"/>
      <c r="C2768" s="32">
        <v>1</v>
      </c>
      <c r="D2768" s="32"/>
      <c r="E2768" s="32"/>
      <c r="F2768" s="32"/>
      <c r="G2768" s="32">
        <f>PRODUCT(C2768:F2768)</f>
        <v>1</v>
      </c>
    </row>
    <row r="2770" spans="1:7" ht="45" customHeight="1" x14ac:dyDescent="0.2">
      <c r="A2770" s="17" t="s">
        <v>3809</v>
      </c>
      <c r="B2770" s="17" t="s">
        <v>3141</v>
      </c>
      <c r="C2770" s="17" t="s">
        <v>991</v>
      </c>
      <c r="D2770" s="83" t="s">
        <v>36</v>
      </c>
      <c r="E2770" s="102" t="s">
        <v>992</v>
      </c>
      <c r="F2770" s="102" t="s">
        <v>992</v>
      </c>
      <c r="G2770" s="84">
        <f>SUM(G2771:G2771)</f>
        <v>60</v>
      </c>
    </row>
    <row r="2771" spans="1:7" x14ac:dyDescent="0.2">
      <c r="A2771" s="31"/>
      <c r="B2771" s="31"/>
      <c r="C2771" s="32">
        <v>60</v>
      </c>
      <c r="D2771" s="32"/>
      <c r="E2771" s="32"/>
      <c r="F2771" s="32"/>
      <c r="G2771" s="32">
        <f>PRODUCT(C2771:F2771)</f>
        <v>60</v>
      </c>
    </row>
    <row r="2773" spans="1:7" ht="45" customHeight="1" x14ac:dyDescent="0.2">
      <c r="A2773" s="17" t="s">
        <v>3810</v>
      </c>
      <c r="B2773" s="17" t="s">
        <v>3141</v>
      </c>
      <c r="C2773" s="17" t="s">
        <v>602</v>
      </c>
      <c r="D2773" s="83" t="s">
        <v>36</v>
      </c>
      <c r="E2773" s="102" t="s">
        <v>603</v>
      </c>
      <c r="F2773" s="102" t="s">
        <v>603</v>
      </c>
      <c r="G2773" s="84">
        <f>SUM(G2774:G2774)</f>
        <v>26.25</v>
      </c>
    </row>
    <row r="2774" spans="1:7" x14ac:dyDescent="0.2">
      <c r="A2774" s="31"/>
      <c r="B2774" s="31"/>
      <c r="C2774" s="32">
        <v>25</v>
      </c>
      <c r="D2774" s="32">
        <v>1.05</v>
      </c>
      <c r="E2774" s="32"/>
      <c r="F2774" s="32"/>
      <c r="G2774" s="32">
        <f>PRODUCT(C2774:F2774)</f>
        <v>26.25</v>
      </c>
    </row>
    <row r="2776" spans="1:7" ht="45" customHeight="1" x14ac:dyDescent="0.2">
      <c r="A2776" s="17" t="s">
        <v>3811</v>
      </c>
      <c r="B2776" s="17" t="s">
        <v>3141</v>
      </c>
      <c r="C2776" s="17" t="s">
        <v>993</v>
      </c>
      <c r="D2776" s="83" t="s">
        <v>23</v>
      </c>
      <c r="E2776" s="102" t="s">
        <v>994</v>
      </c>
      <c r="F2776" s="102" t="s">
        <v>994</v>
      </c>
      <c r="G2776" s="84">
        <f>SUM(G2777:G2777)</f>
        <v>1</v>
      </c>
    </row>
    <row r="2777" spans="1:7" x14ac:dyDescent="0.2">
      <c r="A2777" s="31"/>
      <c r="B2777" s="31"/>
      <c r="C2777" s="32">
        <v>1</v>
      </c>
      <c r="D2777" s="32"/>
      <c r="E2777" s="32"/>
      <c r="F2777" s="32"/>
      <c r="G2777" s="32">
        <f>PRODUCT(C2777:F2777)</f>
        <v>1</v>
      </c>
    </row>
    <row r="2779" spans="1:7" x14ac:dyDescent="0.2">
      <c r="B2779" t="s">
        <v>3139</v>
      </c>
      <c r="C2779" s="6" t="s">
        <v>6</v>
      </c>
      <c r="D2779" s="7" t="s">
        <v>7</v>
      </c>
      <c r="E2779" s="6" t="s">
        <v>8</v>
      </c>
    </row>
    <row r="2780" spans="1:7" x14ac:dyDescent="0.2">
      <c r="B2780" t="s">
        <v>3139</v>
      </c>
      <c r="C2780" s="6" t="s">
        <v>9</v>
      </c>
      <c r="D2780" s="7" t="s">
        <v>851</v>
      </c>
      <c r="E2780" s="6" t="s">
        <v>970</v>
      </c>
    </row>
    <row r="2781" spans="1:7" x14ac:dyDescent="0.2">
      <c r="B2781" t="s">
        <v>3139</v>
      </c>
      <c r="C2781" s="6" t="s">
        <v>11</v>
      </c>
      <c r="D2781" s="7" t="s">
        <v>385</v>
      </c>
      <c r="E2781" s="6" t="s">
        <v>995</v>
      </c>
    </row>
    <row r="2783" spans="1:7" ht="45" customHeight="1" x14ac:dyDescent="0.2">
      <c r="A2783" s="17" t="s">
        <v>3812</v>
      </c>
      <c r="B2783" s="17" t="s">
        <v>3141</v>
      </c>
      <c r="C2783" s="17" t="s">
        <v>997</v>
      </c>
      <c r="D2783" s="83" t="s">
        <v>18</v>
      </c>
      <c r="E2783" s="102" t="s">
        <v>4018</v>
      </c>
      <c r="F2783" s="102" t="s">
        <v>4018</v>
      </c>
      <c r="G2783" s="84">
        <f>SUM(G2784:G2784)</f>
        <v>1</v>
      </c>
    </row>
    <row r="2784" spans="1:7" x14ac:dyDescent="0.2">
      <c r="A2784" s="31"/>
      <c r="B2784" s="31"/>
      <c r="C2784" s="32">
        <v>1</v>
      </c>
      <c r="D2784" s="32"/>
      <c r="E2784" s="32"/>
      <c r="F2784" s="32"/>
      <c r="G2784" s="32">
        <f>PRODUCT(C2784:F2784)</f>
        <v>1</v>
      </c>
    </row>
    <row r="2786" spans="1:7" x14ac:dyDescent="0.2">
      <c r="B2786" t="s">
        <v>3139</v>
      </c>
      <c r="C2786" s="6" t="s">
        <v>6</v>
      </c>
      <c r="D2786" s="7" t="s">
        <v>7</v>
      </c>
      <c r="E2786" s="6" t="s">
        <v>8</v>
      </c>
    </row>
    <row r="2787" spans="1:7" x14ac:dyDescent="0.2">
      <c r="B2787" t="s">
        <v>3139</v>
      </c>
      <c r="C2787" s="6" t="s">
        <v>9</v>
      </c>
      <c r="D2787" s="7" t="s">
        <v>851</v>
      </c>
      <c r="E2787" s="6" t="s">
        <v>970</v>
      </c>
    </row>
    <row r="2788" spans="1:7" x14ac:dyDescent="0.2">
      <c r="B2788" t="s">
        <v>3139</v>
      </c>
      <c r="C2788" s="6" t="s">
        <v>11</v>
      </c>
      <c r="D2788" s="7" t="s">
        <v>400</v>
      </c>
      <c r="E2788" s="6" t="s">
        <v>998</v>
      </c>
    </row>
    <row r="2790" spans="1:7" ht="45" customHeight="1" x14ac:dyDescent="0.2">
      <c r="A2790" s="17" t="s">
        <v>3813</v>
      </c>
      <c r="B2790" s="17" t="s">
        <v>3141</v>
      </c>
      <c r="C2790" s="17" t="s">
        <v>4019</v>
      </c>
      <c r="D2790" s="83" t="s">
        <v>23</v>
      </c>
      <c r="E2790" s="102" t="s">
        <v>4020</v>
      </c>
      <c r="F2790" s="102" t="s">
        <v>4020</v>
      </c>
      <c r="G2790" s="84">
        <f>SUM(G2791:G2791)</f>
        <v>3</v>
      </c>
    </row>
    <row r="2791" spans="1:7" x14ac:dyDescent="0.2">
      <c r="A2791" s="31"/>
      <c r="B2791" s="31"/>
      <c r="C2791" s="32">
        <v>3</v>
      </c>
      <c r="D2791" s="32"/>
      <c r="E2791" s="32"/>
      <c r="F2791" s="32"/>
      <c r="G2791" s="32">
        <f>PRODUCT(C2791:F2791)</f>
        <v>3</v>
      </c>
    </row>
    <row r="2793" spans="1:7" x14ac:dyDescent="0.2">
      <c r="B2793" t="s">
        <v>3139</v>
      </c>
      <c r="C2793" s="6" t="s">
        <v>6</v>
      </c>
      <c r="D2793" s="7" t="s">
        <v>7</v>
      </c>
      <c r="E2793" s="6" t="s">
        <v>8</v>
      </c>
    </row>
    <row r="2794" spans="1:7" x14ac:dyDescent="0.2">
      <c r="B2794" t="s">
        <v>3139</v>
      </c>
      <c r="C2794" s="6" t="s">
        <v>9</v>
      </c>
      <c r="D2794" s="7" t="s">
        <v>877</v>
      </c>
      <c r="E2794" s="6" t="s">
        <v>1000</v>
      </c>
    </row>
    <row r="2795" spans="1:7" x14ac:dyDescent="0.2">
      <c r="B2795" t="s">
        <v>3139</v>
      </c>
      <c r="C2795" s="6" t="s">
        <v>11</v>
      </c>
      <c r="D2795" s="7" t="s">
        <v>7</v>
      </c>
      <c r="E2795" s="6" t="s">
        <v>1001</v>
      </c>
    </row>
    <row r="2797" spans="1:7" ht="45" customHeight="1" x14ac:dyDescent="0.2">
      <c r="A2797" s="17" t="s">
        <v>3814</v>
      </c>
      <c r="B2797" s="17" t="s">
        <v>3141</v>
      </c>
      <c r="C2797" s="17" t="s">
        <v>1003</v>
      </c>
      <c r="D2797" s="83" t="s">
        <v>23</v>
      </c>
      <c r="E2797" s="102" t="s">
        <v>1004</v>
      </c>
      <c r="F2797" s="102" t="s">
        <v>1004</v>
      </c>
      <c r="G2797" s="84">
        <f>SUM(G2798:G2799)</f>
        <v>1</v>
      </c>
    </row>
    <row r="2798" spans="1:7" x14ac:dyDescent="0.2">
      <c r="A2798" s="28"/>
      <c r="B2798" s="28" t="s">
        <v>3142</v>
      </c>
      <c r="C2798" s="29" t="s">
        <v>3143</v>
      </c>
      <c r="D2798" s="29"/>
      <c r="E2798" s="29"/>
      <c r="F2798" s="29"/>
      <c r="G2798" s="30"/>
    </row>
    <row r="2799" spans="1:7" x14ac:dyDescent="0.2">
      <c r="A2799" s="31"/>
      <c r="B2799" s="31"/>
      <c r="C2799" s="32">
        <v>1</v>
      </c>
      <c r="D2799" s="32"/>
      <c r="E2799" s="32"/>
      <c r="F2799" s="32"/>
      <c r="G2799" s="32">
        <f>PRODUCT(C2799:F2799)</f>
        <v>1</v>
      </c>
    </row>
    <row r="2801" spans="1:7" ht="45" customHeight="1" x14ac:dyDescent="0.2">
      <c r="A2801" s="17" t="s">
        <v>3815</v>
      </c>
      <c r="B2801" s="17" t="s">
        <v>3141</v>
      </c>
      <c r="C2801" s="17" t="s">
        <v>1005</v>
      </c>
      <c r="D2801" s="83" t="s">
        <v>23</v>
      </c>
      <c r="E2801" s="102" t="s">
        <v>1006</v>
      </c>
      <c r="F2801" s="102" t="s">
        <v>1006</v>
      </c>
      <c r="G2801" s="84">
        <f>SUM(G2802:G2803)</f>
        <v>1</v>
      </c>
    </row>
    <row r="2802" spans="1:7" x14ac:dyDescent="0.2">
      <c r="A2802" s="28"/>
      <c r="B2802" s="28" t="s">
        <v>3142</v>
      </c>
      <c r="C2802" s="29" t="s">
        <v>3143</v>
      </c>
      <c r="D2802" s="29"/>
      <c r="E2802" s="29"/>
      <c r="F2802" s="29"/>
      <c r="G2802" s="30"/>
    </row>
    <row r="2803" spans="1:7" x14ac:dyDescent="0.2">
      <c r="A2803" s="31"/>
      <c r="B2803" s="31"/>
      <c r="C2803" s="32">
        <v>1</v>
      </c>
      <c r="D2803" s="32"/>
      <c r="E2803" s="32"/>
      <c r="F2803" s="32"/>
      <c r="G2803" s="32">
        <f>PRODUCT(C2803:F2803)</f>
        <v>1</v>
      </c>
    </row>
    <row r="2805" spans="1:7" ht="45" customHeight="1" x14ac:dyDescent="0.2">
      <c r="A2805" s="17" t="s">
        <v>3816</v>
      </c>
      <c r="B2805" s="17" t="s">
        <v>3141</v>
      </c>
      <c r="C2805" s="17" t="s">
        <v>1007</v>
      </c>
      <c r="D2805" s="83" t="s">
        <v>23</v>
      </c>
      <c r="E2805" s="102" t="s">
        <v>1008</v>
      </c>
      <c r="F2805" s="102" t="s">
        <v>1008</v>
      </c>
      <c r="G2805" s="84">
        <f>SUM(G2806:G2807)</f>
        <v>1</v>
      </c>
    </row>
    <row r="2806" spans="1:7" x14ac:dyDescent="0.2">
      <c r="A2806" s="28"/>
      <c r="B2806" s="28" t="s">
        <v>3142</v>
      </c>
      <c r="C2806" s="29" t="s">
        <v>3143</v>
      </c>
      <c r="D2806" s="29"/>
      <c r="E2806" s="29"/>
      <c r="F2806" s="29"/>
      <c r="G2806" s="30"/>
    </row>
    <row r="2807" spans="1:7" x14ac:dyDescent="0.2">
      <c r="A2807" s="31"/>
      <c r="B2807" s="31"/>
      <c r="C2807" s="32">
        <v>1</v>
      </c>
      <c r="D2807" s="32"/>
      <c r="E2807" s="32"/>
      <c r="F2807" s="32"/>
      <c r="G2807" s="32">
        <f>PRODUCT(C2807:F2807)</f>
        <v>1</v>
      </c>
    </row>
    <row r="2809" spans="1:7" ht="45" customHeight="1" x14ac:dyDescent="0.2">
      <c r="A2809" s="17" t="s">
        <v>3817</v>
      </c>
      <c r="B2809" s="17" t="s">
        <v>3141</v>
      </c>
      <c r="C2809" s="17" t="s">
        <v>1009</v>
      </c>
      <c r="D2809" s="83" t="s">
        <v>23</v>
      </c>
      <c r="E2809" s="102" t="s">
        <v>1010</v>
      </c>
      <c r="F2809" s="102" t="s">
        <v>1010</v>
      </c>
      <c r="G2809" s="84">
        <f>SUM(G2810:G2810)</f>
        <v>1</v>
      </c>
    </row>
    <row r="2810" spans="1:7" x14ac:dyDescent="0.2">
      <c r="A2810" s="31"/>
      <c r="B2810" s="31"/>
      <c r="C2810" s="32">
        <v>1</v>
      </c>
      <c r="D2810" s="32"/>
      <c r="E2810" s="32"/>
      <c r="F2810" s="32"/>
      <c r="G2810" s="32">
        <f>PRODUCT(C2810:F2810)</f>
        <v>1</v>
      </c>
    </row>
    <row r="2812" spans="1:7" x14ac:dyDescent="0.2">
      <c r="B2812" t="s">
        <v>3139</v>
      </c>
      <c r="C2812" s="6" t="s">
        <v>6</v>
      </c>
      <c r="D2812" s="7" t="s">
        <v>7</v>
      </c>
      <c r="E2812" s="6" t="s">
        <v>8</v>
      </c>
    </row>
    <row r="2813" spans="1:7" x14ac:dyDescent="0.2">
      <c r="B2813" t="s">
        <v>3139</v>
      </c>
      <c r="C2813" s="6" t="s">
        <v>9</v>
      </c>
      <c r="D2813" s="7" t="s">
        <v>1011</v>
      </c>
      <c r="E2813" s="6" t="s">
        <v>1012</v>
      </c>
    </row>
    <row r="2814" spans="1:7" x14ac:dyDescent="0.2">
      <c r="B2814" t="s">
        <v>3139</v>
      </c>
      <c r="C2814" s="6" t="s">
        <v>11</v>
      </c>
      <c r="D2814" s="7" t="s">
        <v>7</v>
      </c>
      <c r="E2814" s="6" t="s">
        <v>1013</v>
      </c>
    </row>
    <row r="2816" spans="1:7" ht="45" customHeight="1" x14ac:dyDescent="0.2">
      <c r="A2816" s="17" t="s">
        <v>3818</v>
      </c>
      <c r="B2816" s="17" t="s">
        <v>3141</v>
      </c>
      <c r="C2816" s="17" t="s">
        <v>1015</v>
      </c>
      <c r="D2816" s="83" t="s">
        <v>15</v>
      </c>
      <c r="E2816" s="102" t="s">
        <v>1016</v>
      </c>
      <c r="F2816" s="102" t="s">
        <v>1016</v>
      </c>
      <c r="G2816" s="84">
        <f>SUM(G2817:G2818)</f>
        <v>66.61</v>
      </c>
    </row>
    <row r="2817" spans="1:7" x14ac:dyDescent="0.2">
      <c r="A2817" s="31" t="s">
        <v>3819</v>
      </c>
      <c r="B2817" s="31" t="s">
        <v>3323</v>
      </c>
      <c r="C2817" s="32">
        <v>65.965999999999994</v>
      </c>
      <c r="D2817" s="32"/>
      <c r="E2817" s="32"/>
      <c r="F2817" s="32"/>
      <c r="G2817" s="32">
        <f>PRODUCT(C2817:F2817)</f>
        <v>65.965999999999994</v>
      </c>
    </row>
    <row r="2818" spans="1:7" x14ac:dyDescent="0.2">
      <c r="A2818" s="31" t="s">
        <v>3820</v>
      </c>
      <c r="B2818" s="31" t="s">
        <v>3323</v>
      </c>
      <c r="C2818" s="32">
        <v>0.64400000000000002</v>
      </c>
      <c r="D2818" s="32"/>
      <c r="E2818" s="32"/>
      <c r="F2818" s="32"/>
      <c r="G2818" s="32">
        <f>PRODUCT(C2818:F2818)</f>
        <v>0.64400000000000002</v>
      </c>
    </row>
    <row r="2820" spans="1:7" ht="45" customHeight="1" x14ac:dyDescent="0.2">
      <c r="A2820" s="17" t="s">
        <v>3821</v>
      </c>
      <c r="B2820" s="17" t="s">
        <v>3141</v>
      </c>
      <c r="C2820" s="17" t="s">
        <v>1017</v>
      </c>
      <c r="D2820" s="83" t="s">
        <v>15</v>
      </c>
      <c r="E2820" s="102" t="s">
        <v>1018</v>
      </c>
      <c r="F2820" s="102" t="s">
        <v>1018</v>
      </c>
      <c r="G2820" s="84">
        <f>SUM(G2821:G2825)</f>
        <v>571.63700000000006</v>
      </c>
    </row>
    <row r="2821" spans="1:7" x14ac:dyDescent="0.2">
      <c r="A2821" s="31" t="s">
        <v>3822</v>
      </c>
      <c r="B2821" s="31" t="s">
        <v>3323</v>
      </c>
      <c r="C2821" s="32">
        <v>92.302000000000007</v>
      </c>
      <c r="D2821" s="32"/>
      <c r="E2821" s="32"/>
      <c r="F2821" s="32"/>
      <c r="G2821" s="32">
        <f>PRODUCT(C2821:F2821)</f>
        <v>92.302000000000007</v>
      </c>
    </row>
    <row r="2822" spans="1:7" x14ac:dyDescent="0.2">
      <c r="A2822" s="31" t="s">
        <v>3819</v>
      </c>
      <c r="B2822" s="31" t="s">
        <v>3323</v>
      </c>
      <c r="C2822" s="32">
        <v>65.965999999999994</v>
      </c>
      <c r="D2822" s="32"/>
      <c r="E2822" s="32"/>
      <c r="F2822" s="32"/>
      <c r="G2822" s="32">
        <f>PRODUCT(C2822:F2822)</f>
        <v>65.965999999999994</v>
      </c>
    </row>
    <row r="2823" spans="1:7" x14ac:dyDescent="0.2">
      <c r="A2823" s="31" t="s">
        <v>3820</v>
      </c>
      <c r="B2823" s="31" t="s">
        <v>3323</v>
      </c>
      <c r="C2823" s="32">
        <v>0.64400000000000002</v>
      </c>
      <c r="D2823" s="32"/>
      <c r="E2823" s="32"/>
      <c r="F2823" s="32"/>
      <c r="G2823" s="32">
        <f>PRODUCT(C2823:F2823)</f>
        <v>0.64400000000000002</v>
      </c>
    </row>
    <row r="2824" spans="1:7" x14ac:dyDescent="0.2">
      <c r="A2824" s="31" t="s">
        <v>3823</v>
      </c>
      <c r="B2824" s="31" t="s">
        <v>3323</v>
      </c>
      <c r="C2824" s="32">
        <v>180.553</v>
      </c>
      <c r="D2824" s="32"/>
      <c r="E2824" s="32"/>
      <c r="F2824" s="32"/>
      <c r="G2824" s="32">
        <f>PRODUCT(C2824:F2824)</f>
        <v>180.553</v>
      </c>
    </row>
    <row r="2825" spans="1:7" x14ac:dyDescent="0.2">
      <c r="A2825" s="31" t="s">
        <v>3824</v>
      </c>
      <c r="B2825" s="31" t="s">
        <v>3323</v>
      </c>
      <c r="C2825" s="32">
        <v>232.172</v>
      </c>
      <c r="D2825" s="32"/>
      <c r="E2825" s="32"/>
      <c r="F2825" s="32"/>
      <c r="G2825" s="32">
        <f>PRODUCT(C2825:F2825)</f>
        <v>232.172</v>
      </c>
    </row>
    <row r="2827" spans="1:7" ht="45" customHeight="1" x14ac:dyDescent="0.2">
      <c r="A2827" s="17" t="s">
        <v>3825</v>
      </c>
      <c r="B2827" s="17" t="s">
        <v>3141</v>
      </c>
      <c r="C2827" s="17" t="s">
        <v>1019</v>
      </c>
      <c r="D2827" s="83" t="s">
        <v>15</v>
      </c>
      <c r="E2827" s="102" t="s">
        <v>1020</v>
      </c>
      <c r="F2827" s="102" t="s">
        <v>1020</v>
      </c>
      <c r="G2827" s="84">
        <f>SUM(G2828:G2833)</f>
        <v>180.55279999999996</v>
      </c>
    </row>
    <row r="2828" spans="1:7" x14ac:dyDescent="0.2">
      <c r="A2828" s="31" t="s">
        <v>3826</v>
      </c>
      <c r="B2828" s="31" t="s">
        <v>3323</v>
      </c>
      <c r="C2828" s="32">
        <v>244.36</v>
      </c>
      <c r="D2828" s="32">
        <v>0.4</v>
      </c>
      <c r="E2828" s="32"/>
      <c r="F2828" s="32"/>
      <c r="G2828" s="32">
        <f>PRODUCT(C2828:F2828)</f>
        <v>97.744000000000014</v>
      </c>
    </row>
    <row r="2829" spans="1:7" x14ac:dyDescent="0.2">
      <c r="A2829" s="31" t="s">
        <v>3827</v>
      </c>
      <c r="B2829" s="31" t="s">
        <v>3323</v>
      </c>
      <c r="C2829" s="32">
        <v>32</v>
      </c>
      <c r="D2829" s="32">
        <v>0.5</v>
      </c>
      <c r="E2829" s="32"/>
      <c r="F2829" s="32"/>
      <c r="G2829" s="32">
        <f>PRODUCT(C2829:F2829)</f>
        <v>16</v>
      </c>
    </row>
    <row r="2830" spans="1:7" x14ac:dyDescent="0.2">
      <c r="A2830" s="31" t="s">
        <v>3828</v>
      </c>
      <c r="B2830" s="31" t="s">
        <v>3323</v>
      </c>
      <c r="C2830" s="32">
        <v>2.1</v>
      </c>
      <c r="D2830" s="32"/>
      <c r="E2830" s="32"/>
      <c r="F2830" s="32"/>
      <c r="G2830" s="32">
        <f>PRODUCT(C2830:F2830)</f>
        <v>2.1</v>
      </c>
    </row>
    <row r="2831" spans="1:7" x14ac:dyDescent="0.2">
      <c r="A2831" s="31" t="s">
        <v>3829</v>
      </c>
      <c r="B2831" s="31" t="s">
        <v>3323</v>
      </c>
      <c r="C2831" s="32">
        <v>145.488</v>
      </c>
      <c r="D2831" s="32">
        <v>0.1</v>
      </c>
      <c r="E2831" s="32"/>
      <c r="F2831" s="32"/>
      <c r="G2831" s="32">
        <f>PRODUCT(C2831:F2831)</f>
        <v>14.5488</v>
      </c>
    </row>
    <row r="2832" spans="1:7" x14ac:dyDescent="0.2">
      <c r="A2832" s="31" t="s">
        <v>3830</v>
      </c>
      <c r="B2832" s="31" t="s">
        <v>3323</v>
      </c>
      <c r="C2832" s="32">
        <v>67</v>
      </c>
      <c r="D2832" s="32">
        <v>0.05</v>
      </c>
      <c r="E2832" s="32"/>
      <c r="F2832" s="32"/>
      <c r="G2832" s="32">
        <f>PRODUCT(C2832:F2832)</f>
        <v>3.35</v>
      </c>
    </row>
    <row r="2833" spans="1:7" x14ac:dyDescent="0.2">
      <c r="A2833" s="31" t="s">
        <v>3831</v>
      </c>
      <c r="B2833" s="31"/>
      <c r="C2833" s="32">
        <v>35</v>
      </c>
      <c r="D2833" s="32">
        <v>133.74285714285699</v>
      </c>
      <c r="E2833" s="32"/>
      <c r="F2833" s="32"/>
      <c r="G2833" s="32">
        <f>C2833 * D2833/100</f>
        <v>46.809999999999945</v>
      </c>
    </row>
    <row r="2835" spans="1:7" ht="45" customHeight="1" x14ac:dyDescent="0.2">
      <c r="A2835" s="17" t="s">
        <v>3832</v>
      </c>
      <c r="B2835" s="17" t="s">
        <v>3141</v>
      </c>
      <c r="C2835" s="17" t="s">
        <v>1021</v>
      </c>
      <c r="D2835" s="83" t="s">
        <v>15</v>
      </c>
      <c r="E2835" s="102" t="s">
        <v>1022</v>
      </c>
      <c r="F2835" s="102" t="s">
        <v>1022</v>
      </c>
      <c r="G2835" s="84">
        <f>SUM(G2836:G2840)</f>
        <v>232.17199999999997</v>
      </c>
    </row>
    <row r="2836" spans="1:7" x14ac:dyDescent="0.2">
      <c r="A2836" s="31" t="s">
        <v>3826</v>
      </c>
      <c r="B2836" s="31" t="s">
        <v>3323</v>
      </c>
      <c r="C2836" s="32">
        <v>244.36</v>
      </c>
      <c r="D2836" s="32">
        <v>0.4</v>
      </c>
      <c r="E2836" s="32"/>
      <c r="F2836" s="32"/>
      <c r="G2836" s="32">
        <f>PRODUCT(C2836:F2836)</f>
        <v>97.744000000000014</v>
      </c>
    </row>
    <row r="2837" spans="1:7" x14ac:dyDescent="0.2">
      <c r="A2837" s="31" t="s">
        <v>3833</v>
      </c>
      <c r="B2837" s="31" t="s">
        <v>3323</v>
      </c>
      <c r="C2837" s="32">
        <v>12.16</v>
      </c>
      <c r="D2837" s="32">
        <v>0.05</v>
      </c>
      <c r="E2837" s="32"/>
      <c r="F2837" s="32"/>
      <c r="G2837" s="32">
        <f>PRODUCT(C2837:F2837)</f>
        <v>0.6080000000000001</v>
      </c>
    </row>
    <row r="2838" spans="1:7" x14ac:dyDescent="0.2">
      <c r="A2838" s="31" t="s">
        <v>3834</v>
      </c>
      <c r="B2838" s="31" t="s">
        <v>3323</v>
      </c>
      <c r="C2838" s="32">
        <v>399</v>
      </c>
      <c r="D2838" s="32">
        <v>0.15</v>
      </c>
      <c r="E2838" s="32"/>
      <c r="F2838" s="32"/>
      <c r="G2838" s="32">
        <f>PRODUCT(C2838:F2838)</f>
        <v>59.849999999999994</v>
      </c>
    </row>
    <row r="2839" spans="1:7" x14ac:dyDescent="0.2">
      <c r="A2839" s="31" t="s">
        <v>3835</v>
      </c>
      <c r="B2839" s="31" t="s">
        <v>3323</v>
      </c>
      <c r="C2839" s="32">
        <v>13.776999999999999</v>
      </c>
      <c r="D2839" s="32"/>
      <c r="E2839" s="32"/>
      <c r="F2839" s="32"/>
      <c r="G2839" s="32">
        <f>PRODUCT(C2839:F2839)</f>
        <v>13.776999999999999</v>
      </c>
    </row>
    <row r="2840" spans="1:7" x14ac:dyDescent="0.2">
      <c r="A2840" s="31" t="s">
        <v>3831</v>
      </c>
      <c r="B2840" s="31"/>
      <c r="C2840" s="32">
        <v>35</v>
      </c>
      <c r="D2840" s="32">
        <v>171.98</v>
      </c>
      <c r="E2840" s="32"/>
      <c r="F2840" s="32"/>
      <c r="G2840" s="32">
        <f>C2840 * D2840/100</f>
        <v>60.192999999999991</v>
      </c>
    </row>
    <row r="2842" spans="1:7" ht="45" customHeight="1" x14ac:dyDescent="0.2">
      <c r="A2842" s="17" t="s">
        <v>3836</v>
      </c>
      <c r="B2842" s="17" t="s">
        <v>3141</v>
      </c>
      <c r="C2842" s="17" t="s">
        <v>1023</v>
      </c>
      <c r="D2842" s="83" t="s">
        <v>15</v>
      </c>
      <c r="E2842" s="102" t="s">
        <v>1024</v>
      </c>
      <c r="F2842" s="102" t="s">
        <v>1024</v>
      </c>
      <c r="G2842" s="84">
        <f>SUM(G2843:G2861)</f>
        <v>65.965044999999989</v>
      </c>
    </row>
    <row r="2843" spans="1:7" x14ac:dyDescent="0.2">
      <c r="A2843" s="28"/>
      <c r="B2843" s="28" t="s">
        <v>3142</v>
      </c>
      <c r="C2843" s="29" t="s">
        <v>3143</v>
      </c>
      <c r="D2843" s="29" t="s">
        <v>3146</v>
      </c>
      <c r="E2843" s="29" t="s">
        <v>3148</v>
      </c>
      <c r="F2843" s="29" t="s">
        <v>3205</v>
      </c>
      <c r="G2843" s="30"/>
    </row>
    <row r="2844" spans="1:7" x14ac:dyDescent="0.2">
      <c r="A2844" s="31" t="s">
        <v>3837</v>
      </c>
      <c r="B2844" s="31"/>
      <c r="C2844" s="32"/>
      <c r="D2844" s="32"/>
      <c r="E2844" s="32"/>
      <c r="F2844" s="32"/>
      <c r="G2844" s="32">
        <f t="shared" ref="G2844:G2860" si="27">PRODUCT(C2844:F2844)</f>
        <v>0</v>
      </c>
    </row>
    <row r="2845" spans="1:7" x14ac:dyDescent="0.2">
      <c r="A2845" s="31" t="s">
        <v>3166</v>
      </c>
      <c r="B2845" s="31"/>
      <c r="C2845" s="32">
        <v>1</v>
      </c>
      <c r="D2845" s="32">
        <v>1</v>
      </c>
      <c r="E2845" s="32">
        <v>0.8</v>
      </c>
      <c r="F2845" s="32">
        <v>0.05</v>
      </c>
      <c r="G2845" s="32">
        <f t="shared" si="27"/>
        <v>4.0000000000000008E-2</v>
      </c>
    </row>
    <row r="2846" spans="1:7" x14ac:dyDescent="0.2">
      <c r="A2846" s="31" t="s">
        <v>3167</v>
      </c>
      <c r="B2846" s="31"/>
      <c r="C2846" s="32">
        <v>1</v>
      </c>
      <c r="D2846" s="32">
        <v>0.83</v>
      </c>
      <c r="E2846" s="32">
        <v>0.83</v>
      </c>
      <c r="F2846" s="32">
        <v>0.05</v>
      </c>
      <c r="G2846" s="32">
        <f t="shared" si="27"/>
        <v>3.4444999999999996E-2</v>
      </c>
    </row>
    <row r="2847" spans="1:7" x14ac:dyDescent="0.2">
      <c r="A2847" s="31" t="s">
        <v>3168</v>
      </c>
      <c r="B2847" s="31"/>
      <c r="C2847" s="32">
        <v>1</v>
      </c>
      <c r="D2847" s="32">
        <v>1.33</v>
      </c>
      <c r="E2847" s="32">
        <v>0.88</v>
      </c>
      <c r="F2847" s="32">
        <v>0.05</v>
      </c>
      <c r="G2847" s="32">
        <f t="shared" si="27"/>
        <v>5.852000000000001E-2</v>
      </c>
    </row>
    <row r="2848" spans="1:7" x14ac:dyDescent="0.2">
      <c r="A2848" s="31" t="s">
        <v>3169</v>
      </c>
      <c r="B2848" s="31"/>
      <c r="C2848" s="32">
        <v>1</v>
      </c>
      <c r="D2848" s="32">
        <v>0.62</v>
      </c>
      <c r="E2848" s="32">
        <v>0.92</v>
      </c>
      <c r="F2848" s="32">
        <v>0.05</v>
      </c>
      <c r="G2848" s="32">
        <f t="shared" si="27"/>
        <v>2.8520000000000004E-2</v>
      </c>
    </row>
    <row r="2849" spans="1:7" x14ac:dyDescent="0.2">
      <c r="A2849" s="31" t="s">
        <v>3170</v>
      </c>
      <c r="B2849" s="31"/>
      <c r="C2849" s="32">
        <v>1</v>
      </c>
      <c r="D2849" s="32">
        <v>0.91</v>
      </c>
      <c r="E2849" s="32">
        <v>1.24</v>
      </c>
      <c r="F2849" s="32">
        <v>0.05</v>
      </c>
      <c r="G2849" s="32">
        <f t="shared" si="27"/>
        <v>5.6420000000000005E-2</v>
      </c>
    </row>
    <row r="2850" spans="1:7" x14ac:dyDescent="0.2">
      <c r="A2850" s="31" t="s">
        <v>3171</v>
      </c>
      <c r="B2850" s="31"/>
      <c r="C2850" s="32">
        <v>1</v>
      </c>
      <c r="D2850" s="32">
        <v>1.28</v>
      </c>
      <c r="E2850" s="32">
        <v>1.79</v>
      </c>
      <c r="F2850" s="32">
        <v>0.05</v>
      </c>
      <c r="G2850" s="32">
        <f t="shared" si="27"/>
        <v>0.11456</v>
      </c>
    </row>
    <row r="2851" spans="1:7" x14ac:dyDescent="0.2">
      <c r="A2851" s="31" t="s">
        <v>3172</v>
      </c>
      <c r="B2851" s="31"/>
      <c r="C2851" s="32">
        <v>4</v>
      </c>
      <c r="D2851" s="32">
        <v>0.88</v>
      </c>
      <c r="E2851" s="32">
        <v>1.33</v>
      </c>
      <c r="F2851" s="32">
        <v>0.05</v>
      </c>
      <c r="G2851" s="32">
        <f t="shared" si="27"/>
        <v>0.23408000000000004</v>
      </c>
    </row>
    <row r="2852" spans="1:7" x14ac:dyDescent="0.2">
      <c r="A2852" s="31" t="s">
        <v>3173</v>
      </c>
      <c r="B2852" s="31"/>
      <c r="C2852" s="32">
        <v>3</v>
      </c>
      <c r="D2852" s="32">
        <v>3.1</v>
      </c>
      <c r="E2852" s="32">
        <v>0.9</v>
      </c>
      <c r="F2852" s="32">
        <v>0.05</v>
      </c>
      <c r="G2852" s="32">
        <f t="shared" si="27"/>
        <v>0.41850000000000009</v>
      </c>
    </row>
    <row r="2853" spans="1:7" x14ac:dyDescent="0.2">
      <c r="A2853" s="31"/>
      <c r="B2853" s="31"/>
      <c r="C2853" s="32">
        <v>3</v>
      </c>
      <c r="D2853" s="32">
        <v>2.2000000000000002</v>
      </c>
      <c r="E2853" s="32">
        <v>0.9</v>
      </c>
      <c r="F2853" s="32">
        <v>0.05</v>
      </c>
      <c r="G2853" s="32">
        <f t="shared" si="27"/>
        <v>0.29700000000000004</v>
      </c>
    </row>
    <row r="2854" spans="1:7" x14ac:dyDescent="0.2">
      <c r="A2854" s="31"/>
      <c r="B2854" s="31"/>
      <c r="C2854" s="32">
        <v>2</v>
      </c>
      <c r="D2854" s="32">
        <v>1.2</v>
      </c>
      <c r="E2854" s="32">
        <v>1.3</v>
      </c>
      <c r="F2854" s="32">
        <v>0.05</v>
      </c>
      <c r="G2854" s="32">
        <f t="shared" si="27"/>
        <v>0.15600000000000003</v>
      </c>
    </row>
    <row r="2855" spans="1:7" x14ac:dyDescent="0.2">
      <c r="A2855" s="31" t="s">
        <v>3174</v>
      </c>
      <c r="B2855" s="31"/>
      <c r="C2855" s="32">
        <v>1</v>
      </c>
      <c r="D2855" s="32">
        <v>1</v>
      </c>
      <c r="E2855" s="32">
        <v>2</v>
      </c>
      <c r="F2855" s="32"/>
      <c r="G2855" s="32">
        <f t="shared" si="27"/>
        <v>2</v>
      </c>
    </row>
    <row r="2856" spans="1:7" x14ac:dyDescent="0.2">
      <c r="A2856" s="31" t="s">
        <v>3838</v>
      </c>
      <c r="B2856" s="31" t="s">
        <v>3323</v>
      </c>
      <c r="C2856" s="32">
        <v>3.375</v>
      </c>
      <c r="D2856" s="32"/>
      <c r="E2856" s="32"/>
      <c r="F2856" s="32"/>
      <c r="G2856" s="32">
        <f t="shared" si="27"/>
        <v>3.375</v>
      </c>
    </row>
    <row r="2857" spans="1:7" x14ac:dyDescent="0.2">
      <c r="A2857" s="31" t="s">
        <v>3827</v>
      </c>
      <c r="B2857" s="31" t="s">
        <v>3323</v>
      </c>
      <c r="C2857" s="32">
        <v>32</v>
      </c>
      <c r="D2857" s="32">
        <v>0.5</v>
      </c>
      <c r="E2857" s="32"/>
      <c r="F2857" s="32"/>
      <c r="G2857" s="32">
        <f t="shared" si="27"/>
        <v>16</v>
      </c>
    </row>
    <row r="2858" spans="1:7" x14ac:dyDescent="0.2">
      <c r="A2858" s="31" t="s">
        <v>3839</v>
      </c>
      <c r="B2858" s="31" t="s">
        <v>3323</v>
      </c>
      <c r="C2858" s="32">
        <v>9</v>
      </c>
      <c r="D2858" s="32">
        <v>0.3</v>
      </c>
      <c r="E2858" s="32"/>
      <c r="F2858" s="32"/>
      <c r="G2858" s="32">
        <f t="shared" si="27"/>
        <v>2.6999999999999997</v>
      </c>
    </row>
    <row r="2859" spans="1:7" x14ac:dyDescent="0.2">
      <c r="A2859" s="31" t="s">
        <v>3840</v>
      </c>
      <c r="B2859" s="31" t="s">
        <v>3323</v>
      </c>
      <c r="C2859" s="32">
        <v>100</v>
      </c>
      <c r="D2859" s="32">
        <v>0.2</v>
      </c>
      <c r="E2859" s="32"/>
      <c r="F2859" s="32"/>
      <c r="G2859" s="32">
        <f t="shared" si="27"/>
        <v>20</v>
      </c>
    </row>
    <row r="2860" spans="1:7" x14ac:dyDescent="0.2">
      <c r="A2860" s="31" t="s">
        <v>3841</v>
      </c>
      <c r="B2860" s="31" t="s">
        <v>3323</v>
      </c>
      <c r="C2860" s="32">
        <v>67</v>
      </c>
      <c r="D2860" s="32">
        <v>0.05</v>
      </c>
      <c r="E2860" s="32"/>
      <c r="F2860" s="32"/>
      <c r="G2860" s="32">
        <f t="shared" si="27"/>
        <v>3.35</v>
      </c>
    </row>
    <row r="2861" spans="1:7" x14ac:dyDescent="0.2">
      <c r="A2861" s="31" t="s">
        <v>3831</v>
      </c>
      <c r="B2861" s="31"/>
      <c r="C2861" s="32">
        <v>35</v>
      </c>
      <c r="D2861" s="32">
        <v>48.862857142857102</v>
      </c>
      <c r="E2861" s="32"/>
      <c r="F2861" s="32"/>
      <c r="G2861" s="32">
        <f>C2861 * D2861/100</f>
        <v>17.101999999999986</v>
      </c>
    </row>
    <row r="2863" spans="1:7" ht="45" customHeight="1" x14ac:dyDescent="0.2">
      <c r="A2863" s="17" t="s">
        <v>3842</v>
      </c>
      <c r="B2863" s="17" t="s">
        <v>3141</v>
      </c>
      <c r="C2863" s="17" t="s">
        <v>1025</v>
      </c>
      <c r="D2863" s="83" t="s">
        <v>15</v>
      </c>
      <c r="E2863" s="102" t="s">
        <v>1026</v>
      </c>
      <c r="F2863" s="102" t="s">
        <v>1026</v>
      </c>
      <c r="G2863" s="84">
        <f>SUM(G2864:G2878)</f>
        <v>0.64384099999999989</v>
      </c>
    </row>
    <row r="2864" spans="1:7" x14ac:dyDescent="0.2">
      <c r="A2864" s="28"/>
      <c r="B2864" s="28" t="s">
        <v>3142</v>
      </c>
      <c r="C2864" s="29" t="s">
        <v>3143</v>
      </c>
      <c r="D2864" s="29" t="s">
        <v>3146</v>
      </c>
      <c r="E2864" s="29" t="s">
        <v>3148</v>
      </c>
      <c r="F2864" s="29" t="s">
        <v>3205</v>
      </c>
      <c r="G2864" s="30"/>
    </row>
    <row r="2865" spans="1:7" x14ac:dyDescent="0.2">
      <c r="A2865" s="31" t="s">
        <v>3837</v>
      </c>
      <c r="B2865" s="31"/>
      <c r="C2865" s="32"/>
      <c r="D2865" s="32"/>
      <c r="E2865" s="32"/>
      <c r="F2865" s="32"/>
      <c r="G2865" s="32"/>
    </row>
    <row r="2866" spans="1:7" x14ac:dyDescent="0.2">
      <c r="A2866" s="31" t="s">
        <v>3166</v>
      </c>
      <c r="B2866" s="31"/>
      <c r="C2866" s="32">
        <v>1</v>
      </c>
      <c r="D2866" s="32">
        <v>1</v>
      </c>
      <c r="E2866" s="32">
        <v>0.8</v>
      </c>
      <c r="F2866" s="32">
        <v>0.01</v>
      </c>
      <c r="G2866" s="32">
        <f t="shared" ref="G2866:G2872" si="28">PRODUCT(C2866:F2866)</f>
        <v>8.0000000000000002E-3</v>
      </c>
    </row>
    <row r="2867" spans="1:7" x14ac:dyDescent="0.2">
      <c r="A2867" s="31" t="s">
        <v>3167</v>
      </c>
      <c r="B2867" s="31"/>
      <c r="C2867" s="32">
        <v>1</v>
      </c>
      <c r="D2867" s="32">
        <v>0.83</v>
      </c>
      <c r="E2867" s="32">
        <v>0.83</v>
      </c>
      <c r="F2867" s="32">
        <v>0.01</v>
      </c>
      <c r="G2867" s="32">
        <f t="shared" si="28"/>
        <v>6.8889999999999993E-3</v>
      </c>
    </row>
    <row r="2868" spans="1:7" x14ac:dyDescent="0.2">
      <c r="A2868" s="31" t="s">
        <v>3168</v>
      </c>
      <c r="B2868" s="31"/>
      <c r="C2868" s="32">
        <v>1</v>
      </c>
      <c r="D2868" s="32">
        <v>1.33</v>
      </c>
      <c r="E2868" s="32">
        <v>0.88</v>
      </c>
      <c r="F2868" s="32">
        <v>0.01</v>
      </c>
      <c r="G2868" s="32">
        <f t="shared" si="28"/>
        <v>1.1704000000000001E-2</v>
      </c>
    </row>
    <row r="2869" spans="1:7" x14ac:dyDescent="0.2">
      <c r="A2869" s="31" t="s">
        <v>3169</v>
      </c>
      <c r="B2869" s="31"/>
      <c r="C2869" s="32">
        <v>1</v>
      </c>
      <c r="D2869" s="32">
        <v>0.62</v>
      </c>
      <c r="E2869" s="32">
        <v>0.92</v>
      </c>
      <c r="F2869" s="32">
        <v>0.01</v>
      </c>
      <c r="G2869" s="32">
        <f t="shared" si="28"/>
        <v>5.7039999999999999E-3</v>
      </c>
    </row>
    <row r="2870" spans="1:7" x14ac:dyDescent="0.2">
      <c r="A2870" s="31" t="s">
        <v>3170</v>
      </c>
      <c r="B2870" s="31"/>
      <c r="C2870" s="32">
        <v>1</v>
      </c>
      <c r="D2870" s="32">
        <v>0.91</v>
      </c>
      <c r="E2870" s="32">
        <v>1.24</v>
      </c>
      <c r="F2870" s="32">
        <v>0.01</v>
      </c>
      <c r="G2870" s="32">
        <f t="shared" si="28"/>
        <v>1.1284000000000001E-2</v>
      </c>
    </row>
    <row r="2871" spans="1:7" x14ac:dyDescent="0.2">
      <c r="A2871" s="31" t="s">
        <v>3171</v>
      </c>
      <c r="B2871" s="31"/>
      <c r="C2871" s="32">
        <v>1</v>
      </c>
      <c r="D2871" s="32">
        <v>1.28</v>
      </c>
      <c r="E2871" s="32">
        <v>1.79</v>
      </c>
      <c r="F2871" s="32">
        <v>0.01</v>
      </c>
      <c r="G2871" s="32">
        <f t="shared" si="28"/>
        <v>2.2911999999999998E-2</v>
      </c>
    </row>
    <row r="2872" spans="1:7" x14ac:dyDescent="0.2">
      <c r="A2872" s="31" t="s">
        <v>3172</v>
      </c>
      <c r="B2872" s="31"/>
      <c r="C2872" s="32">
        <v>4</v>
      </c>
      <c r="D2872" s="32">
        <v>0.88</v>
      </c>
      <c r="E2872" s="32">
        <v>1.33</v>
      </c>
      <c r="F2872" s="32">
        <v>0.01</v>
      </c>
      <c r="G2872" s="32">
        <f t="shared" si="28"/>
        <v>4.6816000000000003E-2</v>
      </c>
    </row>
    <row r="2873" spans="1:7" x14ac:dyDescent="0.2">
      <c r="A2873" s="31" t="s">
        <v>3843</v>
      </c>
      <c r="B2873" s="31"/>
      <c r="C2873" s="32"/>
      <c r="D2873" s="32"/>
      <c r="E2873" s="32"/>
      <c r="F2873" s="32"/>
      <c r="G2873" s="32"/>
    </row>
    <row r="2874" spans="1:7" x14ac:dyDescent="0.2">
      <c r="A2874" s="31" t="s">
        <v>3480</v>
      </c>
      <c r="B2874" s="31"/>
      <c r="C2874" s="32">
        <v>8</v>
      </c>
      <c r="D2874" s="32">
        <v>1.62</v>
      </c>
      <c r="E2874" s="32">
        <v>2.44</v>
      </c>
      <c r="F2874" s="32">
        <v>0.01</v>
      </c>
      <c r="G2874" s="32">
        <f>PRODUCT(C2874:F2874)</f>
        <v>0.31622400000000001</v>
      </c>
    </row>
    <row r="2875" spans="1:7" x14ac:dyDescent="0.2">
      <c r="A2875" s="31" t="s">
        <v>3482</v>
      </c>
      <c r="B2875" s="31"/>
      <c r="C2875" s="32">
        <v>1</v>
      </c>
      <c r="D2875" s="32">
        <v>0.98</v>
      </c>
      <c r="E2875" s="32">
        <v>2.5499999999999998</v>
      </c>
      <c r="F2875" s="32">
        <v>0.01</v>
      </c>
      <c r="G2875" s="32">
        <f>PRODUCT(C2875:F2875)</f>
        <v>2.4989999999999998E-2</v>
      </c>
    </row>
    <row r="2876" spans="1:7" x14ac:dyDescent="0.2">
      <c r="A2876" s="31" t="s">
        <v>3485</v>
      </c>
      <c r="B2876" s="31"/>
      <c r="C2876" s="32">
        <v>1</v>
      </c>
      <c r="D2876" s="32">
        <v>1</v>
      </c>
      <c r="E2876" s="32">
        <v>0.83</v>
      </c>
      <c r="F2876" s="32">
        <v>0.01</v>
      </c>
      <c r="G2876" s="32">
        <f>PRODUCT(C2876:F2876)</f>
        <v>8.3000000000000001E-3</v>
      </c>
    </row>
    <row r="2877" spans="1:7" x14ac:dyDescent="0.2">
      <c r="A2877" s="31" t="s">
        <v>3488</v>
      </c>
      <c r="B2877" s="31"/>
      <c r="C2877" s="32">
        <v>1</v>
      </c>
      <c r="D2877" s="32">
        <v>0.86</v>
      </c>
      <c r="E2877" s="32">
        <v>1.63</v>
      </c>
      <c r="F2877" s="32">
        <v>0.01</v>
      </c>
      <c r="G2877" s="32">
        <f>PRODUCT(C2877:F2877)</f>
        <v>1.4017999999999999E-2</v>
      </c>
    </row>
    <row r="2878" spans="1:7" x14ac:dyDescent="0.2">
      <c r="A2878" s="31" t="s">
        <v>3831</v>
      </c>
      <c r="B2878" s="31"/>
      <c r="C2878" s="32">
        <v>35</v>
      </c>
      <c r="D2878" s="32">
        <v>0.47714285714285698</v>
      </c>
      <c r="E2878" s="32"/>
      <c r="F2878" s="32"/>
      <c r="G2878" s="32">
        <f>C2878 * D2878/100</f>
        <v>0.16699999999999995</v>
      </c>
    </row>
    <row r="2880" spans="1:7" ht="45" customHeight="1" x14ac:dyDescent="0.2">
      <c r="A2880" s="17" t="s">
        <v>3844</v>
      </c>
      <c r="B2880" s="17" t="s">
        <v>3141</v>
      </c>
      <c r="C2880" s="17" t="s">
        <v>1027</v>
      </c>
      <c r="D2880" s="83" t="s">
        <v>15</v>
      </c>
      <c r="E2880" s="102" t="s">
        <v>1028</v>
      </c>
      <c r="F2880" s="102" t="s">
        <v>1028</v>
      </c>
      <c r="G2880" s="84">
        <f>SUM(G2881:G2885)</f>
        <v>92.302000000000021</v>
      </c>
    </row>
    <row r="2881" spans="1:7" x14ac:dyDescent="0.2">
      <c r="A2881" s="31" t="s">
        <v>3845</v>
      </c>
      <c r="B2881" s="31" t="s">
        <v>3323</v>
      </c>
      <c r="C2881" s="32">
        <v>15</v>
      </c>
      <c r="D2881" s="32"/>
      <c r="E2881" s="32"/>
      <c r="F2881" s="32"/>
      <c r="G2881" s="32">
        <f>PRODUCT(C2881:F2881)</f>
        <v>15</v>
      </c>
    </row>
    <row r="2882" spans="1:7" x14ac:dyDescent="0.2">
      <c r="A2882" s="31" t="s">
        <v>3826</v>
      </c>
      <c r="B2882" s="31" t="s">
        <v>3323</v>
      </c>
      <c r="C2882" s="32">
        <v>244.36</v>
      </c>
      <c r="D2882" s="32">
        <v>0.2</v>
      </c>
      <c r="E2882" s="32"/>
      <c r="F2882" s="32"/>
      <c r="G2882" s="32">
        <f>PRODUCT(C2882:F2882)</f>
        <v>48.872000000000007</v>
      </c>
    </row>
    <row r="2883" spans="1:7" x14ac:dyDescent="0.2">
      <c r="A2883" s="31" t="s">
        <v>3846</v>
      </c>
      <c r="B2883" s="31" t="s">
        <v>3323</v>
      </c>
      <c r="C2883" s="32">
        <v>5</v>
      </c>
      <c r="D2883" s="32">
        <v>0.5</v>
      </c>
      <c r="E2883" s="32"/>
      <c r="F2883" s="32"/>
      <c r="G2883" s="32">
        <f>PRODUCT(C2883:F2883)</f>
        <v>2.5</v>
      </c>
    </row>
    <row r="2884" spans="1:7" x14ac:dyDescent="0.2">
      <c r="A2884" s="31" t="s">
        <v>3847</v>
      </c>
      <c r="B2884" s="31" t="s">
        <v>3323</v>
      </c>
      <c r="C2884" s="32">
        <v>1</v>
      </c>
      <c r="D2884" s="32">
        <v>2</v>
      </c>
      <c r="E2884" s="32"/>
      <c r="F2884" s="32"/>
      <c r="G2884" s="32">
        <f>PRODUCT(C2884:F2884)</f>
        <v>2</v>
      </c>
    </row>
    <row r="2885" spans="1:7" x14ac:dyDescent="0.2">
      <c r="A2885" s="31" t="s">
        <v>3831</v>
      </c>
      <c r="B2885" s="31"/>
      <c r="C2885" s="32">
        <v>35</v>
      </c>
      <c r="D2885" s="32">
        <v>68.371428571428595</v>
      </c>
      <c r="E2885" s="32"/>
      <c r="F2885" s="32"/>
      <c r="G2885" s="32">
        <f>C2885 * D2885/100</f>
        <v>23.93000000000001</v>
      </c>
    </row>
    <row r="2887" spans="1:7" x14ac:dyDescent="0.2">
      <c r="B2887" t="s">
        <v>3139</v>
      </c>
      <c r="C2887" s="6" t="s">
        <v>6</v>
      </c>
      <c r="D2887" s="7" t="s">
        <v>7</v>
      </c>
      <c r="E2887" s="6" t="s">
        <v>8</v>
      </c>
    </row>
    <row r="2888" spans="1:7" x14ac:dyDescent="0.2">
      <c r="B2888" t="s">
        <v>3139</v>
      </c>
      <c r="C2888" s="6" t="s">
        <v>9</v>
      </c>
      <c r="D2888" s="7" t="s">
        <v>1011</v>
      </c>
      <c r="E2888" s="6" t="s">
        <v>1012</v>
      </c>
    </row>
    <row r="2889" spans="1:7" x14ac:dyDescent="0.2">
      <c r="B2889" t="s">
        <v>3139</v>
      </c>
      <c r="C2889" s="6" t="s">
        <v>11</v>
      </c>
      <c r="D2889" s="7" t="s">
        <v>26</v>
      </c>
      <c r="E2889" s="6" t="s">
        <v>1029</v>
      </c>
    </row>
    <row r="2891" spans="1:7" ht="45" customHeight="1" x14ac:dyDescent="0.2">
      <c r="A2891" s="17" t="s">
        <v>3848</v>
      </c>
      <c r="B2891" s="17" t="s">
        <v>3141</v>
      </c>
      <c r="C2891" s="17" t="s">
        <v>1031</v>
      </c>
      <c r="D2891" s="83" t="s">
        <v>15</v>
      </c>
      <c r="E2891" s="102" t="s">
        <v>1032</v>
      </c>
      <c r="F2891" s="102" t="s">
        <v>1032</v>
      </c>
      <c r="G2891" s="84">
        <f>SUM(G2892:G2902)</f>
        <v>515.31489999999997</v>
      </c>
    </row>
    <row r="2892" spans="1:7" x14ac:dyDescent="0.2">
      <c r="A2892" s="31" t="s">
        <v>3849</v>
      </c>
      <c r="B2892" s="31" t="s">
        <v>3323</v>
      </c>
      <c r="C2892" s="32">
        <v>219.45</v>
      </c>
      <c r="D2892" s="32">
        <v>0.3</v>
      </c>
      <c r="E2892" s="32"/>
      <c r="F2892" s="32"/>
      <c r="G2892" s="32">
        <f t="shared" ref="G2892:G2901" si="29">PRODUCT(C2892:F2892)</f>
        <v>65.834999999999994</v>
      </c>
    </row>
    <row r="2893" spans="1:7" x14ac:dyDescent="0.2">
      <c r="A2893" s="31" t="s">
        <v>3850</v>
      </c>
      <c r="B2893" s="31" t="s">
        <v>3323</v>
      </c>
      <c r="C2893" s="32">
        <v>232</v>
      </c>
      <c r="D2893" s="32">
        <v>0.5</v>
      </c>
      <c r="E2893" s="32"/>
      <c r="F2893" s="32"/>
      <c r="G2893" s="32">
        <f t="shared" si="29"/>
        <v>116</v>
      </c>
    </row>
    <row r="2894" spans="1:7" x14ac:dyDescent="0.2">
      <c r="A2894" s="31" t="s">
        <v>3851</v>
      </c>
      <c r="B2894" s="31" t="s">
        <v>3323</v>
      </c>
      <c r="C2894" s="32">
        <v>2</v>
      </c>
      <c r="D2894" s="32">
        <v>1</v>
      </c>
      <c r="E2894" s="32"/>
      <c r="F2894" s="32"/>
      <c r="G2894" s="32">
        <f t="shared" si="29"/>
        <v>2</v>
      </c>
    </row>
    <row r="2895" spans="1:7" x14ac:dyDescent="0.2">
      <c r="A2895" s="31" t="s">
        <v>3852</v>
      </c>
      <c r="B2895" s="31" t="s">
        <v>3323</v>
      </c>
      <c r="C2895" s="32">
        <v>103.55</v>
      </c>
      <c r="D2895" s="32"/>
      <c r="E2895" s="32"/>
      <c r="F2895" s="32"/>
      <c r="G2895" s="32">
        <f t="shared" si="29"/>
        <v>103.55</v>
      </c>
    </row>
    <row r="2896" spans="1:7" x14ac:dyDescent="0.2">
      <c r="A2896" s="31" t="s">
        <v>3853</v>
      </c>
      <c r="B2896" s="31" t="s">
        <v>3323</v>
      </c>
      <c r="C2896" s="32">
        <v>399</v>
      </c>
      <c r="D2896" s="32">
        <v>0.1</v>
      </c>
      <c r="E2896" s="32"/>
      <c r="F2896" s="32"/>
      <c r="G2896" s="32">
        <f t="shared" si="29"/>
        <v>39.900000000000006</v>
      </c>
    </row>
    <row r="2897" spans="1:7" x14ac:dyDescent="0.2">
      <c r="A2897" s="31" t="s">
        <v>3854</v>
      </c>
      <c r="B2897" s="31" t="s">
        <v>3323</v>
      </c>
      <c r="C2897" s="32">
        <v>47.798000000000002</v>
      </c>
      <c r="D2897" s="32"/>
      <c r="E2897" s="32"/>
      <c r="F2897" s="32"/>
      <c r="G2897" s="32">
        <f t="shared" si="29"/>
        <v>47.798000000000002</v>
      </c>
    </row>
    <row r="2898" spans="1:7" x14ac:dyDescent="0.2">
      <c r="A2898" s="31" t="s">
        <v>3855</v>
      </c>
      <c r="B2898" s="31" t="s">
        <v>3323</v>
      </c>
      <c r="C2898" s="32">
        <v>158.614</v>
      </c>
      <c r="D2898" s="32">
        <v>0.1</v>
      </c>
      <c r="E2898" s="32"/>
      <c r="F2898" s="32"/>
      <c r="G2898" s="32">
        <f t="shared" si="29"/>
        <v>15.861400000000001</v>
      </c>
    </row>
    <row r="2899" spans="1:7" x14ac:dyDescent="0.2">
      <c r="A2899" s="31" t="s">
        <v>3856</v>
      </c>
      <c r="B2899" s="31" t="s">
        <v>3323</v>
      </c>
      <c r="C2899" s="32">
        <v>20.274999999999999</v>
      </c>
      <c r="D2899" s="32">
        <v>0.1</v>
      </c>
      <c r="E2899" s="32"/>
      <c r="F2899" s="32"/>
      <c r="G2899" s="32">
        <f t="shared" si="29"/>
        <v>2.0274999999999999</v>
      </c>
    </row>
    <row r="2900" spans="1:7" x14ac:dyDescent="0.2">
      <c r="A2900" s="31" t="s">
        <v>3857</v>
      </c>
      <c r="B2900" s="31" t="s">
        <v>3323</v>
      </c>
      <c r="C2900" s="32">
        <v>111.2</v>
      </c>
      <c r="D2900" s="32"/>
      <c r="E2900" s="32"/>
      <c r="F2900" s="32"/>
      <c r="G2900" s="32">
        <f t="shared" si="29"/>
        <v>111.2</v>
      </c>
    </row>
    <row r="2901" spans="1:7" x14ac:dyDescent="0.2">
      <c r="A2901" s="31" t="s">
        <v>3858</v>
      </c>
      <c r="B2901" s="31" t="s">
        <v>3323</v>
      </c>
      <c r="C2901" s="32">
        <v>91.92</v>
      </c>
      <c r="D2901" s="32">
        <v>-1</v>
      </c>
      <c r="E2901" s="32"/>
      <c r="F2901" s="32"/>
      <c r="G2901" s="32">
        <f t="shared" si="29"/>
        <v>-91.92</v>
      </c>
    </row>
    <row r="2902" spans="1:7" x14ac:dyDescent="0.2">
      <c r="A2902" s="31" t="s">
        <v>3831</v>
      </c>
      <c r="B2902" s="31"/>
      <c r="C2902" s="32">
        <v>25</v>
      </c>
      <c r="D2902" s="32">
        <v>412.25200000000001</v>
      </c>
      <c r="E2902" s="32"/>
      <c r="F2902" s="32"/>
      <c r="G2902" s="32">
        <f>C2902 * D2902/100</f>
        <v>103.06300000000002</v>
      </c>
    </row>
    <row r="2904" spans="1:7" ht="45" customHeight="1" x14ac:dyDescent="0.2">
      <c r="A2904" s="17" t="s">
        <v>3859</v>
      </c>
      <c r="B2904" s="17" t="s">
        <v>3141</v>
      </c>
      <c r="C2904" s="17" t="s">
        <v>1033</v>
      </c>
      <c r="D2904" s="83" t="s">
        <v>15</v>
      </c>
      <c r="E2904" s="102" t="s">
        <v>1034</v>
      </c>
      <c r="F2904" s="102" t="s">
        <v>1034</v>
      </c>
      <c r="G2904" s="84">
        <f>SUM(G2905:G2908)</f>
        <v>229.79399999999998</v>
      </c>
    </row>
    <row r="2905" spans="1:7" x14ac:dyDescent="0.2">
      <c r="A2905" s="31" t="s">
        <v>3849</v>
      </c>
      <c r="B2905" s="31" t="s">
        <v>3323</v>
      </c>
      <c r="C2905" s="32">
        <v>219.45</v>
      </c>
      <c r="D2905" s="32">
        <v>0.3</v>
      </c>
      <c r="E2905" s="32"/>
      <c r="F2905" s="32"/>
      <c r="G2905" s="32">
        <f>PRODUCT(C2905:F2905)</f>
        <v>65.834999999999994</v>
      </c>
    </row>
    <row r="2906" spans="1:7" x14ac:dyDescent="0.2">
      <c r="A2906" s="31" t="s">
        <v>3850</v>
      </c>
      <c r="B2906" s="31" t="s">
        <v>3323</v>
      </c>
      <c r="C2906" s="32">
        <v>232</v>
      </c>
      <c r="D2906" s="32">
        <v>0.5</v>
      </c>
      <c r="E2906" s="32"/>
      <c r="F2906" s="32"/>
      <c r="G2906" s="32">
        <f>PRODUCT(C2906:F2906)</f>
        <v>116</v>
      </c>
    </row>
    <row r="2907" spans="1:7" x14ac:dyDescent="0.2">
      <c r="A2907" s="31" t="s">
        <v>3851</v>
      </c>
      <c r="B2907" s="31" t="s">
        <v>3323</v>
      </c>
      <c r="C2907" s="32">
        <v>2</v>
      </c>
      <c r="D2907" s="32">
        <v>1</v>
      </c>
      <c r="E2907" s="32"/>
      <c r="F2907" s="32"/>
      <c r="G2907" s="32">
        <f>PRODUCT(C2907:F2907)</f>
        <v>2</v>
      </c>
    </row>
    <row r="2908" spans="1:7" x14ac:dyDescent="0.2">
      <c r="A2908" s="31" t="s">
        <v>3831</v>
      </c>
      <c r="B2908" s="31"/>
      <c r="C2908" s="32">
        <v>25</v>
      </c>
      <c r="D2908" s="32">
        <v>183.83600000000001</v>
      </c>
      <c r="E2908" s="32"/>
      <c r="F2908" s="32"/>
      <c r="G2908" s="32">
        <f>C2908 * D2908/100</f>
        <v>45.959000000000003</v>
      </c>
    </row>
    <row r="2910" spans="1:7" ht="45" customHeight="1" x14ac:dyDescent="0.2">
      <c r="A2910" s="17" t="s">
        <v>3860</v>
      </c>
      <c r="B2910" s="17" t="s">
        <v>3141</v>
      </c>
      <c r="C2910" s="17" t="s">
        <v>1035</v>
      </c>
      <c r="D2910" s="83" t="s">
        <v>15</v>
      </c>
      <c r="E2910" s="102" t="s">
        <v>1036</v>
      </c>
      <c r="F2910" s="102" t="s">
        <v>1036</v>
      </c>
      <c r="G2910" s="84">
        <f>SUM(G2911:G2918)</f>
        <v>285.52089999999998</v>
      </c>
    </row>
    <row r="2911" spans="1:7" x14ac:dyDescent="0.2">
      <c r="A2911" s="31" t="s">
        <v>3852</v>
      </c>
      <c r="B2911" s="31" t="s">
        <v>3323</v>
      </c>
      <c r="C2911" s="32">
        <v>103.55</v>
      </c>
      <c r="D2911" s="32"/>
      <c r="E2911" s="32"/>
      <c r="F2911" s="32"/>
      <c r="G2911" s="32">
        <f t="shared" ref="G2911:G2917" si="30">PRODUCT(C2911:F2911)</f>
        <v>103.55</v>
      </c>
    </row>
    <row r="2912" spans="1:7" x14ac:dyDescent="0.2">
      <c r="A2912" s="31" t="s">
        <v>3853</v>
      </c>
      <c r="B2912" s="31" t="s">
        <v>3323</v>
      </c>
      <c r="C2912" s="32">
        <v>399</v>
      </c>
      <c r="D2912" s="32">
        <v>0.1</v>
      </c>
      <c r="E2912" s="32"/>
      <c r="F2912" s="32"/>
      <c r="G2912" s="32">
        <f t="shared" si="30"/>
        <v>39.900000000000006</v>
      </c>
    </row>
    <row r="2913" spans="1:7" x14ac:dyDescent="0.2">
      <c r="A2913" s="31" t="s">
        <v>3854</v>
      </c>
      <c r="B2913" s="31" t="s">
        <v>3323</v>
      </c>
      <c r="C2913" s="32">
        <v>47.798000000000002</v>
      </c>
      <c r="D2913" s="32"/>
      <c r="E2913" s="32"/>
      <c r="F2913" s="32"/>
      <c r="G2913" s="32">
        <f t="shared" si="30"/>
        <v>47.798000000000002</v>
      </c>
    </row>
    <row r="2914" spans="1:7" x14ac:dyDescent="0.2">
      <c r="A2914" s="31" t="s">
        <v>3855</v>
      </c>
      <c r="B2914" s="31" t="s">
        <v>3323</v>
      </c>
      <c r="C2914" s="32">
        <v>158.614</v>
      </c>
      <c r="D2914" s="32">
        <v>0.1</v>
      </c>
      <c r="E2914" s="32"/>
      <c r="F2914" s="32"/>
      <c r="G2914" s="32">
        <f t="shared" si="30"/>
        <v>15.861400000000001</v>
      </c>
    </row>
    <row r="2915" spans="1:7" x14ac:dyDescent="0.2">
      <c r="A2915" s="31" t="s">
        <v>3856</v>
      </c>
      <c r="B2915" s="31" t="s">
        <v>3323</v>
      </c>
      <c r="C2915" s="32">
        <v>20.274999999999999</v>
      </c>
      <c r="D2915" s="32">
        <v>0.1</v>
      </c>
      <c r="E2915" s="32"/>
      <c r="F2915" s="32"/>
      <c r="G2915" s="32">
        <f t="shared" si="30"/>
        <v>2.0274999999999999</v>
      </c>
    </row>
    <row r="2916" spans="1:7" x14ac:dyDescent="0.2">
      <c r="A2916" s="31" t="s">
        <v>3857</v>
      </c>
      <c r="B2916" s="31" t="s">
        <v>3323</v>
      </c>
      <c r="C2916" s="32">
        <v>111.2</v>
      </c>
      <c r="D2916" s="32"/>
      <c r="E2916" s="32"/>
      <c r="F2916" s="32"/>
      <c r="G2916" s="32">
        <f t="shared" si="30"/>
        <v>111.2</v>
      </c>
    </row>
    <row r="2917" spans="1:7" x14ac:dyDescent="0.2">
      <c r="A2917" s="31" t="s">
        <v>3858</v>
      </c>
      <c r="B2917" s="31" t="s">
        <v>3323</v>
      </c>
      <c r="C2917" s="32">
        <v>91.92</v>
      </c>
      <c r="D2917" s="32">
        <v>-1</v>
      </c>
      <c r="E2917" s="32"/>
      <c r="F2917" s="32"/>
      <c r="G2917" s="32">
        <f t="shared" si="30"/>
        <v>-91.92</v>
      </c>
    </row>
    <row r="2918" spans="1:7" x14ac:dyDescent="0.2">
      <c r="A2918" s="31" t="s">
        <v>3831</v>
      </c>
      <c r="B2918" s="31"/>
      <c r="C2918" s="32">
        <v>25</v>
      </c>
      <c r="D2918" s="32">
        <v>228.416</v>
      </c>
      <c r="E2918" s="32"/>
      <c r="F2918" s="32"/>
      <c r="G2918" s="32">
        <f>C2918 * D2918/100</f>
        <v>57.103999999999999</v>
      </c>
    </row>
    <row r="2920" spans="1:7" x14ac:dyDescent="0.2">
      <c r="B2920" t="s">
        <v>3139</v>
      </c>
      <c r="C2920" s="6" t="s">
        <v>6</v>
      </c>
      <c r="D2920" s="7" t="s">
        <v>7</v>
      </c>
      <c r="E2920" s="6" t="s">
        <v>8</v>
      </c>
    </row>
    <row r="2921" spans="1:7" x14ac:dyDescent="0.2">
      <c r="B2921" t="s">
        <v>3139</v>
      </c>
      <c r="C2921" s="6" t="s">
        <v>9</v>
      </c>
      <c r="D2921" s="7" t="s">
        <v>1011</v>
      </c>
      <c r="E2921" s="6" t="s">
        <v>1012</v>
      </c>
    </row>
    <row r="2922" spans="1:7" x14ac:dyDescent="0.2">
      <c r="B2922" t="s">
        <v>3139</v>
      </c>
      <c r="C2922" s="6" t="s">
        <v>11</v>
      </c>
      <c r="D2922" s="7" t="s">
        <v>72</v>
      </c>
      <c r="E2922" s="6" t="s">
        <v>1037</v>
      </c>
    </row>
    <row r="2924" spans="1:7" ht="45" customHeight="1" x14ac:dyDescent="0.2">
      <c r="A2924" s="17" t="s">
        <v>3861</v>
      </c>
      <c r="B2924" s="17" t="s">
        <v>3141</v>
      </c>
      <c r="C2924" s="17" t="s">
        <v>1015</v>
      </c>
      <c r="D2924" s="83" t="s">
        <v>15</v>
      </c>
      <c r="E2924" s="102" t="s">
        <v>1016</v>
      </c>
      <c r="F2924" s="102" t="s">
        <v>1016</v>
      </c>
      <c r="G2924" s="84">
        <f>SUM(G2925:G2931)</f>
        <v>94.592999999999989</v>
      </c>
    </row>
    <row r="2925" spans="1:7" x14ac:dyDescent="0.2">
      <c r="A2925" s="31" t="s">
        <v>3862</v>
      </c>
      <c r="B2925" s="31" t="s">
        <v>3323</v>
      </c>
      <c r="C2925" s="32">
        <v>8.8260000000000005</v>
      </c>
      <c r="D2925" s="32"/>
      <c r="E2925" s="32"/>
      <c r="F2925" s="32"/>
      <c r="G2925" s="32">
        <f t="shared" ref="G2925:G2931" si="31">PRODUCT(C2925:F2925)</f>
        <v>8.8260000000000005</v>
      </c>
    </row>
    <row r="2926" spans="1:7" x14ac:dyDescent="0.2">
      <c r="A2926" s="31" t="s">
        <v>3863</v>
      </c>
      <c r="B2926" s="31" t="s">
        <v>3323</v>
      </c>
      <c r="C2926" s="32">
        <v>3.605</v>
      </c>
      <c r="D2926" s="32"/>
      <c r="E2926" s="32"/>
      <c r="F2926" s="32"/>
      <c r="G2926" s="32">
        <f t="shared" si="31"/>
        <v>3.605</v>
      </c>
    </row>
    <row r="2927" spans="1:7" x14ac:dyDescent="0.2">
      <c r="A2927" s="31" t="s">
        <v>3864</v>
      </c>
      <c r="B2927" s="31" t="s">
        <v>3323</v>
      </c>
      <c r="C2927" s="32">
        <v>8.2899999999999991</v>
      </c>
      <c r="D2927" s="32"/>
      <c r="E2927" s="32"/>
      <c r="F2927" s="32"/>
      <c r="G2927" s="32">
        <f t="shared" si="31"/>
        <v>8.2899999999999991</v>
      </c>
    </row>
    <row r="2928" spans="1:7" x14ac:dyDescent="0.2">
      <c r="A2928" s="31" t="s">
        <v>3865</v>
      </c>
      <c r="B2928" s="31" t="s">
        <v>3323</v>
      </c>
      <c r="C2928" s="32">
        <v>9.5150000000000006</v>
      </c>
      <c r="D2928" s="32"/>
      <c r="E2928" s="32"/>
      <c r="F2928" s="32"/>
      <c r="G2928" s="32">
        <f t="shared" si="31"/>
        <v>9.5150000000000006</v>
      </c>
    </row>
    <row r="2929" spans="1:7" x14ac:dyDescent="0.2">
      <c r="A2929" s="31" t="s">
        <v>3866</v>
      </c>
      <c r="B2929" s="31" t="s">
        <v>3323</v>
      </c>
      <c r="C2929" s="32">
        <v>1.4419999999999999</v>
      </c>
      <c r="D2929" s="32"/>
      <c r="E2929" s="32"/>
      <c r="F2929" s="32"/>
      <c r="G2929" s="32">
        <f t="shared" si="31"/>
        <v>1.4419999999999999</v>
      </c>
    </row>
    <row r="2930" spans="1:7" x14ac:dyDescent="0.2">
      <c r="A2930" s="31" t="s">
        <v>3867</v>
      </c>
      <c r="B2930" s="31" t="s">
        <v>3323</v>
      </c>
      <c r="C2930" s="32">
        <v>32.597999999999999</v>
      </c>
      <c r="D2930" s="32"/>
      <c r="E2930" s="32"/>
      <c r="F2930" s="32"/>
      <c r="G2930" s="32">
        <f t="shared" si="31"/>
        <v>32.597999999999999</v>
      </c>
    </row>
    <row r="2931" spans="1:7" x14ac:dyDescent="0.2">
      <c r="A2931" s="31" t="s">
        <v>3868</v>
      </c>
      <c r="B2931" s="31" t="s">
        <v>3323</v>
      </c>
      <c r="C2931" s="32">
        <v>30.317</v>
      </c>
      <c r="D2931" s="32"/>
      <c r="E2931" s="32"/>
      <c r="F2931" s="32"/>
      <c r="G2931" s="32">
        <f t="shared" si="31"/>
        <v>30.317</v>
      </c>
    </row>
    <row r="2933" spans="1:7" ht="45" customHeight="1" x14ac:dyDescent="0.2">
      <c r="A2933" s="17" t="s">
        <v>3869</v>
      </c>
      <c r="B2933" s="17" t="s">
        <v>3141</v>
      </c>
      <c r="C2933" s="17" t="s">
        <v>1017</v>
      </c>
      <c r="D2933" s="83" t="s">
        <v>15</v>
      </c>
      <c r="E2933" s="102" t="s">
        <v>1018</v>
      </c>
      <c r="F2933" s="102" t="s">
        <v>1018</v>
      </c>
      <c r="G2933" s="84">
        <f>SUM(G2934:G2940)</f>
        <v>94.592999999999989</v>
      </c>
    </row>
    <row r="2934" spans="1:7" x14ac:dyDescent="0.2">
      <c r="A2934" s="31" t="s">
        <v>3862</v>
      </c>
      <c r="B2934" s="31" t="s">
        <v>3323</v>
      </c>
      <c r="C2934" s="32">
        <v>8.8260000000000005</v>
      </c>
      <c r="D2934" s="32"/>
      <c r="E2934" s="32"/>
      <c r="F2934" s="32"/>
      <c r="G2934" s="32">
        <f t="shared" ref="G2934:G2940" si="32">PRODUCT(C2934:F2934)</f>
        <v>8.8260000000000005</v>
      </c>
    </row>
    <row r="2935" spans="1:7" x14ac:dyDescent="0.2">
      <c r="A2935" s="31" t="s">
        <v>3863</v>
      </c>
      <c r="B2935" s="31" t="s">
        <v>3323</v>
      </c>
      <c r="C2935" s="32">
        <v>3.605</v>
      </c>
      <c r="D2935" s="32"/>
      <c r="E2935" s="32"/>
      <c r="F2935" s="32"/>
      <c r="G2935" s="32">
        <f t="shared" si="32"/>
        <v>3.605</v>
      </c>
    </row>
    <row r="2936" spans="1:7" x14ac:dyDescent="0.2">
      <c r="A2936" s="31" t="s">
        <v>3864</v>
      </c>
      <c r="B2936" s="31" t="s">
        <v>3323</v>
      </c>
      <c r="C2936" s="32">
        <v>8.2899999999999991</v>
      </c>
      <c r="D2936" s="32"/>
      <c r="E2936" s="32"/>
      <c r="F2936" s="32"/>
      <c r="G2936" s="32">
        <f t="shared" si="32"/>
        <v>8.2899999999999991</v>
      </c>
    </row>
    <row r="2937" spans="1:7" x14ac:dyDescent="0.2">
      <c r="A2937" s="31" t="s">
        <v>3865</v>
      </c>
      <c r="B2937" s="31" t="s">
        <v>3323</v>
      </c>
      <c r="C2937" s="32">
        <v>9.5150000000000006</v>
      </c>
      <c r="D2937" s="32"/>
      <c r="E2937" s="32"/>
      <c r="F2937" s="32"/>
      <c r="G2937" s="32">
        <f t="shared" si="32"/>
        <v>9.5150000000000006</v>
      </c>
    </row>
    <row r="2938" spans="1:7" x14ac:dyDescent="0.2">
      <c r="A2938" s="31" t="s">
        <v>3866</v>
      </c>
      <c r="B2938" s="31" t="s">
        <v>3323</v>
      </c>
      <c r="C2938" s="32">
        <v>1.4419999999999999</v>
      </c>
      <c r="D2938" s="32"/>
      <c r="E2938" s="32"/>
      <c r="F2938" s="32"/>
      <c r="G2938" s="32">
        <f t="shared" si="32"/>
        <v>1.4419999999999999</v>
      </c>
    </row>
    <row r="2939" spans="1:7" x14ac:dyDescent="0.2">
      <c r="A2939" s="31" t="s">
        <v>3867</v>
      </c>
      <c r="B2939" s="31" t="s">
        <v>3323</v>
      </c>
      <c r="C2939" s="32">
        <v>32.597999999999999</v>
      </c>
      <c r="D2939" s="32"/>
      <c r="E2939" s="32"/>
      <c r="F2939" s="32"/>
      <c r="G2939" s="32">
        <f t="shared" si="32"/>
        <v>32.597999999999999</v>
      </c>
    </row>
    <row r="2940" spans="1:7" x14ac:dyDescent="0.2">
      <c r="A2940" s="31" t="s">
        <v>3868</v>
      </c>
      <c r="B2940" s="31" t="s">
        <v>3323</v>
      </c>
      <c r="C2940" s="32">
        <v>30.317</v>
      </c>
      <c r="D2940" s="32"/>
      <c r="E2940" s="32"/>
      <c r="F2940" s="32"/>
      <c r="G2940" s="32">
        <f t="shared" si="32"/>
        <v>30.317</v>
      </c>
    </row>
    <row r="2942" spans="1:7" ht="45" customHeight="1" x14ac:dyDescent="0.2">
      <c r="A2942" s="17" t="s">
        <v>3870</v>
      </c>
      <c r="B2942" s="17" t="s">
        <v>3141</v>
      </c>
      <c r="C2942" s="17" t="s">
        <v>1019</v>
      </c>
      <c r="D2942" s="83" t="s">
        <v>15</v>
      </c>
      <c r="E2942" s="102" t="s">
        <v>1020</v>
      </c>
      <c r="F2942" s="102" t="s">
        <v>1020</v>
      </c>
      <c r="G2942" s="84">
        <f>SUM(G2943:G2946)</f>
        <v>32.597999999999999</v>
      </c>
    </row>
    <row r="2943" spans="1:7" x14ac:dyDescent="0.2">
      <c r="A2943" s="31" t="s">
        <v>3871</v>
      </c>
      <c r="B2943" s="31"/>
      <c r="C2943" s="32"/>
      <c r="D2943" s="32"/>
      <c r="E2943" s="32"/>
      <c r="F2943" s="32"/>
      <c r="G2943" s="32"/>
    </row>
    <row r="2944" spans="1:7" x14ac:dyDescent="0.2">
      <c r="A2944" s="31" t="s">
        <v>3872</v>
      </c>
      <c r="B2944" s="31"/>
      <c r="C2944" s="32"/>
      <c r="D2944" s="32"/>
      <c r="E2944" s="32"/>
      <c r="F2944" s="32"/>
      <c r="G2944" s="32"/>
    </row>
    <row r="2945" spans="1:7" x14ac:dyDescent="0.2">
      <c r="A2945" s="31" t="s">
        <v>3873</v>
      </c>
      <c r="B2945" s="31"/>
      <c r="C2945" s="32">
        <v>24.146999999999998</v>
      </c>
      <c r="D2945" s="32"/>
      <c r="E2945" s="32"/>
      <c r="F2945" s="32"/>
      <c r="G2945" s="32">
        <f>PRODUCT(C2945:F2945)</f>
        <v>24.146999999999998</v>
      </c>
    </row>
    <row r="2946" spans="1:7" x14ac:dyDescent="0.2">
      <c r="A2946" s="31" t="s">
        <v>3831</v>
      </c>
      <c r="B2946" s="31"/>
      <c r="C2946" s="32">
        <v>35</v>
      </c>
      <c r="D2946" s="32">
        <v>24.145714285714298</v>
      </c>
      <c r="E2946" s="32"/>
      <c r="F2946" s="32"/>
      <c r="G2946" s="32">
        <f>C2946 * D2946/100</f>
        <v>8.4510000000000041</v>
      </c>
    </row>
    <row r="2948" spans="1:7" ht="45" customHeight="1" x14ac:dyDescent="0.2">
      <c r="A2948" s="17" t="s">
        <v>3874</v>
      </c>
      <c r="B2948" s="17" t="s">
        <v>3141</v>
      </c>
      <c r="C2948" s="17" t="s">
        <v>1021</v>
      </c>
      <c r="D2948" s="83" t="s">
        <v>15</v>
      </c>
      <c r="E2948" s="102" t="s">
        <v>1022</v>
      </c>
      <c r="F2948" s="102" t="s">
        <v>1022</v>
      </c>
      <c r="G2948" s="84">
        <f>SUM(G2949:G2953)</f>
        <v>30.317000000000018</v>
      </c>
    </row>
    <row r="2949" spans="1:7" x14ac:dyDescent="0.2">
      <c r="A2949" s="31" t="s">
        <v>3871</v>
      </c>
      <c r="B2949" s="31"/>
      <c r="C2949" s="32"/>
      <c r="D2949" s="32"/>
      <c r="E2949" s="32"/>
      <c r="F2949" s="32"/>
      <c r="G2949" s="32"/>
    </row>
    <row r="2950" spans="1:7" x14ac:dyDescent="0.2">
      <c r="A2950" s="31" t="s">
        <v>3872</v>
      </c>
      <c r="B2950" s="31"/>
      <c r="C2950" s="32"/>
      <c r="D2950" s="32"/>
      <c r="E2950" s="32"/>
      <c r="F2950" s="32"/>
      <c r="G2950" s="32">
        <f>PRODUCT(C2950:F2950)</f>
        <v>0</v>
      </c>
    </row>
    <row r="2951" spans="1:7" x14ac:dyDescent="0.2">
      <c r="A2951" s="31" t="s">
        <v>3875</v>
      </c>
      <c r="B2951" s="31"/>
      <c r="C2951" s="32">
        <v>15.456</v>
      </c>
      <c r="D2951" s="32"/>
      <c r="E2951" s="32"/>
      <c r="F2951" s="32"/>
      <c r="G2951" s="32">
        <f>PRODUCT(C2951:F2951)</f>
        <v>15.456</v>
      </c>
    </row>
    <row r="2952" spans="1:7" x14ac:dyDescent="0.2">
      <c r="A2952" s="31" t="s">
        <v>3876</v>
      </c>
      <c r="B2952" s="31"/>
      <c r="C2952" s="32">
        <v>7.0010000000000003</v>
      </c>
      <c r="D2952" s="32"/>
      <c r="E2952" s="32"/>
      <c r="F2952" s="32"/>
      <c r="G2952" s="32">
        <f>PRODUCT(C2952:F2952)</f>
        <v>7.0010000000000003</v>
      </c>
    </row>
    <row r="2953" spans="1:7" x14ac:dyDescent="0.2">
      <c r="A2953" s="31" t="s">
        <v>3831</v>
      </c>
      <c r="B2953" s="31"/>
      <c r="C2953" s="32">
        <v>35</v>
      </c>
      <c r="D2953" s="32">
        <v>22.457142857142902</v>
      </c>
      <c r="E2953" s="32"/>
      <c r="F2953" s="32"/>
      <c r="G2953" s="32">
        <f>C2953 * D2953/100</f>
        <v>7.8600000000000163</v>
      </c>
    </row>
    <row r="2955" spans="1:7" ht="45" customHeight="1" x14ac:dyDescent="0.2">
      <c r="A2955" s="17" t="s">
        <v>3877</v>
      </c>
      <c r="B2955" s="17" t="s">
        <v>3141</v>
      </c>
      <c r="C2955" s="17" t="s">
        <v>1027</v>
      </c>
      <c r="D2955" s="83" t="s">
        <v>15</v>
      </c>
      <c r="E2955" s="102" t="s">
        <v>1028</v>
      </c>
      <c r="F2955" s="102" t="s">
        <v>1028</v>
      </c>
      <c r="G2955" s="84">
        <f>SUM(G2956:G2960)</f>
        <v>8.8260000000000005</v>
      </c>
    </row>
    <row r="2956" spans="1:7" x14ac:dyDescent="0.2">
      <c r="A2956" s="31" t="s">
        <v>3871</v>
      </c>
      <c r="B2956" s="31"/>
      <c r="C2956" s="32"/>
      <c r="D2956" s="32"/>
      <c r="E2956" s="32"/>
      <c r="F2956" s="32"/>
      <c r="G2956" s="32"/>
    </row>
    <row r="2957" spans="1:7" x14ac:dyDescent="0.2">
      <c r="A2957" s="31" t="s">
        <v>3872</v>
      </c>
      <c r="B2957" s="31"/>
      <c r="C2957" s="32"/>
      <c r="D2957" s="32"/>
      <c r="E2957" s="32"/>
      <c r="F2957" s="32"/>
      <c r="G2957" s="32">
        <f>PRODUCT(C2957:F2957)</f>
        <v>0</v>
      </c>
    </row>
    <row r="2958" spans="1:7" x14ac:dyDescent="0.2">
      <c r="A2958" s="31" t="s">
        <v>3878</v>
      </c>
      <c r="B2958" s="31"/>
      <c r="C2958" s="32">
        <v>5.7670000000000003</v>
      </c>
      <c r="D2958" s="32"/>
      <c r="E2958" s="32"/>
      <c r="F2958" s="32"/>
      <c r="G2958" s="32">
        <f>PRODUCT(C2958:F2958)</f>
        <v>5.7670000000000003</v>
      </c>
    </row>
    <row r="2959" spans="1:7" x14ac:dyDescent="0.2">
      <c r="A2959" s="31" t="s">
        <v>2262</v>
      </c>
      <c r="B2959" s="31"/>
      <c r="C2959" s="32">
        <v>0.77100000000000002</v>
      </c>
      <c r="D2959" s="32"/>
      <c r="E2959" s="32"/>
      <c r="F2959" s="32"/>
      <c r="G2959" s="32">
        <f>PRODUCT(C2959:F2959)</f>
        <v>0.77100000000000002</v>
      </c>
    </row>
    <row r="2960" spans="1:7" x14ac:dyDescent="0.2">
      <c r="A2960" s="31" t="s">
        <v>3831</v>
      </c>
      <c r="B2960" s="31"/>
      <c r="C2960" s="32">
        <v>35</v>
      </c>
      <c r="D2960" s="32">
        <v>6.53714285714286</v>
      </c>
      <c r="E2960" s="32"/>
      <c r="F2960" s="32"/>
      <c r="G2960" s="32">
        <f>C2960 * D2960/100</f>
        <v>2.2880000000000011</v>
      </c>
    </row>
    <row r="2962" spans="1:7" ht="45" customHeight="1" x14ac:dyDescent="0.2">
      <c r="A2962" s="17" t="s">
        <v>3879</v>
      </c>
      <c r="B2962" s="17" t="s">
        <v>3141</v>
      </c>
      <c r="C2962" s="17" t="s">
        <v>1023</v>
      </c>
      <c r="D2962" s="83" t="s">
        <v>15</v>
      </c>
      <c r="E2962" s="102" t="s">
        <v>1024</v>
      </c>
      <c r="F2962" s="102" t="s">
        <v>1024</v>
      </c>
      <c r="G2962" s="84">
        <f>SUM(G2963:G2966)</f>
        <v>3.6049999999999995</v>
      </c>
    </row>
    <row r="2963" spans="1:7" x14ac:dyDescent="0.2">
      <c r="A2963" s="31" t="s">
        <v>3871</v>
      </c>
      <c r="B2963" s="31"/>
      <c r="C2963" s="32"/>
      <c r="D2963" s="32"/>
      <c r="E2963" s="32"/>
      <c r="F2963" s="32"/>
      <c r="G2963" s="32"/>
    </row>
    <row r="2964" spans="1:7" x14ac:dyDescent="0.2">
      <c r="A2964" s="31" t="s">
        <v>3872</v>
      </c>
      <c r="B2964" s="31"/>
      <c r="C2964" s="32"/>
      <c r="D2964" s="32"/>
      <c r="E2964" s="32"/>
      <c r="F2964" s="32"/>
      <c r="G2964" s="32">
        <f>PRODUCT(C2964:F2964)</f>
        <v>0</v>
      </c>
    </row>
    <row r="2965" spans="1:7" x14ac:dyDescent="0.2">
      <c r="A2965" s="31" t="s">
        <v>3880</v>
      </c>
      <c r="B2965" s="31"/>
      <c r="C2965" s="32">
        <v>2.67</v>
      </c>
      <c r="D2965" s="32"/>
      <c r="E2965" s="32"/>
      <c r="F2965" s="32"/>
      <c r="G2965" s="32">
        <f>PRODUCT(C2965:F2965)</f>
        <v>2.67</v>
      </c>
    </row>
    <row r="2966" spans="1:7" x14ac:dyDescent="0.2">
      <c r="A2966" s="31" t="s">
        <v>3831</v>
      </c>
      <c r="B2966" s="31"/>
      <c r="C2966" s="32">
        <v>35</v>
      </c>
      <c r="D2966" s="32">
        <v>2.6714285714285699</v>
      </c>
      <c r="E2966" s="32"/>
      <c r="F2966" s="32"/>
      <c r="G2966" s="32">
        <f>C2966 * D2966/100</f>
        <v>0.93499999999999939</v>
      </c>
    </row>
    <row r="2968" spans="1:7" ht="45" customHeight="1" x14ac:dyDescent="0.2">
      <c r="A2968" s="17" t="s">
        <v>3881</v>
      </c>
      <c r="B2968" s="17" t="s">
        <v>3141</v>
      </c>
      <c r="C2968" s="17" t="s">
        <v>1039</v>
      </c>
      <c r="D2968" s="83" t="s">
        <v>15</v>
      </c>
      <c r="E2968" s="102" t="s">
        <v>1040</v>
      </c>
      <c r="F2968" s="102" t="s">
        <v>1040</v>
      </c>
      <c r="G2968" s="84">
        <f>SUM(G2969:G2972)</f>
        <v>8.2899999999999991</v>
      </c>
    </row>
    <row r="2969" spans="1:7" x14ac:dyDescent="0.2">
      <c r="A2969" s="31" t="s">
        <v>3871</v>
      </c>
      <c r="B2969" s="31"/>
      <c r="C2969" s="32"/>
      <c r="D2969" s="32"/>
      <c r="E2969" s="32"/>
      <c r="F2969" s="32"/>
      <c r="G2969" s="32"/>
    </row>
    <row r="2970" spans="1:7" x14ac:dyDescent="0.2">
      <c r="A2970" s="31" t="s">
        <v>3872</v>
      </c>
      <c r="B2970" s="31"/>
      <c r="C2970" s="32"/>
      <c r="D2970" s="32"/>
      <c r="E2970" s="32"/>
      <c r="F2970" s="32"/>
      <c r="G2970" s="32">
        <f>PRODUCT(C2970:F2970)</f>
        <v>0</v>
      </c>
    </row>
    <row r="2971" spans="1:7" x14ac:dyDescent="0.2">
      <c r="A2971" s="31" t="s">
        <v>3882</v>
      </c>
      <c r="B2971" s="31"/>
      <c r="C2971" s="32">
        <v>6.141</v>
      </c>
      <c r="D2971" s="32"/>
      <c r="E2971" s="32"/>
      <c r="F2971" s="32"/>
      <c r="G2971" s="32">
        <f>PRODUCT(C2971:F2971)</f>
        <v>6.141</v>
      </c>
    </row>
    <row r="2972" spans="1:7" x14ac:dyDescent="0.2">
      <c r="A2972" s="31" t="s">
        <v>3831</v>
      </c>
      <c r="B2972" s="31"/>
      <c r="C2972" s="32">
        <v>35</v>
      </c>
      <c r="D2972" s="32">
        <v>6.14</v>
      </c>
      <c r="E2972" s="32"/>
      <c r="F2972" s="32"/>
      <c r="G2972" s="32">
        <f>C2972 * D2972/100</f>
        <v>2.1489999999999996</v>
      </c>
    </row>
    <row r="2974" spans="1:7" ht="45" customHeight="1" x14ac:dyDescent="0.2">
      <c r="A2974" s="17" t="s">
        <v>3883</v>
      </c>
      <c r="B2974" s="17" t="s">
        <v>3141</v>
      </c>
      <c r="C2974" s="17" t="s">
        <v>1041</v>
      </c>
      <c r="D2974" s="83" t="s">
        <v>15</v>
      </c>
      <c r="E2974" s="102" t="s">
        <v>1042</v>
      </c>
      <c r="F2974" s="102" t="s">
        <v>1042</v>
      </c>
      <c r="G2974" s="84">
        <f>SUM(G2975:G2978)</f>
        <v>9.5150000000000006</v>
      </c>
    </row>
    <row r="2975" spans="1:7" x14ac:dyDescent="0.2">
      <c r="A2975" s="31" t="s">
        <v>3871</v>
      </c>
      <c r="B2975" s="31"/>
      <c r="C2975" s="32"/>
      <c r="D2975" s="32"/>
      <c r="E2975" s="32"/>
      <c r="F2975" s="32"/>
      <c r="G2975" s="32"/>
    </row>
    <row r="2976" spans="1:7" x14ac:dyDescent="0.2">
      <c r="A2976" s="31" t="s">
        <v>3872</v>
      </c>
      <c r="B2976" s="31"/>
      <c r="C2976" s="32"/>
      <c r="D2976" s="32"/>
      <c r="E2976" s="32"/>
      <c r="F2976" s="32"/>
      <c r="G2976" s="32">
        <f>PRODUCT(C2976:F2976)</f>
        <v>0</v>
      </c>
    </row>
    <row r="2977" spans="1:7" x14ac:dyDescent="0.2">
      <c r="A2977" s="31" t="s">
        <v>3884</v>
      </c>
      <c r="B2977" s="31"/>
      <c r="C2977" s="32">
        <v>7.048</v>
      </c>
      <c r="D2977" s="32"/>
      <c r="E2977" s="32"/>
      <c r="F2977" s="32"/>
      <c r="G2977" s="32">
        <f>PRODUCT(C2977:F2977)</f>
        <v>7.048</v>
      </c>
    </row>
    <row r="2978" spans="1:7" x14ac:dyDescent="0.2">
      <c r="A2978" s="31" t="s">
        <v>3831</v>
      </c>
      <c r="B2978" s="31"/>
      <c r="C2978" s="32">
        <v>35</v>
      </c>
      <c r="D2978" s="32">
        <v>7.0485714285714298</v>
      </c>
      <c r="E2978" s="32"/>
      <c r="F2978" s="32"/>
      <c r="G2978" s="32">
        <f>C2978 * D2978/100</f>
        <v>2.4670000000000005</v>
      </c>
    </row>
    <row r="2980" spans="1:7" ht="45" customHeight="1" x14ac:dyDescent="0.2">
      <c r="A2980" s="17" t="s">
        <v>3885</v>
      </c>
      <c r="B2980" s="17" t="s">
        <v>3141</v>
      </c>
      <c r="C2980" s="17" t="s">
        <v>1043</v>
      </c>
      <c r="D2980" s="83" t="s">
        <v>15</v>
      </c>
      <c r="E2980" s="102" t="s">
        <v>1044</v>
      </c>
      <c r="F2980" s="102" t="s">
        <v>1044</v>
      </c>
      <c r="G2980" s="84">
        <f>SUM(G2981:G2984)</f>
        <v>1.4420000000000006</v>
      </c>
    </row>
    <row r="2981" spans="1:7" x14ac:dyDescent="0.2">
      <c r="A2981" s="31" t="s">
        <v>3871</v>
      </c>
      <c r="B2981" s="31"/>
      <c r="C2981" s="32"/>
      <c r="D2981" s="32"/>
      <c r="E2981" s="32"/>
      <c r="F2981" s="32"/>
      <c r="G2981" s="32"/>
    </row>
    <row r="2982" spans="1:7" x14ac:dyDescent="0.2">
      <c r="A2982" s="31" t="s">
        <v>3872</v>
      </c>
      <c r="B2982" s="31"/>
      <c r="C2982" s="32"/>
      <c r="D2982" s="32"/>
      <c r="E2982" s="32"/>
      <c r="F2982" s="32"/>
      <c r="G2982" s="32">
        <f>PRODUCT(C2982:F2982)</f>
        <v>0</v>
      </c>
    </row>
    <row r="2983" spans="1:7" x14ac:dyDescent="0.2">
      <c r="A2983" s="31" t="s">
        <v>3886</v>
      </c>
      <c r="B2983" s="31"/>
      <c r="C2983" s="32">
        <v>1.0680000000000001</v>
      </c>
      <c r="D2983" s="32"/>
      <c r="E2983" s="32"/>
      <c r="F2983" s="32"/>
      <c r="G2983" s="32">
        <f>PRODUCT(C2983:F2983)</f>
        <v>1.0680000000000001</v>
      </c>
    </row>
    <row r="2984" spans="1:7" x14ac:dyDescent="0.2">
      <c r="A2984" s="31" t="s">
        <v>3831</v>
      </c>
      <c r="B2984" s="31"/>
      <c r="C2984" s="32">
        <v>35</v>
      </c>
      <c r="D2984" s="32">
        <v>1.0685714285714301</v>
      </c>
      <c r="E2984" s="32"/>
      <c r="F2984" s="32"/>
      <c r="G2984" s="32">
        <f>C2984 * D2984/100</f>
        <v>0.37400000000000055</v>
      </c>
    </row>
    <row r="2986" spans="1:7" x14ac:dyDescent="0.2">
      <c r="B2986" t="s">
        <v>3139</v>
      </c>
      <c r="C2986" s="6" t="s">
        <v>6</v>
      </c>
      <c r="D2986" s="7" t="s">
        <v>7</v>
      </c>
      <c r="E2986" s="6" t="s">
        <v>8</v>
      </c>
    </row>
    <row r="2987" spans="1:7" x14ac:dyDescent="0.2">
      <c r="B2987" t="s">
        <v>3139</v>
      </c>
      <c r="C2987" s="6" t="s">
        <v>9</v>
      </c>
      <c r="D2987" s="7" t="s">
        <v>1011</v>
      </c>
      <c r="E2987" s="6" t="s">
        <v>1012</v>
      </c>
    </row>
    <row r="2988" spans="1:7" x14ac:dyDescent="0.2">
      <c r="B2988" t="s">
        <v>3139</v>
      </c>
      <c r="C2988" s="6" t="s">
        <v>11</v>
      </c>
      <c r="D2988" s="7" t="s">
        <v>153</v>
      </c>
      <c r="E2988" s="6" t="s">
        <v>1045</v>
      </c>
    </row>
    <row r="2990" spans="1:7" ht="45" customHeight="1" x14ac:dyDescent="0.2">
      <c r="A2990" s="17" t="s">
        <v>3887</v>
      </c>
      <c r="B2990" s="17" t="s">
        <v>3141</v>
      </c>
      <c r="C2990" s="17" t="s">
        <v>1047</v>
      </c>
      <c r="D2990" s="83" t="s">
        <v>15</v>
      </c>
      <c r="E2990" s="102" t="s">
        <v>1048</v>
      </c>
      <c r="F2990" s="102" t="s">
        <v>1048</v>
      </c>
      <c r="G2990" s="84">
        <f>SUM(G2991:G2992)</f>
        <v>8.0269000000000013</v>
      </c>
    </row>
    <row r="2991" spans="1:7" x14ac:dyDescent="0.2">
      <c r="A2991" s="28"/>
      <c r="B2991" s="28" t="s">
        <v>3142</v>
      </c>
      <c r="C2991" s="29" t="s">
        <v>3157</v>
      </c>
      <c r="D2991" s="29" t="s">
        <v>3148</v>
      </c>
      <c r="E2991" s="29"/>
      <c r="F2991" s="29"/>
      <c r="G2991" s="30"/>
    </row>
    <row r="2992" spans="1:7" x14ac:dyDescent="0.2">
      <c r="A2992" s="31" t="s">
        <v>3164</v>
      </c>
      <c r="B2992" s="31"/>
      <c r="C2992" s="32">
        <v>114.67</v>
      </c>
      <c r="D2992" s="32">
        <v>7.0000000000000007E-2</v>
      </c>
      <c r="E2992" s="32"/>
      <c r="F2992" s="32"/>
      <c r="G2992" s="32">
        <f>PRODUCT(C2992:F2992)</f>
        <v>8.0269000000000013</v>
      </c>
    </row>
    <row r="2994" spans="1:7" ht="45" customHeight="1" x14ac:dyDescent="0.2">
      <c r="A2994" s="17" t="s">
        <v>3888</v>
      </c>
      <c r="B2994" s="17" t="s">
        <v>3141</v>
      </c>
      <c r="C2994" s="17" t="s">
        <v>1049</v>
      </c>
      <c r="D2994" s="83" t="s">
        <v>103</v>
      </c>
      <c r="E2994" s="102" t="s">
        <v>1050</v>
      </c>
      <c r="F2994" s="102" t="s">
        <v>1050</v>
      </c>
      <c r="G2994" s="84">
        <f>SUM(G2995:G2996)</f>
        <v>2150</v>
      </c>
    </row>
    <row r="2995" spans="1:7" x14ac:dyDescent="0.2">
      <c r="A2995" s="28"/>
      <c r="B2995" s="28" t="s">
        <v>3142</v>
      </c>
      <c r="C2995" s="29" t="s">
        <v>3889</v>
      </c>
      <c r="D2995" s="29"/>
      <c r="E2995" s="29"/>
      <c r="F2995" s="29"/>
      <c r="G2995" s="30"/>
    </row>
    <row r="2996" spans="1:7" x14ac:dyDescent="0.2">
      <c r="A2996" s="31" t="s">
        <v>3164</v>
      </c>
      <c r="B2996" s="31"/>
      <c r="C2996" s="32">
        <v>2150</v>
      </c>
      <c r="D2996" s="32"/>
      <c r="E2996" s="32"/>
      <c r="F2996" s="32"/>
      <c r="G2996" s="32">
        <f>PRODUCT(C2996:F2996)</f>
        <v>2150</v>
      </c>
    </row>
  </sheetData>
  <mergeCells count="501">
    <mergeCell ref="E18:F18"/>
    <mergeCell ref="E30:F30"/>
    <mergeCell ref="E35:F35"/>
    <mergeCell ref="E44:F44"/>
    <mergeCell ref="E48:F48"/>
    <mergeCell ref="E62:F62"/>
    <mergeCell ref="E1:H1"/>
    <mergeCell ref="E2:H2"/>
    <mergeCell ref="E3:H3"/>
    <mergeCell ref="E4:H4"/>
    <mergeCell ref="C6:G6"/>
    <mergeCell ref="E14:F14"/>
    <mergeCell ref="E105:F105"/>
    <mergeCell ref="E110:F110"/>
    <mergeCell ref="E115:F115"/>
    <mergeCell ref="E119:F119"/>
    <mergeCell ref="E123:F123"/>
    <mergeCell ref="E127:F127"/>
    <mergeCell ref="E73:F73"/>
    <mergeCell ref="E78:F78"/>
    <mergeCell ref="E83:F83"/>
    <mergeCell ref="E90:F90"/>
    <mergeCell ref="E94:F94"/>
    <mergeCell ref="E99:F99"/>
    <mergeCell ref="E194:F194"/>
    <mergeCell ref="E201:F201"/>
    <mergeCell ref="E208:F208"/>
    <mergeCell ref="E227:F227"/>
    <mergeCell ref="E259:F259"/>
    <mergeCell ref="E269:F269"/>
    <mergeCell ref="E132:F132"/>
    <mergeCell ref="E146:F146"/>
    <mergeCell ref="E150:F150"/>
    <mergeCell ref="E154:F154"/>
    <mergeCell ref="E167:F167"/>
    <mergeCell ref="E185:F185"/>
    <mergeCell ref="E401:F401"/>
    <mergeCell ref="E407:F407"/>
    <mergeCell ref="E417:F417"/>
    <mergeCell ref="E424:F424"/>
    <mergeCell ref="E429:F429"/>
    <mergeCell ref="E438:F438"/>
    <mergeCell ref="E300:F300"/>
    <mergeCell ref="E335:F335"/>
    <mergeCell ref="E345:F345"/>
    <mergeCell ref="E360:F360"/>
    <mergeCell ref="E375:F375"/>
    <mergeCell ref="E396:F396"/>
    <mergeCell ref="E484:F484"/>
    <mergeCell ref="E488:F488"/>
    <mergeCell ref="E497:F497"/>
    <mergeCell ref="E508:F508"/>
    <mergeCell ref="E519:F519"/>
    <mergeCell ref="E523:F523"/>
    <mergeCell ref="E444:F444"/>
    <mergeCell ref="E449:F449"/>
    <mergeCell ref="E454:F454"/>
    <mergeCell ref="E460:F460"/>
    <mergeCell ref="E472:F472"/>
    <mergeCell ref="E477:F477"/>
    <mergeCell ref="E595:F595"/>
    <mergeCell ref="E608:F608"/>
    <mergeCell ref="E621:F621"/>
    <mergeCell ref="E646:F646"/>
    <mergeCell ref="E676:F676"/>
    <mergeCell ref="E680:F680"/>
    <mergeCell ref="E531:F531"/>
    <mergeCell ref="E538:F538"/>
    <mergeCell ref="E552:F552"/>
    <mergeCell ref="E563:F563"/>
    <mergeCell ref="E566:F566"/>
    <mergeCell ref="E582:F582"/>
    <mergeCell ref="E708:F708"/>
    <mergeCell ref="E712:F712"/>
    <mergeCell ref="E716:F716"/>
    <mergeCell ref="E720:F720"/>
    <mergeCell ref="E724:F724"/>
    <mergeCell ref="E728:F728"/>
    <mergeCell ref="E684:F684"/>
    <mergeCell ref="E688:F688"/>
    <mergeCell ref="E692:F692"/>
    <mergeCell ref="E696:F696"/>
    <mergeCell ref="E700:F700"/>
    <mergeCell ref="E704:F704"/>
    <mergeCell ref="E761:F761"/>
    <mergeCell ref="E765:F765"/>
    <mergeCell ref="E769:F769"/>
    <mergeCell ref="E773:F773"/>
    <mergeCell ref="E777:F777"/>
    <mergeCell ref="E781:F781"/>
    <mergeCell ref="E732:F732"/>
    <mergeCell ref="E736:F736"/>
    <mergeCell ref="E740:F740"/>
    <mergeCell ref="E744:F744"/>
    <mergeCell ref="E748:F748"/>
    <mergeCell ref="E752:F752"/>
    <mergeCell ref="E809:F809"/>
    <mergeCell ref="E813:F813"/>
    <mergeCell ref="E817:F817"/>
    <mergeCell ref="E821:F821"/>
    <mergeCell ref="E825:F825"/>
    <mergeCell ref="E829:F829"/>
    <mergeCell ref="E785:F785"/>
    <mergeCell ref="E789:F789"/>
    <mergeCell ref="E793:F793"/>
    <mergeCell ref="E797:F797"/>
    <mergeCell ref="E801:F801"/>
    <mergeCell ref="E805:F805"/>
    <mergeCell ref="E857:F857"/>
    <mergeCell ref="E861:F861"/>
    <mergeCell ref="E865:F865"/>
    <mergeCell ref="E869:F869"/>
    <mergeCell ref="E873:F873"/>
    <mergeCell ref="E877:F877"/>
    <mergeCell ref="E833:F833"/>
    <mergeCell ref="E837:F837"/>
    <mergeCell ref="E841:F841"/>
    <mergeCell ref="E845:F845"/>
    <mergeCell ref="E849:F849"/>
    <mergeCell ref="E853:F853"/>
    <mergeCell ref="E905:F905"/>
    <mergeCell ref="E909:F909"/>
    <mergeCell ref="E913:F913"/>
    <mergeCell ref="E917:F917"/>
    <mergeCell ref="E921:F921"/>
    <mergeCell ref="E925:F925"/>
    <mergeCell ref="E881:F881"/>
    <mergeCell ref="E885:F885"/>
    <mergeCell ref="E889:F889"/>
    <mergeCell ref="E893:F893"/>
    <mergeCell ref="E897:F897"/>
    <mergeCell ref="E901:F901"/>
    <mergeCell ref="E958:F958"/>
    <mergeCell ref="E962:F962"/>
    <mergeCell ref="E966:F966"/>
    <mergeCell ref="E970:F970"/>
    <mergeCell ref="E974:F974"/>
    <mergeCell ref="E978:F978"/>
    <mergeCell ref="E929:F929"/>
    <mergeCell ref="E933:F933"/>
    <mergeCell ref="E937:F937"/>
    <mergeCell ref="E941:F941"/>
    <mergeCell ref="E945:F945"/>
    <mergeCell ref="E954:F954"/>
    <mergeCell ref="E1011:F1011"/>
    <mergeCell ref="E1015:F1015"/>
    <mergeCell ref="E1024:F1024"/>
    <mergeCell ref="E1028:F1028"/>
    <mergeCell ref="E1032:F1032"/>
    <mergeCell ref="E1036:F1036"/>
    <mergeCell ref="E982:F982"/>
    <mergeCell ref="E986:F986"/>
    <mergeCell ref="E990:F990"/>
    <mergeCell ref="E999:F999"/>
    <mergeCell ref="E1003:F1003"/>
    <mergeCell ref="E1007:F1007"/>
    <mergeCell ref="E1064:F1064"/>
    <mergeCell ref="E1068:F1068"/>
    <mergeCell ref="E1072:F1072"/>
    <mergeCell ref="E1076:F1076"/>
    <mergeCell ref="E1080:F1080"/>
    <mergeCell ref="E1084:F1084"/>
    <mergeCell ref="E1040:F1040"/>
    <mergeCell ref="E1044:F1044"/>
    <mergeCell ref="E1048:F1048"/>
    <mergeCell ref="E1052:F1052"/>
    <mergeCell ref="E1056:F1056"/>
    <mergeCell ref="E1060:F1060"/>
    <mergeCell ref="E1122:F1122"/>
    <mergeCell ref="E1126:F1126"/>
    <mergeCell ref="E1130:F1130"/>
    <mergeCell ref="E1140:F1140"/>
    <mergeCell ref="E1154:F1154"/>
    <mergeCell ref="E1158:F1158"/>
    <mergeCell ref="E1093:F1093"/>
    <mergeCell ref="E1097:F1097"/>
    <mergeCell ref="E1101:F1101"/>
    <mergeCell ref="E1105:F1105"/>
    <mergeCell ref="E1109:F1109"/>
    <mergeCell ref="E1113:F1113"/>
    <mergeCell ref="E1195:F1195"/>
    <mergeCell ref="E1201:F1201"/>
    <mergeCell ref="E1207:F1207"/>
    <mergeCell ref="E1213:F1213"/>
    <mergeCell ref="E1222:F1222"/>
    <mergeCell ref="E1228:F1228"/>
    <mergeCell ref="E1162:F1162"/>
    <mergeCell ref="E1167:F1167"/>
    <mergeCell ref="E1172:F1172"/>
    <mergeCell ref="E1177:F1177"/>
    <mergeCell ref="E1183:F1183"/>
    <mergeCell ref="E1189:F1189"/>
    <mergeCell ref="E1259:F1259"/>
    <mergeCell ref="E1263:F1263"/>
    <mergeCell ref="E1267:F1267"/>
    <mergeCell ref="E1271:F1271"/>
    <mergeCell ref="E1275:F1275"/>
    <mergeCell ref="E1279:F1279"/>
    <mergeCell ref="E1231:F1231"/>
    <mergeCell ref="E1239:F1239"/>
    <mergeCell ref="E1243:F1243"/>
    <mergeCell ref="E1247:F1247"/>
    <mergeCell ref="E1251:F1251"/>
    <mergeCell ref="E1255:F1255"/>
    <mergeCell ref="E1323:F1323"/>
    <mergeCell ref="E1327:F1327"/>
    <mergeCell ref="E1331:F1331"/>
    <mergeCell ref="E1335:F1335"/>
    <mergeCell ref="E1339:F1339"/>
    <mergeCell ref="E1343:F1343"/>
    <mergeCell ref="E1283:F1283"/>
    <mergeCell ref="E1287:F1287"/>
    <mergeCell ref="E1291:F1291"/>
    <mergeCell ref="E1295:F1295"/>
    <mergeCell ref="E1315:F1315"/>
    <mergeCell ref="E1319:F1319"/>
    <mergeCell ref="E1371:F1371"/>
    <mergeCell ref="E1375:F1375"/>
    <mergeCell ref="E1398:F1398"/>
    <mergeCell ref="E1402:F1402"/>
    <mergeCell ref="E1407:F1407"/>
    <mergeCell ref="E1412:F1412"/>
    <mergeCell ref="E1347:F1347"/>
    <mergeCell ref="E1351:F1351"/>
    <mergeCell ref="E1355:F1355"/>
    <mergeCell ref="E1359:F1359"/>
    <mergeCell ref="E1363:F1363"/>
    <mergeCell ref="E1367:F1367"/>
    <mergeCell ref="E1487:F1487"/>
    <mergeCell ref="E1506:F1506"/>
    <mergeCell ref="E1529:F1529"/>
    <mergeCell ref="E1533:F1533"/>
    <mergeCell ref="E1537:F1537"/>
    <mergeCell ref="E1541:F1541"/>
    <mergeCell ref="E1416:F1416"/>
    <mergeCell ref="E1424:F1424"/>
    <mergeCell ref="E1429:F1429"/>
    <mergeCell ref="E1434:F1434"/>
    <mergeCell ref="E1453:F1453"/>
    <mergeCell ref="E1472:F1472"/>
    <mergeCell ref="E1574:F1574"/>
    <mergeCell ref="E1582:F1582"/>
    <mergeCell ref="E1588:F1588"/>
    <mergeCell ref="E1594:F1594"/>
    <mergeCell ref="E1600:F1600"/>
    <mergeCell ref="E1606:F1606"/>
    <mergeCell ref="E1545:F1545"/>
    <mergeCell ref="E1549:F1549"/>
    <mergeCell ref="E1553:F1553"/>
    <mergeCell ref="E1557:F1557"/>
    <mergeCell ref="E1561:F1561"/>
    <mergeCell ref="E1565:F1565"/>
    <mergeCell ref="E1650:F1650"/>
    <mergeCell ref="E1656:F1656"/>
    <mergeCell ref="E1661:F1661"/>
    <mergeCell ref="E1666:F1666"/>
    <mergeCell ref="E1671:F1671"/>
    <mergeCell ref="E1681:F1681"/>
    <mergeCell ref="E1613:F1613"/>
    <mergeCell ref="E1618:F1618"/>
    <mergeCell ref="E1623:F1623"/>
    <mergeCell ref="E1628:F1628"/>
    <mergeCell ref="E1635:F1635"/>
    <mergeCell ref="E1642:F1642"/>
    <mergeCell ref="E1746:F1746"/>
    <mergeCell ref="E1750:F1750"/>
    <mergeCell ref="E1772:F1772"/>
    <mergeCell ref="E1781:F1781"/>
    <mergeCell ref="E1790:F1790"/>
    <mergeCell ref="E1793:F1793"/>
    <mergeCell ref="E1688:F1688"/>
    <mergeCell ref="E1697:F1697"/>
    <mergeCell ref="E1705:F1705"/>
    <mergeCell ref="E1713:F1713"/>
    <mergeCell ref="E1721:F1721"/>
    <mergeCell ref="E1733:F1733"/>
    <mergeCell ref="E1827:F1827"/>
    <mergeCell ref="E1833:F1833"/>
    <mergeCell ref="E1839:F1839"/>
    <mergeCell ref="E1847:F1847"/>
    <mergeCell ref="E1852:F1852"/>
    <mergeCell ref="E1857:F1857"/>
    <mergeCell ref="E1799:F1799"/>
    <mergeCell ref="E1802:F1802"/>
    <mergeCell ref="E1807:F1807"/>
    <mergeCell ref="E1812:F1812"/>
    <mergeCell ref="E1817:F1817"/>
    <mergeCell ref="E1822:F1822"/>
    <mergeCell ref="E1904:F1904"/>
    <mergeCell ref="E1909:F1909"/>
    <mergeCell ref="E1915:F1915"/>
    <mergeCell ref="E1922:F1922"/>
    <mergeCell ref="E1927:F1927"/>
    <mergeCell ref="E1932:F1932"/>
    <mergeCell ref="E1863:F1863"/>
    <mergeCell ref="E1866:F1866"/>
    <mergeCell ref="E1876:F1876"/>
    <mergeCell ref="E1883:F1883"/>
    <mergeCell ref="E1890:F1890"/>
    <mergeCell ref="E1897:F1897"/>
    <mergeCell ref="E1960:F1960"/>
    <mergeCell ref="E1970:F1970"/>
    <mergeCell ref="E1975:F1975"/>
    <mergeCell ref="E1980:F1980"/>
    <mergeCell ref="E1985:F1985"/>
    <mergeCell ref="E1995:F1995"/>
    <mergeCell ref="E1936:F1936"/>
    <mergeCell ref="E1940:F1940"/>
    <mergeCell ref="E1944:F1944"/>
    <mergeCell ref="E1948:F1948"/>
    <mergeCell ref="E1952:F1952"/>
    <mergeCell ref="E1956:F1956"/>
    <mergeCell ref="E2026:F2026"/>
    <mergeCell ref="E2029:F2029"/>
    <mergeCell ref="E2032:F2032"/>
    <mergeCell ref="E2035:F2035"/>
    <mergeCell ref="E2043:F2043"/>
    <mergeCell ref="E2047:F2047"/>
    <mergeCell ref="E2000:F2000"/>
    <mergeCell ref="E2005:F2005"/>
    <mergeCell ref="E2008:F2008"/>
    <mergeCell ref="E2012:F2012"/>
    <mergeCell ref="E2020:F2020"/>
    <mergeCell ref="E2023:F2023"/>
    <mergeCell ref="E2077:F2077"/>
    <mergeCell ref="E2082:F2082"/>
    <mergeCell ref="E2087:F2087"/>
    <mergeCell ref="E2092:F2092"/>
    <mergeCell ref="E2103:F2103"/>
    <mergeCell ref="E2106:F2106"/>
    <mergeCell ref="E2050:F2050"/>
    <mergeCell ref="E2054:F2054"/>
    <mergeCell ref="E2057:F2057"/>
    <mergeCell ref="E2062:F2062"/>
    <mergeCell ref="E2067:F2067"/>
    <mergeCell ref="E2072:F2072"/>
    <mergeCell ref="E2139:F2139"/>
    <mergeCell ref="E2143:F2143"/>
    <mergeCell ref="E2148:F2148"/>
    <mergeCell ref="E2157:F2157"/>
    <mergeCell ref="E2162:F2162"/>
    <mergeCell ref="E2165:F2165"/>
    <mergeCell ref="E2109:F2109"/>
    <mergeCell ref="E2112:F2112"/>
    <mergeCell ref="E2122:F2122"/>
    <mergeCell ref="E2126:F2126"/>
    <mergeCell ref="E2131:F2131"/>
    <mergeCell ref="E2136:F2136"/>
    <mergeCell ref="E2200:F2200"/>
    <mergeCell ref="E2203:F2203"/>
    <mergeCell ref="E2206:F2206"/>
    <mergeCell ref="E2209:F2209"/>
    <mergeCell ref="E2212:F2212"/>
    <mergeCell ref="E2215:F2215"/>
    <mergeCell ref="E2173:F2173"/>
    <mergeCell ref="E2176:F2176"/>
    <mergeCell ref="E2179:F2179"/>
    <mergeCell ref="E2182:F2182"/>
    <mergeCell ref="E2190:F2190"/>
    <mergeCell ref="E2194:F2194"/>
    <mergeCell ref="E2250:F2250"/>
    <mergeCell ref="E2255:F2255"/>
    <mergeCell ref="E2260:F2260"/>
    <mergeCell ref="E2265:F2265"/>
    <mergeCell ref="E2270:F2270"/>
    <mergeCell ref="E2275:F2275"/>
    <mergeCell ref="E2218:F2218"/>
    <mergeCell ref="E2223:F2223"/>
    <mergeCell ref="E2229:F2229"/>
    <mergeCell ref="E2233:F2233"/>
    <mergeCell ref="E2242:F2242"/>
    <mergeCell ref="E2247:F2247"/>
    <mergeCell ref="E2302:F2302"/>
    <mergeCell ref="E2305:F2305"/>
    <mergeCell ref="E2314:F2314"/>
    <mergeCell ref="E2317:F2317"/>
    <mergeCell ref="E2324:F2324"/>
    <mergeCell ref="E2333:F2333"/>
    <mergeCell ref="E2279:F2279"/>
    <mergeCell ref="E2282:F2282"/>
    <mergeCell ref="E2290:F2290"/>
    <mergeCell ref="E2293:F2293"/>
    <mergeCell ref="E2296:F2296"/>
    <mergeCell ref="E2299:F2299"/>
    <mergeCell ref="E2358:F2358"/>
    <mergeCell ref="E2369:F2369"/>
    <mergeCell ref="E2372:F2372"/>
    <mergeCell ref="E2375:F2375"/>
    <mergeCell ref="E2383:F2383"/>
    <mergeCell ref="E2386:F2386"/>
    <mergeCell ref="E2336:F2336"/>
    <mergeCell ref="E2339:F2339"/>
    <mergeCell ref="E2342:F2342"/>
    <mergeCell ref="E2347:F2347"/>
    <mergeCell ref="E2350:F2350"/>
    <mergeCell ref="E2354:F2354"/>
    <mergeCell ref="E2417:F2417"/>
    <mergeCell ref="E2420:F2420"/>
    <mergeCell ref="E2425:F2425"/>
    <mergeCell ref="E2433:F2433"/>
    <mergeCell ref="E2438:F2438"/>
    <mergeCell ref="E2450:F2450"/>
    <mergeCell ref="E2389:F2389"/>
    <mergeCell ref="E2392:F2392"/>
    <mergeCell ref="E2395:F2395"/>
    <mergeCell ref="E2398:F2398"/>
    <mergeCell ref="E2403:F2403"/>
    <mergeCell ref="E2414:F2414"/>
    <mergeCell ref="E2492:F2492"/>
    <mergeCell ref="E2495:F2495"/>
    <mergeCell ref="E2498:F2498"/>
    <mergeCell ref="E2502:F2502"/>
    <mergeCell ref="E2505:F2505"/>
    <mergeCell ref="E2508:F2508"/>
    <mergeCell ref="E2455:F2455"/>
    <mergeCell ref="E2461:F2461"/>
    <mergeCell ref="E2467:F2467"/>
    <mergeCell ref="E2472:F2472"/>
    <mergeCell ref="E2477:F2477"/>
    <mergeCell ref="E2484:F2484"/>
    <mergeCell ref="E2539:F2539"/>
    <mergeCell ref="E2542:F2542"/>
    <mergeCell ref="E2550:F2550"/>
    <mergeCell ref="E2555:F2555"/>
    <mergeCell ref="E2560:F2560"/>
    <mergeCell ref="E2565:F2565"/>
    <mergeCell ref="E2511:F2511"/>
    <mergeCell ref="E2519:F2519"/>
    <mergeCell ref="E2522:F2522"/>
    <mergeCell ref="E2527:F2527"/>
    <mergeCell ref="E2533:F2533"/>
    <mergeCell ref="E2536:F2536"/>
    <mergeCell ref="E2595:F2595"/>
    <mergeCell ref="E2598:F2598"/>
    <mergeCell ref="E2601:F2601"/>
    <mergeCell ref="E2604:F2604"/>
    <mergeCell ref="E2607:F2607"/>
    <mergeCell ref="E2610:F2610"/>
    <mergeCell ref="E2573:F2573"/>
    <mergeCell ref="E2576:F2576"/>
    <mergeCell ref="E2579:F2579"/>
    <mergeCell ref="E2586:F2586"/>
    <mergeCell ref="E2589:F2589"/>
    <mergeCell ref="E2592:F2592"/>
    <mergeCell ref="E2645:F2645"/>
    <mergeCell ref="E2652:F2652"/>
    <mergeCell ref="E2657:F2657"/>
    <mergeCell ref="E2661:F2661"/>
    <mergeCell ref="E2665:F2665"/>
    <mergeCell ref="E2669:F2669"/>
    <mergeCell ref="E2613:F2613"/>
    <mergeCell ref="E2616:F2616"/>
    <mergeCell ref="E2623:F2623"/>
    <mergeCell ref="E2630:F2630"/>
    <mergeCell ref="E2635:F2635"/>
    <mergeCell ref="E2640:F2640"/>
    <mergeCell ref="E2726:F2726"/>
    <mergeCell ref="E2730:F2730"/>
    <mergeCell ref="E2738:F2738"/>
    <mergeCell ref="E2744:F2744"/>
    <mergeCell ref="E2749:F2749"/>
    <mergeCell ref="E2758:F2758"/>
    <mergeCell ref="E2676:F2676"/>
    <mergeCell ref="E2683:F2683"/>
    <mergeCell ref="E2690:F2690"/>
    <mergeCell ref="E2701:F2701"/>
    <mergeCell ref="E2708:F2708"/>
    <mergeCell ref="E2716:F2716"/>
    <mergeCell ref="E2783:F2783"/>
    <mergeCell ref="E2790:F2790"/>
    <mergeCell ref="E2797:F2797"/>
    <mergeCell ref="E2801:F2801"/>
    <mergeCell ref="E2805:F2805"/>
    <mergeCell ref="E2809:F2809"/>
    <mergeCell ref="E2761:F2761"/>
    <mergeCell ref="E2764:F2764"/>
    <mergeCell ref="E2767:F2767"/>
    <mergeCell ref="E2770:F2770"/>
    <mergeCell ref="E2773:F2773"/>
    <mergeCell ref="E2776:F2776"/>
    <mergeCell ref="E2880:F2880"/>
    <mergeCell ref="E2891:F2891"/>
    <mergeCell ref="E2904:F2904"/>
    <mergeCell ref="E2910:F2910"/>
    <mergeCell ref="E2924:F2924"/>
    <mergeCell ref="E2933:F2933"/>
    <mergeCell ref="E2816:F2816"/>
    <mergeCell ref="E2820:F2820"/>
    <mergeCell ref="E2827:F2827"/>
    <mergeCell ref="E2835:F2835"/>
    <mergeCell ref="E2842:F2842"/>
    <mergeCell ref="E2863:F2863"/>
    <mergeCell ref="E2980:F2980"/>
    <mergeCell ref="E2990:F2990"/>
    <mergeCell ref="E2994:F2994"/>
    <mergeCell ref="E2942:F2942"/>
    <mergeCell ref="E2948:F2948"/>
    <mergeCell ref="E2955:F2955"/>
    <mergeCell ref="E2962:F2962"/>
    <mergeCell ref="E2968:F2968"/>
    <mergeCell ref="E2974:F297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T-PRES</vt:lpstr>
      <vt:lpstr>T-APU</vt:lpstr>
      <vt:lpstr>T-SMP</vt:lpstr>
      <vt:lpstr>T-DIM</vt:lpstr>
      <vt:lpstr>'T-PRES'!Área_de_impresión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ramon valls</cp:lastModifiedBy>
  <cp:lastPrinted>2025-12-15T19:05:49Z</cp:lastPrinted>
  <dcterms:created xsi:type="dcterms:W3CDTF">2025-11-29T19:34:04Z</dcterms:created>
  <dcterms:modified xsi:type="dcterms:W3CDTF">2025-12-15T19:07:58Z</dcterms:modified>
</cp:coreProperties>
</file>