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studiarquitecturaramonvalls/Dropbox/2025_LA FABRIQUETA_MASNOU/01_PROJECTE/1.5_Projecte Executiu/1.5_1_Documentació/_OCTUBRE 2025/IV PR/Editables/"/>
    </mc:Choice>
  </mc:AlternateContent>
  <xr:revisionPtr revIDLastSave="0" documentId="13_ncr:1_{3A47A9E4-2939-8F4B-A18B-46B233BADABC}" xr6:coauthVersionLast="47" xr6:coauthVersionMax="47" xr10:uidLastSave="{00000000-0000-0000-0000-000000000000}"/>
  <bookViews>
    <workbookView xWindow="700" yWindow="500" windowWidth="27580" windowHeight="26780" activeTab="3" xr2:uid="{00000000-000D-0000-FFFF-FFFF00000000}"/>
  </bookViews>
  <sheets>
    <sheet name="Resum Pressupost" sheetId="2" r:id="rId1"/>
    <sheet name="Últim full TOTAL" sheetId="5" r:id="rId2"/>
    <sheet name="Últim full OBRA PRINCIPAL" sheetId="3" r:id="rId3"/>
    <sheet name="Últim full TREBALLS ADICIONAL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H91" i="2"/>
  <c r="H34" i="2"/>
  <c r="H13" i="2"/>
  <c r="G83" i="2"/>
  <c r="F3" i="5"/>
  <c r="F15" i="5"/>
  <c r="F15" i="3"/>
  <c r="F14" i="3"/>
  <c r="F3" i="3"/>
  <c r="J100" i="2"/>
  <c r="I100" i="2"/>
  <c r="I94" i="2"/>
  <c r="J91" i="2"/>
  <c r="I91" i="2"/>
  <c r="J34" i="2"/>
  <c r="I34" i="2"/>
  <c r="J69" i="2"/>
  <c r="I69" i="2"/>
  <c r="I75" i="2"/>
  <c r="I72" i="2"/>
  <c r="I82" i="2"/>
  <c r="I81" i="2"/>
  <c r="I80" i="2"/>
  <c r="I79" i="2"/>
  <c r="I78" i="2"/>
  <c r="I77" i="2"/>
  <c r="I76" i="2"/>
  <c r="J85" i="2"/>
  <c r="I85" i="2"/>
  <c r="I87" i="2"/>
  <c r="I86" i="2"/>
  <c r="I74" i="2"/>
  <c r="I73" i="2"/>
  <c r="J66" i="2"/>
  <c r="I66" i="2"/>
  <c r="J65" i="2"/>
  <c r="J64" i="2"/>
  <c r="I64" i="2"/>
  <c r="I61" i="2"/>
  <c r="J58" i="2"/>
  <c r="I58" i="2"/>
  <c r="J57" i="2"/>
  <c r="I57" i="2"/>
  <c r="I51" i="2"/>
  <c r="I45" i="2"/>
  <c r="I41" i="2"/>
  <c r="J37" i="2"/>
  <c r="I37" i="2"/>
  <c r="J35" i="2"/>
  <c r="J31" i="2"/>
  <c r="I31" i="2"/>
  <c r="J33" i="2"/>
  <c r="I33" i="2"/>
  <c r="J32" i="2"/>
  <c r="I32" i="2"/>
  <c r="J28" i="2"/>
  <c r="I28" i="2"/>
  <c r="J30" i="2"/>
  <c r="J29" i="2"/>
  <c r="I29" i="2"/>
  <c r="I14" i="2"/>
  <c r="J13" i="2"/>
  <c r="I13" i="2"/>
  <c r="H72" i="2"/>
  <c r="G72" i="2"/>
  <c r="G47" i="2"/>
  <c r="G37" i="2"/>
  <c r="G24" i="2"/>
  <c r="I23" i="2"/>
  <c r="J8" i="2"/>
  <c r="I8" i="2"/>
  <c r="I12" i="2"/>
  <c r="J9" i="2"/>
  <c r="I9" i="2"/>
  <c r="J3" i="2"/>
  <c r="I3" i="2"/>
  <c r="I4" i="2"/>
  <c r="I5" i="2"/>
  <c r="H31" i="2"/>
  <c r="H28" i="2"/>
  <c r="F4" i="5" l="1"/>
  <c r="F6" i="5" s="1"/>
  <c r="F5" i="5"/>
  <c r="H8" i="2"/>
  <c r="F7" i="5" l="1"/>
  <c r="F8" i="5" s="1"/>
  <c r="F16" i="5" s="1"/>
  <c r="F5" i="3"/>
  <c r="F4" i="3"/>
  <c r="F6" i="3" s="1"/>
  <c r="H75" i="2"/>
  <c r="F7" i="3" l="1"/>
  <c r="F8" i="3" s="1"/>
  <c r="J72" i="2"/>
  <c r="H90" i="2"/>
  <c r="J90" i="2" s="1"/>
  <c r="G75" i="2"/>
  <c r="G85" i="2"/>
  <c r="G69" i="2"/>
  <c r="G66" i="2"/>
  <c r="G61" i="2"/>
  <c r="G58" i="2"/>
  <c r="G51" i="2"/>
  <c r="G45" i="2"/>
  <c r="G41" i="2"/>
  <c r="G15" i="2"/>
  <c r="H85" i="2" l="1"/>
  <c r="H83" i="2"/>
  <c r="H3" i="2"/>
  <c r="K69" i="2" l="1"/>
  <c r="K81" i="2"/>
  <c r="K77" i="2"/>
  <c r="K86" i="2"/>
  <c r="K73" i="2"/>
  <c r="K72" i="2"/>
  <c r="K4" i="2"/>
  <c r="K61" i="2"/>
  <c r="K31" i="2"/>
  <c r="K24" i="2"/>
  <c r="K80" i="2"/>
  <c r="K76" i="2"/>
  <c r="K89" i="2"/>
  <c r="K85" i="2"/>
  <c r="K75" i="2"/>
  <c r="K66" i="2"/>
  <c r="K5" i="2"/>
  <c r="K64" i="2"/>
  <c r="K58" i="2"/>
  <c r="K57" i="2"/>
  <c r="K37" i="2"/>
  <c r="K34" i="2"/>
  <c r="K30" i="2"/>
  <c r="K23" i="2"/>
  <c r="K90" i="2"/>
  <c r="K79" i="2"/>
  <c r="K88" i="2"/>
  <c r="K83" i="2"/>
  <c r="K6" i="2"/>
  <c r="K51" i="2"/>
  <c r="K45" i="2"/>
  <c r="K33" i="2"/>
  <c r="K28" i="2"/>
  <c r="K10" i="2"/>
  <c r="K82" i="2"/>
  <c r="K78" i="2"/>
  <c r="K87" i="2"/>
  <c r="K74" i="2"/>
  <c r="K65" i="2"/>
  <c r="K32" i="2"/>
  <c r="K29" i="2"/>
  <c r="K14" i="2"/>
  <c r="K15" i="2"/>
  <c r="K13" i="2"/>
  <c r="J75" i="2"/>
  <c r="K3" i="2" l="1"/>
  <c r="K8" i="2"/>
  <c r="J93" i="2"/>
  <c r="H92" i="2"/>
  <c r="H93" i="2"/>
  <c r="K91" i="2" l="1"/>
  <c r="F3" i="4"/>
  <c r="F5" i="4" s="1"/>
  <c r="J92" i="2"/>
  <c r="J94" i="2" s="1"/>
  <c r="J95" i="2" s="1"/>
  <c r="J96" i="2" s="1"/>
  <c r="H94" i="2"/>
  <c r="H95" i="2" s="1"/>
  <c r="H96" i="2" s="1"/>
  <c r="H100" i="2" s="1"/>
  <c r="I93" i="2"/>
  <c r="I92" i="2"/>
  <c r="F4" i="4" l="1"/>
  <c r="F6" i="4" s="1"/>
  <c r="F7" i="4" s="1"/>
  <c r="F8" i="4" s="1"/>
  <c r="F15" i="4" s="1"/>
  <c r="I95" i="2"/>
  <c r="I96" i="2" s="1"/>
</calcChain>
</file>

<file path=xl/sharedStrings.xml><?xml version="1.0" encoding="utf-8"?>
<sst xmlns="http://schemas.openxmlformats.org/spreadsheetml/2006/main" count="314" uniqueCount="144">
  <si>
    <t>PR</t>
  </si>
  <si>
    <t>PRESSUPOST REHABILITACiÓ DE LA FABRIQUETA .EL MASNOU</t>
  </si>
  <si>
    <t>Doc</t>
  </si>
  <si>
    <t>Capítol</t>
  </si>
  <si>
    <t>ordre</t>
  </si>
  <si>
    <t>unitat</t>
  </si>
  <si>
    <t>Descripció</t>
  </si>
  <si>
    <t>import subcapítol</t>
  </si>
  <si>
    <t>0</t>
  </si>
  <si>
    <t xml:space="preserve">Treball previs, enderrocs, replanteig i adequació del sòl </t>
  </si>
  <si>
    <t>1</t>
  </si>
  <si>
    <t>Treballs Previs</t>
  </si>
  <si>
    <t>2</t>
  </si>
  <si>
    <t>Enderrocs i Desmuntatges</t>
  </si>
  <si>
    <t>10</t>
  </si>
  <si>
    <t>11</t>
  </si>
  <si>
    <t>12</t>
  </si>
  <si>
    <t>13</t>
  </si>
  <si>
    <t>3</t>
  </si>
  <si>
    <t>Sustentació de l’edifici</t>
  </si>
  <si>
    <t>Sistema estructural</t>
  </si>
  <si>
    <t>Estructura</t>
  </si>
  <si>
    <t>4</t>
  </si>
  <si>
    <t>Escales i Rampes</t>
  </si>
  <si>
    <t xml:space="preserve">Sistema Envolupant i Acabats Exteriors </t>
  </si>
  <si>
    <t>Elements en contacte amb el terreny i Protecció radó</t>
  </si>
  <si>
    <t xml:space="preserve">Façanes </t>
  </si>
  <si>
    <t>Cobertes</t>
  </si>
  <si>
    <t>6</t>
  </si>
  <si>
    <t>5</t>
  </si>
  <si>
    <t>Sistema d’acabats interiors</t>
  </si>
  <si>
    <t>Paviments</t>
  </si>
  <si>
    <t>Sistema de Condicionament · Instal·lacions · Serveis</t>
  </si>
  <si>
    <t>Transport</t>
  </si>
  <si>
    <t xml:space="preserve">Recollida, evacuació i tractament de residus </t>
  </si>
  <si>
    <t xml:space="preserve">Instal·lació de subministrament d’aigua </t>
  </si>
  <si>
    <t xml:space="preserve">Evacuació d’Aigües </t>
  </si>
  <si>
    <t>Instal·lacions tèrmiques. Climatització · Ventilació</t>
  </si>
  <si>
    <t xml:space="preserve">Instal·lació elèctrica </t>
  </si>
  <si>
    <t>Distribució</t>
  </si>
  <si>
    <t>7</t>
  </si>
  <si>
    <t>Instal·lacions d’enllumenat</t>
  </si>
  <si>
    <t>8</t>
  </si>
  <si>
    <t>Sistemes de producció amb energies renovables</t>
  </si>
  <si>
    <t>9</t>
  </si>
  <si>
    <t xml:space="preserve">TIC Tecnologies de la informació </t>
  </si>
  <si>
    <t xml:space="preserve">Instal·lacions de protecció contra incendis </t>
  </si>
  <si>
    <t xml:space="preserve">Protecció al llamp </t>
  </si>
  <si>
    <t xml:space="preserve">Protecció i seguretat </t>
  </si>
  <si>
    <t>Control i gestió de l’edifici</t>
  </si>
  <si>
    <t xml:space="preserve">Equipament </t>
  </si>
  <si>
    <t>Mobiliari</t>
  </si>
  <si>
    <t xml:space="preserve">Espais exteriors </t>
  </si>
  <si>
    <t xml:space="preserve">Elements de fonamentació, contenció i estructurals </t>
  </si>
  <si>
    <t>Tancaments i Protecció</t>
  </si>
  <si>
    <t>Jardineria</t>
  </si>
  <si>
    <t>Mobiliari urbà</t>
  </si>
  <si>
    <t>Altres</t>
  </si>
  <si>
    <t>GR</t>
  </si>
  <si>
    <t>Gestió de Residus</t>
  </si>
  <si>
    <t>SS</t>
  </si>
  <si>
    <t>Seguretat i Salut</t>
  </si>
  <si>
    <t>PEM</t>
  </si>
  <si>
    <t>Pressupost d’execució material</t>
  </si>
  <si>
    <t>DG</t>
  </si>
  <si>
    <t>13%</t>
  </si>
  <si>
    <t>BI</t>
  </si>
  <si>
    <t>6%</t>
  </si>
  <si>
    <t>PEC</t>
  </si>
  <si>
    <t>Sense iva</t>
  </si>
  <si>
    <t>Pressupost de contracte sense iva</t>
  </si>
  <si>
    <t>IVA</t>
  </si>
  <si>
    <t>21%</t>
  </si>
  <si>
    <t xml:space="preserve">PEC </t>
  </si>
  <si>
    <t>amb IVA</t>
  </si>
  <si>
    <t>PRESSUPOST DE CONTRACTE Amb IVA</t>
  </si>
  <si>
    <t>Total</t>
  </si>
  <si>
    <t>Document</t>
  </si>
  <si>
    <t>Import</t>
  </si>
  <si>
    <t>PCA</t>
  </si>
  <si>
    <t>CQ</t>
  </si>
  <si>
    <t>Control de Qualitat</t>
  </si>
  <si>
    <t>PRESSUPOST PER A CONEIXEMENT DE L’ADMINISTRACIÓ</t>
  </si>
  <si>
    <t>Adequació del sòl. Moviment de Terres</t>
  </si>
  <si>
    <t>Façana Bonaventura Bassegoda</t>
  </si>
  <si>
    <t>Façana Carrer Joan Roig</t>
  </si>
  <si>
    <t>Façana carrer Santa Ana</t>
  </si>
  <si>
    <t>Façana carrer santa Ana Interior</t>
  </si>
  <si>
    <t xml:space="preserve">Façana Caseta </t>
  </si>
  <si>
    <t>Façana Pati Interior</t>
  </si>
  <si>
    <t>Varis  façanes</t>
  </si>
  <si>
    <t>Fusteria de fusta</t>
  </si>
  <si>
    <t>Fusteria metàl·lica</t>
  </si>
  <si>
    <t>Fusteries interiors</t>
  </si>
  <si>
    <t>Revestiments i Pintures</t>
  </si>
  <si>
    <t>Valvuleria</t>
  </si>
  <si>
    <t>Aparells sanitaris</t>
  </si>
  <si>
    <t>Petita evacuació</t>
  </si>
  <si>
    <t>Varis</t>
  </si>
  <si>
    <t>Terra radiant</t>
  </si>
  <si>
    <t>Ventilació</t>
  </si>
  <si>
    <t>01 Equips</t>
  </si>
  <si>
    <t>02 Distribució</t>
  </si>
  <si>
    <t>03 Difusió</t>
  </si>
  <si>
    <t>Posta a Terra</t>
  </si>
  <si>
    <t>Mecanismes</t>
  </si>
  <si>
    <t>Quadres</t>
  </si>
  <si>
    <t>Documentació</t>
  </si>
  <si>
    <t>Fotovoltaica</t>
  </si>
  <si>
    <t>Producció calefacció +ACS</t>
  </si>
  <si>
    <t>Veu i Dades</t>
  </si>
  <si>
    <t>Video porter i Control d'accés</t>
  </si>
  <si>
    <t>Intrussió</t>
  </si>
  <si>
    <t>Il·luminació</t>
  </si>
  <si>
    <t>Instal·lació de reg</t>
  </si>
  <si>
    <t>Ajudes</t>
  </si>
  <si>
    <t>Residus d'Enderroc</t>
  </si>
  <si>
    <t>Residus d'Excavació</t>
  </si>
  <si>
    <t>Residus  de Construcció</t>
  </si>
  <si>
    <t>Residus Especials</t>
  </si>
  <si>
    <t>Fonamentació</t>
  </si>
  <si>
    <t>Altres elements estrcturals</t>
  </si>
  <si>
    <t>TOTAL</t>
  </si>
  <si>
    <t>OBRA PRINCIPAL</t>
  </si>
  <si>
    <t>TREBALLS ADICIONALS</t>
  </si>
  <si>
    <t>2/3</t>
  </si>
  <si>
    <t>Fusteries Exteriors</t>
  </si>
  <si>
    <t>Reixes</t>
  </si>
  <si>
    <t>Sistema de Compartimentació Interior</t>
  </si>
  <si>
    <t>Paraments Verticals interiors</t>
  </si>
  <si>
    <t>Treballs Previs, moviment de terres i adequació del terreny</t>
  </si>
  <si>
    <t>%</t>
  </si>
  <si>
    <t>Cap</t>
  </si>
  <si>
    <t xml:space="preserve">CQ       </t>
  </si>
  <si>
    <t xml:space="preserve">PEC    </t>
  </si>
  <si>
    <r>
      <t xml:space="preserve">PRESSUPOST DE CONTRACTE </t>
    </r>
    <r>
      <rPr>
        <b/>
        <i/>
        <sz val="10"/>
        <color rgb="FF000000"/>
        <rFont val="Arial"/>
        <family val="2"/>
      </rPr>
      <t>amb IVA</t>
    </r>
  </si>
  <si>
    <r>
      <t xml:space="preserve">Pressupost de contracte </t>
    </r>
    <r>
      <rPr>
        <b/>
        <i/>
        <sz val="10"/>
        <color rgb="FF000000"/>
        <rFont val="Arial"/>
        <family val="2"/>
      </rPr>
      <t>sense IVA</t>
    </r>
  </si>
  <si>
    <t>Accessoris i Complements de Banys</t>
  </si>
  <si>
    <t>3898,85</t>
  </si>
  <si>
    <t>966,63</t>
  </si>
  <si>
    <t>AL</t>
  </si>
  <si>
    <t>ALTRES</t>
  </si>
  <si>
    <t>CONJUNT</t>
  </si>
  <si>
    <t>Altres Companyies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</si>
</sst>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indexed="8"/>
      <name val="Helvetica Neue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theme="3"/>
      <name val="Arial"/>
      <family val="2"/>
    </font>
    <font>
      <sz val="10"/>
      <color indexed="8"/>
      <name val="Helvetica Neue"/>
      <family val="2"/>
    </font>
    <font>
      <sz val="10"/>
      <color theme="3"/>
      <name val="Helvetica Neue"/>
      <family val="2"/>
    </font>
    <font>
      <i/>
      <sz val="8"/>
      <color theme="3"/>
      <name val="Arial"/>
      <family val="2"/>
    </font>
    <font>
      <sz val="10"/>
      <color indexed="8"/>
      <name val="Helvetica Neue"/>
      <family val="2"/>
    </font>
    <font>
      <sz val="10"/>
      <color theme="1"/>
      <name val="Helvetica Neue"/>
      <family val="2"/>
    </font>
    <font>
      <b/>
      <sz val="10"/>
      <color indexed="8"/>
      <name val="Helvetica Neue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0"/>
      <color theme="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10" fillId="0" borderId="0" applyFont="0" applyFill="0" applyBorder="0" applyAlignment="0" applyProtection="0"/>
  </cellStyleXfs>
  <cellXfs count="8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0" borderId="1" xfId="0" applyNumberFormat="1" applyFont="1" applyBorder="1">
      <alignment vertical="top" wrapText="1"/>
    </xf>
    <xf numFmtId="49" fontId="2" fillId="0" borderId="2" xfId="0" applyNumberFormat="1" applyFont="1" applyBorder="1">
      <alignment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4" fillId="0" borderId="2" xfId="0" applyNumberFormat="1" applyFont="1" applyBorder="1">
      <alignment vertical="top" wrapText="1"/>
    </xf>
    <xf numFmtId="49" fontId="1" fillId="0" borderId="2" xfId="0" applyNumberFormat="1" applyFont="1" applyBorder="1">
      <alignment vertical="top" wrapText="1"/>
    </xf>
    <xf numFmtId="0" fontId="4" fillId="0" borderId="2" xfId="0" applyFont="1" applyBorder="1">
      <alignment vertical="top" wrapText="1"/>
    </xf>
    <xf numFmtId="0" fontId="5" fillId="0" borderId="2" xfId="0" applyFont="1" applyBorder="1">
      <alignment vertical="top" wrapText="1"/>
    </xf>
    <xf numFmtId="4" fontId="4" fillId="0" borderId="2" xfId="0" applyNumberFormat="1" applyFont="1" applyBorder="1">
      <alignment vertical="top" wrapText="1"/>
    </xf>
    <xf numFmtId="0" fontId="4" fillId="0" borderId="3" xfId="0" applyFont="1" applyBorder="1">
      <alignment vertical="top" wrapText="1"/>
    </xf>
    <xf numFmtId="49" fontId="4" fillId="0" borderId="3" xfId="0" applyNumberFormat="1" applyFont="1" applyBorder="1">
      <alignment vertical="top" wrapText="1"/>
    </xf>
    <xf numFmtId="4" fontId="0" fillId="0" borderId="0" xfId="0" applyNumberFormat="1">
      <alignment vertical="top" wrapText="1"/>
    </xf>
    <xf numFmtId="4" fontId="6" fillId="0" borderId="2" xfId="0" applyNumberFormat="1" applyFont="1" applyBorder="1">
      <alignment vertical="top" wrapText="1"/>
    </xf>
    <xf numFmtId="0" fontId="7" fillId="0" borderId="0" xfId="0" applyNumberFormat="1" applyFont="1">
      <alignment vertical="top" wrapText="1"/>
    </xf>
    <xf numFmtId="4" fontId="6" fillId="0" borderId="3" xfId="0" applyNumberFormat="1" applyFont="1" applyBorder="1">
      <alignment vertical="top" wrapText="1"/>
    </xf>
    <xf numFmtId="0" fontId="8" fillId="0" borderId="0" xfId="0" applyNumberFormat="1" applyFont="1">
      <alignment vertical="top" wrapText="1"/>
    </xf>
    <xf numFmtId="49" fontId="9" fillId="0" borderId="2" xfId="0" applyNumberFormat="1" applyFont="1" applyBorder="1" applyAlignment="1">
      <alignment horizontal="right" vertical="top" wrapText="1"/>
    </xf>
    <xf numFmtId="0" fontId="6" fillId="0" borderId="2" xfId="0" applyFont="1" applyBorder="1">
      <alignment vertical="top" wrapText="1"/>
    </xf>
    <xf numFmtId="0" fontId="6" fillId="0" borderId="1" xfId="0" applyFont="1" applyBorder="1" applyAlignment="1">
      <alignment horizontal="right" vertical="top" wrapText="1"/>
    </xf>
    <xf numFmtId="49" fontId="4" fillId="0" borderId="4" xfId="0" applyNumberFormat="1" applyFont="1" applyBorder="1">
      <alignment vertical="top" wrapText="1"/>
    </xf>
    <xf numFmtId="0" fontId="0" fillId="0" borderId="4" xfId="0" applyBorder="1">
      <alignment vertical="top" wrapText="1"/>
    </xf>
    <xf numFmtId="4" fontId="1" fillId="0" borderId="4" xfId="0" applyNumberFormat="1" applyFont="1" applyBorder="1">
      <alignment vertical="top" wrapText="1"/>
    </xf>
    <xf numFmtId="49" fontId="1" fillId="0" borderId="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right" vertical="top" wrapText="1"/>
    </xf>
    <xf numFmtId="49" fontId="2" fillId="0" borderId="4" xfId="0" applyNumberFormat="1" applyFont="1" applyBorder="1">
      <alignment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right" vertical="top" wrapText="1"/>
    </xf>
    <xf numFmtId="4" fontId="6" fillId="0" borderId="4" xfId="0" applyNumberFormat="1" applyFont="1" applyBorder="1">
      <alignment vertical="top" wrapText="1"/>
    </xf>
    <xf numFmtId="49" fontId="4" fillId="0" borderId="4" xfId="0" applyNumberFormat="1" applyFont="1" applyBorder="1" applyAlignment="1">
      <alignment horizontal="left" vertical="top" wrapText="1" readingOrder="1"/>
    </xf>
    <xf numFmtId="49" fontId="1" fillId="0" borderId="4" xfId="0" applyNumberFormat="1" applyFont="1" applyBorder="1">
      <alignment vertical="top" wrapText="1"/>
    </xf>
    <xf numFmtId="4" fontId="4" fillId="0" borderId="4" xfId="0" applyNumberFormat="1" applyFont="1" applyBorder="1">
      <alignment vertical="top" wrapText="1"/>
    </xf>
    <xf numFmtId="0" fontId="4" fillId="0" borderId="4" xfId="0" applyFont="1" applyBorder="1">
      <alignment vertical="top" wrapText="1"/>
    </xf>
    <xf numFmtId="0" fontId="1" fillId="0" borderId="4" xfId="0" applyFont="1" applyBorder="1">
      <alignment vertical="top" wrapText="1"/>
    </xf>
    <xf numFmtId="49" fontId="1" fillId="0" borderId="4" xfId="0" applyNumberFormat="1" applyFont="1" applyFill="1" applyBorder="1">
      <alignment vertical="top" wrapText="1"/>
    </xf>
    <xf numFmtId="4" fontId="0" fillId="0" borderId="4" xfId="0" applyNumberFormat="1" applyBorder="1">
      <alignment vertical="top" wrapText="1"/>
    </xf>
    <xf numFmtId="0" fontId="7" fillId="0" borderId="4" xfId="0" applyFont="1" applyBorder="1">
      <alignment vertical="top" wrapText="1"/>
    </xf>
    <xf numFmtId="4" fontId="1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 wrapText="1"/>
    </xf>
    <xf numFmtId="0" fontId="5" fillId="0" borderId="4" xfId="0" applyFont="1" applyBorder="1">
      <alignment vertical="top" wrapText="1"/>
    </xf>
    <xf numFmtId="0" fontId="0" fillId="0" borderId="4" xfId="0" applyNumberFormat="1" applyBorder="1">
      <alignment vertical="top" wrapText="1"/>
    </xf>
    <xf numFmtId="49" fontId="14" fillId="0" borderId="4" xfId="0" applyNumberFormat="1" applyFont="1" applyBorder="1">
      <alignment vertical="top" wrapText="1"/>
    </xf>
    <xf numFmtId="0" fontId="16" fillId="0" borderId="4" xfId="0" applyFont="1" applyBorder="1">
      <alignment vertical="top" wrapText="1"/>
    </xf>
    <xf numFmtId="49" fontId="16" fillId="0" borderId="4" xfId="0" applyNumberFormat="1" applyFont="1" applyBorder="1">
      <alignment vertical="top" wrapText="1"/>
    </xf>
    <xf numFmtId="4" fontId="6" fillId="0" borderId="4" xfId="0" applyNumberFormat="1" applyFont="1" applyBorder="1" applyAlignment="1">
      <alignment horizontal="right" vertical="top" wrapText="1"/>
    </xf>
    <xf numFmtId="0" fontId="8" fillId="0" borderId="0" xfId="0" applyNumberFormat="1" applyFont="1" applyAlignment="1">
      <alignment horizontal="right" vertical="top" wrapText="1"/>
    </xf>
    <xf numFmtId="10" fontId="6" fillId="0" borderId="4" xfId="1" applyNumberFormat="1" applyFont="1" applyBorder="1" applyAlignment="1">
      <alignment horizontal="right" vertical="top" wrapText="1"/>
    </xf>
    <xf numFmtId="10" fontId="6" fillId="0" borderId="4" xfId="1" applyNumberFormat="1" applyFont="1" applyBorder="1" applyAlignment="1">
      <alignment vertical="top" wrapText="1"/>
    </xf>
    <xf numFmtId="10" fontId="18" fillId="0" borderId="4" xfId="1" applyNumberFormat="1" applyFont="1" applyBorder="1" applyAlignment="1">
      <alignment vertical="top" wrapText="1"/>
    </xf>
    <xf numFmtId="10" fontId="8" fillId="0" borderId="0" xfId="1" applyNumberFormat="1" applyFont="1" applyAlignment="1">
      <alignment vertical="top" wrapText="1"/>
    </xf>
    <xf numFmtId="4" fontId="19" fillId="0" borderId="4" xfId="0" applyNumberFormat="1" applyFont="1" applyBorder="1">
      <alignment vertical="top" wrapText="1"/>
    </xf>
    <xf numFmtId="10" fontId="17" fillId="0" borderId="4" xfId="1" applyNumberFormat="1" applyFont="1" applyBorder="1" applyAlignment="1">
      <alignment vertical="top" wrapText="1"/>
    </xf>
    <xf numFmtId="49" fontId="4" fillId="2" borderId="4" xfId="0" applyNumberFormat="1" applyFont="1" applyFill="1" applyBorder="1">
      <alignment vertical="top" wrapText="1"/>
    </xf>
    <xf numFmtId="49" fontId="1" fillId="2" borderId="4" xfId="0" applyNumberFormat="1" applyFont="1" applyFill="1" applyBorder="1">
      <alignment vertical="top" wrapText="1"/>
    </xf>
    <xf numFmtId="4" fontId="1" fillId="2" borderId="4" xfId="0" applyNumberFormat="1" applyFont="1" applyFill="1" applyBorder="1">
      <alignment vertical="top" wrapText="1"/>
    </xf>
    <xf numFmtId="4" fontId="4" fillId="2" borderId="4" xfId="0" applyNumberFormat="1" applyFont="1" applyFill="1" applyBorder="1">
      <alignment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>
      <alignment vertical="top" wrapText="1"/>
    </xf>
    <xf numFmtId="10" fontId="19" fillId="2" borderId="4" xfId="1" applyNumberFormat="1" applyFont="1" applyFill="1" applyBorder="1" applyAlignment="1">
      <alignment vertical="top" wrapText="1"/>
    </xf>
    <xf numFmtId="10" fontId="6" fillId="2" borderId="4" xfId="1" applyNumberFormat="1" applyFont="1" applyFill="1" applyBorder="1" applyAlignment="1">
      <alignment vertical="top" wrapText="1"/>
    </xf>
    <xf numFmtId="10" fontId="13" fillId="0" borderId="5" xfId="0" applyNumberFormat="1" applyFont="1" applyBorder="1">
      <alignment vertical="top" wrapText="1"/>
    </xf>
    <xf numFmtId="10" fontId="11" fillId="0" borderId="0" xfId="1" applyNumberFormat="1" applyFont="1" applyAlignment="1">
      <alignment vertical="top" wrapText="1"/>
    </xf>
    <xf numFmtId="10" fontId="13" fillId="0" borderId="0" xfId="0" applyNumberFormat="1" applyFont="1" applyBorder="1">
      <alignment vertical="top" wrapText="1"/>
    </xf>
    <xf numFmtId="4" fontId="6" fillId="2" borderId="4" xfId="0" applyNumberFormat="1" applyFont="1" applyFill="1" applyBorder="1">
      <alignment vertical="top" wrapText="1"/>
    </xf>
    <xf numFmtId="4" fontId="1" fillId="2" borderId="4" xfId="0" applyNumberFormat="1" applyFont="1" applyFill="1" applyBorder="1" applyAlignment="1">
      <alignment horizontal="right" vertical="top" wrapText="1"/>
    </xf>
    <xf numFmtId="4" fontId="4" fillId="2" borderId="4" xfId="0" applyNumberFormat="1" applyFont="1" applyFill="1" applyBorder="1" applyAlignment="1">
      <alignment horizontal="right" vertical="top" wrapText="1"/>
    </xf>
    <xf numFmtId="4" fontId="0" fillId="2" borderId="4" xfId="0" applyNumberFormat="1" applyFill="1" applyBorder="1">
      <alignment vertical="top" wrapText="1"/>
    </xf>
    <xf numFmtId="49" fontId="4" fillId="0" borderId="1" xfId="0" applyNumberFormat="1" applyFont="1" applyBorder="1">
      <alignment vertical="top" wrapText="1"/>
    </xf>
    <xf numFmtId="0" fontId="4" fillId="0" borderId="1" xfId="0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0" fillId="0" borderId="0" xfId="0" applyNumberFormat="1" applyBorder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49" fontId="4" fillId="0" borderId="4" xfId="0" applyNumberFormat="1" applyFont="1" applyBorder="1">
      <alignment vertical="top" wrapText="1"/>
    </xf>
    <xf numFmtId="0" fontId="12" fillId="0" borderId="4" xfId="0" applyFont="1" applyBorder="1">
      <alignment vertical="top" wrapText="1"/>
    </xf>
    <xf numFmtId="0" fontId="4" fillId="0" borderId="2" xfId="0" applyFont="1" applyBorder="1">
      <alignment vertical="top" wrapText="1"/>
    </xf>
    <xf numFmtId="0" fontId="0" fillId="0" borderId="2" xfId="0" applyBorder="1">
      <alignment vertical="top" wrapText="1"/>
    </xf>
    <xf numFmtId="49" fontId="4" fillId="0" borderId="2" xfId="0" applyNumberFormat="1" applyFont="1" applyBorder="1">
      <alignment vertical="top" wrapText="1"/>
    </xf>
    <xf numFmtId="49" fontId="4" fillId="0" borderId="1" xfId="0" applyNumberFormat="1" applyFont="1" applyBorder="1">
      <alignment vertical="top" wrapText="1"/>
    </xf>
    <xf numFmtId="0" fontId="12" fillId="0" borderId="1" xfId="0" applyFont="1" applyBorder="1">
      <alignment vertical="top" wrapText="1"/>
    </xf>
    <xf numFmtId="0" fontId="4" fillId="0" borderId="3" xfId="0" applyFont="1" applyBorder="1">
      <alignment vertical="top" wrapText="1"/>
    </xf>
    <xf numFmtId="0" fontId="0" fillId="0" borderId="3" xfId="0" applyBorder="1">
      <alignment vertical="top" wrapText="1"/>
    </xf>
    <xf numFmtId="49" fontId="1" fillId="0" borderId="1" xfId="0" applyNumberFormat="1" applyFont="1" applyBorder="1">
      <alignment vertical="top" wrapText="1"/>
    </xf>
    <xf numFmtId="0" fontId="0" fillId="0" borderId="1" xfId="0" applyBorder="1">
      <alignment vertical="top" wrapText="1"/>
    </xf>
    <xf numFmtId="4" fontId="12" fillId="0" borderId="4" xfId="0" applyNumberFormat="1" applyFont="1" applyBorder="1">
      <alignment vertical="top" wrapText="1"/>
    </xf>
  </cellXfs>
  <cellStyles count="2">
    <cellStyle name="Normal" xfId="0" builtinId="0"/>
    <cellStyle name="Porcentaj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showGridLines="0" topLeftCell="A82" workbookViewId="0">
      <selection activeCell="H92" sqref="H92"/>
    </sheetView>
  </sheetViews>
  <sheetFormatPr baseColWidth="10" defaultColWidth="16.33203125" defaultRowHeight="20" customHeight="1" x14ac:dyDescent="0.15"/>
  <cols>
    <col min="1" max="1" width="5" style="1" customWidth="1"/>
    <col min="2" max="3" width="3.83203125" style="1" customWidth="1"/>
    <col min="4" max="4" width="3.83203125" style="16" customWidth="1"/>
    <col min="5" max="5" width="50" style="1" customWidth="1"/>
    <col min="6" max="9" width="12.83203125" style="1" customWidth="1"/>
    <col min="10" max="10" width="12.83203125" style="49" customWidth="1"/>
    <col min="11" max="11" width="7.83203125" style="53" customWidth="1"/>
    <col min="12" max="12" width="21.1640625" style="1" customWidth="1"/>
    <col min="13" max="16384" width="16.33203125" style="1"/>
  </cols>
  <sheetData>
    <row r="1" spans="1:11" ht="25" customHeight="1" x14ac:dyDescent="0.15">
      <c r="A1" s="22" t="s">
        <v>0</v>
      </c>
      <c r="B1" s="76" t="s">
        <v>1</v>
      </c>
      <c r="C1" s="77"/>
      <c r="D1" s="77"/>
      <c r="E1" s="77"/>
      <c r="F1" s="23"/>
      <c r="G1" s="24"/>
      <c r="H1" s="25" t="s">
        <v>122</v>
      </c>
      <c r="I1" s="26" t="s">
        <v>123</v>
      </c>
      <c r="J1" s="27" t="s">
        <v>124</v>
      </c>
      <c r="K1" s="50" t="s">
        <v>131</v>
      </c>
    </row>
    <row r="2" spans="1:11" ht="26" customHeight="1" x14ac:dyDescent="0.15">
      <c r="A2" s="28" t="s">
        <v>77</v>
      </c>
      <c r="B2" s="29" t="s">
        <v>132</v>
      </c>
      <c r="C2" s="29" t="s">
        <v>4</v>
      </c>
      <c r="D2" s="30" t="s">
        <v>5</v>
      </c>
      <c r="E2" s="29" t="s">
        <v>6</v>
      </c>
      <c r="F2" s="29"/>
      <c r="G2" s="31" t="s">
        <v>7</v>
      </c>
      <c r="H2" s="23"/>
      <c r="I2" s="23"/>
      <c r="J2" s="48"/>
      <c r="K2" s="51"/>
    </row>
    <row r="3" spans="1:11" ht="19.25" customHeight="1" x14ac:dyDescent="0.15">
      <c r="A3" s="33" t="s">
        <v>0</v>
      </c>
      <c r="B3" s="56" t="s">
        <v>8</v>
      </c>
      <c r="C3" s="56"/>
      <c r="D3" s="57"/>
      <c r="E3" s="56" t="s">
        <v>9</v>
      </c>
      <c r="F3" s="56"/>
      <c r="G3" s="58"/>
      <c r="H3" s="59">
        <f>G4+G5+G6</f>
        <v>68830.559999999998</v>
      </c>
      <c r="I3" s="59">
        <f>I4+I5+I6</f>
        <v>67739.25</v>
      </c>
      <c r="J3" s="60">
        <f>J6</f>
        <v>1091.31</v>
      </c>
      <c r="K3" s="62">
        <f>H3/H91</f>
        <v>5.9097394117186043E-2</v>
      </c>
    </row>
    <row r="4" spans="1:11" ht="19.25" customHeight="1" x14ac:dyDescent="0.15">
      <c r="A4" s="36"/>
      <c r="B4" s="37"/>
      <c r="C4" s="22" t="s">
        <v>10</v>
      </c>
      <c r="D4" s="34"/>
      <c r="E4" s="22" t="s">
        <v>11</v>
      </c>
      <c r="F4" s="22"/>
      <c r="G4" s="35">
        <v>1792.51</v>
      </c>
      <c r="H4" s="24"/>
      <c r="I4" s="35">
        <f>G4</f>
        <v>1792.51</v>
      </c>
      <c r="J4" s="48"/>
      <c r="K4" s="55">
        <f>G4/H91</f>
        <v>1.5390354216062916E-3</v>
      </c>
    </row>
    <row r="5" spans="1:11" ht="19.25" customHeight="1" x14ac:dyDescent="0.15">
      <c r="A5" s="36"/>
      <c r="B5" s="36"/>
      <c r="C5" s="22" t="s">
        <v>12</v>
      </c>
      <c r="D5" s="34"/>
      <c r="E5" s="22" t="s">
        <v>13</v>
      </c>
      <c r="F5" s="22"/>
      <c r="G5" s="35">
        <v>60409.17</v>
      </c>
      <c r="H5" s="24"/>
      <c r="I5" s="35">
        <f>G5</f>
        <v>60409.17</v>
      </c>
      <c r="J5" s="48"/>
      <c r="K5" s="52">
        <f>G5/H91</f>
        <v>5.186685285986474E-2</v>
      </c>
    </row>
    <row r="6" spans="1:11" ht="19.25" customHeight="1" x14ac:dyDescent="0.15">
      <c r="A6" s="36"/>
      <c r="B6" s="22"/>
      <c r="C6" s="22" t="s">
        <v>18</v>
      </c>
      <c r="D6" s="34"/>
      <c r="E6" s="22" t="s">
        <v>83</v>
      </c>
      <c r="F6" s="22"/>
      <c r="G6" s="35">
        <v>6628.88</v>
      </c>
      <c r="H6" s="24"/>
      <c r="I6" s="35">
        <v>5537.57</v>
      </c>
      <c r="J6" s="48">
        <v>1091.31</v>
      </c>
      <c r="K6" s="52">
        <f>G6/H91</f>
        <v>5.6915058357150114E-3</v>
      </c>
    </row>
    <row r="7" spans="1:11" ht="19.25" customHeight="1" x14ac:dyDescent="0.15">
      <c r="A7" s="36"/>
      <c r="B7" s="22" t="s">
        <v>10</v>
      </c>
      <c r="C7" s="22"/>
      <c r="D7" s="34"/>
      <c r="E7" s="22" t="s">
        <v>19</v>
      </c>
      <c r="F7" s="22"/>
      <c r="G7" s="24"/>
      <c r="H7" s="24"/>
      <c r="I7" s="35"/>
      <c r="J7" s="48"/>
      <c r="K7" s="51"/>
    </row>
    <row r="8" spans="1:11" ht="19.25" customHeight="1" x14ac:dyDescent="0.15">
      <c r="A8" s="36"/>
      <c r="B8" s="56" t="s">
        <v>12</v>
      </c>
      <c r="C8" s="56"/>
      <c r="D8" s="57"/>
      <c r="E8" s="56" t="s">
        <v>20</v>
      </c>
      <c r="F8" s="56"/>
      <c r="G8" s="58"/>
      <c r="H8" s="59">
        <f>G9+G10+G11+G12</f>
        <v>76736.94</v>
      </c>
      <c r="I8" s="59">
        <f>I9+I10+I11+I12</f>
        <v>32178.240000000002</v>
      </c>
      <c r="J8" s="60">
        <f>J9+J10+J11</f>
        <v>44558.700000000004</v>
      </c>
      <c r="K8" s="62">
        <f>H8/H91</f>
        <v>6.5885751714454432E-2</v>
      </c>
    </row>
    <row r="9" spans="1:11" ht="19.25" customHeight="1" x14ac:dyDescent="0.15">
      <c r="A9" s="36"/>
      <c r="B9" s="22"/>
      <c r="C9" s="22" t="s">
        <v>10</v>
      </c>
      <c r="D9" s="34"/>
      <c r="E9" s="22" t="s">
        <v>120</v>
      </c>
      <c r="F9" s="22"/>
      <c r="G9" s="54">
        <v>10781.22</v>
      </c>
      <c r="H9" s="24"/>
      <c r="I9" s="35">
        <f>8147.42</f>
        <v>8147.42</v>
      </c>
      <c r="J9" s="48">
        <f>2633.8</f>
        <v>2633.8</v>
      </c>
      <c r="K9" s="51"/>
    </row>
    <row r="10" spans="1:11" ht="19.25" customHeight="1" x14ac:dyDescent="0.15">
      <c r="A10" s="36"/>
      <c r="B10" s="22"/>
      <c r="C10" s="22" t="s">
        <v>125</v>
      </c>
      <c r="D10" s="34"/>
      <c r="E10" s="22" t="s">
        <v>21</v>
      </c>
      <c r="F10" s="22"/>
      <c r="G10" s="54">
        <v>53145.56</v>
      </c>
      <c r="H10" s="24"/>
      <c r="I10" s="35">
        <v>12494.17</v>
      </c>
      <c r="J10" s="48">
        <v>40651.39</v>
      </c>
      <c r="K10" s="55">
        <f>G10/H91</f>
        <v>4.5630372684728381E-2</v>
      </c>
    </row>
    <row r="11" spans="1:11" ht="19.25" customHeight="1" x14ac:dyDescent="0.15">
      <c r="A11" s="36"/>
      <c r="B11" s="22"/>
      <c r="C11" s="22" t="s">
        <v>22</v>
      </c>
      <c r="D11" s="34"/>
      <c r="E11" s="22" t="s">
        <v>23</v>
      </c>
      <c r="F11" s="22"/>
      <c r="G11" s="54">
        <v>2321.62</v>
      </c>
      <c r="H11" s="24"/>
      <c r="I11" s="35">
        <v>1048.1099999999999</v>
      </c>
      <c r="J11" s="48">
        <v>1273.51</v>
      </c>
      <c r="K11" s="51"/>
    </row>
    <row r="12" spans="1:11" ht="19.25" customHeight="1" x14ac:dyDescent="0.15">
      <c r="A12" s="36"/>
      <c r="B12" s="22"/>
      <c r="C12" s="22" t="s">
        <v>29</v>
      </c>
      <c r="D12" s="34"/>
      <c r="E12" s="22" t="s">
        <v>121</v>
      </c>
      <c r="F12" s="22"/>
      <c r="G12" s="54">
        <v>10488.54</v>
      </c>
      <c r="H12" s="24"/>
      <c r="I12" s="35">
        <f>G12</f>
        <v>10488.54</v>
      </c>
      <c r="J12" s="48"/>
      <c r="K12" s="51"/>
    </row>
    <row r="13" spans="1:11" ht="19.25" customHeight="1" x14ac:dyDescent="0.15">
      <c r="A13" s="61"/>
      <c r="B13" s="56" t="s">
        <v>18</v>
      </c>
      <c r="C13" s="56"/>
      <c r="D13" s="57"/>
      <c r="E13" s="56" t="s">
        <v>24</v>
      </c>
      <c r="F13" s="56"/>
      <c r="G13" s="58"/>
      <c r="H13" s="59">
        <f>G14+G15+G23+G24</f>
        <v>430299.03</v>
      </c>
      <c r="I13" s="59">
        <f>218481.17</f>
        <v>218481.17</v>
      </c>
      <c r="J13" s="60">
        <f>211817.86</f>
        <v>211817.86</v>
      </c>
      <c r="K13" s="62">
        <f>H13/H91</f>
        <v>0.36945146696689468</v>
      </c>
    </row>
    <row r="14" spans="1:11" ht="19.25" customHeight="1" x14ac:dyDescent="0.15">
      <c r="A14" s="36"/>
      <c r="B14" s="22"/>
      <c r="C14" s="22" t="s">
        <v>10</v>
      </c>
      <c r="D14" s="34"/>
      <c r="E14" s="22" t="s">
        <v>25</v>
      </c>
      <c r="F14" s="22"/>
      <c r="G14" s="35">
        <v>22226.6</v>
      </c>
      <c r="H14" s="24"/>
      <c r="I14" s="35">
        <f>13356.15</f>
        <v>13356.15</v>
      </c>
      <c r="J14" s="48">
        <v>8870.44</v>
      </c>
      <c r="K14" s="52">
        <f>G14/H91</f>
        <v>1.9083589325512493E-2</v>
      </c>
    </row>
    <row r="15" spans="1:11" ht="19.25" customHeight="1" x14ac:dyDescent="0.15">
      <c r="A15" s="36"/>
      <c r="B15" s="22"/>
      <c r="C15" s="22" t="s">
        <v>12</v>
      </c>
      <c r="D15" s="34"/>
      <c r="E15" s="22" t="s">
        <v>26</v>
      </c>
      <c r="F15" s="22"/>
      <c r="G15" s="54">
        <f>G16+G17+G18+G19+G20+G21+G22</f>
        <v>131760.49000000002</v>
      </c>
      <c r="H15" s="24"/>
      <c r="I15" s="35">
        <v>78983.62</v>
      </c>
      <c r="J15" s="48">
        <v>52776.88</v>
      </c>
      <c r="K15" s="52">
        <f>G15/H91</f>
        <v>0.11312855229717078</v>
      </c>
    </row>
    <row r="16" spans="1:11" ht="19.25" customHeight="1" x14ac:dyDescent="0.15">
      <c r="A16" s="36"/>
      <c r="B16" s="22"/>
      <c r="C16" s="22"/>
      <c r="D16" s="34" t="s">
        <v>10</v>
      </c>
      <c r="E16" s="38" t="s">
        <v>84</v>
      </c>
      <c r="F16" s="38"/>
      <c r="G16" s="24">
        <v>22321.439999999999</v>
      </c>
      <c r="H16" s="24"/>
      <c r="I16" s="35"/>
      <c r="J16" s="48"/>
      <c r="K16" s="51"/>
    </row>
    <row r="17" spans="1:11" ht="19.25" customHeight="1" x14ac:dyDescent="0.15">
      <c r="A17" s="36"/>
      <c r="B17" s="22"/>
      <c r="C17" s="22"/>
      <c r="D17" s="34" t="s">
        <v>12</v>
      </c>
      <c r="E17" s="34" t="s">
        <v>85</v>
      </c>
      <c r="F17" s="34"/>
      <c r="G17" s="24">
        <v>34402.32</v>
      </c>
      <c r="H17" s="24"/>
      <c r="I17" s="35"/>
      <c r="J17" s="48"/>
      <c r="K17" s="51"/>
    </row>
    <row r="18" spans="1:11" ht="19.25" customHeight="1" x14ac:dyDescent="0.15">
      <c r="A18" s="36"/>
      <c r="B18" s="22"/>
      <c r="C18" s="22"/>
      <c r="D18" s="34" t="s">
        <v>18</v>
      </c>
      <c r="E18" s="34" t="s">
        <v>86</v>
      </c>
      <c r="F18" s="34"/>
      <c r="G18" s="39">
        <v>22554.720000000001</v>
      </c>
      <c r="H18" s="24"/>
      <c r="I18" s="35"/>
      <c r="J18" s="48"/>
      <c r="K18" s="51"/>
    </row>
    <row r="19" spans="1:11" ht="19.25" customHeight="1" x14ac:dyDescent="0.15">
      <c r="A19" s="36"/>
      <c r="B19" s="22"/>
      <c r="C19" s="22"/>
      <c r="D19" s="34" t="s">
        <v>22</v>
      </c>
      <c r="E19" s="34" t="s">
        <v>87</v>
      </c>
      <c r="F19" s="34"/>
      <c r="G19" s="24">
        <v>6365.52</v>
      </c>
      <c r="H19" s="24"/>
      <c r="I19" s="35"/>
      <c r="J19" s="48"/>
      <c r="K19" s="51"/>
    </row>
    <row r="20" spans="1:11" ht="19.25" customHeight="1" x14ac:dyDescent="0.15">
      <c r="A20" s="36"/>
      <c r="B20" s="22"/>
      <c r="C20" s="22"/>
      <c r="D20" s="34" t="s">
        <v>29</v>
      </c>
      <c r="E20" s="34" t="s">
        <v>88</v>
      </c>
      <c r="F20" s="34"/>
      <c r="G20" s="24">
        <v>13638.24</v>
      </c>
      <c r="H20" s="24"/>
      <c r="I20" s="35"/>
      <c r="J20" s="48"/>
      <c r="K20" s="51"/>
    </row>
    <row r="21" spans="1:11" ht="19.25" customHeight="1" x14ac:dyDescent="0.15">
      <c r="A21" s="36"/>
      <c r="B21" s="22"/>
      <c r="C21" s="22"/>
      <c r="D21" s="34" t="s">
        <v>28</v>
      </c>
      <c r="E21" s="34" t="s">
        <v>89</v>
      </c>
      <c r="F21" s="34"/>
      <c r="G21" s="24">
        <v>9551.52</v>
      </c>
      <c r="H21" s="24"/>
      <c r="I21" s="35"/>
      <c r="J21" s="48"/>
      <c r="K21" s="51"/>
    </row>
    <row r="22" spans="1:11" ht="19.25" customHeight="1" x14ac:dyDescent="0.15">
      <c r="A22" s="36"/>
      <c r="B22" s="22"/>
      <c r="C22" s="22"/>
      <c r="D22" s="34" t="s">
        <v>40</v>
      </c>
      <c r="E22" s="34" t="s">
        <v>90</v>
      </c>
      <c r="F22" s="34"/>
      <c r="G22" s="24">
        <v>22926.73</v>
      </c>
      <c r="H22" s="24"/>
      <c r="I22" s="35"/>
      <c r="J22" s="48"/>
      <c r="K22" s="51"/>
    </row>
    <row r="23" spans="1:11" ht="19.25" customHeight="1" x14ac:dyDescent="0.15">
      <c r="A23" s="36"/>
      <c r="B23" s="22"/>
      <c r="C23" s="22" t="s">
        <v>18</v>
      </c>
      <c r="D23" s="34"/>
      <c r="E23" s="22" t="s">
        <v>27</v>
      </c>
      <c r="F23" s="22"/>
      <c r="G23" s="35">
        <v>147744.81</v>
      </c>
      <c r="H23" s="24"/>
      <c r="I23" s="35">
        <f>66236.9</f>
        <v>66236.899999999994</v>
      </c>
      <c r="J23" s="48">
        <v>81507.91</v>
      </c>
      <c r="K23" s="52">
        <f>G23/H91</f>
        <v>0.12685256759989705</v>
      </c>
    </row>
    <row r="24" spans="1:11" ht="19.25" customHeight="1" x14ac:dyDescent="0.15">
      <c r="A24" s="36"/>
      <c r="B24" s="22"/>
      <c r="C24" s="22" t="s">
        <v>22</v>
      </c>
      <c r="D24" s="34"/>
      <c r="E24" s="22" t="s">
        <v>126</v>
      </c>
      <c r="F24" s="22"/>
      <c r="G24" s="35">
        <f>G25+G26+G27</f>
        <v>128567.12999999999</v>
      </c>
      <c r="H24" s="24"/>
      <c r="I24" s="35">
        <v>59904.5</v>
      </c>
      <c r="J24" s="48">
        <v>68662.63</v>
      </c>
      <c r="K24" s="52">
        <f>G24/H91</f>
        <v>0.11038675774431433</v>
      </c>
    </row>
    <row r="25" spans="1:11" ht="19.25" customHeight="1" x14ac:dyDescent="0.15">
      <c r="A25" s="36"/>
      <c r="B25" s="22"/>
      <c r="C25" s="22"/>
      <c r="D25" s="34" t="s">
        <v>10</v>
      </c>
      <c r="E25" s="34" t="s">
        <v>91</v>
      </c>
      <c r="F25" s="34"/>
      <c r="G25" s="24">
        <v>35171.57</v>
      </c>
      <c r="H25" s="24"/>
      <c r="I25" s="35"/>
      <c r="J25" s="48"/>
      <c r="K25" s="51"/>
    </row>
    <row r="26" spans="1:11" ht="19.25" customHeight="1" x14ac:dyDescent="0.15">
      <c r="A26" s="36"/>
      <c r="B26" s="22"/>
      <c r="C26" s="22"/>
      <c r="D26" s="34" t="s">
        <v>12</v>
      </c>
      <c r="E26" s="34" t="s">
        <v>92</v>
      </c>
      <c r="F26" s="34"/>
      <c r="G26" s="24">
        <v>85583.76</v>
      </c>
      <c r="H26" s="24"/>
      <c r="I26" s="35"/>
      <c r="J26" s="48"/>
      <c r="K26" s="51"/>
    </row>
    <row r="27" spans="1:11" ht="19.25" customHeight="1" x14ac:dyDescent="0.15">
      <c r="A27" s="36"/>
      <c r="B27" s="22"/>
      <c r="C27" s="22"/>
      <c r="D27" s="34" t="s">
        <v>18</v>
      </c>
      <c r="E27" s="34" t="s">
        <v>127</v>
      </c>
      <c r="F27" s="34"/>
      <c r="G27" s="24">
        <v>7811.8</v>
      </c>
      <c r="H27" s="24"/>
      <c r="I27" s="35"/>
      <c r="J27" s="48"/>
      <c r="K27" s="51"/>
    </row>
    <row r="28" spans="1:11" ht="19.25" customHeight="1" x14ac:dyDescent="0.15">
      <c r="A28" s="61"/>
      <c r="B28" s="56" t="s">
        <v>22</v>
      </c>
      <c r="C28" s="57"/>
      <c r="D28" s="57"/>
      <c r="E28" s="56" t="s">
        <v>128</v>
      </c>
      <c r="F28" s="56"/>
      <c r="G28" s="58"/>
      <c r="H28" s="58">
        <f>G29+G30</f>
        <v>58617.150000000009</v>
      </c>
      <c r="I28" s="59">
        <f>I29+I30</f>
        <v>19502.14</v>
      </c>
      <c r="J28" s="60">
        <f>J29+J30</f>
        <v>39115</v>
      </c>
      <c r="K28" s="63">
        <f>H28/H91</f>
        <v>5.0328238148523163E-2</v>
      </c>
    </row>
    <row r="29" spans="1:11" ht="19.25" customHeight="1" x14ac:dyDescent="0.15">
      <c r="A29" s="36"/>
      <c r="B29" s="22"/>
      <c r="C29" s="22" t="s">
        <v>10</v>
      </c>
      <c r="D29" s="34"/>
      <c r="E29" s="22" t="s">
        <v>129</v>
      </c>
      <c r="F29" s="22"/>
      <c r="G29" s="54">
        <v>36162.910000000003</v>
      </c>
      <c r="H29" s="24"/>
      <c r="I29" s="35">
        <f>13108.54</f>
        <v>13108.54</v>
      </c>
      <c r="J29" s="48">
        <f>23054.36</f>
        <v>23054.36</v>
      </c>
      <c r="K29" s="52">
        <f>G29/H91</f>
        <v>3.1049198854321808E-2</v>
      </c>
    </row>
    <row r="30" spans="1:11" ht="19.25" customHeight="1" x14ac:dyDescent="0.15">
      <c r="A30" s="36"/>
      <c r="B30" s="22"/>
      <c r="C30" s="22" t="s">
        <v>12</v>
      </c>
      <c r="D30" s="34"/>
      <c r="E30" s="22" t="s">
        <v>93</v>
      </c>
      <c r="F30" s="22"/>
      <c r="G30" s="35">
        <v>22454.240000000002</v>
      </c>
      <c r="H30" s="24"/>
      <c r="I30" s="35">
        <v>6393.6</v>
      </c>
      <c r="J30" s="48">
        <f>16060.64</f>
        <v>16060.64</v>
      </c>
      <c r="K30" s="52">
        <f>G30/H91</f>
        <v>1.9279039294201349E-2</v>
      </c>
    </row>
    <row r="31" spans="1:11" ht="19.25" customHeight="1" x14ac:dyDescent="0.15">
      <c r="A31" s="61"/>
      <c r="B31" s="56" t="s">
        <v>29</v>
      </c>
      <c r="C31" s="56"/>
      <c r="D31" s="57"/>
      <c r="E31" s="56" t="s">
        <v>30</v>
      </c>
      <c r="F31" s="56"/>
      <c r="G31" s="58"/>
      <c r="H31" s="58">
        <f>G32+G33</f>
        <v>102197.45999999999</v>
      </c>
      <c r="I31" s="59">
        <f>I32+I33</f>
        <v>55704.67</v>
      </c>
      <c r="J31" s="60">
        <f>J32+J33</f>
        <v>46492.800000000003</v>
      </c>
      <c r="K31" s="63">
        <f>H31/H91</f>
        <v>8.7745960099632425E-2</v>
      </c>
    </row>
    <row r="32" spans="1:11" ht="20" customHeight="1" x14ac:dyDescent="0.15">
      <c r="A32" s="36"/>
      <c r="B32" s="22"/>
      <c r="C32" s="22" t="s">
        <v>10</v>
      </c>
      <c r="D32" s="40"/>
      <c r="E32" s="22" t="s">
        <v>31</v>
      </c>
      <c r="F32" s="22"/>
      <c r="G32" s="35">
        <v>46622.19</v>
      </c>
      <c r="H32" s="24"/>
      <c r="I32" s="35">
        <f>21722.41</f>
        <v>21722.41</v>
      </c>
      <c r="J32" s="48">
        <f>24899.78</f>
        <v>24899.78</v>
      </c>
      <c r="K32" s="52">
        <f>G32/H91</f>
        <v>4.0029456930705344E-2</v>
      </c>
    </row>
    <row r="33" spans="1:13" ht="19.25" customHeight="1" x14ac:dyDescent="0.15">
      <c r="A33" s="36"/>
      <c r="B33" s="22"/>
      <c r="C33" s="22" t="s">
        <v>12</v>
      </c>
      <c r="D33" s="34"/>
      <c r="E33" s="22" t="s">
        <v>94</v>
      </c>
      <c r="F33" s="22"/>
      <c r="G33" s="35">
        <v>55575.27</v>
      </c>
      <c r="H33" s="24"/>
      <c r="I33" s="35">
        <f>33982.26</f>
        <v>33982.26</v>
      </c>
      <c r="J33" s="48">
        <f>21593.02</f>
        <v>21593.02</v>
      </c>
      <c r="K33" s="55">
        <f>G33/H91</f>
        <v>4.7716503168927081E-2</v>
      </c>
    </row>
    <row r="34" spans="1:13" ht="19.25" customHeight="1" x14ac:dyDescent="0.15">
      <c r="A34" s="61"/>
      <c r="B34" s="56" t="s">
        <v>28</v>
      </c>
      <c r="C34" s="56"/>
      <c r="D34" s="57"/>
      <c r="E34" s="56" t="s">
        <v>32</v>
      </c>
      <c r="F34" s="56"/>
      <c r="G34" s="58"/>
      <c r="H34" s="58">
        <f>G35+G36+G37+G41+G45+G51+G57+G58+G61+G64+G65+G66+G69</f>
        <v>257980.32</v>
      </c>
      <c r="I34" s="59">
        <f>I37+I41+I45+I51+I57+I58+I61+I64+I66+I69</f>
        <v>138263.21</v>
      </c>
      <c r="J34" s="60">
        <f>J35+J37+J41+J45+J51+J57+J58+J61+J64+J65+J66+J69</f>
        <v>119717.13000000002</v>
      </c>
      <c r="K34" s="63">
        <f>H34/H91</f>
        <v>0.22149993615507085</v>
      </c>
      <c r="L34" s="14"/>
      <c r="M34" s="14"/>
    </row>
    <row r="35" spans="1:13" ht="19.25" customHeight="1" x14ac:dyDescent="0.15">
      <c r="A35" s="36"/>
      <c r="B35" s="22"/>
      <c r="C35" s="22" t="s">
        <v>10</v>
      </c>
      <c r="D35" s="34"/>
      <c r="E35" s="22" t="s">
        <v>33</v>
      </c>
      <c r="F35" s="22"/>
      <c r="G35" s="24">
        <v>18987.52</v>
      </c>
      <c r="H35" s="24"/>
      <c r="I35" s="35"/>
      <c r="J35" s="48">
        <f>G35</f>
        <v>18987.52</v>
      </c>
      <c r="K35" s="51"/>
    </row>
    <row r="36" spans="1:13" ht="19.25" customHeight="1" x14ac:dyDescent="0.15">
      <c r="A36" s="36"/>
      <c r="B36" s="22"/>
      <c r="C36" s="22" t="s">
        <v>12</v>
      </c>
      <c r="D36" s="34"/>
      <c r="E36" s="22" t="s">
        <v>34</v>
      </c>
      <c r="F36" s="22"/>
      <c r="G36" s="24"/>
      <c r="H36" s="24"/>
      <c r="I36" s="35"/>
      <c r="J36" s="48"/>
      <c r="K36" s="51"/>
    </row>
    <row r="37" spans="1:13" ht="19.25" customHeight="1" x14ac:dyDescent="0.15">
      <c r="A37" s="36"/>
      <c r="B37" s="22"/>
      <c r="C37" s="22" t="s">
        <v>18</v>
      </c>
      <c r="D37" s="34"/>
      <c r="E37" s="22" t="s">
        <v>35</v>
      </c>
      <c r="F37" s="22"/>
      <c r="G37" s="54">
        <f>G38+G39+G40</f>
        <v>23882.410000000003</v>
      </c>
      <c r="H37" s="24"/>
      <c r="I37" s="35">
        <f>7390.07</f>
        <v>7390.07</v>
      </c>
      <c r="J37" s="48">
        <f>16492.33</f>
        <v>16492.330000000002</v>
      </c>
      <c r="K37" s="52">
        <f>G37/H91</f>
        <v>2.0505255169189752E-2</v>
      </c>
    </row>
    <row r="38" spans="1:13" ht="19.25" customHeight="1" x14ac:dyDescent="0.15">
      <c r="A38" s="36"/>
      <c r="B38" s="22"/>
      <c r="C38" s="22"/>
      <c r="D38" s="34" t="s">
        <v>10</v>
      </c>
      <c r="E38" s="34" t="s">
        <v>39</v>
      </c>
      <c r="F38" s="22"/>
      <c r="G38" s="24">
        <v>8791.3700000000008</v>
      </c>
      <c r="H38" s="24"/>
      <c r="I38" s="35"/>
      <c r="J38" s="48"/>
      <c r="K38" s="51"/>
    </row>
    <row r="39" spans="1:13" ht="19.25" customHeight="1" x14ac:dyDescent="0.15">
      <c r="A39" s="36"/>
      <c r="B39" s="22"/>
      <c r="C39" s="22"/>
      <c r="D39" s="34" t="s">
        <v>12</v>
      </c>
      <c r="E39" s="34" t="s">
        <v>95</v>
      </c>
      <c r="F39" s="22"/>
      <c r="G39" s="24">
        <v>623.96</v>
      </c>
      <c r="H39" s="24"/>
      <c r="I39" s="35"/>
      <c r="J39" s="48"/>
      <c r="K39" s="51"/>
    </row>
    <row r="40" spans="1:13" ht="19.25" customHeight="1" x14ac:dyDescent="0.15">
      <c r="A40" s="36"/>
      <c r="B40" s="22"/>
      <c r="C40" s="22"/>
      <c r="D40" s="34" t="s">
        <v>18</v>
      </c>
      <c r="E40" s="34" t="s">
        <v>96</v>
      </c>
      <c r="F40" s="22"/>
      <c r="G40" s="24">
        <v>14467.08</v>
      </c>
      <c r="H40" s="24"/>
      <c r="I40" s="35"/>
      <c r="J40" s="48"/>
      <c r="K40" s="51"/>
    </row>
    <row r="41" spans="1:13" ht="19.25" customHeight="1" x14ac:dyDescent="0.15">
      <c r="A41" s="36"/>
      <c r="B41" s="22"/>
      <c r="C41" s="22" t="s">
        <v>22</v>
      </c>
      <c r="D41" s="34"/>
      <c r="E41" s="22" t="s">
        <v>36</v>
      </c>
      <c r="F41" s="22"/>
      <c r="G41" s="54">
        <f>G42+G43+G44</f>
        <v>17869.330000000002</v>
      </c>
      <c r="H41" s="24"/>
      <c r="I41" s="35">
        <f>15765.12</f>
        <v>15765.12</v>
      </c>
      <c r="J41" s="48">
        <v>2104.21</v>
      </c>
      <c r="K41" s="64">
        <v>2.0500000000000001E-2</v>
      </c>
    </row>
    <row r="42" spans="1:13" ht="19.25" customHeight="1" x14ac:dyDescent="0.15">
      <c r="A42" s="36"/>
      <c r="B42" s="22"/>
      <c r="C42" s="22"/>
      <c r="D42" s="34" t="s">
        <v>10</v>
      </c>
      <c r="E42" s="34" t="s">
        <v>97</v>
      </c>
      <c r="F42" s="22"/>
      <c r="G42" s="41">
        <v>1297.1099999999999</v>
      </c>
      <c r="H42" s="24"/>
      <c r="I42" s="35"/>
      <c r="J42" s="48"/>
      <c r="K42" s="51"/>
    </row>
    <row r="43" spans="1:13" ht="19.25" customHeight="1" x14ac:dyDescent="0.15">
      <c r="A43" s="36"/>
      <c r="B43" s="22"/>
      <c r="C43" s="22"/>
      <c r="D43" s="34" t="s">
        <v>12</v>
      </c>
      <c r="E43" s="34" t="s">
        <v>39</v>
      </c>
      <c r="F43" s="22"/>
      <c r="G43" s="24">
        <v>9073</v>
      </c>
      <c r="H43" s="24"/>
      <c r="I43" s="35"/>
      <c r="J43" s="48"/>
      <c r="K43" s="51"/>
    </row>
    <row r="44" spans="1:13" ht="19.25" customHeight="1" x14ac:dyDescent="0.15">
      <c r="A44" s="36"/>
      <c r="B44" s="22"/>
      <c r="C44" s="22"/>
      <c r="D44" s="34" t="s">
        <v>18</v>
      </c>
      <c r="E44" s="34" t="s">
        <v>98</v>
      </c>
      <c r="F44" s="22"/>
      <c r="G44" s="24">
        <v>7499.22</v>
      </c>
      <c r="H44" s="24"/>
      <c r="I44" s="35"/>
      <c r="J44" s="48"/>
      <c r="K44" s="51"/>
    </row>
    <row r="45" spans="1:13" ht="19.25" customHeight="1" x14ac:dyDescent="0.15">
      <c r="A45" s="36"/>
      <c r="B45" s="22"/>
      <c r="C45" s="22" t="s">
        <v>29</v>
      </c>
      <c r="D45" s="34"/>
      <c r="E45" s="22" t="s">
        <v>37</v>
      </c>
      <c r="F45" s="22"/>
      <c r="G45" s="54">
        <f>G46+G47</f>
        <v>50592.880000000005</v>
      </c>
      <c r="H45" s="24"/>
      <c r="I45" s="35">
        <f>28571.03</f>
        <v>28571.03</v>
      </c>
      <c r="J45" s="48">
        <v>22021.87</v>
      </c>
      <c r="K45" s="65">
        <f>G45/H91</f>
        <v>4.3438661095936158E-2</v>
      </c>
      <c r="L45" s="66"/>
    </row>
    <row r="46" spans="1:13" ht="19.25" customHeight="1" x14ac:dyDescent="0.15">
      <c r="A46" s="36"/>
      <c r="B46" s="22"/>
      <c r="C46" s="22"/>
      <c r="D46" s="34" t="s">
        <v>10</v>
      </c>
      <c r="E46" s="34" t="s">
        <v>99</v>
      </c>
      <c r="F46" s="22"/>
      <c r="G46" s="24">
        <v>32889.370000000003</v>
      </c>
      <c r="H46" s="24"/>
      <c r="I46" s="35"/>
      <c r="J46" s="48"/>
      <c r="K46" s="51"/>
    </row>
    <row r="47" spans="1:13" ht="19.25" customHeight="1" x14ac:dyDescent="0.15">
      <c r="A47" s="36"/>
      <c r="B47" s="22"/>
      <c r="C47" s="22"/>
      <c r="D47" s="34" t="s">
        <v>12</v>
      </c>
      <c r="E47" s="34" t="s">
        <v>100</v>
      </c>
      <c r="F47" s="22"/>
      <c r="G47" s="24">
        <f>F48+F49+F50</f>
        <v>17703.510000000002</v>
      </c>
      <c r="H47" s="24"/>
      <c r="I47" s="35"/>
      <c r="J47" s="48"/>
      <c r="K47" s="51"/>
    </row>
    <row r="48" spans="1:13" ht="19.25" customHeight="1" x14ac:dyDescent="0.15">
      <c r="A48" s="36"/>
      <c r="B48" s="22"/>
      <c r="C48" s="22"/>
      <c r="D48" s="34"/>
      <c r="E48" s="34" t="s">
        <v>101</v>
      </c>
      <c r="F48" s="41">
        <v>12838.03</v>
      </c>
      <c r="G48" s="24"/>
      <c r="H48" s="24"/>
      <c r="I48" s="35"/>
      <c r="J48" s="48"/>
      <c r="K48" s="51"/>
    </row>
    <row r="49" spans="1:11" ht="19.25" customHeight="1" x14ac:dyDescent="0.15">
      <c r="A49" s="36"/>
      <c r="B49" s="22"/>
      <c r="C49" s="22"/>
      <c r="D49" s="34"/>
      <c r="E49" s="34" t="s">
        <v>102</v>
      </c>
      <c r="F49" s="25" t="s">
        <v>138</v>
      </c>
      <c r="G49" s="24"/>
      <c r="H49" s="24"/>
      <c r="I49" s="35"/>
      <c r="J49" s="48"/>
      <c r="K49" s="51"/>
    </row>
    <row r="50" spans="1:11" ht="19.25" customHeight="1" x14ac:dyDescent="0.15">
      <c r="A50" s="36"/>
      <c r="B50" s="22"/>
      <c r="C50" s="22"/>
      <c r="D50" s="34"/>
      <c r="E50" s="34" t="s">
        <v>103</v>
      </c>
      <c r="F50" s="25" t="s">
        <v>139</v>
      </c>
      <c r="G50" s="24"/>
      <c r="H50" s="24"/>
      <c r="I50" s="35"/>
      <c r="J50" s="48"/>
      <c r="K50" s="51"/>
    </row>
    <row r="51" spans="1:11" ht="19.25" customHeight="1" x14ac:dyDescent="0.15">
      <c r="A51" s="36"/>
      <c r="B51" s="22"/>
      <c r="C51" s="22" t="s">
        <v>28</v>
      </c>
      <c r="D51" s="34"/>
      <c r="E51" s="22" t="s">
        <v>38</v>
      </c>
      <c r="F51" s="22"/>
      <c r="G51" s="54">
        <f>G52+G53+G54+G55+G56</f>
        <v>51245.98</v>
      </c>
      <c r="H51" s="24"/>
      <c r="I51" s="35">
        <f>32929.97</f>
        <v>32929.97</v>
      </c>
      <c r="J51" s="48">
        <v>18316.02</v>
      </c>
      <c r="K51" s="52">
        <f>G51/H91</f>
        <v>4.3999407777322079E-2</v>
      </c>
    </row>
    <row r="52" spans="1:11" ht="19.25" customHeight="1" x14ac:dyDescent="0.15">
      <c r="A52" s="36"/>
      <c r="B52" s="22"/>
      <c r="C52" s="22"/>
      <c r="D52" s="34" t="s">
        <v>10</v>
      </c>
      <c r="E52" s="34" t="s">
        <v>104</v>
      </c>
      <c r="F52" s="22"/>
      <c r="G52" s="24">
        <v>2344.25</v>
      </c>
      <c r="H52" s="24"/>
      <c r="I52" s="35"/>
      <c r="J52" s="48"/>
      <c r="K52" s="51"/>
    </row>
    <row r="53" spans="1:11" ht="19.25" customHeight="1" x14ac:dyDescent="0.15">
      <c r="A53" s="36"/>
      <c r="B53" s="22"/>
      <c r="C53" s="22"/>
      <c r="D53" s="34" t="s">
        <v>12</v>
      </c>
      <c r="E53" s="34" t="s">
        <v>39</v>
      </c>
      <c r="F53" s="22"/>
      <c r="G53" s="24">
        <v>28457.68</v>
      </c>
      <c r="H53" s="24"/>
      <c r="I53" s="35"/>
      <c r="J53" s="48"/>
      <c r="K53" s="51"/>
    </row>
    <row r="54" spans="1:11" ht="19.25" customHeight="1" x14ac:dyDescent="0.15">
      <c r="A54" s="36"/>
      <c r="B54" s="22"/>
      <c r="C54" s="22"/>
      <c r="D54" s="34" t="s">
        <v>18</v>
      </c>
      <c r="E54" s="34" t="s">
        <v>105</v>
      </c>
      <c r="F54" s="22"/>
      <c r="G54" s="24">
        <v>9999.9699999999993</v>
      </c>
      <c r="H54" s="24"/>
      <c r="I54" s="35"/>
      <c r="J54" s="48"/>
      <c r="K54" s="51"/>
    </row>
    <row r="55" spans="1:11" ht="19.25" customHeight="1" x14ac:dyDescent="0.15">
      <c r="A55" s="36"/>
      <c r="B55" s="22"/>
      <c r="C55" s="22"/>
      <c r="D55" s="34" t="s">
        <v>22</v>
      </c>
      <c r="E55" s="34" t="s">
        <v>106</v>
      </c>
      <c r="F55" s="22"/>
      <c r="G55" s="24">
        <v>9148.08</v>
      </c>
      <c r="H55" s="24"/>
      <c r="I55" s="35"/>
      <c r="J55" s="48"/>
      <c r="K55" s="51"/>
    </row>
    <row r="56" spans="1:11" ht="19.25" customHeight="1" x14ac:dyDescent="0.15">
      <c r="A56" s="36"/>
      <c r="B56" s="22"/>
      <c r="C56" s="22"/>
      <c r="D56" s="34" t="s">
        <v>29</v>
      </c>
      <c r="E56" s="34" t="s">
        <v>107</v>
      </c>
      <c r="F56" s="22"/>
      <c r="G56" s="24">
        <v>1296</v>
      </c>
      <c r="H56" s="24"/>
      <c r="I56" s="35"/>
      <c r="J56" s="48"/>
      <c r="K56" s="51"/>
    </row>
    <row r="57" spans="1:11" ht="19.25" customHeight="1" x14ac:dyDescent="0.15">
      <c r="A57" s="36"/>
      <c r="B57" s="22"/>
      <c r="C57" s="22" t="s">
        <v>40</v>
      </c>
      <c r="D57" s="34"/>
      <c r="E57" s="22" t="s">
        <v>41</v>
      </c>
      <c r="F57" s="22"/>
      <c r="G57" s="35">
        <v>32311.47</v>
      </c>
      <c r="H57" s="24"/>
      <c r="I57" s="35">
        <f>26042.82</f>
        <v>26042.82</v>
      </c>
      <c r="J57" s="48">
        <f>6268.65</f>
        <v>6268.65</v>
      </c>
      <c r="K57" s="52">
        <f>G57/H91</f>
        <v>2.7742381830042257E-2</v>
      </c>
    </row>
    <row r="58" spans="1:11" ht="19.25" customHeight="1" x14ac:dyDescent="0.15">
      <c r="A58" s="36"/>
      <c r="B58" s="22"/>
      <c r="C58" s="22" t="s">
        <v>42</v>
      </c>
      <c r="D58" s="34"/>
      <c r="E58" s="22" t="s">
        <v>43</v>
      </c>
      <c r="F58" s="22"/>
      <c r="G58" s="54">
        <f>G59+G60</f>
        <v>28475.52</v>
      </c>
      <c r="H58" s="24"/>
      <c r="I58" s="35">
        <f>12081.89</f>
        <v>12081.89</v>
      </c>
      <c r="J58" s="48">
        <f>16393.63</f>
        <v>16393.63</v>
      </c>
      <c r="K58" s="52">
        <f>G58/H91</f>
        <v>2.4448864401681661E-2</v>
      </c>
    </row>
    <row r="59" spans="1:11" ht="19.25" customHeight="1" x14ac:dyDescent="0.15">
      <c r="A59" s="36"/>
      <c r="B59" s="22"/>
      <c r="C59" s="22"/>
      <c r="D59" s="34" t="s">
        <v>10</v>
      </c>
      <c r="E59" s="34" t="s">
        <v>109</v>
      </c>
      <c r="F59" s="22"/>
      <c r="G59" s="24">
        <v>25012.7</v>
      </c>
      <c r="H59" s="24"/>
      <c r="I59" s="35"/>
      <c r="J59" s="48"/>
      <c r="K59" s="51"/>
    </row>
    <row r="60" spans="1:11" ht="19.25" customHeight="1" x14ac:dyDescent="0.15">
      <c r="A60" s="36"/>
      <c r="B60" s="22"/>
      <c r="C60" s="22"/>
      <c r="D60" s="34" t="s">
        <v>12</v>
      </c>
      <c r="E60" s="34" t="s">
        <v>108</v>
      </c>
      <c r="F60" s="22"/>
      <c r="G60" s="24">
        <v>3462.82</v>
      </c>
      <c r="H60" s="24"/>
      <c r="I60" s="35"/>
      <c r="J60" s="48"/>
      <c r="K60" s="51"/>
    </row>
    <row r="61" spans="1:11" ht="19.25" customHeight="1" x14ac:dyDescent="0.15">
      <c r="A61" s="36"/>
      <c r="B61" s="22"/>
      <c r="C61" s="22" t="s">
        <v>44</v>
      </c>
      <c r="D61" s="34"/>
      <c r="E61" s="22" t="s">
        <v>45</v>
      </c>
      <c r="F61" s="22"/>
      <c r="G61" s="54">
        <f>G62+G63</f>
        <v>9252.2799999999988</v>
      </c>
      <c r="H61" s="24"/>
      <c r="I61" s="35">
        <f>4340.67</f>
        <v>4340.67</v>
      </c>
      <c r="J61" s="48">
        <v>4911.6099999999997</v>
      </c>
      <c r="K61" s="52">
        <f>G61/H91</f>
        <v>7.9439370774051239E-3</v>
      </c>
    </row>
    <row r="62" spans="1:11" ht="19.25" customHeight="1" x14ac:dyDescent="0.15">
      <c r="A62" s="36"/>
      <c r="B62" s="22"/>
      <c r="C62" s="22"/>
      <c r="D62" s="34" t="s">
        <v>10</v>
      </c>
      <c r="E62" s="34" t="s">
        <v>110</v>
      </c>
      <c r="F62" s="22"/>
      <c r="G62" s="24">
        <v>2811.63</v>
      </c>
      <c r="H62" s="24"/>
      <c r="I62" s="35"/>
      <c r="J62" s="48"/>
      <c r="K62" s="51"/>
    </row>
    <row r="63" spans="1:11" ht="19.25" customHeight="1" x14ac:dyDescent="0.15">
      <c r="A63" s="36"/>
      <c r="B63" s="22"/>
      <c r="C63" s="22"/>
      <c r="D63" s="34" t="s">
        <v>12</v>
      </c>
      <c r="E63" s="34" t="s">
        <v>39</v>
      </c>
      <c r="F63" s="22"/>
      <c r="G63" s="24">
        <v>6440.65</v>
      </c>
      <c r="H63" s="24"/>
      <c r="I63" s="35"/>
      <c r="J63" s="48"/>
      <c r="K63" s="51"/>
    </row>
    <row r="64" spans="1:11" ht="19.25" customHeight="1" x14ac:dyDescent="0.15">
      <c r="A64" s="36"/>
      <c r="B64" s="22"/>
      <c r="C64" s="22" t="s">
        <v>14</v>
      </c>
      <c r="D64" s="34"/>
      <c r="E64" s="22" t="s">
        <v>46</v>
      </c>
      <c r="F64" s="22"/>
      <c r="G64" s="35">
        <v>3798.15</v>
      </c>
      <c r="H64" s="24"/>
      <c r="I64" s="35">
        <f>1771.43</f>
        <v>1771.43</v>
      </c>
      <c r="J64" s="48">
        <f>2026.72</f>
        <v>2026.72</v>
      </c>
      <c r="K64" s="52">
        <f>G64/H91</f>
        <v>3.2610626365118947E-3</v>
      </c>
    </row>
    <row r="65" spans="1:11" ht="19.25" customHeight="1" x14ac:dyDescent="0.15">
      <c r="A65" s="36"/>
      <c r="B65" s="22"/>
      <c r="C65" s="22" t="s">
        <v>15</v>
      </c>
      <c r="D65" s="34"/>
      <c r="E65" s="22" t="s">
        <v>47</v>
      </c>
      <c r="F65" s="22"/>
      <c r="G65" s="35">
        <v>3450.82</v>
      </c>
      <c r="H65" s="24"/>
      <c r="I65" s="35"/>
      <c r="J65" s="48">
        <f>G65</f>
        <v>3450.82</v>
      </c>
      <c r="K65" s="55">
        <f>G65/H91</f>
        <v>2.9628477462259198E-3</v>
      </c>
    </row>
    <row r="66" spans="1:11" ht="19.25" customHeight="1" x14ac:dyDescent="0.15">
      <c r="A66" s="36"/>
      <c r="B66" s="22"/>
      <c r="C66" s="22" t="s">
        <v>16</v>
      </c>
      <c r="D66" s="34"/>
      <c r="E66" s="22" t="s">
        <v>48</v>
      </c>
      <c r="F66" s="22"/>
      <c r="G66" s="54">
        <f>G67+G68</f>
        <v>9203.82</v>
      </c>
      <c r="H66" s="24"/>
      <c r="I66" s="35">
        <f>3493.71</f>
        <v>3493.71</v>
      </c>
      <c r="J66" s="48">
        <f>5710.11</f>
        <v>5710.11</v>
      </c>
      <c r="K66" s="55">
        <f>G66/H91</f>
        <v>7.9023296908181367E-3</v>
      </c>
    </row>
    <row r="67" spans="1:11" ht="19.25" customHeight="1" x14ac:dyDescent="0.15">
      <c r="A67" s="36"/>
      <c r="B67" s="22"/>
      <c r="C67" s="22"/>
      <c r="D67" s="34" t="s">
        <v>10</v>
      </c>
      <c r="E67" s="34" t="s">
        <v>111</v>
      </c>
      <c r="F67" s="22"/>
      <c r="G67" s="24">
        <v>5262.65</v>
      </c>
      <c r="H67" s="24"/>
      <c r="I67" s="35"/>
      <c r="J67" s="48"/>
      <c r="K67" s="51"/>
    </row>
    <row r="68" spans="1:11" ht="19.25" customHeight="1" x14ac:dyDescent="0.15">
      <c r="A68" s="36"/>
      <c r="B68" s="22"/>
      <c r="C68" s="22"/>
      <c r="D68" s="34" t="s">
        <v>12</v>
      </c>
      <c r="E68" s="34" t="s">
        <v>112</v>
      </c>
      <c r="F68" s="22"/>
      <c r="G68" s="24">
        <v>3941.17</v>
      </c>
      <c r="H68" s="24"/>
      <c r="I68" s="35"/>
      <c r="J68" s="48"/>
      <c r="K68" s="51"/>
    </row>
    <row r="69" spans="1:11" ht="19.25" customHeight="1" x14ac:dyDescent="0.15">
      <c r="A69" s="36"/>
      <c r="B69" s="22"/>
      <c r="C69" s="22" t="s">
        <v>17</v>
      </c>
      <c r="D69" s="34"/>
      <c r="E69" s="22" t="s">
        <v>49</v>
      </c>
      <c r="F69" s="22"/>
      <c r="G69" s="32">
        <f>G70+G71</f>
        <v>8910.14</v>
      </c>
      <c r="H69" s="24"/>
      <c r="I69" s="35">
        <f>5876.5</f>
        <v>5876.5</v>
      </c>
      <c r="J69" s="48">
        <f>3033.64</f>
        <v>3033.64</v>
      </c>
      <c r="K69" s="51">
        <f>G69/H91</f>
        <v>7.650178281555519E-3</v>
      </c>
    </row>
    <row r="70" spans="1:11" ht="19.25" customHeight="1" x14ac:dyDescent="0.15">
      <c r="A70" s="36"/>
      <c r="B70" s="22"/>
      <c r="C70" s="22"/>
      <c r="D70" s="34" t="s">
        <v>10</v>
      </c>
      <c r="E70" s="34" t="s">
        <v>99</v>
      </c>
      <c r="F70" s="22"/>
      <c r="G70" s="24">
        <v>5094.6499999999996</v>
      </c>
      <c r="H70" s="24"/>
      <c r="I70" s="35"/>
      <c r="J70" s="48"/>
      <c r="K70" s="51"/>
    </row>
    <row r="71" spans="1:11" ht="19.25" customHeight="1" x14ac:dyDescent="0.15">
      <c r="A71" s="36"/>
      <c r="B71" s="22"/>
      <c r="C71" s="22"/>
      <c r="D71" s="34" t="s">
        <v>12</v>
      </c>
      <c r="E71" s="34" t="s">
        <v>113</v>
      </c>
      <c r="F71" s="22"/>
      <c r="G71" s="24">
        <v>3815.49</v>
      </c>
      <c r="H71" s="24"/>
      <c r="I71" s="35"/>
      <c r="J71" s="48"/>
      <c r="K71" s="51"/>
    </row>
    <row r="72" spans="1:11" ht="19.25" customHeight="1" x14ac:dyDescent="0.15">
      <c r="A72" s="61"/>
      <c r="B72" s="56" t="s">
        <v>40</v>
      </c>
      <c r="C72" s="56"/>
      <c r="D72" s="57"/>
      <c r="E72" s="56" t="s">
        <v>50</v>
      </c>
      <c r="F72" s="56"/>
      <c r="G72" s="59">
        <f>G73+G74</f>
        <v>41780.479999999996</v>
      </c>
      <c r="H72" s="58">
        <f>G72</f>
        <v>41780.479999999996</v>
      </c>
      <c r="I72" s="59">
        <f>I73+I74</f>
        <v>12157.93</v>
      </c>
      <c r="J72" s="60">
        <f>H72-I72</f>
        <v>29622.549999999996</v>
      </c>
      <c r="K72" s="63">
        <f>G72/H91</f>
        <v>3.5872401633303706E-2</v>
      </c>
    </row>
    <row r="73" spans="1:11" ht="19.25" customHeight="1" x14ac:dyDescent="0.15">
      <c r="A73" s="36"/>
      <c r="B73" s="22"/>
      <c r="C73" s="22" t="s">
        <v>10</v>
      </c>
      <c r="D73" s="34"/>
      <c r="E73" s="22" t="s">
        <v>51</v>
      </c>
      <c r="F73" s="22"/>
      <c r="G73" s="24">
        <v>36540</v>
      </c>
      <c r="H73" s="24"/>
      <c r="I73" s="35">
        <f>10260</f>
        <v>10260</v>
      </c>
      <c r="J73" s="48">
        <v>26280</v>
      </c>
      <c r="K73" s="52">
        <f>G73/H91</f>
        <v>3.1372965453745807E-2</v>
      </c>
    </row>
    <row r="74" spans="1:11" ht="19.25" customHeight="1" x14ac:dyDescent="0.15">
      <c r="A74" s="36"/>
      <c r="B74" s="22"/>
      <c r="C74" s="22" t="s">
        <v>12</v>
      </c>
      <c r="D74" s="34"/>
      <c r="E74" s="22" t="s">
        <v>137</v>
      </c>
      <c r="F74" s="22"/>
      <c r="G74" s="24">
        <v>5240.4799999999996</v>
      </c>
      <c r="H74" s="24"/>
      <c r="I74" s="35">
        <f>1897.93</f>
        <v>1897.93</v>
      </c>
      <c r="J74" s="48">
        <v>3342.55</v>
      </c>
      <c r="K74" s="52">
        <f>G74/H91</f>
        <v>4.499436179557904E-3</v>
      </c>
    </row>
    <row r="75" spans="1:11" ht="19.25" customHeight="1" x14ac:dyDescent="0.15">
      <c r="A75" s="61"/>
      <c r="B75" s="56" t="s">
        <v>42</v>
      </c>
      <c r="C75" s="56"/>
      <c r="D75" s="57"/>
      <c r="E75" s="56" t="s">
        <v>52</v>
      </c>
      <c r="F75" s="56"/>
      <c r="G75" s="59">
        <f>G76+G77+G78+G79+G80+G81+G82</f>
        <v>66823.540000000008</v>
      </c>
      <c r="H75" s="58">
        <f>G76+G77+G78+G79+G80+G81+G82</f>
        <v>66823.540000000008</v>
      </c>
      <c r="I75" s="59">
        <f>I76+I77+I78+I79+I80+I81+I82</f>
        <v>66823.540000000008</v>
      </c>
      <c r="J75" s="60">
        <f>H75-I75</f>
        <v>0</v>
      </c>
      <c r="K75" s="63">
        <f>G75/H91</f>
        <v>5.7374182044800257E-2</v>
      </c>
    </row>
    <row r="76" spans="1:11" ht="19.25" customHeight="1" x14ac:dyDescent="0.15">
      <c r="A76" s="36"/>
      <c r="B76" s="22"/>
      <c r="C76" s="22" t="s">
        <v>10</v>
      </c>
      <c r="D76" s="34"/>
      <c r="E76" s="22" t="s">
        <v>130</v>
      </c>
      <c r="F76" s="22"/>
      <c r="G76" s="24">
        <v>2700</v>
      </c>
      <c r="H76" s="24"/>
      <c r="I76" s="35">
        <f t="shared" ref="I76:I82" si="0">G76</f>
        <v>2700</v>
      </c>
      <c r="J76" s="48"/>
      <c r="K76" s="52">
        <f>G76/H91</f>
        <v>2.3181994177644684E-3</v>
      </c>
    </row>
    <row r="77" spans="1:11" ht="19.25" customHeight="1" x14ac:dyDescent="0.15">
      <c r="A77" s="36"/>
      <c r="B77" s="22"/>
      <c r="C77" s="22" t="s">
        <v>12</v>
      </c>
      <c r="D77" s="34"/>
      <c r="E77" s="22" t="s">
        <v>53</v>
      </c>
      <c r="F77" s="22"/>
      <c r="G77" s="41">
        <v>24517.07</v>
      </c>
      <c r="H77" s="24"/>
      <c r="I77" s="35">
        <f t="shared" si="0"/>
        <v>24517.07</v>
      </c>
      <c r="J77" s="48"/>
      <c r="K77" s="52">
        <f>G77/H91</f>
        <v>2.1050169407144711E-2</v>
      </c>
    </row>
    <row r="78" spans="1:11" ht="19.25" customHeight="1" x14ac:dyDescent="0.15">
      <c r="A78" s="36"/>
      <c r="B78" s="22"/>
      <c r="C78" s="22" t="s">
        <v>18</v>
      </c>
      <c r="D78" s="34"/>
      <c r="E78" s="22" t="s">
        <v>54</v>
      </c>
      <c r="F78" s="22"/>
      <c r="G78" s="24">
        <v>1717.04</v>
      </c>
      <c r="H78" s="24"/>
      <c r="I78" s="35">
        <f t="shared" si="0"/>
        <v>1717.04</v>
      </c>
      <c r="J78" s="48"/>
      <c r="K78" s="52">
        <f>G78/H91</f>
        <v>1.47423745491789E-3</v>
      </c>
    </row>
    <row r="79" spans="1:11" ht="19.25" customHeight="1" x14ac:dyDescent="0.15">
      <c r="A79" s="36"/>
      <c r="B79" s="22"/>
      <c r="C79" s="22" t="s">
        <v>22</v>
      </c>
      <c r="D79" s="34"/>
      <c r="E79" s="22" t="s">
        <v>31</v>
      </c>
      <c r="F79" s="22"/>
      <c r="G79" s="24">
        <v>33469.370000000003</v>
      </c>
      <c r="H79" s="24"/>
      <c r="I79" s="35">
        <f t="shared" si="0"/>
        <v>33469.370000000003</v>
      </c>
      <c r="J79" s="48"/>
      <c r="K79" s="52">
        <f>G79/H91</f>
        <v>2.8736545943312437E-2</v>
      </c>
    </row>
    <row r="80" spans="1:11" ht="19.25" customHeight="1" x14ac:dyDescent="0.15">
      <c r="A80" s="36"/>
      <c r="B80" s="22"/>
      <c r="C80" s="22" t="s">
        <v>29</v>
      </c>
      <c r="D80" s="34"/>
      <c r="E80" s="22" t="s">
        <v>114</v>
      </c>
      <c r="F80" s="22"/>
      <c r="G80" s="24">
        <v>1399.96</v>
      </c>
      <c r="H80" s="24"/>
      <c r="I80" s="35">
        <f t="shared" si="0"/>
        <v>1399.96</v>
      </c>
      <c r="J80" s="48"/>
      <c r="K80" s="52">
        <f>G80/H91</f>
        <v>1.2019949840346464E-3</v>
      </c>
    </row>
    <row r="81" spans="1:12" ht="19.25" customHeight="1" x14ac:dyDescent="0.15">
      <c r="A81" s="36"/>
      <c r="B81" s="22"/>
      <c r="C81" s="22" t="s">
        <v>28</v>
      </c>
      <c r="D81" s="34"/>
      <c r="E81" s="22" t="s">
        <v>55</v>
      </c>
      <c r="F81" s="22"/>
      <c r="G81" s="24">
        <v>1863</v>
      </c>
      <c r="H81" s="24"/>
      <c r="I81" s="35">
        <f t="shared" si="0"/>
        <v>1863</v>
      </c>
      <c r="J81" s="48"/>
      <c r="K81" s="52">
        <f>G81/H91</f>
        <v>1.5995575982574832E-3</v>
      </c>
    </row>
    <row r="82" spans="1:12" ht="19.25" customHeight="1" x14ac:dyDescent="0.15">
      <c r="A82" s="36"/>
      <c r="B82" s="22"/>
      <c r="C82" s="22" t="s">
        <v>40</v>
      </c>
      <c r="D82" s="34"/>
      <c r="E82" s="22" t="s">
        <v>56</v>
      </c>
      <c r="F82" s="22"/>
      <c r="G82" s="24">
        <v>1157.0999999999999</v>
      </c>
      <c r="H82" s="24"/>
      <c r="I82" s="35">
        <f t="shared" si="0"/>
        <v>1157.0999999999999</v>
      </c>
      <c r="J82" s="48"/>
      <c r="K82" s="52">
        <f>G82/H91</f>
        <v>9.9347723936861715E-4</v>
      </c>
    </row>
    <row r="83" spans="1:12" ht="19.25" customHeight="1" x14ac:dyDescent="0.15">
      <c r="A83" s="61"/>
      <c r="B83" s="56" t="s">
        <v>44</v>
      </c>
      <c r="C83" s="56"/>
      <c r="D83" s="57"/>
      <c r="E83" s="56" t="s">
        <v>57</v>
      </c>
      <c r="F83" s="56"/>
      <c r="G83" s="59">
        <f>G84</f>
        <v>11858.37</v>
      </c>
      <c r="H83" s="58">
        <f>G83</f>
        <v>11858.37</v>
      </c>
      <c r="I83" s="59">
        <v>7178.16</v>
      </c>
      <c r="J83" s="60">
        <v>4680.21</v>
      </c>
      <c r="K83" s="63">
        <f>G83/H91</f>
        <v>1.0181506085050238E-2</v>
      </c>
    </row>
    <row r="84" spans="1:12" ht="19.25" customHeight="1" x14ac:dyDescent="0.15">
      <c r="A84" s="36"/>
      <c r="B84" s="22"/>
      <c r="C84" s="22" t="s">
        <v>10</v>
      </c>
      <c r="D84" s="34"/>
      <c r="E84" s="22" t="s">
        <v>115</v>
      </c>
      <c r="F84" s="22"/>
      <c r="G84" s="24">
        <v>11858.37</v>
      </c>
      <c r="H84" s="24"/>
      <c r="I84" s="35"/>
      <c r="J84" s="48"/>
      <c r="K84" s="51"/>
    </row>
    <row r="85" spans="1:12" ht="19.25" customHeight="1" x14ac:dyDescent="0.15">
      <c r="A85" s="61"/>
      <c r="B85" s="56" t="s">
        <v>58</v>
      </c>
      <c r="C85" s="56"/>
      <c r="D85" s="57"/>
      <c r="E85" s="56" t="s">
        <v>59</v>
      </c>
      <c r="F85" s="56"/>
      <c r="G85" s="67">
        <f>G86+G87+G88+G89</f>
        <v>32862.25</v>
      </c>
      <c r="H85" s="68">
        <f>G85</f>
        <v>32862.25</v>
      </c>
      <c r="I85" s="69">
        <f>I86+I87+I88+I89</f>
        <v>29398.79</v>
      </c>
      <c r="J85" s="60">
        <f>J87+J88</f>
        <v>3463.46</v>
      </c>
      <c r="K85" s="63">
        <f>G85/H91</f>
        <v>2.8215277339418667E-2</v>
      </c>
    </row>
    <row r="86" spans="1:12" ht="19.25" customHeight="1" x14ac:dyDescent="0.15">
      <c r="A86" s="36"/>
      <c r="B86" s="22"/>
      <c r="C86" s="22" t="s">
        <v>10</v>
      </c>
      <c r="D86" s="34"/>
      <c r="E86" s="22" t="s">
        <v>116</v>
      </c>
      <c r="F86" s="22"/>
      <c r="G86" s="24">
        <v>17155.78</v>
      </c>
      <c r="H86" s="41"/>
      <c r="I86" s="42">
        <f>17155.79</f>
        <v>17155.79</v>
      </c>
      <c r="J86" s="48"/>
      <c r="K86" s="52">
        <f>G86/H91</f>
        <v>1.4729821928627892E-2</v>
      </c>
    </row>
    <row r="87" spans="1:12" ht="19.25" customHeight="1" x14ac:dyDescent="0.15">
      <c r="A87" s="36"/>
      <c r="B87" s="22"/>
      <c r="C87" s="22" t="s">
        <v>12</v>
      </c>
      <c r="D87" s="34"/>
      <c r="E87" s="22" t="s">
        <v>117</v>
      </c>
      <c r="F87" s="22"/>
      <c r="G87" s="24">
        <v>9740.35</v>
      </c>
      <c r="H87" s="41"/>
      <c r="I87" s="42">
        <f>8180.73</f>
        <v>8180.73</v>
      </c>
      <c r="J87" s="48">
        <v>1559.62</v>
      </c>
      <c r="K87" s="52">
        <f>G87/H91</f>
        <v>8.3629902588230158E-3</v>
      </c>
    </row>
    <row r="88" spans="1:12" ht="19.25" customHeight="1" x14ac:dyDescent="0.15">
      <c r="A88" s="36"/>
      <c r="B88" s="22"/>
      <c r="C88" s="22" t="s">
        <v>18</v>
      </c>
      <c r="D88" s="34"/>
      <c r="E88" s="22" t="s">
        <v>118</v>
      </c>
      <c r="F88" s="22"/>
      <c r="G88" s="24">
        <v>4643.5200000000004</v>
      </c>
      <c r="H88" s="41"/>
      <c r="I88" s="42">
        <v>2739.67</v>
      </c>
      <c r="J88" s="48">
        <v>1903.84</v>
      </c>
      <c r="K88" s="52">
        <f>G88/H91</f>
        <v>3.9868908742139502E-3</v>
      </c>
    </row>
    <row r="89" spans="1:12" ht="19.25" customHeight="1" x14ac:dyDescent="0.15">
      <c r="A89" s="36"/>
      <c r="B89" s="22"/>
      <c r="C89" s="22" t="s">
        <v>22</v>
      </c>
      <c r="D89" s="34"/>
      <c r="E89" s="22" t="s">
        <v>119</v>
      </c>
      <c r="F89" s="22"/>
      <c r="G89" s="24">
        <v>1322.6</v>
      </c>
      <c r="H89" s="41"/>
      <c r="I89" s="42">
        <v>1322.6</v>
      </c>
      <c r="J89" s="48"/>
      <c r="K89" s="52">
        <f>G89/H91</f>
        <v>1.1355742777538096E-3</v>
      </c>
    </row>
    <row r="90" spans="1:12" ht="20" customHeight="1" x14ac:dyDescent="0.15">
      <c r="A90" s="61"/>
      <c r="B90" s="56" t="s">
        <v>60</v>
      </c>
      <c r="C90" s="56"/>
      <c r="D90" s="57"/>
      <c r="E90" s="56" t="s">
        <v>61</v>
      </c>
      <c r="F90" s="56"/>
      <c r="G90" s="70">
        <v>16710.93</v>
      </c>
      <c r="H90" s="58">
        <f>G90</f>
        <v>16710.93</v>
      </c>
      <c r="I90" s="59">
        <v>9859.4500000000007</v>
      </c>
      <c r="J90" s="60">
        <f>H90-I90</f>
        <v>6851.48</v>
      </c>
      <c r="K90" s="63">
        <f>G90/H91</f>
        <v>1.4347877109741775E-2</v>
      </c>
    </row>
    <row r="91" spans="1:12" ht="25" customHeight="1" x14ac:dyDescent="0.15">
      <c r="A91" s="36"/>
      <c r="B91" s="76" t="s">
        <v>62</v>
      </c>
      <c r="C91" s="76"/>
      <c r="D91" s="34"/>
      <c r="E91" s="22" t="s">
        <v>63</v>
      </c>
      <c r="F91" s="22"/>
      <c r="G91" s="35"/>
      <c r="H91" s="39">
        <f>H3+H8+H13+H28+H31+H34+H72+H75+H83+H85+H90+0.01</f>
        <v>1164697.04</v>
      </c>
      <c r="I91" s="35">
        <f>I3+I8+I13+I28+I31+I34+I72+I75+I83+I85+I90</f>
        <v>657286.55000000016</v>
      </c>
      <c r="J91" s="48">
        <f>J3+J8+J13+J28+J31+J34+J72+J75+J83+J85+J90-0.02</f>
        <v>507410.48</v>
      </c>
      <c r="K91" s="51">
        <f>K3+K8+K13+K28+K31+K34+K72+K75+K83+K85+K90</f>
        <v>0.99999999141407625</v>
      </c>
      <c r="L91" s="14"/>
    </row>
    <row r="92" spans="1:12" ht="20" customHeight="1" x14ac:dyDescent="0.15">
      <c r="A92" s="36"/>
      <c r="B92" s="22" t="s">
        <v>64</v>
      </c>
      <c r="C92" s="22"/>
      <c r="D92" s="45" t="s">
        <v>65</v>
      </c>
      <c r="E92" s="43"/>
      <c r="F92" s="43"/>
      <c r="G92" s="35"/>
      <c r="H92" s="39">
        <f>H91*D92</f>
        <v>151410.6152</v>
      </c>
      <c r="I92" s="35">
        <f>I91*D92</f>
        <v>85447.251500000028</v>
      </c>
      <c r="J92" s="48">
        <f>J91*D92</f>
        <v>65963.362399999998</v>
      </c>
      <c r="K92" s="51"/>
    </row>
    <row r="93" spans="1:12" ht="20" customHeight="1" x14ac:dyDescent="0.15">
      <c r="A93" s="36"/>
      <c r="B93" s="22" t="s">
        <v>66</v>
      </c>
      <c r="C93" s="22"/>
      <c r="D93" s="45" t="s">
        <v>67</v>
      </c>
      <c r="E93" s="43"/>
      <c r="F93" s="43"/>
      <c r="G93" s="35"/>
      <c r="H93" s="39">
        <f>H91*D93</f>
        <v>69881.822400000005</v>
      </c>
      <c r="I93" s="35">
        <f>I91*D93</f>
        <v>39437.193000000007</v>
      </c>
      <c r="J93" s="48">
        <f>J91*D93</f>
        <v>30444.628799999999</v>
      </c>
      <c r="K93" s="51"/>
    </row>
    <row r="94" spans="1:12" ht="19.25" customHeight="1" x14ac:dyDescent="0.15">
      <c r="A94" s="36"/>
      <c r="B94" s="76" t="s">
        <v>73</v>
      </c>
      <c r="C94" s="76"/>
      <c r="D94" s="76"/>
      <c r="E94" s="22" t="s">
        <v>136</v>
      </c>
      <c r="F94" s="22"/>
      <c r="G94" s="35"/>
      <c r="H94" s="24">
        <f>H91+H92+H93</f>
        <v>1385989.4775999999</v>
      </c>
      <c r="I94" s="35">
        <f>I91+I92+I93-0.01</f>
        <v>782170.98450000014</v>
      </c>
      <c r="J94" s="48">
        <f>J91+J92+J93</f>
        <v>603818.47119999991</v>
      </c>
      <c r="K94" s="51"/>
    </row>
    <row r="95" spans="1:12" ht="20" customHeight="1" x14ac:dyDescent="0.15">
      <c r="A95" s="36"/>
      <c r="B95" s="22" t="s">
        <v>71</v>
      </c>
      <c r="C95" s="22"/>
      <c r="D95" s="45" t="s">
        <v>72</v>
      </c>
      <c r="E95" s="43"/>
      <c r="F95" s="43"/>
      <c r="G95" s="35"/>
      <c r="H95" s="39">
        <f>H94*D95</f>
        <v>291057.79029599996</v>
      </c>
      <c r="I95" s="35">
        <f>I94*D95</f>
        <v>164255.90674500001</v>
      </c>
      <c r="J95" s="48">
        <f>J94*D95</f>
        <v>126801.87895199997</v>
      </c>
      <c r="K95" s="51"/>
    </row>
    <row r="96" spans="1:12" ht="25" customHeight="1" x14ac:dyDescent="0.15">
      <c r="A96" s="36"/>
      <c r="B96" s="76" t="s">
        <v>134</v>
      </c>
      <c r="C96" s="76"/>
      <c r="D96" s="76"/>
      <c r="E96" s="22" t="s">
        <v>135</v>
      </c>
      <c r="F96" s="22"/>
      <c r="G96" s="35"/>
      <c r="H96" s="24">
        <f>H94+H95</f>
        <v>1677047.2678959998</v>
      </c>
      <c r="I96" s="35">
        <f>I94+I95</f>
        <v>946426.89124500018</v>
      </c>
      <c r="J96" s="48">
        <f>J94+J95</f>
        <v>730620.35015199985</v>
      </c>
      <c r="K96" s="51"/>
    </row>
    <row r="97" spans="1:11" ht="19.25" customHeight="1" x14ac:dyDescent="0.15">
      <c r="A97" s="36"/>
      <c r="B97" s="22"/>
      <c r="C97" s="22"/>
      <c r="D97" s="23"/>
      <c r="E97" s="22"/>
      <c r="F97" s="22"/>
      <c r="G97" s="35"/>
      <c r="H97" s="24"/>
      <c r="I97" s="35"/>
      <c r="J97" s="48"/>
      <c r="K97" s="51"/>
    </row>
    <row r="98" spans="1:11" ht="19.25" customHeight="1" x14ac:dyDescent="0.15">
      <c r="A98" s="36"/>
      <c r="B98" s="22" t="s">
        <v>80</v>
      </c>
      <c r="C98" s="22"/>
      <c r="D98" s="23"/>
      <c r="E98" s="22"/>
      <c r="F98" s="22"/>
      <c r="G98" s="24">
        <v>16889.13</v>
      </c>
      <c r="H98" s="44"/>
      <c r="I98" s="35"/>
      <c r="J98" s="48"/>
      <c r="K98" s="51"/>
    </row>
    <row r="99" spans="1:11" ht="19.25" customHeight="1" x14ac:dyDescent="0.15">
      <c r="A99" s="36"/>
      <c r="B99" s="76" t="s">
        <v>133</v>
      </c>
      <c r="C99" s="76"/>
      <c r="D99" s="76"/>
      <c r="E99" s="47" t="s">
        <v>74</v>
      </c>
      <c r="F99" s="22"/>
      <c r="G99" s="35"/>
      <c r="H99" s="24">
        <v>16889.13</v>
      </c>
      <c r="I99" s="35">
        <v>10222.5</v>
      </c>
      <c r="J99" s="48">
        <v>6666.63</v>
      </c>
      <c r="K99" s="51"/>
    </row>
    <row r="100" spans="1:11" ht="25" customHeight="1" x14ac:dyDescent="0.15">
      <c r="A100" s="36"/>
      <c r="B100" s="76" t="s">
        <v>122</v>
      </c>
      <c r="C100" s="76"/>
      <c r="D100" s="76"/>
      <c r="E100" s="46" t="s">
        <v>74</v>
      </c>
      <c r="F100" s="43"/>
      <c r="G100" s="35"/>
      <c r="H100" s="24">
        <f>H96+H99</f>
        <v>1693936.3978959997</v>
      </c>
      <c r="I100" s="35">
        <f>I96+I99</f>
        <v>956649.39124500018</v>
      </c>
      <c r="J100" s="48">
        <f>J96+J99</f>
        <v>737286.98015199986</v>
      </c>
      <c r="K100" s="51"/>
    </row>
  </sheetData>
  <mergeCells count="6">
    <mergeCell ref="B100:D100"/>
    <mergeCell ref="B1:E1"/>
    <mergeCell ref="B91:C91"/>
    <mergeCell ref="B94:D94"/>
    <mergeCell ref="B96:D96"/>
    <mergeCell ref="B99:D99"/>
  </mergeCells>
  <pageMargins left="0.5" right="0.5" top="0.75" bottom="0.75" header="0.27777800000000002" footer="0.27777800000000002"/>
  <pageSetup scale="5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9C3B-2374-A448-ABE2-FD4C66A69477}">
  <sheetPr>
    <pageSetUpPr fitToPage="1"/>
  </sheetPr>
  <dimension ref="A1:F16"/>
  <sheetViews>
    <sheetView topLeftCell="A8" workbookViewId="0">
      <selection activeCell="F3" sqref="F3"/>
    </sheetView>
  </sheetViews>
  <sheetFormatPr baseColWidth="10" defaultColWidth="16.33203125" defaultRowHeight="20" customHeight="1" x14ac:dyDescent="0.15"/>
  <cols>
    <col min="1" max="1" width="5" style="1" customWidth="1"/>
    <col min="2" max="3" width="8" style="1" customWidth="1"/>
    <col min="4" max="4" width="5" style="1" customWidth="1"/>
    <col min="5" max="5" width="46.83203125" style="1" customWidth="1"/>
    <col min="6" max="6" width="17.6640625" style="74" customWidth="1"/>
    <col min="7" max="16384" width="16.33203125" style="1"/>
  </cols>
  <sheetData>
    <row r="1" spans="1:6" ht="18.75" customHeight="1" x14ac:dyDescent="0.15">
      <c r="A1" s="71" t="s">
        <v>0</v>
      </c>
      <c r="B1" s="81" t="s">
        <v>1</v>
      </c>
      <c r="C1" s="82"/>
      <c r="D1" s="82"/>
      <c r="E1" s="82"/>
      <c r="F1" s="75" t="s">
        <v>142</v>
      </c>
    </row>
    <row r="2" spans="1:6" ht="17" customHeight="1" x14ac:dyDescent="0.15">
      <c r="A2" s="3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73" t="s">
        <v>78</v>
      </c>
    </row>
    <row r="3" spans="1:6" ht="19.25" customHeight="1" x14ac:dyDescent="0.15">
      <c r="A3" s="9"/>
      <c r="B3" s="7" t="s">
        <v>62</v>
      </c>
      <c r="C3" s="7"/>
      <c r="D3" s="8"/>
      <c r="E3" s="7" t="s">
        <v>63</v>
      </c>
      <c r="F3" s="87">
        <f>1164697.04</f>
        <v>1164697.04</v>
      </c>
    </row>
    <row r="4" spans="1:6" ht="19.25" customHeight="1" x14ac:dyDescent="0.15">
      <c r="A4" s="9"/>
      <c r="B4" s="7" t="s">
        <v>64</v>
      </c>
      <c r="C4" s="7"/>
      <c r="D4" s="8" t="s">
        <v>65</v>
      </c>
      <c r="E4" s="10"/>
      <c r="F4" s="11">
        <f>F3*D4</f>
        <v>151410.6152</v>
      </c>
    </row>
    <row r="5" spans="1:6" ht="19.25" customHeight="1" x14ac:dyDescent="0.15">
      <c r="A5" s="9"/>
      <c r="B5" s="7" t="s">
        <v>66</v>
      </c>
      <c r="C5" s="7"/>
      <c r="D5" s="8" t="s">
        <v>67</v>
      </c>
      <c r="E5" s="10"/>
      <c r="F5" s="11">
        <f>F3*D5</f>
        <v>69881.822400000005</v>
      </c>
    </row>
    <row r="6" spans="1:6" ht="19.25" customHeight="1" x14ac:dyDescent="0.15">
      <c r="A6" s="9"/>
      <c r="B6" s="7" t="s">
        <v>68</v>
      </c>
      <c r="C6" s="80" t="s">
        <v>69</v>
      </c>
      <c r="D6" s="79"/>
      <c r="E6" s="7" t="s">
        <v>70</v>
      </c>
      <c r="F6" s="11">
        <f>F3+F4+F5</f>
        <v>1385989.4775999999</v>
      </c>
    </row>
    <row r="7" spans="1:6" ht="19.25" customHeight="1" x14ac:dyDescent="0.15">
      <c r="A7" s="9"/>
      <c r="B7" s="7" t="s">
        <v>71</v>
      </c>
      <c r="C7" s="7"/>
      <c r="D7" s="8" t="s">
        <v>72</v>
      </c>
      <c r="E7" s="10"/>
      <c r="F7" s="11">
        <f>F6*D7</f>
        <v>291057.79029599996</v>
      </c>
    </row>
    <row r="8" spans="1:6" ht="19.25" customHeight="1" x14ac:dyDescent="0.15">
      <c r="A8" s="9"/>
      <c r="B8" s="7" t="s">
        <v>73</v>
      </c>
      <c r="C8" s="80" t="s">
        <v>74</v>
      </c>
      <c r="D8" s="79"/>
      <c r="E8" s="7" t="s">
        <v>75</v>
      </c>
      <c r="F8" s="11">
        <f>F6+F7</f>
        <v>1677047.2678959998</v>
      </c>
    </row>
    <row r="9" spans="1:6" ht="19.25" customHeight="1" x14ac:dyDescent="0.15">
      <c r="A9" s="9"/>
      <c r="B9" s="7"/>
      <c r="C9" s="7"/>
      <c r="D9" s="8"/>
      <c r="E9" s="10"/>
      <c r="F9" s="11"/>
    </row>
    <row r="10" spans="1:6" ht="19.25" customHeight="1" x14ac:dyDescent="0.15">
      <c r="A10" s="9"/>
      <c r="B10" s="7"/>
      <c r="C10" s="7"/>
      <c r="D10" s="8"/>
      <c r="E10" s="10"/>
      <c r="F10" s="11"/>
    </row>
    <row r="11" spans="1:6" ht="28" x14ac:dyDescent="0.15">
      <c r="A11" s="9"/>
      <c r="B11" s="7" t="s">
        <v>79</v>
      </c>
      <c r="C11" s="7"/>
      <c r="D11" s="8"/>
      <c r="E11" s="7" t="s">
        <v>82</v>
      </c>
      <c r="F11" s="11"/>
    </row>
    <row r="12" spans="1:6" ht="19.25" customHeight="1" x14ac:dyDescent="0.15">
      <c r="A12" s="9"/>
      <c r="B12" s="7" t="s">
        <v>68</v>
      </c>
      <c r="C12" s="80" t="s">
        <v>74</v>
      </c>
      <c r="D12" s="79"/>
      <c r="E12" s="7" t="s">
        <v>75</v>
      </c>
      <c r="F12" s="11"/>
    </row>
    <row r="13" spans="1:6" ht="19.25" customHeight="1" x14ac:dyDescent="0.15">
      <c r="A13" s="9"/>
      <c r="B13" s="7" t="s">
        <v>80</v>
      </c>
      <c r="C13" s="80" t="s">
        <v>74</v>
      </c>
      <c r="D13" s="79"/>
      <c r="E13" s="7" t="s">
        <v>81</v>
      </c>
      <c r="F13" s="11">
        <v>16889.13</v>
      </c>
    </row>
    <row r="14" spans="1:6" ht="19.25" customHeight="1" x14ac:dyDescent="0.15">
      <c r="A14" s="9"/>
      <c r="B14" s="7" t="s">
        <v>122</v>
      </c>
      <c r="C14" s="80" t="s">
        <v>74</v>
      </c>
      <c r="D14" s="80"/>
      <c r="E14" s="7"/>
      <c r="F14" s="11">
        <f>F8+F13</f>
        <v>1693936.3978959997</v>
      </c>
    </row>
    <row r="15" spans="1:6" ht="19.25" customHeight="1" x14ac:dyDescent="0.15">
      <c r="A15" s="9"/>
      <c r="B15" s="7" t="s">
        <v>141</v>
      </c>
      <c r="C15" s="80" t="s">
        <v>74</v>
      </c>
      <c r="D15" s="80"/>
      <c r="E15" s="7" t="s">
        <v>143</v>
      </c>
      <c r="F15" s="11">
        <f>40000*1.21</f>
        <v>48400</v>
      </c>
    </row>
    <row r="16" spans="1:6" ht="18.75" customHeight="1" x14ac:dyDescent="0.15">
      <c r="A16" s="9"/>
      <c r="B16" s="7" t="s">
        <v>79</v>
      </c>
      <c r="C16" s="78"/>
      <c r="D16" s="79"/>
      <c r="E16" s="7" t="s">
        <v>76</v>
      </c>
      <c r="F16" s="11">
        <f>F8+F13+F15</f>
        <v>1742336.3978959997</v>
      </c>
    </row>
  </sheetData>
  <mergeCells count="8">
    <mergeCell ref="C16:D16"/>
    <mergeCell ref="C14:D14"/>
    <mergeCell ref="B1:E1"/>
    <mergeCell ref="C6:D6"/>
    <mergeCell ref="C8:D8"/>
    <mergeCell ref="C12:D12"/>
    <mergeCell ref="C13:D13"/>
    <mergeCell ref="C15:D15"/>
  </mergeCells>
  <pageMargins left="0.7" right="0.7" top="0.75" bottom="0.75" header="0.3" footer="0.3"/>
  <pageSetup paperSize="9" scale="9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showGridLines="0" workbookViewId="0">
      <selection activeCell="M18" sqref="M18"/>
    </sheetView>
  </sheetViews>
  <sheetFormatPr baseColWidth="10" defaultColWidth="16.33203125" defaultRowHeight="20" customHeight="1" x14ac:dyDescent="0.15"/>
  <cols>
    <col min="1" max="1" width="5" style="1" customWidth="1"/>
    <col min="2" max="2" width="5.6640625" style="1" customWidth="1"/>
    <col min="3" max="4" width="5" style="1" customWidth="1"/>
    <col min="5" max="5" width="46.83203125" style="1" customWidth="1"/>
    <col min="6" max="6" width="17.6640625" style="1" customWidth="1"/>
    <col min="7" max="7" width="16.33203125" style="1" customWidth="1"/>
    <col min="8" max="16384" width="16.33203125" style="1"/>
  </cols>
  <sheetData>
    <row r="1" spans="1:6" ht="18.75" customHeight="1" x14ac:dyDescent="0.15">
      <c r="A1" s="71" t="s">
        <v>0</v>
      </c>
      <c r="B1" s="81" t="s">
        <v>1</v>
      </c>
      <c r="C1" s="82"/>
      <c r="D1" s="82"/>
      <c r="E1" s="82"/>
      <c r="F1" s="72" t="s">
        <v>123</v>
      </c>
    </row>
    <row r="2" spans="1:6" ht="17" customHeight="1" x14ac:dyDescent="0.15">
      <c r="A2" s="3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78</v>
      </c>
    </row>
    <row r="3" spans="1:6" ht="19.25" customHeight="1" x14ac:dyDescent="0.15">
      <c r="A3" s="9"/>
      <c r="B3" s="7" t="s">
        <v>62</v>
      </c>
      <c r="C3" s="7"/>
      <c r="D3" s="8"/>
      <c r="E3" s="7" t="s">
        <v>63</v>
      </c>
      <c r="F3" s="35">
        <f>657286.55</f>
        <v>657286.55000000005</v>
      </c>
    </row>
    <row r="4" spans="1:6" ht="19.25" customHeight="1" x14ac:dyDescent="0.15">
      <c r="A4" s="9"/>
      <c r="B4" s="7" t="s">
        <v>64</v>
      </c>
      <c r="C4" s="7"/>
      <c r="D4" s="8" t="s">
        <v>65</v>
      </c>
      <c r="E4" s="10"/>
      <c r="F4" s="11">
        <f>F3*D4</f>
        <v>85447.251500000013</v>
      </c>
    </row>
    <row r="5" spans="1:6" ht="19.25" customHeight="1" x14ac:dyDescent="0.15">
      <c r="A5" s="9"/>
      <c r="B5" s="7" t="s">
        <v>66</v>
      </c>
      <c r="C5" s="7"/>
      <c r="D5" s="8" t="s">
        <v>67</v>
      </c>
      <c r="E5" s="10"/>
      <c r="F5" s="11">
        <f>F3*D5</f>
        <v>39437.192999999999</v>
      </c>
    </row>
    <row r="6" spans="1:6" ht="19.25" customHeight="1" x14ac:dyDescent="0.15">
      <c r="A6" s="9"/>
      <c r="B6" s="7" t="s">
        <v>68</v>
      </c>
      <c r="C6" s="80" t="s">
        <v>69</v>
      </c>
      <c r="D6" s="79"/>
      <c r="E6" s="7" t="s">
        <v>70</v>
      </c>
      <c r="F6" s="11">
        <f>F3+F4+F5-0.01</f>
        <v>782170.98450000002</v>
      </c>
    </row>
    <row r="7" spans="1:6" ht="19.25" customHeight="1" x14ac:dyDescent="0.15">
      <c r="A7" s="9"/>
      <c r="B7" s="7" t="s">
        <v>71</v>
      </c>
      <c r="C7" s="7"/>
      <c r="D7" s="8" t="s">
        <v>72</v>
      </c>
      <c r="E7" s="10"/>
      <c r="F7" s="11">
        <f>F6*D7</f>
        <v>164255.90674499999</v>
      </c>
    </row>
    <row r="8" spans="1:6" ht="19.25" customHeight="1" x14ac:dyDescent="0.15">
      <c r="A8" s="9"/>
      <c r="B8" s="7" t="s">
        <v>73</v>
      </c>
      <c r="C8" s="80" t="s">
        <v>74</v>
      </c>
      <c r="D8" s="79"/>
      <c r="E8" s="7" t="s">
        <v>75</v>
      </c>
      <c r="F8" s="11">
        <f>F6+F7</f>
        <v>946426.89124500006</v>
      </c>
    </row>
    <row r="9" spans="1:6" ht="19.25" customHeight="1" x14ac:dyDescent="0.15">
      <c r="A9" s="9"/>
      <c r="B9" s="7"/>
      <c r="C9" s="7"/>
      <c r="D9" s="8"/>
      <c r="E9" s="10"/>
      <c r="F9" s="9"/>
    </row>
    <row r="10" spans="1:6" ht="19.25" customHeight="1" x14ac:dyDescent="0.15">
      <c r="A10" s="9"/>
      <c r="B10" s="7"/>
      <c r="C10" s="7"/>
      <c r="D10" s="8"/>
      <c r="E10" s="10"/>
      <c r="F10" s="9"/>
    </row>
    <row r="11" spans="1:6" ht="28" x14ac:dyDescent="0.15">
      <c r="A11" s="9"/>
      <c r="B11" s="7" t="s">
        <v>79</v>
      </c>
      <c r="C11" s="7"/>
      <c r="D11" s="8"/>
      <c r="E11" s="7" t="s">
        <v>82</v>
      </c>
      <c r="F11" s="9"/>
    </row>
    <row r="12" spans="1:6" ht="19.25" customHeight="1" x14ac:dyDescent="0.15">
      <c r="A12" s="9"/>
      <c r="B12" s="7" t="s">
        <v>68</v>
      </c>
      <c r="C12" s="80" t="s">
        <v>74</v>
      </c>
      <c r="D12" s="79"/>
      <c r="E12" s="7" t="s">
        <v>75</v>
      </c>
      <c r="F12" s="9"/>
    </row>
    <row r="13" spans="1:6" ht="19.25" customHeight="1" x14ac:dyDescent="0.15">
      <c r="A13" s="9"/>
      <c r="B13" s="7" t="s">
        <v>80</v>
      </c>
      <c r="C13" s="80" t="s">
        <v>74</v>
      </c>
      <c r="D13" s="79"/>
      <c r="E13" s="7" t="s">
        <v>81</v>
      </c>
      <c r="F13" s="11">
        <v>10222.5</v>
      </c>
    </row>
    <row r="14" spans="1:6" ht="19.25" customHeight="1" x14ac:dyDescent="0.15">
      <c r="A14" s="9"/>
      <c r="B14" s="7" t="s">
        <v>140</v>
      </c>
      <c r="C14" s="80" t="s">
        <v>74</v>
      </c>
      <c r="D14" s="80"/>
      <c r="E14" s="7" t="s">
        <v>141</v>
      </c>
      <c r="F14" s="11">
        <f>40000*1.21</f>
        <v>48400</v>
      </c>
    </row>
    <row r="15" spans="1:6" ht="18.75" customHeight="1" x14ac:dyDescent="0.15">
      <c r="A15" s="9"/>
      <c r="B15" s="7" t="s">
        <v>79</v>
      </c>
      <c r="C15" s="78"/>
      <c r="D15" s="79"/>
      <c r="E15" s="7" t="s">
        <v>76</v>
      </c>
      <c r="F15" s="11">
        <f>F8+F13+F14</f>
        <v>1005049.3912450001</v>
      </c>
    </row>
  </sheetData>
  <mergeCells count="7">
    <mergeCell ref="C15:D15"/>
    <mergeCell ref="B1:E1"/>
    <mergeCell ref="C6:D6"/>
    <mergeCell ref="C8:D8"/>
    <mergeCell ref="C12:D12"/>
    <mergeCell ref="C13:D13"/>
    <mergeCell ref="C14:D14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CC4F-6764-AD4E-9EED-C974711301ED}">
  <sheetPr>
    <pageSetUpPr fitToPage="1"/>
  </sheetPr>
  <dimension ref="A1:F15"/>
  <sheetViews>
    <sheetView tabSelected="1" workbookViewId="0">
      <selection activeCell="F14" sqref="F14"/>
    </sheetView>
  </sheetViews>
  <sheetFormatPr baseColWidth="10" defaultColWidth="16.33203125" defaultRowHeight="20" customHeight="1" x14ac:dyDescent="0.15"/>
  <cols>
    <col min="1" max="1" width="5" style="1" customWidth="1"/>
    <col min="2" max="2" width="5.6640625" style="1" customWidth="1"/>
    <col min="3" max="4" width="5" style="1" customWidth="1"/>
    <col min="5" max="5" width="50" style="1" customWidth="1"/>
    <col min="6" max="6" width="21.33203125" style="18" customWidth="1"/>
    <col min="7" max="16384" width="16.33203125" style="1"/>
  </cols>
  <sheetData>
    <row r="1" spans="1:6" ht="18.75" customHeight="1" x14ac:dyDescent="0.15">
      <c r="A1" s="2" t="s">
        <v>0</v>
      </c>
      <c r="B1" s="85" t="s">
        <v>1</v>
      </c>
      <c r="C1" s="86"/>
      <c r="D1" s="86"/>
      <c r="E1" s="86"/>
      <c r="F1" s="21" t="s">
        <v>124</v>
      </c>
    </row>
    <row r="2" spans="1:6" ht="17" customHeight="1" x14ac:dyDescent="0.15">
      <c r="A2" s="3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19" t="s">
        <v>78</v>
      </c>
    </row>
    <row r="3" spans="1:6" ht="19.25" customHeight="1" x14ac:dyDescent="0.15">
      <c r="A3" s="9"/>
      <c r="B3" s="7" t="s">
        <v>62</v>
      </c>
      <c r="C3" s="7"/>
      <c r="D3" s="8"/>
      <c r="E3" s="7" t="s">
        <v>63</v>
      </c>
      <c r="F3" s="15">
        <f>'Resum Pressupost'!J91</f>
        <v>507410.48</v>
      </c>
    </row>
    <row r="4" spans="1:6" ht="19.25" customHeight="1" x14ac:dyDescent="0.15">
      <c r="A4" s="9"/>
      <c r="B4" s="7" t="s">
        <v>64</v>
      </c>
      <c r="C4" s="7"/>
      <c r="D4" s="8" t="s">
        <v>65</v>
      </c>
      <c r="E4" s="10"/>
      <c r="F4" s="15">
        <f>F3*D4</f>
        <v>65963.362399999998</v>
      </c>
    </row>
    <row r="5" spans="1:6" ht="19.25" customHeight="1" x14ac:dyDescent="0.15">
      <c r="A5" s="9"/>
      <c r="B5" s="7" t="s">
        <v>66</v>
      </c>
      <c r="C5" s="7"/>
      <c r="D5" s="8" t="s">
        <v>67</v>
      </c>
      <c r="E5" s="10"/>
      <c r="F5" s="15">
        <f>F3*D5</f>
        <v>30444.628799999999</v>
      </c>
    </row>
    <row r="6" spans="1:6" ht="19.25" customHeight="1" x14ac:dyDescent="0.15">
      <c r="A6" s="9"/>
      <c r="B6" s="7" t="s">
        <v>68</v>
      </c>
      <c r="C6" s="80" t="s">
        <v>69</v>
      </c>
      <c r="D6" s="79"/>
      <c r="E6" s="7" t="s">
        <v>70</v>
      </c>
      <c r="F6" s="15">
        <f>F3+F4+F5</f>
        <v>603818.47119999991</v>
      </c>
    </row>
    <row r="7" spans="1:6" ht="19.25" customHeight="1" x14ac:dyDescent="0.15">
      <c r="A7" s="9"/>
      <c r="B7" s="7" t="s">
        <v>71</v>
      </c>
      <c r="C7" s="7"/>
      <c r="D7" s="8" t="s">
        <v>72</v>
      </c>
      <c r="E7" s="10"/>
      <c r="F7" s="15">
        <f>F6*D7</f>
        <v>126801.87895199997</v>
      </c>
    </row>
    <row r="8" spans="1:6" ht="19.25" customHeight="1" x14ac:dyDescent="0.15">
      <c r="A8" s="9"/>
      <c r="B8" s="7" t="s">
        <v>73</v>
      </c>
      <c r="C8" s="80" t="s">
        <v>74</v>
      </c>
      <c r="D8" s="79"/>
      <c r="E8" s="7" t="s">
        <v>75</v>
      </c>
      <c r="F8" s="15">
        <f>F6+F7</f>
        <v>730620.35015199985</v>
      </c>
    </row>
    <row r="9" spans="1:6" ht="19.25" customHeight="1" x14ac:dyDescent="0.15">
      <c r="A9" s="9"/>
      <c r="B9" s="7"/>
      <c r="C9" s="7"/>
      <c r="D9" s="8"/>
      <c r="E9" s="10"/>
      <c r="F9" s="20"/>
    </row>
    <row r="10" spans="1:6" ht="19.25" customHeight="1" x14ac:dyDescent="0.15">
      <c r="A10" s="9"/>
      <c r="B10" s="7"/>
      <c r="C10" s="7"/>
      <c r="D10" s="8"/>
      <c r="E10" s="10"/>
      <c r="F10" s="20"/>
    </row>
    <row r="11" spans="1:6" ht="28" x14ac:dyDescent="0.15">
      <c r="A11" s="9"/>
      <c r="B11" s="7" t="s">
        <v>79</v>
      </c>
      <c r="C11" s="7"/>
      <c r="D11" s="8"/>
      <c r="E11" s="7" t="s">
        <v>82</v>
      </c>
      <c r="F11" s="20"/>
    </row>
    <row r="12" spans="1:6" ht="19.25" customHeight="1" x14ac:dyDescent="0.15">
      <c r="A12" s="9"/>
      <c r="B12" s="7" t="s">
        <v>68</v>
      </c>
      <c r="C12" s="80" t="s">
        <v>74</v>
      </c>
      <c r="D12" s="79"/>
      <c r="E12" s="7" t="s">
        <v>75</v>
      </c>
      <c r="F12" s="20"/>
    </row>
    <row r="13" spans="1:6" ht="19.25" customHeight="1" x14ac:dyDescent="0.15">
      <c r="A13" s="9"/>
      <c r="B13" s="7" t="s">
        <v>80</v>
      </c>
      <c r="C13" s="80" t="s">
        <v>74</v>
      </c>
      <c r="D13" s="79"/>
      <c r="E13" s="7" t="s">
        <v>81</v>
      </c>
      <c r="F13" s="15">
        <v>6666.63</v>
      </c>
    </row>
    <row r="14" spans="1:6" ht="19.25" customHeight="1" x14ac:dyDescent="0.15">
      <c r="A14" s="12"/>
      <c r="B14" s="13" t="s">
        <v>57</v>
      </c>
      <c r="C14" s="80" t="s">
        <v>74</v>
      </c>
      <c r="D14" s="80"/>
      <c r="E14" s="13"/>
      <c r="F14" s="17"/>
    </row>
    <row r="15" spans="1:6" ht="18.75" customHeight="1" x14ac:dyDescent="0.15">
      <c r="A15" s="12"/>
      <c r="B15" s="13" t="s">
        <v>79</v>
      </c>
      <c r="C15" s="83"/>
      <c r="D15" s="84"/>
      <c r="E15" s="13" t="s">
        <v>76</v>
      </c>
      <c r="F15" s="17">
        <f>F8+F13+F14</f>
        <v>737286.98015199986</v>
      </c>
    </row>
  </sheetData>
  <mergeCells count="7">
    <mergeCell ref="C15:D15"/>
    <mergeCell ref="B1:E1"/>
    <mergeCell ref="C6:D6"/>
    <mergeCell ref="C8:D8"/>
    <mergeCell ref="C12:D12"/>
    <mergeCell ref="C13:D13"/>
    <mergeCell ref="C14:D14"/>
  </mergeCells>
  <pageMargins left="0.7" right="0.7" top="0.75" bottom="0.75" header="0.3" footer="0.3"/>
  <pageSetup paperSize="9" scale="9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 Pressupost</vt:lpstr>
      <vt:lpstr>Últim full TOTAL</vt:lpstr>
      <vt:lpstr>Últim full OBRA PRINCIPAL</vt:lpstr>
      <vt:lpstr>Últim full TREBALLS ADICIONALS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ramon valls</cp:lastModifiedBy>
  <cp:lastPrinted>2025-12-11T00:31:11Z</cp:lastPrinted>
  <dcterms:created xsi:type="dcterms:W3CDTF">2025-08-24T16:13:07Z</dcterms:created>
  <dcterms:modified xsi:type="dcterms:W3CDTF">2025-12-11T18:28:33Z</dcterms:modified>
</cp:coreProperties>
</file>