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U:\GENERAL\RAQUEL B\01. CONTRACTACIÓ\02. LICITACIONS TRAMITADES\2025_1467 NETEJA EDIFICIS MUNICIPALS\"/>
    </mc:Choice>
  </mc:AlternateContent>
  <xr:revisionPtr revIDLastSave="0" documentId="13_ncr:1_{098623EE-86EA-4F4B-B9AA-78D23F1FEF3F}" xr6:coauthVersionLast="47" xr6:coauthVersionMax="47" xr10:uidLastSave="{00000000-0000-0000-0000-000000000000}"/>
  <bookViews>
    <workbookView xWindow="28680" yWindow="2490" windowWidth="21840" windowHeight="13140" firstSheet="1" activeTab="1" xr2:uid="{00000000-000D-0000-FFFF-FFFF00000000}"/>
  </bookViews>
  <sheets>
    <sheet name="Calcul amb mitjana increment" sheetId="1" state="hidden" r:id="rId1"/>
    <sheet name="NETEJA EDIFICIS" sheetId="2" r:id="rId2"/>
    <sheet name="LOT 1" sheetId="3" r:id="rId3"/>
    <sheet name="LOT 2" sheetId="4" r:id="rId4"/>
    <sheet name="LOT 3" sheetId="5" r:id="rId5"/>
    <sheet name="LOT 4" sheetId="6" r:id="rId6"/>
    <sheet name="LOT 5" sheetId="7" r:id="rId7"/>
  </sheets>
  <definedNames>
    <definedName name="_Hlk211429777" localSheetId="2">'LOT 1'!$G$57</definedName>
    <definedName name="_Hlk211429777" localSheetId="3">'LOT 2'!$G$59</definedName>
    <definedName name="_Hlk211429777" localSheetId="4">'LOT 3'!$G$61</definedName>
    <definedName name="_Hlk211429777" localSheetId="5">'LOT 4'!$G$64</definedName>
    <definedName name="_Hlk211429777" localSheetId="6">'LOT 5'!$G$29</definedName>
    <definedName name="_Hlk211429777" localSheetId="1">'NETEJA EDIFICIS'!$G$91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8" i="2" l="1"/>
  <c r="F10" i="7"/>
  <c r="G15" i="7"/>
  <c r="H15" i="7" s="1"/>
  <c r="G13" i="7"/>
  <c r="H13" i="7" s="1"/>
  <c r="G12" i="7"/>
  <c r="H12" i="7" s="1"/>
  <c r="G11" i="7"/>
  <c r="H11" i="7" s="1"/>
  <c r="G10" i="7"/>
  <c r="H10" i="7" s="1"/>
  <c r="G9" i="7"/>
  <c r="H9" i="7" s="1"/>
  <c r="H8" i="7"/>
  <c r="G8" i="7"/>
  <c r="H134" i="2"/>
  <c r="H135" i="2" s="1"/>
  <c r="C48" i="3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08" i="2" l="1"/>
  <c r="D108" i="2" s="1"/>
  <c r="E108" i="2" s="1"/>
  <c r="C106" i="2"/>
  <c r="D106" i="2" s="1"/>
  <c r="E106" i="2" s="1"/>
  <c r="F15" i="7"/>
  <c r="F13" i="7"/>
  <c r="F12" i="7"/>
  <c r="F11" i="7"/>
  <c r="F9" i="7"/>
  <c r="F8" i="7"/>
  <c r="G26" i="6"/>
  <c r="D26" i="6"/>
  <c r="C26" i="6"/>
  <c r="D24" i="6"/>
  <c r="D25" i="6" s="1"/>
  <c r="C24" i="6"/>
  <c r="C25" i="6" s="1"/>
  <c r="C27" i="6" s="1"/>
  <c r="C29" i="6" s="1"/>
  <c r="F12" i="6"/>
  <c r="F11" i="6"/>
  <c r="F9" i="6"/>
  <c r="F8" i="6"/>
  <c r="G23" i="5"/>
  <c r="D23" i="5"/>
  <c r="C23" i="5"/>
  <c r="D21" i="5"/>
  <c r="D22" i="5" s="1"/>
  <c r="C21" i="5"/>
  <c r="C22" i="5" s="1"/>
  <c r="F10" i="5"/>
  <c r="F9" i="5"/>
  <c r="F8" i="5"/>
  <c r="F7" i="5"/>
  <c r="C6" i="5"/>
  <c r="G21" i="4"/>
  <c r="D21" i="4"/>
  <c r="C21" i="4"/>
  <c r="D19" i="4"/>
  <c r="D20" i="4" s="1"/>
  <c r="C19" i="4"/>
  <c r="C20" i="4" s="1"/>
  <c r="F9" i="4"/>
  <c r="F8" i="4"/>
  <c r="F7" i="4"/>
  <c r="C6" i="4"/>
  <c r="G21" i="3"/>
  <c r="D21" i="3"/>
  <c r="C21" i="3"/>
  <c r="D19" i="3"/>
  <c r="D20" i="3" s="1"/>
  <c r="C19" i="3"/>
  <c r="C20" i="3" s="1"/>
  <c r="F8" i="3"/>
  <c r="F7" i="3" s="1"/>
  <c r="F9" i="3" s="1"/>
  <c r="C7" i="3"/>
  <c r="F6" i="7" l="1"/>
  <c r="F7" i="6"/>
  <c r="F15" i="6" s="1"/>
  <c r="D27" i="6"/>
  <c r="D29" i="6" s="1"/>
  <c r="D32" i="6" s="1"/>
  <c r="C24" i="5"/>
  <c r="C26" i="5" s="1"/>
  <c r="C28" i="5" s="1"/>
  <c r="D24" i="5"/>
  <c r="D26" i="5" s="1"/>
  <c r="D28" i="5" s="1"/>
  <c r="F6" i="5"/>
  <c r="F11" i="5" s="1"/>
  <c r="C22" i="4"/>
  <c r="C24" i="4" s="1"/>
  <c r="C26" i="4" s="1"/>
  <c r="C32" i="6"/>
  <c r="C31" i="6"/>
  <c r="C30" i="6"/>
  <c r="F6" i="4"/>
  <c r="F10" i="4" s="1"/>
  <c r="D22" i="4"/>
  <c r="D24" i="4" s="1"/>
  <c r="C22" i="3"/>
  <c r="C24" i="3" s="1"/>
  <c r="C25" i="3" s="1"/>
  <c r="D22" i="3"/>
  <c r="D24" i="3" s="1"/>
  <c r="D25" i="3" s="1"/>
  <c r="F10" i="3"/>
  <c r="F11" i="3" s="1"/>
  <c r="C17" i="2"/>
  <c r="C13" i="2"/>
  <c r="C11" i="2"/>
  <c r="F41" i="2"/>
  <c r="F40" i="2"/>
  <c r="F39" i="2"/>
  <c r="F43" i="2"/>
  <c r="F37" i="2"/>
  <c r="F36" i="2"/>
  <c r="C19" i="7" l="1"/>
  <c r="G6" i="7"/>
  <c r="H6" i="7" s="1"/>
  <c r="D31" i="6"/>
  <c r="F16" i="6"/>
  <c r="F17" i="6" s="1"/>
  <c r="D30" i="6"/>
  <c r="C33" i="6"/>
  <c r="C34" i="6" s="1"/>
  <c r="G29" i="6" s="1"/>
  <c r="G30" i="6" s="1"/>
  <c r="C29" i="5"/>
  <c r="D27" i="5"/>
  <c r="C27" i="5"/>
  <c r="C30" i="5" s="1"/>
  <c r="C31" i="5" s="1"/>
  <c r="G26" i="5" s="1"/>
  <c r="G27" i="5" s="1"/>
  <c r="D29" i="5"/>
  <c r="C25" i="4"/>
  <c r="C27" i="4"/>
  <c r="C28" i="4" s="1"/>
  <c r="C29" i="4" s="1"/>
  <c r="G24" i="4" s="1"/>
  <c r="G25" i="4" s="1"/>
  <c r="F11" i="4"/>
  <c r="F12" i="4" s="1"/>
  <c r="F12" i="5"/>
  <c r="F13" i="5" s="1"/>
  <c r="D27" i="4"/>
  <c r="D25" i="4"/>
  <c r="D26" i="4"/>
  <c r="C26" i="3"/>
  <c r="C27" i="3"/>
  <c r="D26" i="3"/>
  <c r="D27" i="3"/>
  <c r="G53" i="2"/>
  <c r="H30" i="7" l="1"/>
  <c r="H92" i="2" s="1"/>
  <c r="C29" i="7"/>
  <c r="C109" i="2" s="1"/>
  <c r="D33" i="6"/>
  <c r="D34" i="6" s="1"/>
  <c r="H29" i="6" s="1"/>
  <c r="H30" i="6" s="1"/>
  <c r="D42" i="6" s="1"/>
  <c r="D30" i="5"/>
  <c r="D31" i="5" s="1"/>
  <c r="H26" i="5" s="1"/>
  <c r="H27" i="5" s="1"/>
  <c r="H28" i="5" s="1"/>
  <c r="D28" i="4"/>
  <c r="D29" i="4" s="1"/>
  <c r="H24" i="4" s="1"/>
  <c r="H25" i="4" s="1"/>
  <c r="C20" i="7"/>
  <c r="H31" i="7" s="1"/>
  <c r="H93" i="2" s="1"/>
  <c r="H31" i="6"/>
  <c r="C42" i="6"/>
  <c r="G31" i="6"/>
  <c r="C39" i="5"/>
  <c r="G28" i="5"/>
  <c r="C37" i="4"/>
  <c r="G26" i="4"/>
  <c r="C28" i="3"/>
  <c r="C29" i="3" s="1"/>
  <c r="G24" i="3" s="1"/>
  <c r="G25" i="3" s="1"/>
  <c r="C35" i="3" s="1"/>
  <c r="D28" i="3"/>
  <c r="D29" i="3" s="1"/>
  <c r="H24" i="3" s="1"/>
  <c r="H25" i="3" s="1"/>
  <c r="H26" i="3" s="1"/>
  <c r="F27" i="2"/>
  <c r="F26" i="2"/>
  <c r="F24" i="2"/>
  <c r="F23" i="2"/>
  <c r="F16" i="2"/>
  <c r="F15" i="2"/>
  <c r="F14" i="2"/>
  <c r="F21" i="2"/>
  <c r="F20" i="2"/>
  <c r="F19" i="2"/>
  <c r="F18" i="2"/>
  <c r="F12" i="2"/>
  <c r="D109" i="2" l="1"/>
  <c r="E109" i="2" s="1"/>
  <c r="C110" i="2"/>
  <c r="F11" i="2"/>
  <c r="D130" i="2" s="1"/>
  <c r="D39" i="5"/>
  <c r="D41" i="5" s="1"/>
  <c r="C21" i="7"/>
  <c r="H32" i="7" s="1"/>
  <c r="H94" i="2" s="1"/>
  <c r="D45" i="6"/>
  <c r="D46" i="6"/>
  <c r="D43" i="6"/>
  <c r="D44" i="6"/>
  <c r="D47" i="6"/>
  <c r="H42" i="6"/>
  <c r="G32" i="6"/>
  <c r="C44" i="6"/>
  <c r="E42" i="6"/>
  <c r="C45" i="6"/>
  <c r="C47" i="6"/>
  <c r="C43" i="6"/>
  <c r="C46" i="6"/>
  <c r="H32" i="6"/>
  <c r="I42" i="6"/>
  <c r="H29" i="5"/>
  <c r="I39" i="5"/>
  <c r="G29" i="5"/>
  <c r="H39" i="5"/>
  <c r="C41" i="5"/>
  <c r="C42" i="5"/>
  <c r="C40" i="5"/>
  <c r="C43" i="5"/>
  <c r="C44" i="5"/>
  <c r="C40" i="4"/>
  <c r="C41" i="4"/>
  <c r="C39" i="4"/>
  <c r="C42" i="4"/>
  <c r="C38" i="4"/>
  <c r="G27" i="4"/>
  <c r="H37" i="4"/>
  <c r="D37" i="4"/>
  <c r="H26" i="4"/>
  <c r="G26" i="3"/>
  <c r="G27" i="3" s="1"/>
  <c r="D35" i="3"/>
  <c r="D36" i="3" s="1"/>
  <c r="H27" i="3"/>
  <c r="I35" i="3"/>
  <c r="C37" i="3"/>
  <c r="C38" i="3"/>
  <c r="C39" i="3"/>
  <c r="C36" i="3"/>
  <c r="C40" i="3"/>
  <c r="F22" i="2"/>
  <c r="G130" i="2" s="1"/>
  <c r="G131" i="2" s="1"/>
  <c r="F17" i="2"/>
  <c r="F130" i="2" s="1"/>
  <c r="F13" i="2"/>
  <c r="E130" i="2" s="1"/>
  <c r="E131" i="2" s="1"/>
  <c r="E132" i="2" s="1"/>
  <c r="E59" i="1"/>
  <c r="E58" i="1"/>
  <c r="D42" i="1"/>
  <c r="C42" i="1"/>
  <c r="D41" i="1"/>
  <c r="D40" i="1"/>
  <c r="C41" i="1"/>
  <c r="C40" i="1"/>
  <c r="D53" i="2"/>
  <c r="C53" i="2"/>
  <c r="D51" i="2"/>
  <c r="D52" i="2" s="1"/>
  <c r="C51" i="2"/>
  <c r="C52" i="2" s="1"/>
  <c r="G132" i="2" l="1"/>
  <c r="F131" i="2"/>
  <c r="F132" i="2" s="1"/>
  <c r="D131" i="2"/>
  <c r="D132" i="2" s="1"/>
  <c r="E46" i="6"/>
  <c r="E47" i="6"/>
  <c r="D48" i="6"/>
  <c r="D49" i="6" s="1"/>
  <c r="D50" i="6" s="1"/>
  <c r="D51" i="6" s="1"/>
  <c r="E45" i="6"/>
  <c r="D40" i="5"/>
  <c r="E40" i="5" s="1"/>
  <c r="D43" i="5"/>
  <c r="E39" i="5"/>
  <c r="D44" i="5"/>
  <c r="E44" i="5" s="1"/>
  <c r="D42" i="5"/>
  <c r="E43" i="5"/>
  <c r="C22" i="7"/>
  <c r="H33" i="7" s="1"/>
  <c r="H95" i="2" s="1"/>
  <c r="H33" i="6"/>
  <c r="N42" i="6"/>
  <c r="M42" i="6"/>
  <c r="G33" i="6"/>
  <c r="E43" i="6"/>
  <c r="E44" i="6"/>
  <c r="H47" i="6"/>
  <c r="H43" i="6"/>
  <c r="H44" i="6"/>
  <c r="J42" i="6"/>
  <c r="H45" i="6"/>
  <c r="H46" i="6"/>
  <c r="I44" i="6"/>
  <c r="I45" i="6"/>
  <c r="I43" i="6"/>
  <c r="I46" i="6"/>
  <c r="I47" i="6"/>
  <c r="C48" i="6"/>
  <c r="H44" i="5"/>
  <c r="H40" i="5"/>
  <c r="H41" i="5"/>
  <c r="J39" i="5"/>
  <c r="H42" i="5"/>
  <c r="H43" i="5"/>
  <c r="M39" i="5"/>
  <c r="G30" i="5"/>
  <c r="I41" i="5"/>
  <c r="I42" i="5"/>
  <c r="I43" i="5"/>
  <c r="I44" i="5"/>
  <c r="I40" i="5"/>
  <c r="C45" i="5"/>
  <c r="E41" i="5"/>
  <c r="H30" i="5"/>
  <c r="N39" i="5"/>
  <c r="H27" i="4"/>
  <c r="I37" i="4"/>
  <c r="J37" i="4" s="1"/>
  <c r="G28" i="4"/>
  <c r="M37" i="4"/>
  <c r="D41" i="4"/>
  <c r="E41" i="4" s="1"/>
  <c r="D42" i="4"/>
  <c r="E42" i="4" s="1"/>
  <c r="D38" i="4"/>
  <c r="E38" i="4" s="1"/>
  <c r="D40" i="4"/>
  <c r="E40" i="4" s="1"/>
  <c r="D39" i="4"/>
  <c r="E39" i="4"/>
  <c r="E37" i="4"/>
  <c r="H39" i="4"/>
  <c r="H40" i="4"/>
  <c r="H42" i="4"/>
  <c r="H38" i="4"/>
  <c r="H41" i="4"/>
  <c r="C43" i="4"/>
  <c r="D40" i="3"/>
  <c r="E40" i="3" s="1"/>
  <c r="D39" i="3"/>
  <c r="E39" i="3" s="1"/>
  <c r="H35" i="3"/>
  <c r="J35" i="3" s="1"/>
  <c r="E35" i="3"/>
  <c r="D37" i="3"/>
  <c r="D38" i="3"/>
  <c r="E38" i="3" s="1"/>
  <c r="E36" i="3"/>
  <c r="M35" i="3"/>
  <c r="G28" i="3"/>
  <c r="I37" i="3"/>
  <c r="I38" i="3"/>
  <c r="I39" i="3"/>
  <c r="I36" i="3"/>
  <c r="I40" i="3"/>
  <c r="H28" i="3"/>
  <c r="N35" i="3"/>
  <c r="C41" i="3"/>
  <c r="F30" i="2"/>
  <c r="F31" i="2" s="1"/>
  <c r="F32" i="2" s="1"/>
  <c r="D54" i="2"/>
  <c r="D56" i="2" s="1"/>
  <c r="D59" i="2" s="1"/>
  <c r="C54" i="2"/>
  <c r="C56" i="2" s="1"/>
  <c r="C58" i="2" s="1"/>
  <c r="J46" i="6" l="1"/>
  <c r="I48" i="6"/>
  <c r="I49" i="6" s="1"/>
  <c r="I50" i="6" s="1"/>
  <c r="I51" i="6" s="1"/>
  <c r="E48" i="6"/>
  <c r="D45" i="5"/>
  <c r="D46" i="5" s="1"/>
  <c r="D47" i="5" s="1"/>
  <c r="D48" i="5" s="1"/>
  <c r="E42" i="5"/>
  <c r="E45" i="5" s="1"/>
  <c r="E46" i="5" s="1"/>
  <c r="E47" i="5" s="1"/>
  <c r="E48" i="5" s="1"/>
  <c r="H45" i="5"/>
  <c r="H46" i="5" s="1"/>
  <c r="H47" i="5" s="1"/>
  <c r="H48" i="5" s="1"/>
  <c r="I45" i="5"/>
  <c r="J42" i="5"/>
  <c r="C23" i="7"/>
  <c r="H34" i="7" s="1"/>
  <c r="H96" i="2" s="1"/>
  <c r="D53" i="6"/>
  <c r="D52" i="6"/>
  <c r="D54" i="6" s="1"/>
  <c r="D55" i="6" s="1"/>
  <c r="D56" i="6" s="1"/>
  <c r="E49" i="6"/>
  <c r="E50" i="6" s="1"/>
  <c r="E51" i="6" s="1"/>
  <c r="H48" i="6"/>
  <c r="C49" i="6"/>
  <c r="C50" i="6" s="1"/>
  <c r="C51" i="6" s="1"/>
  <c r="J45" i="6"/>
  <c r="J43" i="6"/>
  <c r="N47" i="6"/>
  <c r="N43" i="6"/>
  <c r="N44" i="6"/>
  <c r="N46" i="6"/>
  <c r="N45" i="6"/>
  <c r="J47" i="6"/>
  <c r="R42" i="6"/>
  <c r="G34" i="6"/>
  <c r="W42" i="6" s="1"/>
  <c r="S42" i="6"/>
  <c r="H34" i="6"/>
  <c r="J44" i="6"/>
  <c r="M46" i="6"/>
  <c r="M47" i="6"/>
  <c r="M43" i="6"/>
  <c r="O43" i="6" s="1"/>
  <c r="M45" i="6"/>
  <c r="O42" i="6"/>
  <c r="M44" i="6"/>
  <c r="I46" i="5"/>
  <c r="I47" i="5" s="1"/>
  <c r="I48" i="5" s="1"/>
  <c r="D50" i="5"/>
  <c r="D49" i="5"/>
  <c r="N44" i="5"/>
  <c r="N40" i="5"/>
  <c r="N41" i="5"/>
  <c r="N42" i="5"/>
  <c r="N43" i="5"/>
  <c r="J41" i="5"/>
  <c r="S39" i="5"/>
  <c r="H31" i="5"/>
  <c r="X39" i="5" s="1"/>
  <c r="J44" i="5"/>
  <c r="C46" i="5"/>
  <c r="C47" i="5" s="1"/>
  <c r="C48" i="5" s="1"/>
  <c r="R39" i="5"/>
  <c r="G31" i="5"/>
  <c r="J43" i="5"/>
  <c r="M43" i="5"/>
  <c r="M44" i="5"/>
  <c r="M40" i="5"/>
  <c r="O39" i="5"/>
  <c r="M41" i="5"/>
  <c r="M42" i="5"/>
  <c r="J40" i="5"/>
  <c r="H43" i="4"/>
  <c r="E43" i="4"/>
  <c r="D43" i="4"/>
  <c r="I40" i="4"/>
  <c r="I41" i="4"/>
  <c r="J41" i="4" s="1"/>
  <c r="I38" i="4"/>
  <c r="I39" i="4"/>
  <c r="J39" i="4" s="1"/>
  <c r="I42" i="4"/>
  <c r="J42" i="4" s="1"/>
  <c r="R37" i="4"/>
  <c r="G29" i="4"/>
  <c r="W37" i="4" s="1"/>
  <c r="C44" i="4"/>
  <c r="C45" i="4" s="1"/>
  <c r="C46" i="4" s="1"/>
  <c r="J40" i="4"/>
  <c r="M42" i="4"/>
  <c r="M38" i="4"/>
  <c r="M39" i="4"/>
  <c r="M40" i="4"/>
  <c r="M41" i="4"/>
  <c r="H28" i="4"/>
  <c r="N37" i="4"/>
  <c r="H37" i="3"/>
  <c r="H39" i="3"/>
  <c r="J39" i="3" s="1"/>
  <c r="H36" i="3"/>
  <c r="J36" i="3" s="1"/>
  <c r="H38" i="3"/>
  <c r="J38" i="3" s="1"/>
  <c r="H40" i="3"/>
  <c r="J40" i="3" s="1"/>
  <c r="D41" i="3"/>
  <c r="D42" i="3" s="1"/>
  <c r="D43" i="3" s="1"/>
  <c r="E37" i="3"/>
  <c r="E41" i="3" s="1"/>
  <c r="E42" i="3" s="1"/>
  <c r="E43" i="3" s="1"/>
  <c r="E44" i="3" s="1"/>
  <c r="I41" i="3"/>
  <c r="I42" i="3" s="1"/>
  <c r="I43" i="3" s="1"/>
  <c r="I44" i="3" s="1"/>
  <c r="C42" i="3"/>
  <c r="C43" i="3" s="1"/>
  <c r="C44" i="3" s="1"/>
  <c r="M39" i="3"/>
  <c r="M40" i="3"/>
  <c r="M36" i="3"/>
  <c r="M37" i="3"/>
  <c r="O35" i="3"/>
  <c r="M38" i="3"/>
  <c r="N40" i="3"/>
  <c r="N36" i="3"/>
  <c r="N37" i="3"/>
  <c r="N38" i="3"/>
  <c r="N39" i="3"/>
  <c r="J37" i="3"/>
  <c r="S35" i="3"/>
  <c r="H29" i="3"/>
  <c r="R35" i="3"/>
  <c r="G29" i="3"/>
  <c r="D58" i="2"/>
  <c r="D57" i="2"/>
  <c r="C57" i="2"/>
  <c r="C59" i="2"/>
  <c r="G35" i="6" l="1"/>
  <c r="O45" i="6"/>
  <c r="J48" i="6"/>
  <c r="N48" i="6"/>
  <c r="N49" i="6" s="1"/>
  <c r="N50" i="6" s="1"/>
  <c r="N51" i="6" s="1"/>
  <c r="O44" i="6"/>
  <c r="O40" i="5"/>
  <c r="O44" i="5"/>
  <c r="O43" i="5"/>
  <c r="J45" i="5"/>
  <c r="J46" i="5" s="1"/>
  <c r="J47" i="5" s="1"/>
  <c r="J48" i="5" s="1"/>
  <c r="N45" i="5"/>
  <c r="N46" i="5" s="1"/>
  <c r="N47" i="5" s="1"/>
  <c r="N48" i="5" s="1"/>
  <c r="H32" i="5"/>
  <c r="O41" i="5"/>
  <c r="D51" i="5"/>
  <c r="D52" i="5" s="1"/>
  <c r="D53" i="5" s="1"/>
  <c r="D54" i="5" s="1"/>
  <c r="D55" i="5" s="1"/>
  <c r="G30" i="4"/>
  <c r="M43" i="4"/>
  <c r="D57" i="6"/>
  <c r="D58" i="6" s="1"/>
  <c r="C52" i="6"/>
  <c r="C53" i="6"/>
  <c r="J49" i="6"/>
  <c r="J50" i="6" s="1"/>
  <c r="J51" i="6" s="1"/>
  <c r="E52" i="6"/>
  <c r="E53" i="6"/>
  <c r="X42" i="6"/>
  <c r="H35" i="6"/>
  <c r="R45" i="6"/>
  <c r="R46" i="6"/>
  <c r="T42" i="6"/>
  <c r="R43" i="6"/>
  <c r="R44" i="6"/>
  <c r="R47" i="6"/>
  <c r="I52" i="6"/>
  <c r="I53" i="6"/>
  <c r="O47" i="6"/>
  <c r="S46" i="6"/>
  <c r="S47" i="6"/>
  <c r="S43" i="6"/>
  <c r="S44" i="6"/>
  <c r="S45" i="6"/>
  <c r="H49" i="6"/>
  <c r="H50" i="6" s="1"/>
  <c r="H51" i="6" s="1"/>
  <c r="M48" i="6"/>
  <c r="O46" i="6"/>
  <c r="W44" i="6"/>
  <c r="Y42" i="6"/>
  <c r="W45" i="6"/>
  <c r="W43" i="6"/>
  <c r="W46" i="6"/>
  <c r="W47" i="6"/>
  <c r="E49" i="5"/>
  <c r="E50" i="5"/>
  <c r="H49" i="5"/>
  <c r="H50" i="5"/>
  <c r="R42" i="5"/>
  <c r="R43" i="5"/>
  <c r="R40" i="5"/>
  <c r="R41" i="5"/>
  <c r="R44" i="5"/>
  <c r="T39" i="5"/>
  <c r="C49" i="5"/>
  <c r="C50" i="5"/>
  <c r="S43" i="5"/>
  <c r="S44" i="5"/>
  <c r="S40" i="5"/>
  <c r="S41" i="5"/>
  <c r="S42" i="5"/>
  <c r="I49" i="5"/>
  <c r="I50" i="5"/>
  <c r="M45" i="5"/>
  <c r="O42" i="5"/>
  <c r="W39" i="5"/>
  <c r="G32" i="5"/>
  <c r="X42" i="5"/>
  <c r="X43" i="5"/>
  <c r="X44" i="5"/>
  <c r="X40" i="5"/>
  <c r="X41" i="5"/>
  <c r="I43" i="4"/>
  <c r="I44" i="4" s="1"/>
  <c r="I45" i="4" s="1"/>
  <c r="I46" i="4" s="1"/>
  <c r="C48" i="4"/>
  <c r="C47" i="4"/>
  <c r="M44" i="4"/>
  <c r="M45" i="4" s="1"/>
  <c r="M46" i="4" s="1"/>
  <c r="H44" i="4"/>
  <c r="H45" i="4" s="1"/>
  <c r="H46" i="4" s="1"/>
  <c r="W40" i="4"/>
  <c r="W41" i="4"/>
  <c r="W38" i="4"/>
  <c r="W39" i="4"/>
  <c r="W42" i="4"/>
  <c r="R41" i="4"/>
  <c r="R42" i="4"/>
  <c r="R38" i="4"/>
  <c r="R40" i="4"/>
  <c r="R39" i="4"/>
  <c r="D44" i="4"/>
  <c r="D45" i="4" s="1"/>
  <c r="D46" i="4" s="1"/>
  <c r="J38" i="4"/>
  <c r="J43" i="4" s="1"/>
  <c r="H29" i="4"/>
  <c r="X37" i="4" s="1"/>
  <c r="S37" i="4"/>
  <c r="T37" i="4" s="1"/>
  <c r="N39" i="4"/>
  <c r="O39" i="4" s="1"/>
  <c r="N40" i="4"/>
  <c r="O40" i="4" s="1"/>
  <c r="N38" i="4"/>
  <c r="O38" i="4" s="1"/>
  <c r="N41" i="4"/>
  <c r="O41" i="4" s="1"/>
  <c r="N42" i="4"/>
  <c r="O42" i="4" s="1"/>
  <c r="O37" i="4"/>
  <c r="E44" i="4"/>
  <c r="E45" i="4" s="1"/>
  <c r="E46" i="4" s="1"/>
  <c r="D44" i="3"/>
  <c r="D46" i="3" s="1"/>
  <c r="H41" i="3"/>
  <c r="H42" i="3" s="1"/>
  <c r="H43" i="3" s="1"/>
  <c r="H44" i="3" s="1"/>
  <c r="O39" i="3"/>
  <c r="J41" i="3"/>
  <c r="J42" i="3" s="1"/>
  <c r="J43" i="3" s="1"/>
  <c r="N41" i="3"/>
  <c r="N42" i="3" s="1"/>
  <c r="N43" i="3" s="1"/>
  <c r="N44" i="3" s="1"/>
  <c r="O37" i="3"/>
  <c r="E45" i="3"/>
  <c r="E46" i="3"/>
  <c r="I45" i="3"/>
  <c r="I46" i="3"/>
  <c r="R38" i="3"/>
  <c r="R39" i="3"/>
  <c r="R40" i="3"/>
  <c r="R36" i="3"/>
  <c r="R37" i="3"/>
  <c r="T35" i="3"/>
  <c r="C45" i="3"/>
  <c r="C46" i="3"/>
  <c r="S39" i="3"/>
  <c r="S40" i="3"/>
  <c r="S36" i="3"/>
  <c r="S37" i="3"/>
  <c r="S38" i="3"/>
  <c r="O38" i="3"/>
  <c r="O36" i="3"/>
  <c r="X35" i="3"/>
  <c r="H30" i="3"/>
  <c r="M41" i="3"/>
  <c r="W35" i="3"/>
  <c r="G30" i="3"/>
  <c r="O40" i="3"/>
  <c r="D60" i="2"/>
  <c r="D61" i="2" s="1"/>
  <c r="H56" i="2" s="1"/>
  <c r="H57" i="2" s="1"/>
  <c r="C60" i="2"/>
  <c r="C61" i="2" s="1"/>
  <c r="G56" i="2" s="1"/>
  <c r="G57" i="2" s="1"/>
  <c r="I54" i="6" l="1"/>
  <c r="I55" i="6" s="1"/>
  <c r="I56" i="6" s="1"/>
  <c r="I57" i="6" s="1"/>
  <c r="I58" i="6" s="1"/>
  <c r="S48" i="6"/>
  <c r="S49" i="6" s="1"/>
  <c r="S50" i="6" s="1"/>
  <c r="S51" i="6" s="1"/>
  <c r="T44" i="6"/>
  <c r="E54" i="6"/>
  <c r="C54" i="6"/>
  <c r="C55" i="6" s="1"/>
  <c r="C56" i="6" s="1"/>
  <c r="C57" i="6" s="1"/>
  <c r="E57" i="6" s="1"/>
  <c r="T43" i="6"/>
  <c r="O48" i="6"/>
  <c r="O49" i="6" s="1"/>
  <c r="O50" i="6" s="1"/>
  <c r="O51" i="6" s="1"/>
  <c r="T46" i="6"/>
  <c r="O45" i="5"/>
  <c r="O46" i="5" s="1"/>
  <c r="O47" i="5" s="1"/>
  <c r="O48" i="5" s="1"/>
  <c r="E51" i="5"/>
  <c r="I51" i="5"/>
  <c r="I52" i="5" s="1"/>
  <c r="I53" i="5" s="1"/>
  <c r="I54" i="5" s="1"/>
  <c r="I55" i="5" s="1"/>
  <c r="H51" i="5"/>
  <c r="H52" i="5" s="1"/>
  <c r="H53" i="5" s="1"/>
  <c r="J53" i="5" s="1"/>
  <c r="S45" i="5"/>
  <c r="S46" i="5" s="1"/>
  <c r="S47" i="5" s="1"/>
  <c r="S48" i="5" s="1"/>
  <c r="X45" i="5"/>
  <c r="C51" i="5"/>
  <c r="C52" i="5" s="1"/>
  <c r="C53" i="5" s="1"/>
  <c r="C54" i="5" s="1"/>
  <c r="E54" i="5" s="1"/>
  <c r="T41" i="5"/>
  <c r="H30" i="4"/>
  <c r="C49" i="4"/>
  <c r="C50" i="4" s="1"/>
  <c r="C51" i="4" s="1"/>
  <c r="C52" i="4" s="1"/>
  <c r="C53" i="4" s="1"/>
  <c r="H52" i="6"/>
  <c r="H53" i="6"/>
  <c r="J53" i="6"/>
  <c r="J52" i="6"/>
  <c r="N52" i="6"/>
  <c r="N53" i="6"/>
  <c r="M49" i="6"/>
  <c r="M50" i="6" s="1"/>
  <c r="M51" i="6" s="1"/>
  <c r="T45" i="6"/>
  <c r="W48" i="6"/>
  <c r="T47" i="6"/>
  <c r="R48" i="6"/>
  <c r="X45" i="6"/>
  <c r="Y45" i="6" s="1"/>
  <c r="X46" i="6"/>
  <c r="Y46" i="6" s="1"/>
  <c r="X44" i="6"/>
  <c r="Y44" i="6" s="1"/>
  <c r="X47" i="6"/>
  <c r="Y47" i="6" s="1"/>
  <c r="X43" i="6"/>
  <c r="Y43" i="6" s="1"/>
  <c r="X46" i="5"/>
  <c r="X47" i="5" s="1"/>
  <c r="X48" i="5" s="1"/>
  <c r="N49" i="5"/>
  <c r="N50" i="5"/>
  <c r="M46" i="5"/>
  <c r="M47" i="5" s="1"/>
  <c r="M48" i="5" s="1"/>
  <c r="W41" i="5"/>
  <c r="Y41" i="5" s="1"/>
  <c r="Y39" i="5"/>
  <c r="W42" i="5"/>
  <c r="Y42" i="5" s="1"/>
  <c r="W43" i="5"/>
  <c r="Y43" i="5" s="1"/>
  <c r="W44" i="5"/>
  <c r="Y44" i="5" s="1"/>
  <c r="W40" i="5"/>
  <c r="Y40" i="5" s="1"/>
  <c r="T40" i="5"/>
  <c r="J50" i="5"/>
  <c r="J49" i="5"/>
  <c r="R45" i="5"/>
  <c r="T43" i="5"/>
  <c r="T44" i="5"/>
  <c r="T42" i="5"/>
  <c r="W43" i="4"/>
  <c r="W44" i="4" s="1"/>
  <c r="W45" i="4" s="1"/>
  <c r="W46" i="4" s="1"/>
  <c r="N43" i="4"/>
  <c r="N44" i="4" s="1"/>
  <c r="N45" i="4" s="1"/>
  <c r="N46" i="4" s="1"/>
  <c r="M47" i="4"/>
  <c r="M48" i="4"/>
  <c r="D48" i="4"/>
  <c r="D47" i="4"/>
  <c r="I48" i="4"/>
  <c r="I47" i="4"/>
  <c r="E47" i="4"/>
  <c r="E48" i="4"/>
  <c r="H47" i="4"/>
  <c r="H48" i="4"/>
  <c r="O43" i="4"/>
  <c r="J44" i="4"/>
  <c r="J45" i="4" s="1"/>
  <c r="J46" i="4" s="1"/>
  <c r="R43" i="4"/>
  <c r="S42" i="4"/>
  <c r="T42" i="4" s="1"/>
  <c r="S38" i="4"/>
  <c r="T38" i="4" s="1"/>
  <c r="S39" i="4"/>
  <c r="S41" i="4"/>
  <c r="T41" i="4" s="1"/>
  <c r="S40" i="4"/>
  <c r="T40" i="4" s="1"/>
  <c r="X41" i="4"/>
  <c r="Y41" i="4" s="1"/>
  <c r="X42" i="4"/>
  <c r="Y42" i="4" s="1"/>
  <c r="X38" i="4"/>
  <c r="Y38" i="4" s="1"/>
  <c r="X39" i="4"/>
  <c r="Y39" i="4" s="1"/>
  <c r="X40" i="4"/>
  <c r="Y40" i="4" s="1"/>
  <c r="T39" i="4"/>
  <c r="Y37" i="4"/>
  <c r="D45" i="3"/>
  <c r="D47" i="3" s="1"/>
  <c r="D48" i="3" s="1"/>
  <c r="D49" i="3" s="1"/>
  <c r="D50" i="3" s="1"/>
  <c r="O41" i="3"/>
  <c r="O42" i="3" s="1"/>
  <c r="O43" i="3" s="1"/>
  <c r="O44" i="3" s="1"/>
  <c r="C47" i="3"/>
  <c r="C49" i="3" s="1"/>
  <c r="I47" i="3"/>
  <c r="I48" i="3" s="1"/>
  <c r="I49" i="3" s="1"/>
  <c r="I50" i="3" s="1"/>
  <c r="I51" i="3" s="1"/>
  <c r="J44" i="3"/>
  <c r="J46" i="3" s="1"/>
  <c r="S41" i="3"/>
  <c r="T36" i="3"/>
  <c r="E47" i="3"/>
  <c r="H45" i="3"/>
  <c r="H46" i="3"/>
  <c r="X38" i="3"/>
  <c r="X39" i="3"/>
  <c r="X40" i="3"/>
  <c r="X36" i="3"/>
  <c r="X37" i="3"/>
  <c r="T40" i="3"/>
  <c r="W37" i="3"/>
  <c r="Y35" i="3"/>
  <c r="W38" i="3"/>
  <c r="W39" i="3"/>
  <c r="W40" i="3"/>
  <c r="W36" i="3"/>
  <c r="R41" i="3"/>
  <c r="T39" i="3"/>
  <c r="N45" i="3"/>
  <c r="N46" i="3"/>
  <c r="M42" i="3"/>
  <c r="M43" i="3" s="1"/>
  <c r="M44" i="3" s="1"/>
  <c r="T37" i="3"/>
  <c r="T38" i="3"/>
  <c r="C69" i="2"/>
  <c r="C70" i="2" s="1"/>
  <c r="G58" i="2"/>
  <c r="D69" i="2"/>
  <c r="D72" i="2" s="1"/>
  <c r="H58" i="2"/>
  <c r="H54" i="6" l="1"/>
  <c r="H55" i="6" s="1"/>
  <c r="H56" i="6" s="1"/>
  <c r="H57" i="6" s="1"/>
  <c r="J57" i="6" s="1"/>
  <c r="E56" i="6"/>
  <c r="E58" i="6" s="1"/>
  <c r="T48" i="6"/>
  <c r="T49" i="6" s="1"/>
  <c r="T50" i="6" s="1"/>
  <c r="T51" i="6" s="1"/>
  <c r="N54" i="6"/>
  <c r="N55" i="6" s="1"/>
  <c r="N56" i="6" s="1"/>
  <c r="J54" i="6"/>
  <c r="H54" i="5"/>
  <c r="J54" i="5" s="1"/>
  <c r="E53" i="5"/>
  <c r="H62" i="5" s="1"/>
  <c r="N51" i="5"/>
  <c r="N52" i="5" s="1"/>
  <c r="N53" i="5" s="1"/>
  <c r="N54" i="5" s="1"/>
  <c r="N55" i="5" s="1"/>
  <c r="T45" i="5"/>
  <c r="H55" i="5"/>
  <c r="J51" i="5"/>
  <c r="C55" i="5"/>
  <c r="I49" i="4"/>
  <c r="I50" i="4" s="1"/>
  <c r="I51" i="4" s="1"/>
  <c r="I52" i="4" s="1"/>
  <c r="I53" i="4" s="1"/>
  <c r="M49" i="4"/>
  <c r="M50" i="4" s="1"/>
  <c r="M51" i="4" s="1"/>
  <c r="H49" i="4"/>
  <c r="H50" i="4" s="1"/>
  <c r="H51" i="4" s="1"/>
  <c r="D49" i="4"/>
  <c r="D50" i="4" s="1"/>
  <c r="D51" i="4" s="1"/>
  <c r="D52" i="4" s="1"/>
  <c r="D53" i="4" s="1"/>
  <c r="O52" i="6"/>
  <c r="O53" i="6"/>
  <c r="O54" i="6" s="1"/>
  <c r="Y48" i="6"/>
  <c r="M53" i="6"/>
  <c r="M52" i="6"/>
  <c r="N57" i="6"/>
  <c r="N58" i="6" s="1"/>
  <c r="S52" i="6"/>
  <c r="S53" i="6"/>
  <c r="W49" i="6"/>
  <c r="W50" i="6" s="1"/>
  <c r="W51" i="6" s="1"/>
  <c r="J56" i="6"/>
  <c r="X48" i="6"/>
  <c r="R49" i="6"/>
  <c r="R50" i="6" s="1"/>
  <c r="R51" i="6" s="1"/>
  <c r="C64" i="6"/>
  <c r="H65" i="6"/>
  <c r="C58" i="6"/>
  <c r="T46" i="5"/>
  <c r="T47" i="5" s="1"/>
  <c r="T48" i="5" s="1"/>
  <c r="S49" i="5"/>
  <c r="S50" i="5"/>
  <c r="X50" i="5"/>
  <c r="X49" i="5"/>
  <c r="M49" i="5"/>
  <c r="M50" i="5"/>
  <c r="W45" i="5"/>
  <c r="O49" i="5"/>
  <c r="O50" i="5"/>
  <c r="R46" i="5"/>
  <c r="R47" i="5" s="1"/>
  <c r="R48" i="5" s="1"/>
  <c r="Y45" i="5"/>
  <c r="H63" i="5"/>
  <c r="J55" i="5"/>
  <c r="S43" i="4"/>
  <c r="S44" i="4" s="1"/>
  <c r="S45" i="4" s="1"/>
  <c r="S46" i="4" s="1"/>
  <c r="E49" i="4"/>
  <c r="T43" i="4"/>
  <c r="J47" i="4"/>
  <c r="J48" i="4"/>
  <c r="X43" i="4"/>
  <c r="O44" i="4"/>
  <c r="O45" i="4" s="1"/>
  <c r="O46" i="4" s="1"/>
  <c r="Y43" i="4"/>
  <c r="R44" i="4"/>
  <c r="R45" i="4" s="1"/>
  <c r="R46" i="4" s="1"/>
  <c r="N47" i="4"/>
  <c r="N48" i="4"/>
  <c r="W48" i="4"/>
  <c r="W47" i="4"/>
  <c r="M52" i="4"/>
  <c r="M53" i="4" s="1"/>
  <c r="E49" i="3"/>
  <c r="H58" i="3" s="1"/>
  <c r="D51" i="3"/>
  <c r="H47" i="3"/>
  <c r="H48" i="3" s="1"/>
  <c r="H49" i="3" s="1"/>
  <c r="J49" i="3" s="1"/>
  <c r="C50" i="3"/>
  <c r="E50" i="3" s="1"/>
  <c r="E51" i="3" s="1"/>
  <c r="Y39" i="3"/>
  <c r="J45" i="3"/>
  <c r="J47" i="3" s="1"/>
  <c r="Y38" i="3"/>
  <c r="N47" i="3"/>
  <c r="N48" i="3" s="1"/>
  <c r="N49" i="3" s="1"/>
  <c r="N50" i="3" s="1"/>
  <c r="N51" i="3" s="1"/>
  <c r="Y40" i="3"/>
  <c r="Y37" i="3"/>
  <c r="S42" i="3"/>
  <c r="S43" i="3" s="1"/>
  <c r="S44" i="3" s="1"/>
  <c r="T41" i="3"/>
  <c r="X41" i="3"/>
  <c r="X42" i="3" s="1"/>
  <c r="X43" i="3" s="1"/>
  <c r="X44" i="3" s="1"/>
  <c r="O45" i="3"/>
  <c r="O46" i="3"/>
  <c r="T42" i="3"/>
  <c r="T43" i="3" s="1"/>
  <c r="T44" i="3" s="1"/>
  <c r="C57" i="3"/>
  <c r="C105" i="2" s="1"/>
  <c r="M45" i="3"/>
  <c r="M46" i="3"/>
  <c r="W41" i="3"/>
  <c r="R42" i="3"/>
  <c r="R43" i="3" s="1"/>
  <c r="R44" i="3" s="1"/>
  <c r="Y36" i="3"/>
  <c r="D73" i="2"/>
  <c r="D70" i="2"/>
  <c r="E70" i="2" s="1"/>
  <c r="D71" i="2"/>
  <c r="D74" i="2"/>
  <c r="C73" i="2"/>
  <c r="E73" i="2" s="1"/>
  <c r="C74" i="2"/>
  <c r="C72" i="2"/>
  <c r="E72" i="2" s="1"/>
  <c r="C71" i="2"/>
  <c r="H59" i="2"/>
  <c r="I69" i="2"/>
  <c r="I74" i="2" s="1"/>
  <c r="G59" i="2"/>
  <c r="H69" i="2"/>
  <c r="E69" i="2"/>
  <c r="S54" i="6" l="1"/>
  <c r="S55" i="6" s="1"/>
  <c r="S56" i="6" s="1"/>
  <c r="M54" i="6"/>
  <c r="M55" i="6" s="1"/>
  <c r="M56" i="6" s="1"/>
  <c r="M57" i="6" s="1"/>
  <c r="O57" i="6" s="1"/>
  <c r="E55" i="5"/>
  <c r="C61" i="5"/>
  <c r="C107" i="2" s="1"/>
  <c r="O51" i="5"/>
  <c r="M51" i="5"/>
  <c r="M52" i="5" s="1"/>
  <c r="M53" i="5" s="1"/>
  <c r="O53" i="5" s="1"/>
  <c r="S51" i="5"/>
  <c r="S52" i="5" s="1"/>
  <c r="S53" i="5" s="1"/>
  <c r="S54" i="5" s="1"/>
  <c r="S55" i="5" s="1"/>
  <c r="X51" i="5"/>
  <c r="X52" i="5" s="1"/>
  <c r="X53" i="5" s="1"/>
  <c r="X54" i="5" s="1"/>
  <c r="X55" i="5" s="1"/>
  <c r="J51" i="4"/>
  <c r="H61" i="4" s="1"/>
  <c r="E51" i="4"/>
  <c r="H52" i="4"/>
  <c r="J52" i="4" s="1"/>
  <c r="N49" i="4"/>
  <c r="N50" i="4" s="1"/>
  <c r="N51" i="4" s="1"/>
  <c r="N52" i="4" s="1"/>
  <c r="O52" i="4" s="1"/>
  <c r="E52" i="4"/>
  <c r="E53" i="4" s="1"/>
  <c r="C30" i="7"/>
  <c r="C31" i="7" s="1"/>
  <c r="J30" i="7"/>
  <c r="K30" i="7" s="1"/>
  <c r="R53" i="6"/>
  <c r="R52" i="6"/>
  <c r="T52" i="6"/>
  <c r="T53" i="6"/>
  <c r="X49" i="6"/>
  <c r="X50" i="6" s="1"/>
  <c r="X51" i="6" s="1"/>
  <c r="W52" i="6"/>
  <c r="W53" i="6"/>
  <c r="Y49" i="6"/>
  <c r="Y50" i="6" s="1"/>
  <c r="Y51" i="6" s="1"/>
  <c r="C65" i="6"/>
  <c r="C66" i="6" s="1"/>
  <c r="C67" i="6" s="1"/>
  <c r="J58" i="6"/>
  <c r="H66" i="6"/>
  <c r="S57" i="6"/>
  <c r="S58" i="6" s="1"/>
  <c r="J65" i="6"/>
  <c r="K65" i="6" s="1"/>
  <c r="H58" i="6"/>
  <c r="T49" i="5"/>
  <c r="T50" i="5"/>
  <c r="W46" i="5"/>
  <c r="W47" i="5" s="1"/>
  <c r="W48" i="5" s="1"/>
  <c r="R50" i="5"/>
  <c r="R49" i="5"/>
  <c r="J62" i="5"/>
  <c r="K62" i="5" s="1"/>
  <c r="J63" i="5"/>
  <c r="K63" i="5" s="1"/>
  <c r="Y46" i="5"/>
  <c r="Y47" i="5" s="1"/>
  <c r="Y48" i="5" s="1"/>
  <c r="J49" i="4"/>
  <c r="W49" i="4"/>
  <c r="W50" i="4" s="1"/>
  <c r="W51" i="4" s="1"/>
  <c r="S47" i="4"/>
  <c r="S48" i="4"/>
  <c r="R48" i="4"/>
  <c r="R47" i="4"/>
  <c r="Y44" i="4"/>
  <c r="Y45" i="4" s="1"/>
  <c r="Y46" i="4" s="1"/>
  <c r="T44" i="4"/>
  <c r="T45" i="4" s="1"/>
  <c r="T46" i="4" s="1"/>
  <c r="O48" i="4"/>
  <c r="O47" i="4"/>
  <c r="X44" i="4"/>
  <c r="X45" i="4" s="1"/>
  <c r="X46" i="4" s="1"/>
  <c r="H60" i="4"/>
  <c r="C59" i="4"/>
  <c r="H53" i="4"/>
  <c r="D105" i="2"/>
  <c r="E105" i="2" s="1"/>
  <c r="C51" i="3"/>
  <c r="H50" i="3"/>
  <c r="J50" i="3" s="1"/>
  <c r="O47" i="3"/>
  <c r="Y41" i="3"/>
  <c r="Y42" i="3" s="1"/>
  <c r="Y43" i="3" s="1"/>
  <c r="Y44" i="3" s="1"/>
  <c r="S46" i="3"/>
  <c r="S45" i="3"/>
  <c r="M47" i="3"/>
  <c r="M48" i="3" s="1"/>
  <c r="M49" i="3" s="1"/>
  <c r="T45" i="3"/>
  <c r="T46" i="3"/>
  <c r="C58" i="3"/>
  <c r="C59" i="3" s="1"/>
  <c r="C60" i="3" s="1"/>
  <c r="R46" i="3"/>
  <c r="R45" i="3"/>
  <c r="X46" i="3"/>
  <c r="X45" i="3"/>
  <c r="W42" i="3"/>
  <c r="W43" i="3" s="1"/>
  <c r="W44" i="3" s="1"/>
  <c r="J58" i="3"/>
  <c r="H59" i="3"/>
  <c r="J51" i="3"/>
  <c r="D75" i="2"/>
  <c r="D76" i="2" s="1"/>
  <c r="D77" i="2" s="1"/>
  <c r="D78" i="2" s="1"/>
  <c r="D80" i="2" s="1"/>
  <c r="E74" i="2"/>
  <c r="E71" i="2"/>
  <c r="J69" i="2"/>
  <c r="C75" i="2"/>
  <c r="C76" i="2" s="1"/>
  <c r="C77" i="2" s="1"/>
  <c r="C78" i="2" s="1"/>
  <c r="C80" i="2" s="1"/>
  <c r="H73" i="2"/>
  <c r="H72" i="2"/>
  <c r="H74" i="2"/>
  <c r="J74" i="2" s="1"/>
  <c r="H70" i="2"/>
  <c r="I71" i="2"/>
  <c r="H71" i="2"/>
  <c r="I72" i="2"/>
  <c r="I70" i="2"/>
  <c r="I73" i="2"/>
  <c r="G60" i="2"/>
  <c r="M69" i="2"/>
  <c r="M72" i="2" s="1"/>
  <c r="H60" i="2"/>
  <c r="N69" i="2"/>
  <c r="N72" i="2" s="1"/>
  <c r="D107" i="2" l="1"/>
  <c r="C62" i="5"/>
  <c r="C63" i="5" s="1"/>
  <c r="C64" i="5" s="1"/>
  <c r="R54" i="6"/>
  <c r="R55" i="6" s="1"/>
  <c r="R56" i="6" s="1"/>
  <c r="R57" i="6" s="1"/>
  <c r="T57" i="6" s="1"/>
  <c r="O56" i="6"/>
  <c r="H67" i="6" s="1"/>
  <c r="T54" i="6"/>
  <c r="W54" i="6"/>
  <c r="W55" i="6" s="1"/>
  <c r="W56" i="6" s="1"/>
  <c r="W57" i="6" s="1"/>
  <c r="M58" i="6"/>
  <c r="M54" i="5"/>
  <c r="O54" i="5" s="1"/>
  <c r="T51" i="5"/>
  <c r="R51" i="5"/>
  <c r="R52" i="5" s="1"/>
  <c r="R53" i="5" s="1"/>
  <c r="R54" i="5" s="1"/>
  <c r="T54" i="5" s="1"/>
  <c r="J53" i="4"/>
  <c r="O51" i="4"/>
  <c r="W52" i="4"/>
  <c r="W53" i="4" s="1"/>
  <c r="N53" i="4"/>
  <c r="S49" i="4"/>
  <c r="S50" i="4" s="1"/>
  <c r="S51" i="4" s="1"/>
  <c r="S52" i="4" s="1"/>
  <c r="S53" i="4" s="1"/>
  <c r="O49" i="4"/>
  <c r="J31" i="7"/>
  <c r="K31" i="7" s="1"/>
  <c r="J32" i="7"/>
  <c r="K32" i="7" s="1"/>
  <c r="H35" i="7"/>
  <c r="Y53" i="6"/>
  <c r="Y52" i="6"/>
  <c r="X53" i="6"/>
  <c r="X52" i="6"/>
  <c r="J66" i="6"/>
  <c r="K66" i="6" s="1"/>
  <c r="Y49" i="5"/>
  <c r="Y50" i="5"/>
  <c r="W49" i="5"/>
  <c r="W50" i="5"/>
  <c r="W51" i="5" s="1"/>
  <c r="W52" i="5" s="1"/>
  <c r="W53" i="5" s="1"/>
  <c r="H64" i="5"/>
  <c r="O55" i="5"/>
  <c r="R49" i="4"/>
  <c r="R50" i="4" s="1"/>
  <c r="R51" i="4" s="1"/>
  <c r="R52" i="4" s="1"/>
  <c r="Y47" i="4"/>
  <c r="Y48" i="4"/>
  <c r="X47" i="4"/>
  <c r="X48" i="4"/>
  <c r="J61" i="4"/>
  <c r="K61" i="4" s="1"/>
  <c r="T47" i="4"/>
  <c r="T48" i="4"/>
  <c r="C60" i="4"/>
  <c r="C61" i="4" s="1"/>
  <c r="C62" i="4" s="1"/>
  <c r="J60" i="4"/>
  <c r="K60" i="4" s="1"/>
  <c r="H62" i="4"/>
  <c r="O53" i="4"/>
  <c r="H51" i="3"/>
  <c r="R47" i="3"/>
  <c r="R48" i="3" s="1"/>
  <c r="R49" i="3" s="1"/>
  <c r="T47" i="3"/>
  <c r="S47" i="3"/>
  <c r="S48" i="3" s="1"/>
  <c r="S49" i="3" s="1"/>
  <c r="S50" i="3" s="1"/>
  <c r="S51" i="3" s="1"/>
  <c r="O49" i="3"/>
  <c r="H60" i="3" s="1"/>
  <c r="M50" i="3"/>
  <c r="O50" i="3" s="1"/>
  <c r="X47" i="3"/>
  <c r="X48" i="3" s="1"/>
  <c r="X49" i="3" s="1"/>
  <c r="X50" i="3" s="1"/>
  <c r="X51" i="3" s="1"/>
  <c r="Y45" i="3"/>
  <c r="Y46" i="3"/>
  <c r="W45" i="3"/>
  <c r="W46" i="3"/>
  <c r="J59" i="3"/>
  <c r="K58" i="3"/>
  <c r="D79" i="2"/>
  <c r="D81" i="2" s="1"/>
  <c r="D82" i="2" s="1"/>
  <c r="E75" i="2"/>
  <c r="E76" i="2" s="1"/>
  <c r="E77" i="2" s="1"/>
  <c r="E78" i="2" s="1"/>
  <c r="E79" i="2" s="1"/>
  <c r="J72" i="2"/>
  <c r="N71" i="2"/>
  <c r="J73" i="2"/>
  <c r="C79" i="2"/>
  <c r="C81" i="2" s="1"/>
  <c r="C82" i="2" s="1"/>
  <c r="C128" i="2" s="1"/>
  <c r="H75" i="2"/>
  <c r="H76" i="2" s="1"/>
  <c r="H77" i="2" s="1"/>
  <c r="H78" i="2" s="1"/>
  <c r="H80" i="2" s="1"/>
  <c r="M71" i="2"/>
  <c r="O71" i="2" s="1"/>
  <c r="J70" i="2"/>
  <c r="M73" i="2"/>
  <c r="I75" i="2"/>
  <c r="I76" i="2" s="1"/>
  <c r="I77" i="2" s="1"/>
  <c r="I78" i="2" s="1"/>
  <c r="I80" i="2" s="1"/>
  <c r="M74" i="2"/>
  <c r="M70" i="2"/>
  <c r="J71" i="2"/>
  <c r="N70" i="2"/>
  <c r="N74" i="2"/>
  <c r="O74" i="2" s="1"/>
  <c r="H61" i="2"/>
  <c r="X69" i="2" s="1"/>
  <c r="S69" i="2"/>
  <c r="S72" i="2" s="1"/>
  <c r="O69" i="2"/>
  <c r="N73" i="2"/>
  <c r="G61" i="2"/>
  <c r="R69" i="2"/>
  <c r="R74" i="2" s="1"/>
  <c r="O72" i="2"/>
  <c r="D83" i="2" l="1"/>
  <c r="D84" i="2" s="1"/>
  <c r="D85" i="2" s="1"/>
  <c r="C129" i="2"/>
  <c r="E133" i="2" s="1"/>
  <c r="E134" i="2" s="1"/>
  <c r="E135" i="2" s="1"/>
  <c r="E107" i="2"/>
  <c r="E110" i="2" s="1"/>
  <c r="D110" i="2"/>
  <c r="T56" i="6"/>
  <c r="H68" i="6" s="1"/>
  <c r="O58" i="6"/>
  <c r="X54" i="6"/>
  <c r="X55" i="6" s="1"/>
  <c r="X56" i="6" s="1"/>
  <c r="X57" i="6" s="1"/>
  <c r="Y57" i="6" s="1"/>
  <c r="Y54" i="6"/>
  <c r="M55" i="5"/>
  <c r="T53" i="5"/>
  <c r="Y51" i="5"/>
  <c r="R53" i="4"/>
  <c r="T51" i="4"/>
  <c r="T49" i="4"/>
  <c r="X49" i="4"/>
  <c r="X50" i="4" s="1"/>
  <c r="X51" i="4" s="1"/>
  <c r="X52" i="4" s="1"/>
  <c r="J33" i="7"/>
  <c r="J35" i="7"/>
  <c r="K35" i="7" s="1"/>
  <c r="J67" i="6"/>
  <c r="H70" i="6"/>
  <c r="T58" i="6"/>
  <c r="Y56" i="6"/>
  <c r="W58" i="6"/>
  <c r="R58" i="6"/>
  <c r="W54" i="5"/>
  <c r="Y54" i="5" s="1"/>
  <c r="Y53" i="5"/>
  <c r="J64" i="5"/>
  <c r="H67" i="5"/>
  <c r="T55" i="5"/>
  <c r="H65" i="5"/>
  <c r="R55" i="5"/>
  <c r="Y49" i="4"/>
  <c r="J62" i="4"/>
  <c r="K62" i="4" s="1"/>
  <c r="H63" i="4"/>
  <c r="H65" i="4"/>
  <c r="T52" i="4"/>
  <c r="T53" i="4" s="1"/>
  <c r="T49" i="3"/>
  <c r="H61" i="3" s="1"/>
  <c r="R50" i="3"/>
  <c r="T50" i="3" s="1"/>
  <c r="W47" i="3"/>
  <c r="W48" i="3" s="1"/>
  <c r="W49" i="3" s="1"/>
  <c r="W50" i="3" s="1"/>
  <c r="Y50" i="3" s="1"/>
  <c r="Y47" i="3"/>
  <c r="M51" i="3"/>
  <c r="O51" i="3"/>
  <c r="K59" i="3"/>
  <c r="J60" i="3"/>
  <c r="H63" i="3"/>
  <c r="I79" i="2"/>
  <c r="I81" i="2" s="1"/>
  <c r="I82" i="2" s="1"/>
  <c r="I83" i="2" s="1"/>
  <c r="I84" i="2" s="1"/>
  <c r="I85" i="2" s="1"/>
  <c r="M75" i="2"/>
  <c r="M76" i="2" s="1"/>
  <c r="M77" i="2" s="1"/>
  <c r="M78" i="2" s="1"/>
  <c r="M80" i="2" s="1"/>
  <c r="H79" i="2"/>
  <c r="H81" i="2" s="1"/>
  <c r="H82" i="2" s="1"/>
  <c r="H83" i="2" s="1"/>
  <c r="H84" i="2" s="1"/>
  <c r="H85" i="2" s="1"/>
  <c r="J75" i="2"/>
  <c r="J76" i="2" s="1"/>
  <c r="J77" i="2" s="1"/>
  <c r="J78" i="2" s="1"/>
  <c r="J80" i="2" s="1"/>
  <c r="H62" i="2"/>
  <c r="O70" i="2"/>
  <c r="O73" i="2"/>
  <c r="T69" i="2"/>
  <c r="S70" i="2"/>
  <c r="S71" i="2"/>
  <c r="S74" i="2"/>
  <c r="T74" i="2" s="1"/>
  <c r="N75" i="2"/>
  <c r="N76" i="2" s="1"/>
  <c r="N77" i="2" s="1"/>
  <c r="N78" i="2" s="1"/>
  <c r="N80" i="2" s="1"/>
  <c r="S73" i="2"/>
  <c r="R70" i="2"/>
  <c r="W69" i="2"/>
  <c r="W73" i="2" s="1"/>
  <c r="G62" i="2"/>
  <c r="R73" i="2"/>
  <c r="R71" i="2"/>
  <c r="R72" i="2"/>
  <c r="T72" i="2" s="1"/>
  <c r="J79" i="2"/>
  <c r="J81" i="2" s="1"/>
  <c r="E80" i="2"/>
  <c r="E81" i="2" s="1"/>
  <c r="C83" i="2"/>
  <c r="X70" i="2"/>
  <c r="X72" i="2"/>
  <c r="X73" i="2"/>
  <c r="X74" i="2"/>
  <c r="X71" i="2"/>
  <c r="G133" i="2" l="1"/>
  <c r="D133" i="2"/>
  <c r="G134" i="2"/>
  <c r="G135" i="2" s="1"/>
  <c r="D134" i="2"/>
  <c r="F133" i="2"/>
  <c r="I133" i="2" s="1"/>
  <c r="X58" i="6"/>
  <c r="Y51" i="4"/>
  <c r="H64" i="4" s="1"/>
  <c r="Y52" i="4"/>
  <c r="X53" i="4"/>
  <c r="K33" i="7"/>
  <c r="J70" i="6"/>
  <c r="K70" i="6" s="1"/>
  <c r="H69" i="6"/>
  <c r="Y58" i="6"/>
  <c r="J68" i="6"/>
  <c r="K67" i="6"/>
  <c r="J67" i="5"/>
  <c r="K67" i="5" s="1"/>
  <c r="W55" i="5"/>
  <c r="J65" i="5"/>
  <c r="K65" i="5" s="1"/>
  <c r="K64" i="5"/>
  <c r="H66" i="5"/>
  <c r="Y55" i="5"/>
  <c r="J65" i="4"/>
  <c r="K65" i="4" s="1"/>
  <c r="J63" i="4"/>
  <c r="Y49" i="3"/>
  <c r="Y51" i="3" s="1"/>
  <c r="R51" i="3"/>
  <c r="T51" i="3"/>
  <c r="J63" i="3"/>
  <c r="K63" i="3" s="1"/>
  <c r="H62" i="3"/>
  <c r="W51" i="3"/>
  <c r="J61" i="3"/>
  <c r="K61" i="3" s="1"/>
  <c r="K60" i="3"/>
  <c r="M79" i="2"/>
  <c r="M81" i="2" s="1"/>
  <c r="M82" i="2" s="1"/>
  <c r="M83" i="2" s="1"/>
  <c r="M84" i="2" s="1"/>
  <c r="J83" i="2"/>
  <c r="J93" i="2" s="1"/>
  <c r="K93" i="2" s="1"/>
  <c r="O75" i="2"/>
  <c r="O76" i="2" s="1"/>
  <c r="O77" i="2" s="1"/>
  <c r="O78" i="2" s="1"/>
  <c r="O80" i="2" s="1"/>
  <c r="S75" i="2"/>
  <c r="S76" i="2" s="1"/>
  <c r="S77" i="2" s="1"/>
  <c r="S78" i="2" s="1"/>
  <c r="S80" i="2" s="1"/>
  <c r="T73" i="2"/>
  <c r="R75" i="2"/>
  <c r="R76" i="2" s="1"/>
  <c r="R77" i="2" s="1"/>
  <c r="R78" i="2" s="1"/>
  <c r="R79" i="2" s="1"/>
  <c r="T71" i="2"/>
  <c r="W70" i="2"/>
  <c r="Y70" i="2" s="1"/>
  <c r="T70" i="2"/>
  <c r="Y69" i="2"/>
  <c r="N79" i="2"/>
  <c r="N81" i="2" s="1"/>
  <c r="N82" i="2" s="1"/>
  <c r="N83" i="2" s="1"/>
  <c r="N84" i="2" s="1"/>
  <c r="N85" i="2" s="1"/>
  <c r="W72" i="2"/>
  <c r="Y72" i="2" s="1"/>
  <c r="W71" i="2"/>
  <c r="Y71" i="2" s="1"/>
  <c r="W74" i="2"/>
  <c r="Y74" i="2" s="1"/>
  <c r="Y73" i="2"/>
  <c r="J84" i="2"/>
  <c r="C84" i="2"/>
  <c r="E84" i="2" s="1"/>
  <c r="E83" i="2"/>
  <c r="X75" i="2"/>
  <c r="X76" i="2" s="1"/>
  <c r="X77" i="2" s="1"/>
  <c r="X78" i="2" s="1"/>
  <c r="X80" i="2" s="1"/>
  <c r="D135" i="2" l="1"/>
  <c r="I134" i="2"/>
  <c r="F134" i="2"/>
  <c r="F135" i="2" s="1"/>
  <c r="J92" i="2"/>
  <c r="K92" i="2" s="1"/>
  <c r="C91" i="2"/>
  <c r="Y53" i="4"/>
  <c r="J34" i="7"/>
  <c r="J36" i="7" s="1"/>
  <c r="H36" i="7"/>
  <c r="J69" i="6"/>
  <c r="J71" i="6" s="1"/>
  <c r="H71" i="6"/>
  <c r="K68" i="6"/>
  <c r="J66" i="5"/>
  <c r="J68" i="5" s="1"/>
  <c r="H68" i="5"/>
  <c r="K63" i="4"/>
  <c r="J64" i="4"/>
  <c r="J66" i="4" s="1"/>
  <c r="H66" i="4"/>
  <c r="J62" i="3"/>
  <c r="J64" i="3" s="1"/>
  <c r="H64" i="3"/>
  <c r="O79" i="2"/>
  <c r="O81" i="2" s="1"/>
  <c r="J85" i="2"/>
  <c r="S79" i="2"/>
  <c r="S81" i="2" s="1"/>
  <c r="S82" i="2" s="1"/>
  <c r="S83" i="2" s="1"/>
  <c r="S84" i="2" s="1"/>
  <c r="S85" i="2" s="1"/>
  <c r="T75" i="2"/>
  <c r="T76" i="2" s="1"/>
  <c r="T77" i="2" s="1"/>
  <c r="T78" i="2" s="1"/>
  <c r="T79" i="2" s="1"/>
  <c r="R80" i="2"/>
  <c r="R81" i="2" s="1"/>
  <c r="R82" i="2" s="1"/>
  <c r="R83" i="2" s="1"/>
  <c r="R84" i="2" s="1"/>
  <c r="O83" i="2"/>
  <c r="J94" i="2" s="1"/>
  <c r="K94" i="2" s="1"/>
  <c r="W75" i="2"/>
  <c r="W76" i="2" s="1"/>
  <c r="W77" i="2" s="1"/>
  <c r="W78" i="2" s="1"/>
  <c r="W79" i="2" s="1"/>
  <c r="Y75" i="2"/>
  <c r="Y76" i="2" s="1"/>
  <c r="Y77" i="2" s="1"/>
  <c r="Y78" i="2" s="1"/>
  <c r="Y80" i="2" s="1"/>
  <c r="M85" i="2"/>
  <c r="O84" i="2"/>
  <c r="C92" i="2"/>
  <c r="C93" i="2" s="1"/>
  <c r="E85" i="2"/>
  <c r="C85" i="2"/>
  <c r="X79" i="2"/>
  <c r="X81" i="2" s="1"/>
  <c r="X82" i="2" s="1"/>
  <c r="X83" i="2" s="1"/>
  <c r="X84" i="2" s="1"/>
  <c r="X85" i="2" s="1"/>
  <c r="I135" i="2" l="1"/>
  <c r="K66" i="5"/>
  <c r="K68" i="5" s="1"/>
  <c r="K64" i="4"/>
  <c r="K66" i="4" s="1"/>
  <c r="K34" i="7"/>
  <c r="K36" i="7" s="1"/>
  <c r="K69" i="6"/>
  <c r="K71" i="6" s="1"/>
  <c r="K62" i="3"/>
  <c r="K64" i="3" s="1"/>
  <c r="T83" i="2"/>
  <c r="T84" i="2"/>
  <c r="H97" i="2"/>
  <c r="J97" i="2" s="1"/>
  <c r="K97" i="2" s="1"/>
  <c r="T80" i="2"/>
  <c r="T81" i="2" s="1"/>
  <c r="W80" i="2"/>
  <c r="W81" i="2" s="1"/>
  <c r="W82" i="2" s="1"/>
  <c r="W83" i="2" s="1"/>
  <c r="Y83" i="2" s="1"/>
  <c r="J96" i="2" s="1"/>
  <c r="K96" i="2" s="1"/>
  <c r="O85" i="2"/>
  <c r="Y79" i="2"/>
  <c r="Y81" i="2" s="1"/>
  <c r="R85" i="2"/>
  <c r="C94" i="2"/>
  <c r="J46" i="1"/>
  <c r="H49" i="1"/>
  <c r="J47" i="1"/>
  <c r="J48" i="1"/>
  <c r="T85" i="2" l="1"/>
  <c r="W84" i="2"/>
  <c r="Y84" i="2" s="1"/>
  <c r="Y85" i="2" s="1"/>
  <c r="H98" i="2"/>
  <c r="J95" i="2"/>
  <c r="J98" i="2" s="1"/>
  <c r="H51" i="1"/>
  <c r="J50" i="1"/>
  <c r="J51" i="1" s="1"/>
  <c r="J45" i="1"/>
  <c r="J44" i="1"/>
  <c r="J43" i="1"/>
  <c r="J42" i="1"/>
  <c r="J40" i="1"/>
  <c r="H41" i="1"/>
  <c r="J39" i="1"/>
  <c r="J38" i="1"/>
  <c r="J37" i="1"/>
  <c r="W85" i="2" l="1"/>
  <c r="K95" i="2"/>
  <c r="K98" i="2" s="1"/>
  <c r="J49" i="1"/>
  <c r="J41" i="1"/>
  <c r="J53" i="1" s="1"/>
  <c r="J55" i="1" s="1"/>
  <c r="D31" i="1"/>
  <c r="D15" i="1"/>
  <c r="C15" i="1"/>
  <c r="D13" i="1"/>
  <c r="D14" i="1" s="1"/>
  <c r="C13" i="1"/>
  <c r="C14" i="1" s="1"/>
  <c r="D16" i="1" l="1"/>
  <c r="D18" i="1" s="1"/>
  <c r="D20" i="1" s="1"/>
  <c r="C16" i="1"/>
  <c r="C18" i="1" s="1"/>
  <c r="C20" i="1" s="1"/>
  <c r="C19" i="1" l="1"/>
  <c r="C21" i="1"/>
  <c r="D19" i="1"/>
  <c r="D21" i="1"/>
  <c r="D22" i="1" l="1"/>
  <c r="D23" i="1" s="1"/>
  <c r="D36" i="1" s="1"/>
  <c r="D37" i="1" s="1"/>
  <c r="D38" i="1" s="1"/>
  <c r="C22" i="1"/>
  <c r="C23" i="1" s="1"/>
  <c r="C36" i="1" s="1"/>
  <c r="C37" i="1" s="1"/>
  <c r="C38" i="1" s="1"/>
  <c r="D39" i="1" l="1"/>
  <c r="C39" i="1"/>
  <c r="D44" i="1" l="1"/>
  <c r="C44" i="1"/>
  <c r="D48" i="1" l="1"/>
  <c r="D46" i="1"/>
  <c r="D45" i="1"/>
  <c r="D47" i="1"/>
  <c r="C46" i="1"/>
  <c r="C47" i="1"/>
  <c r="C45" i="1"/>
  <c r="C48" i="1"/>
  <c r="C49" i="1" l="1"/>
  <c r="C50" i="1" s="1"/>
  <c r="C51" i="1" s="1"/>
  <c r="C52" i="1" s="1"/>
  <c r="D49" i="1"/>
  <c r="C53" i="1" l="1"/>
  <c r="C55" i="1" s="1"/>
  <c r="C56" i="1" s="1"/>
  <c r="C57" i="1" s="1"/>
  <c r="C54" i="1"/>
  <c r="D50" i="1"/>
  <c r="D51" i="1" l="1"/>
  <c r="D52" i="1" s="1"/>
  <c r="D53" i="1" l="1"/>
  <c r="D54" i="1"/>
  <c r="D55" i="1" l="1"/>
  <c r="D56" i="1" s="1"/>
  <c r="D57" i="1" s="1"/>
  <c r="D58" i="1" s="1"/>
  <c r="D59" i="1" l="1"/>
  <c r="D60" i="1" s="1"/>
  <c r="E60" i="1" s="1"/>
</calcChain>
</file>

<file path=xl/sharedStrings.xml><?xml version="1.0" encoding="utf-8"?>
<sst xmlns="http://schemas.openxmlformats.org/spreadsheetml/2006/main" count="1055" uniqueCount="172">
  <si>
    <t>Benefici industrial (6%)</t>
  </si>
  <si>
    <t>Total costos directes i indirectes</t>
  </si>
  <si>
    <t>RESOLUCIÓ EMT/1729/2023, de 9 de maig, per la qual es disposa la inscripció i la publicació del Conveni col·lectiu de
treball del sector de la neteja d’edificis i locals de Catalunya per als anys 2022 a 2025 (codi de conveni núm.
79002415012005).</t>
  </si>
  <si>
    <t>CORRECCIÓ D’ERRADES a la Resolució EMT/1729/2023, de 9 de maig, per la qual es disposa la inscripció i
la publicació del Conveni col·lectiu de treball del sector de la neteja d’edificis i locals de Catalunya per als
anys 2022 a 2025 (codi de conveni núm. 79002415012005) (DOGC núm. 8921, de 23.5.2023).</t>
  </si>
  <si>
    <t>Resolució EMT/1912/2025, de 23 de maig, per la qual es disposen la inscripció i la publicació de l’Acord de
la Comissió Negociadora del Conveni col·lectiu de treball del sector de la neteja d’edificis i locals de
Catalunya per als anys 2022 a 2025 (codi de conveni núm. 79002415012005)</t>
  </si>
  <si>
    <t>ESTUDI DE COSTOS NETEJA EDIFICIS MUNICIPALS AJ.PUIG-REIG</t>
  </si>
  <si>
    <t>Peó especialitzat i ajudant (grup IV - nivell 2)</t>
  </si>
  <si>
    <t>Personal netejador i peó (grup IV - nivell 4)</t>
  </si>
  <si>
    <t>Salari base/mes</t>
  </si>
  <si>
    <t>Plus Conveni/mes</t>
  </si>
  <si>
    <t>Exercici 2025 segons conveni</t>
  </si>
  <si>
    <t>Total/mes</t>
  </si>
  <si>
    <t>Total 12 mesos</t>
  </si>
  <si>
    <t>Càlcul pagues extres 
(p.55 conveni)</t>
  </si>
  <si>
    <t>Hores de treball anuals màxim s/conveni</t>
  </si>
  <si>
    <t>Absentismes, vacancessubstitcuions i altres complements - 6%</t>
  </si>
  <si>
    <t>Càlcul preu/hora treballador</t>
  </si>
  <si>
    <t>Càlcul preu/hora empresa</t>
  </si>
  <si>
    <t>Total cost empresa</t>
  </si>
  <si>
    <t>Total retribució anual treballador</t>
  </si>
  <si>
    <t>Peó especialitzat</t>
  </si>
  <si>
    <t>Personal netejador</t>
  </si>
  <si>
    <t>2026 (+2,5%)</t>
  </si>
  <si>
    <t>2027 (+2,5%)</t>
  </si>
  <si>
    <t>2028 (+2,5%)</t>
  </si>
  <si>
    <t>2029 (+2,5%)</t>
  </si>
  <si>
    <t>2030 (+2,5%)</t>
  </si>
  <si>
    <t>Increments</t>
  </si>
  <si>
    <t>Mitjana increment</t>
  </si>
  <si>
    <t>Mitjana anual</t>
  </si>
  <si>
    <t>Cost salarial mig</t>
  </si>
  <si>
    <t>Despeses generals estructura (13%)</t>
  </si>
  <si>
    <t>Total Costos directes</t>
  </si>
  <si>
    <t>Bon dia Anna,</t>
  </si>
  <si>
    <t>A l'oficina fem 2,5 hs cada setmana i normalment el divendres. L'esglèisa un cop al mes 3,5 hs i ho fem a final de mes.</t>
  </si>
  <si>
    <t>Salutacions.</t>
  </si>
  <si>
    <t>Total Costos indirectes</t>
  </si>
  <si>
    <t>GUIA PER CALCULAR L’ESCANDALL DE COSTOS DELS SERVEIS DE NETEJA (2023-2025) -Aprovada pel Comitè de seguiment mixt de l’Acord marc dels serveis de neteja (exp. CCS 2022 1), en reunió de data 28/03/2023 -</t>
  </si>
  <si>
    <t>Increment antiguitat - 5%</t>
  </si>
  <si>
    <t>Llicències i permisos (2,5%)</t>
  </si>
  <si>
    <t>PRL, salut i uniformitat (1,7%)</t>
  </si>
  <si>
    <t>Materials (estris, productes, bosses) (8%)</t>
  </si>
  <si>
    <t>Maquinària de neteja (1,4%)</t>
  </si>
  <si>
    <t>Vehicles i comunicacions (1,25% s/CD)</t>
  </si>
  <si>
    <t>Total SENSE IVA (anual)</t>
  </si>
  <si>
    <t>* Percentatges segons GUIA PER CALCULAR L’ESCANDALL DE COSTOS DELS SERVEIS DE NETEJA (2023-2025)
(Aprovada pel Comitè de seguiment mixt de l’Acord marc dels serveis</t>
  </si>
  <si>
    <t>Centre</t>
  </si>
  <si>
    <t>Càlcul hores necessàries</t>
  </si>
  <si>
    <t>Escola Alfred Mata</t>
  </si>
  <si>
    <t>Escola de Música</t>
  </si>
  <si>
    <t>Escola Bressol</t>
  </si>
  <si>
    <t>Aules Educa't</t>
  </si>
  <si>
    <t>Hores/setmana</t>
  </si>
  <si>
    <t>Setmanes</t>
  </si>
  <si>
    <t>Total Hores/any</t>
  </si>
  <si>
    <t>47,5 (setembre a juliol)</t>
  </si>
  <si>
    <t>Total centres ensenyament</t>
  </si>
  <si>
    <t>43,5 (setembre a juny)</t>
  </si>
  <si>
    <t>Sala</t>
  </si>
  <si>
    <t>Espai Jove</t>
  </si>
  <si>
    <t>Local Queda't</t>
  </si>
  <si>
    <t>Biblioteca Ametlla</t>
  </si>
  <si>
    <t>Biblioteca Guillem de Berguedà</t>
  </si>
  <si>
    <t>Total centres cívics i culturals</t>
  </si>
  <si>
    <t>52 (12 mesos)</t>
  </si>
  <si>
    <t>35 (octubre a maig)</t>
  </si>
  <si>
    <t>Ajuntament i Policia Local</t>
  </si>
  <si>
    <t>Total altres centres</t>
  </si>
  <si>
    <t>Església Cal Pons (*)</t>
  </si>
  <si>
    <t>Oficina Leader</t>
  </si>
  <si>
    <t>Total hores dedicació/any</t>
  </si>
  <si>
    <t>Hores (peó especialitzat)</t>
  </si>
  <si>
    <t>Hores (personal netejador)</t>
  </si>
  <si>
    <t>Preu hora (considerant conveni de 1.792h/anuals)</t>
  </si>
  <si>
    <t>Cost anual (amb còmput hores necessàries)</t>
  </si>
  <si>
    <t>Total anual peó + personal netejador</t>
  </si>
  <si>
    <t>21% IVA</t>
  </si>
  <si>
    <t>Total amb IVA</t>
  </si>
  <si>
    <t>(*) Es considera que a l'església de Cal Pons s'hi dedica 3,5h, 1 dia al mes.</t>
  </si>
  <si>
    <r>
      <t xml:space="preserve">Altres despeses de personal - 34 % (vacances, ILT, SS...) </t>
    </r>
    <r>
      <rPr>
        <i/>
        <sz val="8"/>
        <color theme="3"/>
        <rFont val="Calibri"/>
        <family val="2"/>
      </rPr>
      <t>(segons GUIA PER CALCULAR L’ESCANDALL DE COSTOS DELS SERVEIS DE NETEJA (2023-2025))</t>
    </r>
  </si>
  <si>
    <t>ANY 2026</t>
  </si>
  <si>
    <t>ANY 2027</t>
  </si>
  <si>
    <t>ANY 2028</t>
  </si>
  <si>
    <t>ANY 2029</t>
  </si>
  <si>
    <t>ANY 2030</t>
  </si>
  <si>
    <t>Import 21% IVA</t>
  </si>
  <si>
    <t>Pressupost Base de Licitació
(inclòs el 21% d’IVA)</t>
  </si>
  <si>
    <t>VEC</t>
  </si>
  <si>
    <t>ANY</t>
  </si>
  <si>
    <t>% IVA</t>
  </si>
  <si>
    <t>Import IVA</t>
  </si>
  <si>
    <t>Import total</t>
  </si>
  <si>
    <t>Total</t>
  </si>
  <si>
    <t>VEC (5 ANYS: 2026-2030)</t>
  </si>
  <si>
    <t>Maquinària de neteja (2%)</t>
  </si>
  <si>
    <t>Consumibles (paper WC, eixugamans, bosses escobraries...) (5%)</t>
  </si>
  <si>
    <t>PBL (1 ANY: 2026)</t>
  </si>
  <si>
    <t>Pressupost Base de Licitació (IVA exclòs)
2026</t>
  </si>
  <si>
    <t>20% MODIFICACIONS</t>
  </si>
  <si>
    <t>Any</t>
  </si>
  <si>
    <t>Setmanes/any</t>
  </si>
  <si>
    <t>Període</t>
  </si>
  <si>
    <t>setembre a juliol</t>
  </si>
  <si>
    <t>12 mesos</t>
  </si>
  <si>
    <t>setembre a juny</t>
  </si>
  <si>
    <t>LOT 1:</t>
  </si>
  <si>
    <t>LOT 2:</t>
  </si>
  <si>
    <t>LOT 3:</t>
  </si>
  <si>
    <t>LOT 4:</t>
  </si>
  <si>
    <t>any 2022</t>
  </si>
  <si>
    <t>any 2023</t>
  </si>
  <si>
    <t>any 2024</t>
  </si>
  <si>
    <t>any 2025</t>
  </si>
  <si>
    <t>Total 2026
(peó + netejador)</t>
  </si>
  <si>
    <t>Total 2027
(peó + netejador)</t>
  </si>
  <si>
    <t>Total 2028
(peó + netejador)</t>
  </si>
  <si>
    <t>Total 2029
(peó + netejador)</t>
  </si>
  <si>
    <t>Total 2030
(peó + netejador)</t>
  </si>
  <si>
    <t>CÀLCUL HORES NECESSÀRIES</t>
  </si>
  <si>
    <t>2026 (+3%)</t>
  </si>
  <si>
    <t>2027 (+3%)</t>
  </si>
  <si>
    <t>2028 (+3%)</t>
  </si>
  <si>
    <t>2029 (+3%)</t>
  </si>
  <si>
    <t>2030 (+3%)</t>
  </si>
  <si>
    <t>setembre a juny + 2 setm. Juliol</t>
  </si>
  <si>
    <t>setembre a juliol + 2 setm.ago</t>
  </si>
  <si>
    <t>octubre a juny</t>
  </si>
  <si>
    <t>Ajuntament (Edifici)</t>
  </si>
  <si>
    <t>Teatre Ametlla de Merola (ocasional)</t>
  </si>
  <si>
    <t>Torre de Cal Pons</t>
  </si>
  <si>
    <t>LOT 5:</t>
  </si>
  <si>
    <t>Neteja de vidres exteriors i altres treballs (polir terres)</t>
  </si>
  <si>
    <t>La Sala</t>
  </si>
  <si>
    <t>Vidres Escola Alfred Mata</t>
  </si>
  <si>
    <t>Vidres La Sala</t>
  </si>
  <si>
    <t>Vidres Escola Bressol l'Estel</t>
  </si>
  <si>
    <t>Vidres Biblioteca Guillem de Berguedà</t>
  </si>
  <si>
    <t>Vidres Escola de música</t>
  </si>
  <si>
    <t>Altres treballs (polir terres i abrillantar + neteja profunda)</t>
  </si>
  <si>
    <t>Entrades i zona d'accés Ajuntament</t>
  </si>
  <si>
    <t>1 cop l'any</t>
  </si>
  <si>
    <t>2 cops l'any</t>
  </si>
  <si>
    <t>Vidres Ajuntament façana</t>
  </si>
  <si>
    <t>Biblioteca Ametlla i/o Lavabos Camp de Futbol Ametlla</t>
  </si>
  <si>
    <t>Lavabos cementiri (**)</t>
  </si>
  <si>
    <t>(**) 1h al mes + 3h per època de Tot Sants</t>
  </si>
  <si>
    <t>Periodicitat</t>
  </si>
  <si>
    <t>Peó especialitzat 
(cost brut anual)</t>
  </si>
  <si>
    <t>Personal netejador
(cost brut anual)</t>
  </si>
  <si>
    <t>LOT 1: ESCOLA ALFRED MATA</t>
  </si>
  <si>
    <t>LOT 1</t>
  </si>
  <si>
    <t>LOT 2</t>
  </si>
  <si>
    <t xml:space="preserve">TOTAL </t>
  </si>
  <si>
    <t>Pressupost Base de Licitació (IVA exclòs)</t>
  </si>
  <si>
    <t>Pressupost Base de Licitació (inclòs el 21% d’IVA)</t>
  </si>
  <si>
    <t>LOT 3</t>
  </si>
  <si>
    <t>LOT 4</t>
  </si>
  <si>
    <t>LOT 5</t>
  </si>
  <si>
    <t>Hores (peó especialitzat) (1,5%)</t>
  </si>
  <si>
    <t>Hores (personal netejador) (98,5%)</t>
  </si>
  <si>
    <t>Cost sense IVA</t>
  </si>
  <si>
    <t>Cost Sense IVA</t>
  </si>
  <si>
    <t>PBL (1 ANY: 2026) - lots 1 al 4</t>
  </si>
  <si>
    <t>VEC (5 ANYS: 2026-2030) - lots 1 a 4</t>
  </si>
  <si>
    <t>CÀLCUL LOT 1 A LOT 4</t>
  </si>
  <si>
    <t>PBL (1 ANY: 2026) - lots 1 al 5</t>
  </si>
  <si>
    <t>Preu hora (considerant conveni de 1.792h/anuals) - peó especialitzat</t>
  </si>
  <si>
    <t>Preu hora (considerant conveni de 1.792h/anuals) - personal neteja</t>
  </si>
  <si>
    <t>Total hores dedicació/any (1,5%) - peo especialitzat</t>
  </si>
  <si>
    <t>Total hores dedicació/any (98,5%) - personal neteja</t>
  </si>
  <si>
    <t>3 cops l'any</t>
  </si>
  <si>
    <t>21% 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</si>
</sst>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#,##0.00\ &quot;€&quot;;[Red]\-#,##0.00\ &quot;€&quot;"/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\ _€_-;\-* #,##0\ _€_-;_-* &quot;-&quot;??\ _€_-;_-@_-"/>
    <numFmt numFmtId="165" formatCode="_-* #,##0.00\ _€_-;\-* #,##0.00\ _€_-;_-* &quot;-&quot;??\ _€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b/>
      <i/>
      <sz val="11"/>
      <color rgb="FF000000"/>
      <name val="Calibri"/>
      <family val="2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0" tint="-0.499984740745262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b/>
      <i/>
      <sz val="11"/>
      <color theme="0" tint="-0.499984740745262"/>
      <name val="Calibri"/>
      <family val="2"/>
      <scheme val="minor"/>
    </font>
    <font>
      <i/>
      <sz val="12"/>
      <color theme="1"/>
      <name val="Arial"/>
      <family val="2"/>
    </font>
    <font>
      <b/>
      <i/>
      <sz val="11"/>
      <color theme="1"/>
      <name val="Calibri"/>
      <family val="2"/>
      <scheme val="minor"/>
    </font>
    <font>
      <sz val="11"/>
      <color theme="3"/>
      <name val="Calibri"/>
      <family val="2"/>
    </font>
    <font>
      <i/>
      <sz val="8"/>
      <color theme="3"/>
      <name val="Calibri"/>
      <family val="2"/>
    </font>
    <font>
      <sz val="11"/>
      <color theme="3"/>
      <name val="Calibri"/>
      <family val="2"/>
      <scheme val="minor"/>
    </font>
    <font>
      <i/>
      <sz val="11"/>
      <color theme="0" tint="-0.499984740745262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808080"/>
      <name val="Arial"/>
      <family val="2"/>
    </font>
    <font>
      <b/>
      <sz val="11"/>
      <color rgb="FF808080"/>
      <name val="Calibri"/>
      <family val="2"/>
      <scheme val="minor"/>
    </font>
    <font>
      <sz val="11"/>
      <color rgb="FF80808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E8E8E8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38">
    <xf numFmtId="0" fontId="0" fillId="0" borderId="0" xfId="0"/>
    <xf numFmtId="2" fontId="0" fillId="0" borderId="0" xfId="0" applyNumberFormat="1"/>
    <xf numFmtId="8" fontId="0" fillId="0" borderId="0" xfId="0" applyNumberFormat="1"/>
    <xf numFmtId="0" fontId="2" fillId="0" borderId="0" xfId="0" applyFont="1"/>
    <xf numFmtId="0" fontId="0" fillId="0" borderId="1" xfId="0" applyBorder="1"/>
    <xf numFmtId="0" fontId="2" fillId="0" borderId="1" xfId="0" applyFont="1" applyBorder="1"/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wrapText="1"/>
    </xf>
    <xf numFmtId="44" fontId="0" fillId="0" borderId="0" xfId="2" applyFont="1"/>
    <xf numFmtId="44" fontId="2" fillId="2" borderId="3" xfId="2" applyFont="1" applyFill="1" applyBorder="1" applyAlignment="1">
      <alignment vertical="center"/>
    </xf>
    <xf numFmtId="44" fontId="0" fillId="0" borderId="3" xfId="2" applyFont="1" applyBorder="1"/>
    <xf numFmtId="44" fontId="0" fillId="0" borderId="3" xfId="0" applyNumberFormat="1" applyBorder="1"/>
    <xf numFmtId="44" fontId="0" fillId="4" borderId="3" xfId="0" applyNumberFormat="1" applyFill="1" applyBorder="1"/>
    <xf numFmtId="164" fontId="5" fillId="2" borderId="3" xfId="1" applyNumberFormat="1" applyFont="1" applyFill="1" applyBorder="1" applyAlignment="1">
      <alignment vertical="center"/>
    </xf>
    <xf numFmtId="0" fontId="3" fillId="0" borderId="3" xfId="0" applyFont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/>
    </xf>
    <xf numFmtId="0" fontId="3" fillId="4" borderId="3" xfId="0" applyFont="1" applyFill="1" applyBorder="1" applyAlignment="1">
      <alignment horizontal="left" vertical="center" wrapText="1"/>
    </xf>
    <xf numFmtId="44" fontId="2" fillId="0" borderId="3" xfId="2" applyFont="1" applyBorder="1" applyAlignment="1">
      <alignment vertical="center"/>
    </xf>
    <xf numFmtId="43" fontId="0" fillId="0" borderId="0" xfId="1" applyFont="1"/>
    <xf numFmtId="0" fontId="6" fillId="5" borderId="3" xfId="0" applyFont="1" applyFill="1" applyBorder="1" applyAlignment="1">
      <alignment horizontal="left" vertical="center" wrapText="1"/>
    </xf>
    <xf numFmtId="44" fontId="2" fillId="5" borderId="3" xfId="2" applyFont="1" applyFill="1" applyBorder="1" applyAlignment="1">
      <alignment vertical="center"/>
    </xf>
    <xf numFmtId="0" fontId="2" fillId="5" borderId="3" xfId="0" applyFont="1" applyFill="1" applyBorder="1"/>
    <xf numFmtId="44" fontId="2" fillId="5" borderId="3" xfId="2" applyFont="1" applyFill="1" applyBorder="1"/>
    <xf numFmtId="44" fontId="0" fillId="0" borderId="3" xfId="2" applyFont="1" applyFill="1" applyBorder="1" applyAlignment="1">
      <alignment vertical="center"/>
    </xf>
    <xf numFmtId="0" fontId="4" fillId="2" borderId="3" xfId="0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44" fontId="0" fillId="5" borderId="0" xfId="2" applyFont="1" applyFill="1"/>
    <xf numFmtId="0" fontId="0" fillId="3" borderId="0" xfId="0" applyFill="1"/>
    <xf numFmtId="0" fontId="5" fillId="0" borderId="7" xfId="0" applyFont="1" applyBorder="1"/>
    <xf numFmtId="44" fontId="5" fillId="0" borderId="7" xfId="2" applyFont="1" applyBorder="1"/>
    <xf numFmtId="10" fontId="7" fillId="0" borderId="7" xfId="0" applyNumberFormat="1" applyFont="1" applyBorder="1"/>
    <xf numFmtId="0" fontId="8" fillId="0" borderId="8" xfId="0" applyFont="1" applyBorder="1"/>
    <xf numFmtId="43" fontId="7" fillId="0" borderId="9" xfId="1" applyFont="1" applyBorder="1"/>
    <xf numFmtId="0" fontId="8" fillId="0" borderId="5" xfId="0" applyFont="1" applyBorder="1"/>
    <xf numFmtId="10" fontId="7" fillId="0" borderId="4" xfId="1" applyNumberFormat="1" applyFont="1" applyBorder="1"/>
    <xf numFmtId="10" fontId="7" fillId="0" borderId="4" xfId="0" applyNumberFormat="1" applyFont="1" applyBorder="1"/>
    <xf numFmtId="0" fontId="8" fillId="0" borderId="6" xfId="0" applyFont="1" applyBorder="1"/>
    <xf numFmtId="10" fontId="7" fillId="0" borderId="2" xfId="0" applyNumberFormat="1" applyFont="1" applyBorder="1"/>
    <xf numFmtId="0" fontId="9" fillId="0" borderId="7" xfId="0" applyFont="1" applyBorder="1"/>
    <xf numFmtId="0" fontId="7" fillId="0" borderId="0" xfId="0" applyFont="1"/>
    <xf numFmtId="44" fontId="2" fillId="0" borderId="0" xfId="2" applyFont="1"/>
    <xf numFmtId="0" fontId="2" fillId="6" borderId="8" xfId="0" applyFont="1" applyFill="1" applyBorder="1"/>
    <xf numFmtId="44" fontId="2" fillId="6" borderId="10" xfId="2" applyFont="1" applyFill="1" applyBorder="1"/>
    <xf numFmtId="0" fontId="10" fillId="3" borderId="0" xfId="0" applyFont="1" applyFill="1" applyAlignment="1">
      <alignment vertical="center"/>
    </xf>
    <xf numFmtId="44" fontId="1" fillId="0" borderId="0" xfId="2" applyFont="1"/>
    <xf numFmtId="44" fontId="1" fillId="0" borderId="0" xfId="2" applyFont="1" applyBorder="1"/>
    <xf numFmtId="0" fontId="2" fillId="2" borderId="8" xfId="0" applyFont="1" applyFill="1" applyBorder="1"/>
    <xf numFmtId="44" fontId="2" fillId="2" borderId="10" xfId="2" applyFont="1" applyFill="1" applyBorder="1"/>
    <xf numFmtId="44" fontId="2" fillId="2" borderId="9" xfId="2" applyFont="1" applyFill="1" applyBorder="1"/>
    <xf numFmtId="0" fontId="2" fillId="4" borderId="8" xfId="0" applyFont="1" applyFill="1" applyBorder="1"/>
    <xf numFmtId="44" fontId="2" fillId="4" borderId="10" xfId="2" applyFont="1" applyFill="1" applyBorder="1"/>
    <xf numFmtId="0" fontId="2" fillId="6" borderId="3" xfId="0" applyFont="1" applyFill="1" applyBorder="1"/>
    <xf numFmtId="43" fontId="1" fillId="0" borderId="0" xfId="1" applyFont="1"/>
    <xf numFmtId="43" fontId="1" fillId="0" borderId="0" xfId="1" applyFont="1" applyBorder="1"/>
    <xf numFmtId="43" fontId="1" fillId="0" borderId="0" xfId="1" applyFont="1" applyBorder="1" applyAlignment="1">
      <alignment wrapText="1"/>
    </xf>
    <xf numFmtId="0" fontId="0" fillId="0" borderId="0" xfId="0" applyAlignment="1">
      <alignment wrapText="1"/>
    </xf>
    <xf numFmtId="43" fontId="0" fillId="0" borderId="0" xfId="0" applyNumberFormat="1"/>
    <xf numFmtId="0" fontId="2" fillId="7" borderId="11" xfId="0" applyFont="1" applyFill="1" applyBorder="1"/>
    <xf numFmtId="43" fontId="2" fillId="7" borderId="12" xfId="0" applyNumberFormat="1" applyFont="1" applyFill="1" applyBorder="1"/>
    <xf numFmtId="0" fontId="2" fillId="7" borderId="12" xfId="0" applyFont="1" applyFill="1" applyBorder="1"/>
    <xf numFmtId="43" fontId="2" fillId="7" borderId="13" xfId="1" applyFont="1" applyFill="1" applyBorder="1"/>
    <xf numFmtId="0" fontId="5" fillId="0" borderId="0" xfId="0" applyFont="1"/>
    <xf numFmtId="0" fontId="7" fillId="0" borderId="14" xfId="0" applyFont="1" applyBorder="1"/>
    <xf numFmtId="0" fontId="7" fillId="0" borderId="15" xfId="0" applyFont="1" applyBorder="1"/>
    <xf numFmtId="165" fontId="7" fillId="0" borderId="16" xfId="0" applyNumberFormat="1" applyFont="1" applyBorder="1"/>
    <xf numFmtId="0" fontId="7" fillId="0" borderId="17" xfId="0" applyFont="1" applyBorder="1"/>
    <xf numFmtId="0" fontId="7" fillId="0" borderId="18" xfId="0" applyFont="1" applyBorder="1"/>
    <xf numFmtId="165" fontId="7" fillId="0" borderId="19" xfId="0" applyNumberFormat="1" applyFont="1" applyBorder="1"/>
    <xf numFmtId="0" fontId="2" fillId="4" borderId="11" xfId="0" applyFont="1" applyFill="1" applyBorder="1"/>
    <xf numFmtId="0" fontId="2" fillId="4" borderId="12" xfId="0" applyFont="1" applyFill="1" applyBorder="1"/>
    <xf numFmtId="165" fontId="2" fillId="4" borderId="13" xfId="0" applyNumberFormat="1" applyFont="1" applyFill="1" applyBorder="1"/>
    <xf numFmtId="0" fontId="2" fillId="8" borderId="7" xfId="0" applyFont="1" applyFill="1" applyBorder="1"/>
    <xf numFmtId="44" fontId="2" fillId="8" borderId="7" xfId="2" applyFont="1" applyFill="1" applyBorder="1"/>
    <xf numFmtId="44" fontId="5" fillId="0" borderId="0" xfId="2" applyFont="1" applyFill="1" applyAlignment="1">
      <alignment horizontal="right"/>
    </xf>
    <xf numFmtId="44" fontId="11" fillId="9" borderId="0" xfId="2" applyFont="1" applyFill="1"/>
    <xf numFmtId="0" fontId="0" fillId="0" borderId="0" xfId="0" applyAlignment="1">
      <alignment horizontal="right"/>
    </xf>
    <xf numFmtId="44" fontId="0" fillId="0" borderId="0" xfId="2" applyFont="1" applyFill="1" applyAlignment="1"/>
    <xf numFmtId="0" fontId="2" fillId="0" borderId="7" xfId="0" applyFont="1" applyBorder="1"/>
    <xf numFmtId="44" fontId="2" fillId="0" borderId="7" xfId="0" applyNumberFormat="1" applyFont="1" applyBorder="1"/>
    <xf numFmtId="43" fontId="0" fillId="0" borderId="0" xfId="1" applyFont="1" applyFill="1" applyBorder="1"/>
    <xf numFmtId="0" fontId="12" fillId="0" borderId="3" xfId="0" applyFont="1" applyBorder="1" applyAlignment="1">
      <alignment horizontal="left" vertical="center" wrapText="1"/>
    </xf>
    <xf numFmtId="44" fontId="12" fillId="0" borderId="3" xfId="2" applyFont="1" applyBorder="1" applyAlignment="1">
      <alignment vertical="center"/>
    </xf>
    <xf numFmtId="0" fontId="14" fillId="0" borderId="3" xfId="0" applyFont="1" applyBorder="1" applyAlignment="1">
      <alignment horizontal="left" wrapText="1"/>
    </xf>
    <xf numFmtId="44" fontId="14" fillId="0" borderId="3" xfId="2" applyFont="1" applyBorder="1"/>
    <xf numFmtId="0" fontId="5" fillId="0" borderId="0" xfId="0" applyFont="1" applyAlignment="1">
      <alignment vertical="center" wrapText="1"/>
    </xf>
    <xf numFmtId="44" fontId="0" fillId="0" borderId="0" xfId="0" applyNumberFormat="1"/>
    <xf numFmtId="43" fontId="0" fillId="0" borderId="7" xfId="1" applyFont="1" applyBorder="1"/>
    <xf numFmtId="0" fontId="2" fillId="2" borderId="3" xfId="0" applyFont="1" applyFill="1" applyBorder="1" applyAlignment="1">
      <alignment wrapText="1"/>
    </xf>
    <xf numFmtId="44" fontId="2" fillId="2" borderId="3" xfId="2" applyFont="1" applyFill="1" applyBorder="1"/>
    <xf numFmtId="0" fontId="2" fillId="2" borderId="20" xfId="0" applyFont="1" applyFill="1" applyBorder="1" applyAlignment="1">
      <alignment wrapText="1"/>
    </xf>
    <xf numFmtId="44" fontId="2" fillId="2" borderId="20" xfId="2" applyFont="1" applyFill="1" applyBorder="1"/>
    <xf numFmtId="44" fontId="2" fillId="6" borderId="3" xfId="2" applyFont="1" applyFill="1" applyBorder="1"/>
    <xf numFmtId="44" fontId="2" fillId="4" borderId="3" xfId="2" applyFont="1" applyFill="1" applyBorder="1"/>
    <xf numFmtId="44" fontId="2" fillId="8" borderId="20" xfId="2" applyFont="1" applyFill="1" applyBorder="1"/>
    <xf numFmtId="0" fontId="0" fillId="0" borderId="0" xfId="0" applyAlignment="1">
      <alignment vertical="center" wrapText="1"/>
    </xf>
    <xf numFmtId="0" fontId="2" fillId="10" borderId="11" xfId="0" applyFont="1" applyFill="1" applyBorder="1" applyAlignment="1">
      <alignment vertical="center" wrapText="1"/>
    </xf>
    <xf numFmtId="0" fontId="2" fillId="10" borderId="12" xfId="0" applyFont="1" applyFill="1" applyBorder="1" applyAlignment="1">
      <alignment horizontal="center" vertical="center" wrapText="1"/>
    </xf>
    <xf numFmtId="0" fontId="2" fillId="10" borderId="13" xfId="0" applyFont="1" applyFill="1" applyBorder="1" applyAlignment="1">
      <alignment horizontal="center" vertical="center" wrapText="1"/>
    </xf>
    <xf numFmtId="44" fontId="1" fillId="0" borderId="21" xfId="2" applyFont="1" applyBorder="1"/>
    <xf numFmtId="0" fontId="2" fillId="12" borderId="11" xfId="0" applyFont="1" applyFill="1" applyBorder="1"/>
    <xf numFmtId="0" fontId="0" fillId="12" borderId="12" xfId="0" applyFill="1" applyBorder="1"/>
    <xf numFmtId="0" fontId="0" fillId="12" borderId="13" xfId="0" applyFill="1" applyBorder="1"/>
    <xf numFmtId="0" fontId="16" fillId="11" borderId="3" xfId="0" applyFont="1" applyFill="1" applyBorder="1" applyAlignment="1">
      <alignment horizontal="center" vertical="center"/>
    </xf>
    <xf numFmtId="0" fontId="16" fillId="11" borderId="3" xfId="0" applyFont="1" applyFill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/>
    </xf>
    <xf numFmtId="44" fontId="17" fillId="0" borderId="3" xfId="0" applyNumberFormat="1" applyFont="1" applyBorder="1" applyAlignment="1">
      <alignment horizontal="right" vertical="center"/>
    </xf>
    <xf numFmtId="0" fontId="17" fillId="0" borderId="3" xfId="0" applyFont="1" applyBorder="1" applyAlignment="1">
      <alignment horizontal="center" vertical="center" wrapText="1"/>
    </xf>
    <xf numFmtId="8" fontId="17" fillId="0" borderId="3" xfId="0" applyNumberFormat="1" applyFont="1" applyBorder="1" applyAlignment="1">
      <alignment horizontal="right" vertical="center" wrapText="1"/>
    </xf>
    <xf numFmtId="0" fontId="16" fillId="0" borderId="20" xfId="0" applyFont="1" applyBorder="1" applyAlignment="1">
      <alignment horizontal="center" vertical="center"/>
    </xf>
    <xf numFmtId="44" fontId="16" fillId="11" borderId="20" xfId="0" applyNumberFormat="1" applyFont="1" applyFill="1" applyBorder="1" applyAlignment="1">
      <alignment horizontal="right" vertical="center"/>
    </xf>
    <xf numFmtId="0" fontId="17" fillId="0" borderId="20" xfId="0" applyFont="1" applyBorder="1" applyAlignment="1">
      <alignment horizontal="center" vertical="center" wrapText="1"/>
    </xf>
    <xf numFmtId="8" fontId="16" fillId="11" borderId="20" xfId="0" applyNumberFormat="1" applyFont="1" applyFill="1" applyBorder="1" applyAlignment="1">
      <alignment horizontal="right" vertical="center"/>
    </xf>
    <xf numFmtId="44" fontId="15" fillId="0" borderId="0" xfId="2" applyFont="1" applyFill="1" applyBorder="1" applyAlignment="1">
      <alignment horizontal="right"/>
    </xf>
    <xf numFmtId="0" fontId="15" fillId="0" borderId="0" xfId="0" applyFont="1"/>
    <xf numFmtId="44" fontId="9" fillId="0" borderId="0" xfId="2" applyFont="1" applyFill="1" applyBorder="1"/>
    <xf numFmtId="0" fontId="2" fillId="0" borderId="0" xfId="0" applyFont="1" applyAlignment="1">
      <alignment horizontal="right"/>
    </xf>
    <xf numFmtId="43" fontId="0" fillId="0" borderId="0" xfId="1" applyFont="1" applyAlignment="1">
      <alignment horizontal="right"/>
    </xf>
    <xf numFmtId="43" fontId="9" fillId="0" borderId="0" xfId="1" applyFont="1" applyFill="1" applyBorder="1"/>
    <xf numFmtId="0" fontId="2" fillId="2" borderId="0" xfId="0" applyFont="1" applyFill="1"/>
    <xf numFmtId="43" fontId="1" fillId="2" borderId="0" xfId="1" applyFont="1" applyFill="1"/>
    <xf numFmtId="0" fontId="0" fillId="2" borderId="0" xfId="0" applyFill="1"/>
    <xf numFmtId="43" fontId="0" fillId="2" borderId="0" xfId="1" applyFont="1" applyFill="1" applyAlignment="1">
      <alignment horizontal="right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44" fontId="0" fillId="5" borderId="3" xfId="2" applyFont="1" applyFill="1" applyBorder="1"/>
    <xf numFmtId="44" fontId="0" fillId="0" borderId="3" xfId="2" applyFont="1" applyBorder="1" applyAlignment="1">
      <alignment vertical="center"/>
    </xf>
    <xf numFmtId="0" fontId="0" fillId="0" borderId="3" xfId="0" applyBorder="1" applyAlignment="1">
      <alignment horizontal="right"/>
    </xf>
    <xf numFmtId="0" fontId="7" fillId="0" borderId="3" xfId="0" applyFont="1" applyBorder="1" applyAlignment="1">
      <alignment horizontal="right" vertical="center"/>
    </xf>
    <xf numFmtId="0" fontId="2" fillId="2" borderId="3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wrapText="1"/>
    </xf>
    <xf numFmtId="0" fontId="8" fillId="2" borderId="8" xfId="0" applyFont="1" applyFill="1" applyBorder="1" applyAlignment="1">
      <alignment horizontal="center" vertical="center"/>
    </xf>
    <xf numFmtId="43" fontId="7" fillId="2" borderId="9" xfId="1" applyFont="1" applyFill="1" applyBorder="1"/>
    <xf numFmtId="0" fontId="0" fillId="0" borderId="15" xfId="0" applyBorder="1"/>
    <xf numFmtId="165" fontId="0" fillId="0" borderId="16" xfId="0" applyNumberFormat="1" applyBorder="1"/>
    <xf numFmtId="44" fontId="2" fillId="0" borderId="22" xfId="2" applyFont="1" applyBorder="1"/>
    <xf numFmtId="44" fontId="0" fillId="0" borderId="21" xfId="2" applyFont="1" applyBorder="1"/>
    <xf numFmtId="44" fontId="0" fillId="13" borderId="21" xfId="2" applyFont="1" applyFill="1" applyBorder="1"/>
    <xf numFmtId="44" fontId="11" fillId="9" borderId="23" xfId="2" applyFont="1" applyFill="1" applyBorder="1"/>
    <xf numFmtId="44" fontId="11" fillId="0" borderId="24" xfId="2" applyFont="1" applyFill="1" applyBorder="1"/>
    <xf numFmtId="44" fontId="2" fillId="0" borderId="0" xfId="0" applyNumberFormat="1" applyFont="1"/>
    <xf numFmtId="43" fontId="1" fillId="0" borderId="0" xfId="1" applyFont="1" applyFill="1" applyBorder="1" applyAlignment="1">
      <alignment wrapText="1"/>
    </xf>
    <xf numFmtId="43" fontId="1" fillId="0" borderId="0" xfId="1" applyFont="1" applyFill="1" applyBorder="1"/>
    <xf numFmtId="0" fontId="0" fillId="0" borderId="0" xfId="0" applyAlignment="1">
      <alignment vertical="center"/>
    </xf>
    <xf numFmtId="43" fontId="1" fillId="0" borderId="0" xfId="1" applyFont="1" applyFill="1" applyAlignment="1">
      <alignment vertical="center"/>
    </xf>
    <xf numFmtId="43" fontId="0" fillId="0" borderId="0" xfId="1" applyFont="1" applyFill="1" applyAlignment="1">
      <alignment horizontal="right" vertical="center"/>
    </xf>
    <xf numFmtId="44" fontId="0" fillId="0" borderId="0" xfId="2" applyFont="1" applyFill="1"/>
    <xf numFmtId="44" fontId="0" fillId="0" borderId="21" xfId="2" applyFont="1" applyFill="1" applyBorder="1"/>
    <xf numFmtId="0" fontId="9" fillId="2" borderId="7" xfId="0" applyFont="1" applyFill="1" applyBorder="1"/>
    <xf numFmtId="10" fontId="8" fillId="2" borderId="7" xfId="0" applyNumberFormat="1" applyFont="1" applyFill="1" applyBorder="1"/>
    <xf numFmtId="43" fontId="0" fillId="0" borderId="0" xfId="1" applyFont="1" applyFill="1"/>
    <xf numFmtId="43" fontId="2" fillId="2" borderId="0" xfId="1" applyFont="1" applyFill="1"/>
    <xf numFmtId="43" fontId="0" fillId="2" borderId="0" xfId="0" applyNumberFormat="1" applyFill="1"/>
    <xf numFmtId="0" fontId="2" fillId="6" borderId="3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 wrapText="1"/>
    </xf>
    <xf numFmtId="43" fontId="2" fillId="2" borderId="0" xfId="1" applyFont="1" applyFill="1" applyAlignment="1">
      <alignment horizontal="center" vertical="center"/>
    </xf>
    <xf numFmtId="43" fontId="0" fillId="0" borderId="0" xfId="1" applyFont="1" applyFill="1" applyAlignment="1">
      <alignment horizontal="center" vertical="center"/>
    </xf>
    <xf numFmtId="43" fontId="0" fillId="0" borderId="0" xfId="1" applyFont="1" applyAlignment="1">
      <alignment horizontal="center" vertical="center"/>
    </xf>
    <xf numFmtId="43" fontId="0" fillId="0" borderId="25" xfId="1" applyFont="1" applyBorder="1" applyAlignment="1">
      <alignment horizontal="center" vertical="center"/>
    </xf>
    <xf numFmtId="43" fontId="0" fillId="0" borderId="21" xfId="1" applyFont="1" applyBorder="1" applyAlignment="1">
      <alignment horizontal="center" vertical="center"/>
    </xf>
    <xf numFmtId="43" fontId="0" fillId="0" borderId="26" xfId="1" applyFont="1" applyBorder="1" applyAlignment="1">
      <alignment horizontal="center" vertical="center"/>
    </xf>
    <xf numFmtId="0" fontId="2" fillId="6" borderId="8" xfId="0" applyFont="1" applyFill="1" applyBorder="1" applyAlignment="1">
      <alignment horizontal="center"/>
    </xf>
    <xf numFmtId="0" fontId="2" fillId="6" borderId="8" xfId="0" applyFont="1" applyFill="1" applyBorder="1" applyAlignment="1">
      <alignment horizontal="center" wrapText="1"/>
    </xf>
    <xf numFmtId="0" fontId="2" fillId="6" borderId="10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 wrapText="1"/>
    </xf>
    <xf numFmtId="0" fontId="7" fillId="0" borderId="27" xfId="0" applyFont="1" applyBorder="1"/>
    <xf numFmtId="165" fontId="0" fillId="0" borderId="28" xfId="0" applyNumberFormat="1" applyBorder="1"/>
    <xf numFmtId="0" fontId="2" fillId="2" borderId="5" xfId="0" applyFont="1" applyFill="1" applyBorder="1"/>
    <xf numFmtId="43" fontId="1" fillId="2" borderId="0" xfId="1" applyFont="1" applyFill="1" applyBorder="1"/>
    <xf numFmtId="0" fontId="0" fillId="2" borderId="0" xfId="0" applyFill="1" applyAlignment="1">
      <alignment horizontal="center"/>
    </xf>
    <xf numFmtId="43" fontId="0" fillId="2" borderId="0" xfId="1" applyFont="1" applyFill="1" applyBorder="1" applyAlignment="1">
      <alignment horizontal="right"/>
    </xf>
    <xf numFmtId="43" fontId="0" fillId="2" borderId="4" xfId="1" applyFont="1" applyFill="1" applyBorder="1"/>
    <xf numFmtId="0" fontId="5" fillId="0" borderId="5" xfId="0" applyFont="1" applyBorder="1"/>
    <xf numFmtId="43" fontId="5" fillId="0" borderId="0" xfId="1" applyFont="1" applyFill="1" applyBorder="1"/>
    <xf numFmtId="43" fontId="5" fillId="0" borderId="0" xfId="1" applyFont="1" applyFill="1" applyBorder="1" applyAlignment="1">
      <alignment horizontal="center"/>
    </xf>
    <xf numFmtId="43" fontId="5" fillId="0" borderId="4" xfId="1" applyFont="1" applyFill="1" applyBorder="1"/>
    <xf numFmtId="0" fontId="0" fillId="0" borderId="5" xfId="0" applyBorder="1" applyAlignment="1">
      <alignment horizontal="left" indent="4"/>
    </xf>
    <xf numFmtId="43" fontId="0" fillId="0" borderId="0" xfId="1" applyFont="1" applyFill="1" applyBorder="1" applyAlignment="1">
      <alignment horizontal="center"/>
    </xf>
    <xf numFmtId="44" fontId="0" fillId="0" borderId="4" xfId="2" applyFont="1" applyFill="1" applyBorder="1"/>
    <xf numFmtId="44" fontId="0" fillId="0" borderId="5" xfId="2" applyFont="1" applyBorder="1" applyAlignment="1">
      <alignment horizontal="left" indent="3"/>
    </xf>
    <xf numFmtId="0" fontId="5" fillId="0" borderId="5" xfId="0" applyFont="1" applyBorder="1" applyAlignment="1">
      <alignment horizontal="left" indent="1"/>
    </xf>
    <xf numFmtId="0" fontId="0" fillId="0" borderId="6" xfId="0" applyBorder="1" applyAlignment="1">
      <alignment horizontal="left" indent="5"/>
    </xf>
    <xf numFmtId="43" fontId="0" fillId="0" borderId="1" xfId="1" applyFont="1" applyFill="1" applyBorder="1"/>
    <xf numFmtId="43" fontId="0" fillId="0" borderId="1" xfId="1" applyFont="1" applyFill="1" applyBorder="1" applyAlignment="1">
      <alignment horizontal="center"/>
    </xf>
    <xf numFmtId="44" fontId="0" fillId="0" borderId="2" xfId="2" applyFont="1" applyFill="1" applyBorder="1"/>
    <xf numFmtId="0" fontId="2" fillId="4" borderId="29" xfId="0" applyFont="1" applyFill="1" applyBorder="1"/>
    <xf numFmtId="0" fontId="2" fillId="4" borderId="30" xfId="0" applyFont="1" applyFill="1" applyBorder="1"/>
    <xf numFmtId="165" fontId="2" fillId="4" borderId="31" xfId="0" applyNumberFormat="1" applyFont="1" applyFill="1" applyBorder="1"/>
    <xf numFmtId="0" fontId="7" fillId="0" borderId="32" xfId="0" applyFont="1" applyBorder="1"/>
    <xf numFmtId="165" fontId="0" fillId="0" borderId="33" xfId="0" applyNumberFormat="1" applyBorder="1"/>
    <xf numFmtId="0" fontId="7" fillId="0" borderId="6" xfId="0" applyFont="1" applyBorder="1"/>
    <xf numFmtId="165" fontId="0" fillId="0" borderId="2" xfId="0" applyNumberFormat="1" applyBorder="1"/>
    <xf numFmtId="0" fontId="18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7" fillId="0" borderId="34" xfId="0" applyFont="1" applyBorder="1"/>
    <xf numFmtId="165" fontId="0" fillId="0" borderId="35" xfId="0" applyNumberFormat="1" applyBorder="1"/>
    <xf numFmtId="0" fontId="2" fillId="0" borderId="0" xfId="0" applyFont="1" applyAlignment="1">
      <alignment vertical="center" wrapText="1"/>
    </xf>
    <xf numFmtId="0" fontId="2" fillId="0" borderId="3" xfId="0" applyFont="1" applyBorder="1" applyAlignment="1">
      <alignment horizontal="justify" vertical="center" wrapText="1"/>
    </xf>
    <xf numFmtId="0" fontId="16" fillId="11" borderId="3" xfId="0" applyFont="1" applyFill="1" applyBorder="1" applyAlignment="1">
      <alignment vertical="center" wrapText="1"/>
    </xf>
    <xf numFmtId="0" fontId="16" fillId="14" borderId="3" xfId="0" applyFont="1" applyFill="1" applyBorder="1" applyAlignment="1">
      <alignment horizontal="center" vertical="center" wrapText="1"/>
    </xf>
    <xf numFmtId="44" fontId="0" fillId="0" borderId="3" xfId="2" applyFont="1" applyBorder="1" applyAlignment="1">
      <alignment vertical="center" wrapText="1"/>
    </xf>
    <xf numFmtId="44" fontId="0" fillId="0" borderId="3" xfId="2" applyFont="1" applyBorder="1" applyAlignment="1">
      <alignment horizontal="right" vertical="center" wrapText="1"/>
    </xf>
    <xf numFmtId="44" fontId="16" fillId="11" borderId="3" xfId="2" applyFont="1" applyFill="1" applyBorder="1" applyAlignment="1">
      <alignment vertical="center" wrapText="1"/>
    </xf>
    <xf numFmtId="44" fontId="0" fillId="0" borderId="3" xfId="0" applyNumberFormat="1" applyBorder="1" applyAlignment="1">
      <alignment vertical="center" wrapText="1"/>
    </xf>
    <xf numFmtId="0" fontId="19" fillId="14" borderId="3" xfId="0" applyFont="1" applyFill="1" applyBorder="1" applyAlignment="1">
      <alignment horizontal="center" vertical="center" wrapText="1"/>
    </xf>
    <xf numFmtId="44" fontId="20" fillId="0" borderId="3" xfId="2" applyFont="1" applyBorder="1" applyAlignment="1">
      <alignment vertical="center" wrapText="1"/>
    </xf>
    <xf numFmtId="44" fontId="20" fillId="0" borderId="3" xfId="2" applyFont="1" applyBorder="1" applyAlignment="1">
      <alignment horizontal="right" vertical="center" wrapText="1"/>
    </xf>
    <xf numFmtId="44" fontId="19" fillId="11" borderId="3" xfId="0" applyNumberFormat="1" applyFont="1" applyFill="1" applyBorder="1" applyAlignment="1">
      <alignment vertical="center" wrapText="1"/>
    </xf>
    <xf numFmtId="44" fontId="2" fillId="2" borderId="8" xfId="2" applyFont="1" applyFill="1" applyBorder="1"/>
    <xf numFmtId="44" fontId="2" fillId="6" borderId="8" xfId="2" applyFont="1" applyFill="1" applyBorder="1"/>
    <xf numFmtId="44" fontId="2" fillId="4" borderId="8" xfId="2" applyFont="1" applyFill="1" applyBorder="1"/>
    <xf numFmtId="44" fontId="0" fillId="0" borderId="0" xfId="2" applyFont="1" applyAlignment="1">
      <alignment horizontal="left"/>
    </xf>
    <xf numFmtId="44" fontId="2" fillId="0" borderId="7" xfId="2" applyFont="1" applyBorder="1"/>
    <xf numFmtId="43" fontId="2" fillId="4" borderId="30" xfId="0" applyNumberFormat="1" applyFont="1" applyFill="1" applyBorder="1"/>
    <xf numFmtId="165" fontId="0" fillId="0" borderId="0" xfId="0" applyNumberFormat="1"/>
    <xf numFmtId="44" fontId="2" fillId="0" borderId="0" xfId="2" applyFont="1" applyFill="1" applyBorder="1"/>
    <xf numFmtId="44" fontId="0" fillId="0" borderId="0" xfId="2" applyFont="1" applyFill="1" applyBorder="1"/>
    <xf numFmtId="0" fontId="0" fillId="0" borderId="29" xfId="0" applyBorder="1"/>
    <xf numFmtId="43" fontId="0" fillId="0" borderId="30" xfId="0" applyNumberFormat="1" applyBorder="1"/>
    <xf numFmtId="0" fontId="16" fillId="14" borderId="9" xfId="0" applyFont="1" applyFill="1" applyBorder="1" applyAlignment="1">
      <alignment horizontal="center" vertical="center" wrapText="1"/>
    </xf>
    <xf numFmtId="0" fontId="2" fillId="10" borderId="13" xfId="0" applyFont="1" applyFill="1" applyBorder="1" applyAlignment="1">
      <alignment vertical="center" wrapText="1"/>
    </xf>
    <xf numFmtId="44" fontId="0" fillId="0" borderId="4" xfId="2" applyFont="1" applyBorder="1"/>
    <xf numFmtId="0" fontId="0" fillId="0" borderId="4" xfId="0" applyBorder="1"/>
    <xf numFmtId="44" fontId="0" fillId="0" borderId="2" xfId="2" applyFont="1" applyBorder="1"/>
    <xf numFmtId="43" fontId="2" fillId="2" borderId="21" xfId="1" applyFont="1" applyFill="1" applyBorder="1"/>
    <xf numFmtId="43" fontId="5" fillId="0" borderId="21" xfId="1" applyFont="1" applyFill="1" applyBorder="1"/>
    <xf numFmtId="44" fontId="0" fillId="0" borderId="26" xfId="2" applyFont="1" applyFill="1" applyBorder="1"/>
    <xf numFmtId="0" fontId="0" fillId="0" borderId="21" xfId="0" applyBorder="1"/>
    <xf numFmtId="44" fontId="0" fillId="0" borderId="26" xfId="2" applyFont="1" applyBorder="1"/>
    <xf numFmtId="44" fontId="2" fillId="2" borderId="21" xfId="2" applyFont="1" applyFill="1" applyBorder="1"/>
    <xf numFmtId="44" fontId="2" fillId="2" borderId="4" xfId="2" applyFont="1" applyFill="1" applyBorder="1"/>
    <xf numFmtId="0" fontId="0" fillId="2" borderId="0" xfId="0" applyFill="1" applyAlignment="1">
      <alignment vertical="center"/>
    </xf>
    <xf numFmtId="0" fontId="15" fillId="0" borderId="4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1733550</xdr:colOff>
      <xdr:row>11</xdr:row>
      <xdr:rowOff>76200</xdr:rowOff>
    </xdr:from>
    <xdr:to>
      <xdr:col>10</xdr:col>
      <xdr:colOff>342096</xdr:colOff>
      <xdr:row>25</xdr:row>
      <xdr:rowOff>151938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AF60730-01B0-7ED1-BB59-FE3B8B8E16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prstClr val="black"/>
            <a:schemeClr val="accent4">
              <a:tint val="45000"/>
              <a:satMod val="400000"/>
            </a:schemeClr>
          </a:duotone>
        </a:blip>
        <a:stretch>
          <a:fillRect/>
        </a:stretch>
      </xdr:blipFill>
      <xdr:spPr>
        <a:xfrm>
          <a:off x="8467725" y="2552700"/>
          <a:ext cx="6428571" cy="369523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N68"/>
  <sheetViews>
    <sheetView showGridLines="0" topLeftCell="A30" zoomScaleNormal="100" workbookViewId="0">
      <selection activeCell="D55" sqref="D55"/>
    </sheetView>
  </sheetViews>
  <sheetFormatPr baseColWidth="10" defaultColWidth="9.140625" defaultRowHeight="15" x14ac:dyDescent="0.25"/>
  <cols>
    <col min="2" max="2" width="46" customWidth="1"/>
    <col min="3" max="3" width="18" customWidth="1"/>
    <col min="4" max="4" width="28.140625" customWidth="1"/>
    <col min="5" max="5" width="13.85546875" bestFit="1" customWidth="1"/>
    <col min="6" max="6" width="28.42578125" bestFit="1" customWidth="1"/>
    <col min="7" max="7" width="31.7109375" bestFit="1" customWidth="1"/>
    <col min="8" max="8" width="20.42578125" customWidth="1"/>
    <col min="9" max="9" width="21.7109375" bestFit="1" customWidth="1"/>
    <col min="10" max="10" width="15" bestFit="1" customWidth="1"/>
  </cols>
  <sheetData>
    <row r="2" spans="2:4" x14ac:dyDescent="0.25">
      <c r="B2" s="5" t="s">
        <v>5</v>
      </c>
      <c r="C2" s="4"/>
      <c r="D2" s="4"/>
    </row>
    <row r="4" spans="2:4" x14ac:dyDescent="0.25">
      <c r="B4" s="3" t="s">
        <v>2</v>
      </c>
    </row>
    <row r="5" spans="2:4" x14ac:dyDescent="0.25">
      <c r="B5" s="3" t="s">
        <v>3</v>
      </c>
    </row>
    <row r="6" spans="2:4" x14ac:dyDescent="0.25">
      <c r="B6" s="3" t="s">
        <v>4</v>
      </c>
    </row>
    <row r="7" spans="2:4" x14ac:dyDescent="0.25">
      <c r="B7" s="3" t="s">
        <v>37</v>
      </c>
    </row>
    <row r="8" spans="2:4" x14ac:dyDescent="0.25">
      <c r="B8" s="3"/>
    </row>
    <row r="9" spans="2:4" x14ac:dyDescent="0.25">
      <c r="C9" s="3" t="s">
        <v>10</v>
      </c>
    </row>
    <row r="10" spans="2:4" ht="45" x14ac:dyDescent="0.25">
      <c r="B10" s="6"/>
      <c r="C10" s="7" t="s">
        <v>6</v>
      </c>
      <c r="D10" s="7" t="s">
        <v>7</v>
      </c>
    </row>
    <row r="11" spans="2:4" x14ac:dyDescent="0.25">
      <c r="B11" s="14" t="s">
        <v>8</v>
      </c>
      <c r="C11" s="24">
        <v>996.2</v>
      </c>
      <c r="D11" s="24">
        <v>976.24</v>
      </c>
    </row>
    <row r="12" spans="2:4" x14ac:dyDescent="0.25">
      <c r="B12" s="14" t="s">
        <v>9</v>
      </c>
      <c r="C12" s="24">
        <v>202.32</v>
      </c>
      <c r="D12" s="24">
        <v>202.32</v>
      </c>
    </row>
    <row r="13" spans="2:4" x14ac:dyDescent="0.25">
      <c r="B13" s="15" t="s">
        <v>11</v>
      </c>
      <c r="C13" s="9">
        <f>+C11+C12</f>
        <v>1198.52</v>
      </c>
      <c r="D13" s="9">
        <f>+D11+D12</f>
        <v>1178.56</v>
      </c>
    </row>
    <row r="14" spans="2:4" x14ac:dyDescent="0.25">
      <c r="B14" s="14" t="s">
        <v>12</v>
      </c>
      <c r="C14" s="10">
        <f>+C13*12</f>
        <v>14382.24</v>
      </c>
      <c r="D14" s="10">
        <f>+D13*12</f>
        <v>14142.72</v>
      </c>
    </row>
    <row r="15" spans="2:4" x14ac:dyDescent="0.25">
      <c r="B15" s="16" t="s">
        <v>13</v>
      </c>
      <c r="C15" s="11">
        <f>+((C11*12)/365)*90+(C12*3)</f>
        <v>3554.6202739726032</v>
      </c>
      <c r="D15" s="11">
        <f>+((D11*12)/365)*90+(D12*3)</f>
        <v>3495.5605479452056</v>
      </c>
    </row>
    <row r="16" spans="2:4" x14ac:dyDescent="0.25">
      <c r="B16" s="17" t="s">
        <v>19</v>
      </c>
      <c r="C16" s="12">
        <f>+C14+C15</f>
        <v>17936.860273972605</v>
      </c>
      <c r="D16" s="12">
        <f>+D14+D15</f>
        <v>17638.280547945204</v>
      </c>
    </row>
    <row r="17" spans="2:14" ht="37.5" customHeight="1" x14ac:dyDescent="0.25">
      <c r="B17" s="25" t="s">
        <v>14</v>
      </c>
      <c r="C17" s="13">
        <v>1792</v>
      </c>
      <c r="D17" s="13">
        <v>1792</v>
      </c>
    </row>
    <row r="18" spans="2:14" x14ac:dyDescent="0.25">
      <c r="B18" s="14" t="s">
        <v>16</v>
      </c>
      <c r="C18" s="18">
        <f>+C16/C17</f>
        <v>10.009408635029356</v>
      </c>
      <c r="D18" s="18">
        <f>+D16/D17</f>
        <v>9.8427904843444214</v>
      </c>
    </row>
    <row r="19" spans="2:14" ht="41.25" x14ac:dyDescent="0.25">
      <c r="B19" s="81" t="s">
        <v>79</v>
      </c>
      <c r="C19" s="82">
        <f>+C18*0.34</f>
        <v>3.4031989359099812</v>
      </c>
      <c r="D19" s="82">
        <f>+D18*0.34</f>
        <v>3.3465487646771037</v>
      </c>
    </row>
    <row r="20" spans="2:14" x14ac:dyDescent="0.25">
      <c r="B20" s="83" t="s">
        <v>38</v>
      </c>
      <c r="C20" s="84">
        <f>+C18*0.05</f>
        <v>0.50047043175146777</v>
      </c>
      <c r="D20" s="84">
        <f>+D18*0.05</f>
        <v>0.49213952421722107</v>
      </c>
    </row>
    <row r="21" spans="2:14" ht="30" x14ac:dyDescent="0.25">
      <c r="B21" s="83" t="s">
        <v>15</v>
      </c>
      <c r="C21" s="84">
        <f>+C18*0.06</f>
        <v>0.60056451810176137</v>
      </c>
      <c r="D21" s="84">
        <f>+D18*0.06</f>
        <v>0.59056742906066528</v>
      </c>
    </row>
    <row r="22" spans="2:14" x14ac:dyDescent="0.25">
      <c r="B22" s="20" t="s">
        <v>17</v>
      </c>
      <c r="C22" s="21">
        <f>+SUM(C18:C21)</f>
        <v>14.513642520792565</v>
      </c>
      <c r="D22" s="21">
        <f>+SUM(D18:D21)</f>
        <v>14.272046202299411</v>
      </c>
    </row>
    <row r="23" spans="2:14" x14ac:dyDescent="0.25">
      <c r="B23" s="22" t="s">
        <v>18</v>
      </c>
      <c r="C23" s="23">
        <f>+C22*C17</f>
        <v>26008.447397260279</v>
      </c>
      <c r="D23" s="23">
        <f>+D22*D17</f>
        <v>25575.506794520545</v>
      </c>
    </row>
    <row r="24" spans="2:14" x14ac:dyDescent="0.25">
      <c r="B24" s="3"/>
      <c r="C24" s="19"/>
    </row>
    <row r="25" spans="2:14" x14ac:dyDescent="0.25">
      <c r="B25" s="3"/>
      <c r="C25" s="19"/>
    </row>
    <row r="26" spans="2:14" x14ac:dyDescent="0.25">
      <c r="C26" s="32" t="s">
        <v>27</v>
      </c>
      <c r="D26" s="33"/>
    </row>
    <row r="27" spans="2:14" x14ac:dyDescent="0.25">
      <c r="C27" s="34">
        <v>2022</v>
      </c>
      <c r="D27" s="35">
        <v>1.4999999999999999E-2</v>
      </c>
      <c r="G27" s="28"/>
      <c r="H27" s="28"/>
      <c r="I27" s="28"/>
      <c r="J27" s="28"/>
      <c r="K27" s="28"/>
      <c r="L27" s="28"/>
      <c r="M27" s="28"/>
      <c r="N27" s="28"/>
    </row>
    <row r="28" spans="2:14" x14ac:dyDescent="0.25">
      <c r="C28" s="34">
        <v>2023</v>
      </c>
      <c r="D28" s="36">
        <v>0.03</v>
      </c>
      <c r="G28" s="44" t="s">
        <v>33</v>
      </c>
      <c r="H28" s="28"/>
      <c r="I28" s="28"/>
      <c r="J28" s="28"/>
      <c r="K28" s="28"/>
      <c r="L28" s="28"/>
      <c r="M28" s="28"/>
      <c r="N28" s="28"/>
    </row>
    <row r="29" spans="2:14" x14ac:dyDescent="0.25">
      <c r="C29" s="34">
        <v>2024</v>
      </c>
      <c r="D29" s="36">
        <v>2.5000000000000001E-2</v>
      </c>
      <c r="G29" s="44" t="s">
        <v>34</v>
      </c>
      <c r="H29" s="28"/>
      <c r="I29" s="28"/>
      <c r="J29" s="28"/>
      <c r="K29" s="28"/>
      <c r="L29" s="28"/>
      <c r="M29" s="28"/>
      <c r="N29" s="28"/>
    </row>
    <row r="30" spans="2:14" x14ac:dyDescent="0.25">
      <c r="C30" s="37">
        <v>2025</v>
      </c>
      <c r="D30" s="38">
        <v>3.2500000000000001E-2</v>
      </c>
      <c r="G30" s="44" t="s">
        <v>35</v>
      </c>
      <c r="H30" s="28"/>
      <c r="I30" s="28"/>
      <c r="J30" s="28"/>
      <c r="K30" s="28"/>
      <c r="L30" s="28"/>
      <c r="M30" s="28"/>
      <c r="N30" s="28"/>
    </row>
    <row r="31" spans="2:14" ht="15.75" thickBot="1" x14ac:dyDescent="0.3">
      <c r="C31" s="39" t="s">
        <v>28</v>
      </c>
      <c r="D31" s="31">
        <f>+AVERAGE(D27:D30)</f>
        <v>2.5625000000000002E-2</v>
      </c>
      <c r="G31" s="28"/>
      <c r="H31" s="28"/>
      <c r="I31" s="28"/>
      <c r="J31" s="28"/>
      <c r="K31" s="28"/>
      <c r="L31" s="28"/>
      <c r="M31" s="28"/>
      <c r="N31" s="28"/>
    </row>
    <row r="32" spans="2:14" ht="15.75" thickTop="1" x14ac:dyDescent="0.25">
      <c r="G32" s="28"/>
      <c r="H32" s="28"/>
      <c r="I32" s="28"/>
      <c r="J32" s="28"/>
      <c r="K32" s="28"/>
      <c r="L32" s="28"/>
      <c r="M32" s="28"/>
      <c r="N32" s="28"/>
    </row>
    <row r="35" spans="2:11" x14ac:dyDescent="0.25">
      <c r="C35" s="7" t="s">
        <v>20</v>
      </c>
      <c r="D35" s="7" t="s">
        <v>21</v>
      </c>
      <c r="G35" s="3" t="s">
        <v>47</v>
      </c>
    </row>
    <row r="36" spans="2:11" x14ac:dyDescent="0.25">
      <c r="B36" s="26">
        <v>2025</v>
      </c>
      <c r="C36" s="27">
        <f>+C23</f>
        <v>26008.447397260279</v>
      </c>
      <c r="D36" s="27">
        <f>+D23</f>
        <v>25575.506794520545</v>
      </c>
      <c r="G36" s="52" t="s">
        <v>46</v>
      </c>
      <c r="H36" s="52" t="s">
        <v>52</v>
      </c>
      <c r="I36" s="52" t="s">
        <v>53</v>
      </c>
      <c r="J36" s="52" t="s">
        <v>54</v>
      </c>
    </row>
    <row r="37" spans="2:11" x14ac:dyDescent="0.25">
      <c r="B37" s="40" t="s">
        <v>22</v>
      </c>
      <c r="C37" s="8">
        <f t="shared" ref="C37:D39" si="0">C36*1.025</f>
        <v>26658.658582191783</v>
      </c>
      <c r="D37" s="8">
        <f t="shared" si="0"/>
        <v>26214.894464383557</v>
      </c>
      <c r="G37" t="s">
        <v>48</v>
      </c>
      <c r="H37" s="53">
        <v>60</v>
      </c>
      <c r="I37" t="s">
        <v>55</v>
      </c>
      <c r="J37" s="19">
        <f>+H37*47.5</f>
        <v>2850</v>
      </c>
    </row>
    <row r="38" spans="2:11" x14ac:dyDescent="0.25">
      <c r="B38" s="40" t="s">
        <v>23</v>
      </c>
      <c r="C38" s="8">
        <f t="shared" si="0"/>
        <v>27325.125046746576</v>
      </c>
      <c r="D38" s="8">
        <f t="shared" si="0"/>
        <v>26870.266825993142</v>
      </c>
      <c r="G38" t="s">
        <v>49</v>
      </c>
      <c r="H38" s="54">
        <v>7.5</v>
      </c>
      <c r="I38" t="s">
        <v>55</v>
      </c>
      <c r="J38" s="19">
        <f t="shared" ref="J38:J39" si="1">+H38*47.5</f>
        <v>356.25</v>
      </c>
    </row>
    <row r="39" spans="2:11" x14ac:dyDescent="0.25">
      <c r="B39" s="40" t="s">
        <v>24</v>
      </c>
      <c r="C39" s="8">
        <f t="shared" si="0"/>
        <v>28008.25317291524</v>
      </c>
      <c r="D39" s="8">
        <f t="shared" si="0"/>
        <v>27542.023496642967</v>
      </c>
      <c r="G39" t="s">
        <v>50</v>
      </c>
      <c r="H39" s="55">
        <v>22.5</v>
      </c>
      <c r="I39" t="s">
        <v>55</v>
      </c>
      <c r="J39" s="19">
        <f t="shared" si="1"/>
        <v>1068.75</v>
      </c>
    </row>
    <row r="40" spans="2:11" ht="15.75" thickBot="1" x14ac:dyDescent="0.3">
      <c r="B40" s="40" t="s">
        <v>25</v>
      </c>
      <c r="C40" s="8">
        <f>C39*1.025</f>
        <v>28708.459502238118</v>
      </c>
      <c r="D40" s="8">
        <f>D39*1.025</f>
        <v>28230.574084059041</v>
      </c>
      <c r="G40" s="56" t="s">
        <v>51</v>
      </c>
      <c r="H40" s="55">
        <v>7.5</v>
      </c>
      <c r="I40" t="s">
        <v>57</v>
      </c>
      <c r="J40" s="19">
        <f>+H40*43.5</f>
        <v>326.25</v>
      </c>
    </row>
    <row r="41" spans="2:11" ht="15.75" thickBot="1" x14ac:dyDescent="0.3">
      <c r="B41" s="40" t="s">
        <v>26</v>
      </c>
      <c r="C41" s="8">
        <f>C40*1.025</f>
        <v>29426.170989794067</v>
      </c>
      <c r="D41" s="8">
        <f>D40*1.025</f>
        <v>28936.338436160513</v>
      </c>
      <c r="G41" s="58" t="s">
        <v>56</v>
      </c>
      <c r="H41" s="59">
        <f>+SUM(H37:H40)</f>
        <v>97.5</v>
      </c>
      <c r="I41" s="60"/>
      <c r="J41" s="61">
        <f>+SUM(J37:J40)</f>
        <v>4601.25</v>
      </c>
    </row>
    <row r="42" spans="2:11" ht="15.75" thickBot="1" x14ac:dyDescent="0.3">
      <c r="B42" s="29" t="s">
        <v>29</v>
      </c>
      <c r="C42" s="30">
        <f>AVERAGE(C37:C41)</f>
        <v>28025.333458777157</v>
      </c>
      <c r="D42" s="30">
        <f>AVERAGE(D37:D41)</f>
        <v>27558.819461447845</v>
      </c>
      <c r="G42" t="s">
        <v>58</v>
      </c>
      <c r="H42" s="57">
        <v>5</v>
      </c>
      <c r="I42" t="s">
        <v>64</v>
      </c>
      <c r="J42" s="19">
        <f>+H42*52</f>
        <v>260</v>
      </c>
    </row>
    <row r="43" spans="2:11" ht="15.75" thickTop="1" x14ac:dyDescent="0.25">
      <c r="C43" s="8"/>
      <c r="D43" s="8"/>
      <c r="G43" t="s">
        <v>59</v>
      </c>
      <c r="H43" s="57">
        <v>4</v>
      </c>
      <c r="I43" t="s">
        <v>65</v>
      </c>
      <c r="J43" s="19">
        <f>35*H43</f>
        <v>140</v>
      </c>
    </row>
    <row r="44" spans="2:11" x14ac:dyDescent="0.25">
      <c r="B44" s="3" t="s">
        <v>30</v>
      </c>
      <c r="C44" s="41">
        <f>C42</f>
        <v>28025.333458777157</v>
      </c>
      <c r="D44" s="41">
        <f>D42</f>
        <v>27558.819461447845</v>
      </c>
      <c r="G44" t="s">
        <v>60</v>
      </c>
      <c r="H44" s="57">
        <v>2</v>
      </c>
      <c r="I44" t="s">
        <v>64</v>
      </c>
      <c r="J44" s="19">
        <f>52*2</f>
        <v>104</v>
      </c>
    </row>
    <row r="45" spans="2:11" ht="15" customHeight="1" x14ac:dyDescent="0.25">
      <c r="B45" t="s">
        <v>39</v>
      </c>
      <c r="C45" s="45">
        <f>+$C$44*0.025</f>
        <v>700.63333646942897</v>
      </c>
      <c r="D45" s="45">
        <f>+$D$44*0.025</f>
        <v>688.97048653619618</v>
      </c>
      <c r="E45" s="236" t="s">
        <v>45</v>
      </c>
      <c r="F45" s="237"/>
      <c r="G45" t="s">
        <v>61</v>
      </c>
      <c r="H45" s="57">
        <v>1</v>
      </c>
      <c r="I45" t="s">
        <v>64</v>
      </c>
      <c r="J45" s="19">
        <f>52*H45</f>
        <v>52</v>
      </c>
    </row>
    <row r="46" spans="2:11" ht="15" customHeight="1" x14ac:dyDescent="0.25">
      <c r="B46" t="s">
        <v>40</v>
      </c>
      <c r="C46" s="45">
        <f>+$C$44*0.017</f>
        <v>476.43066879921167</v>
      </c>
      <c r="D46" s="45">
        <f>+$D$44*0.017</f>
        <v>468.4999308446134</v>
      </c>
      <c r="E46" s="236"/>
      <c r="F46" s="237"/>
      <c r="G46" t="s">
        <v>62</v>
      </c>
      <c r="H46" s="57">
        <v>17.5</v>
      </c>
      <c r="I46" t="s">
        <v>55</v>
      </c>
      <c r="J46" s="19">
        <f>47.5*H46</f>
        <v>831.25</v>
      </c>
    </row>
    <row r="47" spans="2:11" x14ac:dyDescent="0.25">
      <c r="B47" t="s">
        <v>41</v>
      </c>
      <c r="C47" s="45">
        <f>+$C$44*0.08</f>
        <v>2242.0266767021726</v>
      </c>
      <c r="D47" s="45">
        <f>+$D$44*0.08</f>
        <v>2204.7055569158279</v>
      </c>
      <c r="E47" s="236"/>
      <c r="F47" s="237"/>
      <c r="G47" s="62" t="s">
        <v>69</v>
      </c>
      <c r="H47" s="57">
        <v>2.5</v>
      </c>
      <c r="I47" t="s">
        <v>64</v>
      </c>
      <c r="J47" s="19">
        <f>52*H47</f>
        <v>130</v>
      </c>
    </row>
    <row r="48" spans="2:11" ht="15.75" thickBot="1" x14ac:dyDescent="0.3">
      <c r="B48" t="s">
        <v>42</v>
      </c>
      <c r="C48" s="8">
        <f>+$C$44*0.014</f>
        <v>392.3546684228802</v>
      </c>
      <c r="D48" s="8">
        <f>+$D$44*0.014</f>
        <v>385.82347246026984</v>
      </c>
      <c r="E48" s="236"/>
      <c r="F48" s="237"/>
      <c r="G48" t="s">
        <v>68</v>
      </c>
      <c r="H48" s="80">
        <v>0.80769230769230771</v>
      </c>
      <c r="I48" t="s">
        <v>64</v>
      </c>
      <c r="J48" s="19">
        <f>3.5*12</f>
        <v>42</v>
      </c>
      <c r="K48" s="62" t="s">
        <v>78</v>
      </c>
    </row>
    <row r="49" spans="2:10" ht="15.75" thickBot="1" x14ac:dyDescent="0.3">
      <c r="B49" s="47" t="s">
        <v>32</v>
      </c>
      <c r="C49" s="48">
        <f>+SUM(C44:C48)</f>
        <v>31836.778809170846</v>
      </c>
      <c r="D49" s="49">
        <f>+SUM(D44:D48)</f>
        <v>31306.818908204754</v>
      </c>
      <c r="E49" s="236"/>
      <c r="F49" s="237"/>
      <c r="G49" s="58" t="s">
        <v>63</v>
      </c>
      <c r="H49" s="59">
        <f>+SUM(H42:H48)</f>
        <v>32.807692307692307</v>
      </c>
      <c r="I49" s="60"/>
      <c r="J49" s="61">
        <f>+SUM(J42:J48)</f>
        <v>1559.25</v>
      </c>
    </row>
    <row r="50" spans="2:10" ht="15.75" thickBot="1" x14ac:dyDescent="0.3">
      <c r="B50" t="s">
        <v>43</v>
      </c>
      <c r="C50" s="46">
        <f>+C49*0.0125</f>
        <v>397.95973511463558</v>
      </c>
      <c r="D50" s="46">
        <f>+D49*0.0125</f>
        <v>391.33523635255943</v>
      </c>
      <c r="E50" s="236"/>
      <c r="F50" s="237"/>
      <c r="G50" t="s">
        <v>66</v>
      </c>
      <c r="H50" s="57">
        <v>20</v>
      </c>
      <c r="I50" t="s">
        <v>64</v>
      </c>
      <c r="J50" s="19">
        <f>+H50*52</f>
        <v>1040</v>
      </c>
    </row>
    <row r="51" spans="2:10" ht="15.75" thickBot="1" x14ac:dyDescent="0.3">
      <c r="B51" s="47" t="s">
        <v>36</v>
      </c>
      <c r="C51" s="48">
        <f>+C50</f>
        <v>397.95973511463558</v>
      </c>
      <c r="D51" s="49">
        <f>+D50</f>
        <v>391.33523635255943</v>
      </c>
      <c r="E51" s="236"/>
      <c r="F51" s="237"/>
      <c r="G51" s="58" t="s">
        <v>67</v>
      </c>
      <c r="H51" s="59">
        <f>+H50</f>
        <v>20</v>
      </c>
      <c r="I51" s="60"/>
      <c r="J51" s="61">
        <f>+J50</f>
        <v>1040</v>
      </c>
    </row>
    <row r="52" spans="2:10" ht="15.75" thickBot="1" x14ac:dyDescent="0.3">
      <c r="B52" s="42" t="s">
        <v>1</v>
      </c>
      <c r="C52" s="43">
        <f>+C49+C51</f>
        <v>32234.738544285483</v>
      </c>
      <c r="D52" s="43">
        <f>+D49+D51</f>
        <v>31698.154144557313</v>
      </c>
      <c r="E52" s="236"/>
      <c r="F52" s="237"/>
    </row>
    <row r="53" spans="2:10" ht="15.75" thickBot="1" x14ac:dyDescent="0.3">
      <c r="B53" t="s">
        <v>31</v>
      </c>
      <c r="C53" s="8">
        <f>+C52*0.13</f>
        <v>4190.5160107571128</v>
      </c>
      <c r="D53" s="8">
        <f>+D52*0.13</f>
        <v>4120.7600387924513</v>
      </c>
      <c r="E53" s="236"/>
      <c r="F53" s="237"/>
      <c r="G53" s="69" t="s">
        <v>70</v>
      </c>
      <c r="H53" s="70"/>
      <c r="I53" s="70"/>
      <c r="J53" s="71">
        <f>+J41+J49+J51</f>
        <v>7200.5</v>
      </c>
    </row>
    <row r="54" spans="2:10" x14ac:dyDescent="0.25">
      <c r="B54" t="s">
        <v>0</v>
      </c>
      <c r="C54" s="8">
        <f>+C52*0.06</f>
        <v>1934.084312657129</v>
      </c>
      <c r="D54" s="8">
        <f>+D52*0.06</f>
        <v>1901.8892486734387</v>
      </c>
      <c r="E54" s="236"/>
      <c r="F54" s="237"/>
      <c r="G54" s="63"/>
      <c r="H54" s="64" t="s">
        <v>71</v>
      </c>
      <c r="I54" s="64"/>
      <c r="J54" s="65">
        <v>80.5</v>
      </c>
    </row>
    <row r="55" spans="2:10" ht="15.75" thickBot="1" x14ac:dyDescent="0.3">
      <c r="B55" s="50" t="s">
        <v>44</v>
      </c>
      <c r="C55" s="51">
        <f>+C49+C53+C54</f>
        <v>37961.379132585083</v>
      </c>
      <c r="D55" s="51">
        <f>+D49+D53+D54</f>
        <v>37329.468195670648</v>
      </c>
      <c r="G55" s="66"/>
      <c r="H55" s="67" t="s">
        <v>72</v>
      </c>
      <c r="I55" s="67"/>
      <c r="J55" s="68">
        <f>+J53-J54</f>
        <v>7120</v>
      </c>
    </row>
    <row r="56" spans="2:10" x14ac:dyDescent="0.25">
      <c r="B56" t="s">
        <v>73</v>
      </c>
      <c r="C56" s="8">
        <f>C55/1792</f>
        <v>21.183805319522925</v>
      </c>
      <c r="D56" s="8">
        <f>D55/1792</f>
        <v>20.831176448476924</v>
      </c>
    </row>
    <row r="57" spans="2:10" ht="15.75" thickBot="1" x14ac:dyDescent="0.3">
      <c r="B57" s="72" t="s">
        <v>74</v>
      </c>
      <c r="C57" s="73">
        <f>+C56*J54</f>
        <v>1705.2963282215956</v>
      </c>
      <c r="D57" s="73">
        <f>+D56*J55</f>
        <v>148317.9763131557</v>
      </c>
    </row>
    <row r="58" spans="2:10" ht="15.75" thickTop="1" x14ac:dyDescent="0.25">
      <c r="B58" s="62"/>
      <c r="C58" s="74" t="s">
        <v>75</v>
      </c>
      <c r="D58" s="75">
        <f>+D57+C57</f>
        <v>150023.27264137729</v>
      </c>
      <c r="E58" s="19">
        <f>+D58*5</f>
        <v>750116.36320688645</v>
      </c>
    </row>
    <row r="59" spans="2:10" x14ac:dyDescent="0.25">
      <c r="C59" s="76" t="s">
        <v>76</v>
      </c>
      <c r="D59" s="77">
        <f>+D58*0.21</f>
        <v>31504.887254689231</v>
      </c>
      <c r="E59" s="19">
        <f>+E58*0.21</f>
        <v>157524.43627344616</v>
      </c>
      <c r="F59" s="1"/>
    </row>
    <row r="60" spans="2:10" ht="15.75" thickBot="1" x14ac:dyDescent="0.3">
      <c r="C60" s="78" t="s">
        <v>77</v>
      </c>
      <c r="D60" s="79">
        <f>+D58+D59</f>
        <v>181528.15989606653</v>
      </c>
      <c r="E60" s="87">
        <f>+D60*5</f>
        <v>907640.79948033264</v>
      </c>
    </row>
    <row r="61" spans="2:10" ht="15.75" thickTop="1" x14ac:dyDescent="0.25"/>
    <row r="62" spans="2:10" x14ac:dyDescent="0.25">
      <c r="B62" s="1"/>
    </row>
    <row r="64" spans="2:10" x14ac:dyDescent="0.25">
      <c r="E64" s="2"/>
      <c r="F64" s="19"/>
    </row>
    <row r="65" spans="5:6" x14ac:dyDescent="0.25">
      <c r="E65" s="2"/>
      <c r="F65" s="2"/>
    </row>
    <row r="66" spans="5:6" x14ac:dyDescent="0.25">
      <c r="E66" s="2"/>
      <c r="F66" s="2"/>
    </row>
    <row r="67" spans="5:6" x14ac:dyDescent="0.25">
      <c r="E67" s="2"/>
      <c r="F67" s="2"/>
    </row>
    <row r="68" spans="5:6" x14ac:dyDescent="0.25">
      <c r="E68" s="2"/>
      <c r="F68" s="2"/>
    </row>
  </sheetData>
  <mergeCells count="1">
    <mergeCell ref="E45:F54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0A13BD-6992-4FA1-8528-15168BF06A99}">
  <sheetPr>
    <pageSetUpPr fitToPage="1"/>
  </sheetPr>
  <dimension ref="A2:Y157"/>
  <sheetViews>
    <sheetView showGridLines="0" tabSelected="1" zoomScale="85" zoomScaleNormal="85" workbookViewId="0"/>
  </sheetViews>
  <sheetFormatPr baseColWidth="10" defaultColWidth="9.140625" defaultRowHeight="15" x14ac:dyDescent="0.25"/>
  <cols>
    <col min="1" max="1" width="35.5703125" customWidth="1"/>
    <col min="2" max="2" width="50" customWidth="1"/>
    <col min="3" max="3" width="16.140625" customWidth="1"/>
    <col min="4" max="4" width="29.140625" bestFit="1" customWidth="1"/>
    <col min="5" max="5" width="14.140625" bestFit="1" customWidth="1"/>
    <col min="6" max="6" width="18.140625" bestFit="1" customWidth="1"/>
    <col min="7" max="7" width="29.5703125" customWidth="1"/>
    <col min="8" max="8" width="13.28515625" customWidth="1"/>
    <col min="9" max="9" width="14.140625" customWidth="1"/>
    <col min="10" max="10" width="17.28515625" customWidth="1"/>
    <col min="11" max="11" width="13.28515625" customWidth="1"/>
    <col min="12" max="12" width="44" customWidth="1"/>
    <col min="13" max="13" width="12.140625" bestFit="1" customWidth="1"/>
    <col min="14" max="14" width="18" bestFit="1" customWidth="1"/>
    <col min="15" max="15" width="16.5703125" bestFit="1" customWidth="1"/>
    <col min="16" max="16" width="13.28515625" customWidth="1"/>
    <col min="17" max="17" width="42.140625" customWidth="1"/>
    <col min="18" max="18" width="12.140625" bestFit="1" customWidth="1"/>
    <col min="19" max="19" width="18" bestFit="1" customWidth="1"/>
    <col min="20" max="20" width="16.5703125" bestFit="1" customWidth="1"/>
    <col min="21" max="21" width="13.28515625" customWidth="1"/>
    <col min="22" max="22" width="29.85546875" customWidth="1"/>
    <col min="23" max="23" width="12.140625" bestFit="1" customWidth="1"/>
    <col min="24" max="24" width="13.140625" bestFit="1" customWidth="1"/>
    <col min="25" max="25" width="13.7109375" bestFit="1" customWidth="1"/>
  </cols>
  <sheetData>
    <row r="2" spans="1:10" x14ac:dyDescent="0.25">
      <c r="B2" s="5" t="s">
        <v>5</v>
      </c>
      <c r="C2" s="4"/>
      <c r="D2" s="4"/>
    </row>
    <row r="4" spans="1:10" x14ac:dyDescent="0.25">
      <c r="B4" s="3" t="s">
        <v>2</v>
      </c>
    </row>
    <row r="5" spans="1:10" x14ac:dyDescent="0.25">
      <c r="B5" s="3" t="s">
        <v>3</v>
      </c>
    </row>
    <row r="6" spans="1:10" x14ac:dyDescent="0.25">
      <c r="B6" s="3" t="s">
        <v>4</v>
      </c>
    </row>
    <row r="7" spans="1:10" x14ac:dyDescent="0.25">
      <c r="B7" s="3" t="s">
        <v>37</v>
      </c>
    </row>
    <row r="8" spans="1:10" x14ac:dyDescent="0.25">
      <c r="B8" s="3"/>
    </row>
    <row r="9" spans="1:10" ht="15" customHeight="1" x14ac:dyDescent="0.25">
      <c r="A9" s="116"/>
      <c r="B9" s="3" t="s">
        <v>118</v>
      </c>
    </row>
    <row r="10" spans="1:10" ht="15" customHeight="1" x14ac:dyDescent="0.25">
      <c r="B10" s="155" t="s">
        <v>46</v>
      </c>
      <c r="C10" s="156" t="s">
        <v>52</v>
      </c>
      <c r="D10" s="155" t="s">
        <v>101</v>
      </c>
      <c r="E10" s="155" t="s">
        <v>100</v>
      </c>
      <c r="F10" s="156" t="s">
        <v>54</v>
      </c>
    </row>
    <row r="11" spans="1:10" x14ac:dyDescent="0.25">
      <c r="B11" s="119" t="s">
        <v>105</v>
      </c>
      <c r="C11" s="153">
        <f>+C12</f>
        <v>60</v>
      </c>
      <c r="D11" s="154"/>
      <c r="E11" s="122"/>
      <c r="F11" s="157">
        <f>+F12</f>
        <v>2850</v>
      </c>
    </row>
    <row r="12" spans="1:10" ht="16.5" customHeight="1" x14ac:dyDescent="0.25">
      <c r="B12" s="145" t="s">
        <v>48</v>
      </c>
      <c r="C12" s="146">
        <v>60</v>
      </c>
      <c r="D12" s="233" t="s">
        <v>102</v>
      </c>
      <c r="E12" s="147">
        <v>47.5</v>
      </c>
      <c r="F12" s="158">
        <f>+C12*E12</f>
        <v>2850</v>
      </c>
    </row>
    <row r="13" spans="1:10" x14ac:dyDescent="0.25">
      <c r="B13" s="119" t="s">
        <v>106</v>
      </c>
      <c r="C13" s="153">
        <f>+SUM(C14:C16)</f>
        <v>47.5</v>
      </c>
      <c r="D13" s="121"/>
      <c r="E13" s="122"/>
      <c r="F13" s="157">
        <f>+SUM(F14:F16)</f>
        <v>2276.25</v>
      </c>
    </row>
    <row r="14" spans="1:10" x14ac:dyDescent="0.25">
      <c r="B14" t="s">
        <v>50</v>
      </c>
      <c r="C14" s="143">
        <v>22.5</v>
      </c>
      <c r="D14" t="s">
        <v>102</v>
      </c>
      <c r="E14" s="117">
        <v>47.5</v>
      </c>
      <c r="F14" s="159">
        <f>+C14*E14</f>
        <v>1068.75</v>
      </c>
    </row>
    <row r="15" spans="1:10" x14ac:dyDescent="0.25">
      <c r="B15" s="56" t="s">
        <v>51</v>
      </c>
      <c r="C15" s="143">
        <v>7.5</v>
      </c>
      <c r="D15" t="s">
        <v>124</v>
      </c>
      <c r="E15" s="117">
        <v>45.5</v>
      </c>
      <c r="F15" s="159">
        <f>+C15*E15</f>
        <v>341.25</v>
      </c>
    </row>
    <row r="16" spans="1:10" x14ac:dyDescent="0.25">
      <c r="B16" t="s">
        <v>62</v>
      </c>
      <c r="C16" s="57">
        <v>17.5</v>
      </c>
      <c r="D16" t="s">
        <v>125</v>
      </c>
      <c r="E16" s="117">
        <v>49.5</v>
      </c>
      <c r="F16" s="159">
        <f>+C16*E16</f>
        <v>866.25</v>
      </c>
      <c r="J16" s="19"/>
    </row>
    <row r="17" spans="2:7" x14ac:dyDescent="0.25">
      <c r="B17" s="119" t="s">
        <v>107</v>
      </c>
      <c r="C17" s="153">
        <f>+SUM(C18:C21)</f>
        <v>39</v>
      </c>
      <c r="D17" s="121"/>
      <c r="E17" s="122"/>
      <c r="F17" s="157">
        <f>+SUM(F18:F21)</f>
        <v>1912.25</v>
      </c>
    </row>
    <row r="18" spans="2:7" x14ac:dyDescent="0.25">
      <c r="B18" t="s">
        <v>49</v>
      </c>
      <c r="C18" s="144">
        <v>7.5</v>
      </c>
      <c r="D18" s="121" t="s">
        <v>104</v>
      </c>
      <c r="E18" s="117">
        <v>43.5</v>
      </c>
      <c r="F18" s="159">
        <f t="shared" ref="F18:F27" si="0">+C18*E18</f>
        <v>326.25</v>
      </c>
      <c r="G18" s="19"/>
    </row>
    <row r="19" spans="2:7" x14ac:dyDescent="0.25">
      <c r="B19" t="s">
        <v>132</v>
      </c>
      <c r="C19" s="57">
        <v>7.5</v>
      </c>
      <c r="D19" t="s">
        <v>103</v>
      </c>
      <c r="E19" s="117">
        <v>52</v>
      </c>
      <c r="F19" s="159">
        <f t="shared" si="0"/>
        <v>390</v>
      </c>
    </row>
    <row r="20" spans="2:7" x14ac:dyDescent="0.25">
      <c r="B20" t="s">
        <v>59</v>
      </c>
      <c r="C20" s="57">
        <v>4</v>
      </c>
      <c r="D20" t="s">
        <v>126</v>
      </c>
      <c r="E20" s="117">
        <v>39</v>
      </c>
      <c r="F20" s="159">
        <f t="shared" si="0"/>
        <v>156</v>
      </c>
    </row>
    <row r="21" spans="2:7" x14ac:dyDescent="0.25">
      <c r="B21" t="s">
        <v>127</v>
      </c>
      <c r="C21" s="57">
        <v>20</v>
      </c>
      <c r="D21" t="s">
        <v>103</v>
      </c>
      <c r="E21" s="117">
        <v>52</v>
      </c>
      <c r="F21" s="159">
        <f t="shared" si="0"/>
        <v>1040</v>
      </c>
    </row>
    <row r="22" spans="2:7" x14ac:dyDescent="0.25">
      <c r="B22" s="119" t="s">
        <v>108</v>
      </c>
      <c r="C22" s="120"/>
      <c r="D22" s="121"/>
      <c r="E22" s="122"/>
      <c r="F22" s="157">
        <f>+SUM(F23:F29)</f>
        <v>375</v>
      </c>
    </row>
    <row r="23" spans="2:7" x14ac:dyDescent="0.25">
      <c r="B23" t="s">
        <v>60</v>
      </c>
      <c r="C23" s="57">
        <v>2</v>
      </c>
      <c r="D23" t="s">
        <v>103</v>
      </c>
      <c r="E23" s="117">
        <v>52</v>
      </c>
      <c r="F23" s="160">
        <f t="shared" si="0"/>
        <v>104</v>
      </c>
    </row>
    <row r="24" spans="2:7" x14ac:dyDescent="0.25">
      <c r="B24" t="s">
        <v>143</v>
      </c>
      <c r="C24" s="57">
        <v>1</v>
      </c>
      <c r="D24" t="s">
        <v>103</v>
      </c>
      <c r="E24" s="117">
        <v>52</v>
      </c>
      <c r="F24" s="161">
        <f t="shared" si="0"/>
        <v>52</v>
      </c>
    </row>
    <row r="25" spans="2:7" x14ac:dyDescent="0.25">
      <c r="B25" t="s">
        <v>128</v>
      </c>
      <c r="C25" s="57"/>
      <c r="E25" s="117"/>
      <c r="F25" s="162">
        <v>20</v>
      </c>
    </row>
    <row r="26" spans="2:7" x14ac:dyDescent="0.25">
      <c r="B26" s="62" t="s">
        <v>69</v>
      </c>
      <c r="C26" s="57">
        <v>2.5</v>
      </c>
      <c r="D26" t="s">
        <v>103</v>
      </c>
      <c r="E26" s="117">
        <v>52</v>
      </c>
      <c r="F26" s="159">
        <f t="shared" si="0"/>
        <v>130</v>
      </c>
    </row>
    <row r="27" spans="2:7" x14ac:dyDescent="0.25">
      <c r="B27" t="s">
        <v>68</v>
      </c>
      <c r="C27" s="80">
        <v>0.80769230769230771</v>
      </c>
      <c r="D27" t="s">
        <v>103</v>
      </c>
      <c r="E27" s="117">
        <v>52</v>
      </c>
      <c r="F27" s="159">
        <f t="shared" si="0"/>
        <v>42</v>
      </c>
      <c r="G27" s="62" t="s">
        <v>78</v>
      </c>
    </row>
    <row r="28" spans="2:7" x14ac:dyDescent="0.25">
      <c r="B28" t="s">
        <v>129</v>
      </c>
      <c r="C28" s="80"/>
      <c r="E28" s="117"/>
      <c r="F28" s="159">
        <v>12</v>
      </c>
      <c r="G28" s="62"/>
    </row>
    <row r="29" spans="2:7" ht="15.75" thickBot="1" x14ac:dyDescent="0.3">
      <c r="B29" t="s">
        <v>144</v>
      </c>
      <c r="C29" s="152"/>
      <c r="D29" t="s">
        <v>103</v>
      </c>
      <c r="E29" s="152">
        <v>52</v>
      </c>
      <c r="F29" s="152">
        <v>15</v>
      </c>
      <c r="G29" s="62" t="s">
        <v>145</v>
      </c>
    </row>
    <row r="30" spans="2:7" ht="15.75" thickBot="1" x14ac:dyDescent="0.3">
      <c r="B30" s="69" t="s">
        <v>70</v>
      </c>
      <c r="C30" s="70"/>
      <c r="D30" s="70"/>
      <c r="E30" s="70"/>
      <c r="F30" s="71">
        <f>+F11+F13+F17+F22</f>
        <v>7413.5</v>
      </c>
    </row>
    <row r="31" spans="2:7" x14ac:dyDescent="0.25">
      <c r="B31" s="63"/>
      <c r="C31" s="135" t="s">
        <v>71</v>
      </c>
      <c r="D31" s="135"/>
      <c r="E31" s="135"/>
      <c r="F31" s="136">
        <f>+F30*0.015</f>
        <v>111.2025</v>
      </c>
    </row>
    <row r="32" spans="2:7" x14ac:dyDescent="0.25">
      <c r="B32" s="167"/>
      <c r="C32" t="s">
        <v>72</v>
      </c>
      <c r="F32" s="168">
        <f>+F30-F31</f>
        <v>7302.2974999999997</v>
      </c>
    </row>
    <row r="33" spans="2:7" x14ac:dyDescent="0.25">
      <c r="B33" s="163" t="s">
        <v>46</v>
      </c>
      <c r="C33" s="164"/>
      <c r="D33" s="165" t="s">
        <v>146</v>
      </c>
      <c r="E33" s="163"/>
      <c r="F33" s="166"/>
      <c r="G33" s="62"/>
    </row>
    <row r="34" spans="2:7" x14ac:dyDescent="0.25">
      <c r="B34" s="169" t="s">
        <v>130</v>
      </c>
      <c r="C34" s="170"/>
      <c r="D34" s="171"/>
      <c r="E34" s="172"/>
      <c r="F34" s="173"/>
    </row>
    <row r="35" spans="2:7" x14ac:dyDescent="0.25">
      <c r="B35" s="174" t="s">
        <v>131</v>
      </c>
      <c r="C35" s="175"/>
      <c r="D35" s="176"/>
      <c r="E35" s="175"/>
      <c r="F35" s="177"/>
    </row>
    <row r="36" spans="2:7" x14ac:dyDescent="0.25">
      <c r="B36" s="178" t="s">
        <v>133</v>
      </c>
      <c r="C36" s="80"/>
      <c r="D36" s="179" t="s">
        <v>141</v>
      </c>
      <c r="E36" s="80"/>
      <c r="F36" s="180">
        <f>155.8*1.029*1.032</f>
        <v>165.44838239999999</v>
      </c>
    </row>
    <row r="37" spans="2:7" x14ac:dyDescent="0.25">
      <c r="B37" s="181" t="s">
        <v>142</v>
      </c>
      <c r="C37" s="80"/>
      <c r="D37" s="179" t="s">
        <v>140</v>
      </c>
      <c r="E37" s="80"/>
      <c r="F37" s="180">
        <f>969.3*1.029*1.032</f>
        <v>1029.3268103999999</v>
      </c>
    </row>
    <row r="38" spans="2:7" x14ac:dyDescent="0.25">
      <c r="B38" s="178" t="s">
        <v>134</v>
      </c>
      <c r="C38" s="80"/>
      <c r="D38" s="179" t="s">
        <v>170</v>
      </c>
      <c r="E38" s="80"/>
      <c r="F38" s="180">
        <f>1880.4*1.029*1.032</f>
        <v>1996.8494111999998</v>
      </c>
    </row>
    <row r="39" spans="2:7" x14ac:dyDescent="0.25">
      <c r="B39" s="178" t="s">
        <v>135</v>
      </c>
      <c r="C39" s="80"/>
      <c r="D39" s="179" t="s">
        <v>140</v>
      </c>
      <c r="E39" s="80"/>
      <c r="F39" s="180">
        <f>290*1.029*1.032</f>
        <v>307.95911999999998</v>
      </c>
    </row>
    <row r="40" spans="2:7" x14ac:dyDescent="0.25">
      <c r="B40" s="178" t="s">
        <v>136</v>
      </c>
      <c r="C40" s="80"/>
      <c r="D40" s="179" t="s">
        <v>140</v>
      </c>
      <c r="E40" s="80"/>
      <c r="F40" s="180">
        <f>290*1.029*1.032</f>
        <v>307.95911999999998</v>
      </c>
    </row>
    <row r="41" spans="2:7" x14ac:dyDescent="0.25">
      <c r="B41" s="178" t="s">
        <v>137</v>
      </c>
      <c r="C41" s="80"/>
      <c r="D41" s="179" t="s">
        <v>140</v>
      </c>
      <c r="E41" s="80"/>
      <c r="F41" s="180">
        <f>155.8*1.029*1.032</f>
        <v>165.44838239999999</v>
      </c>
    </row>
    <row r="42" spans="2:7" x14ac:dyDescent="0.25">
      <c r="B42" s="182" t="s">
        <v>138</v>
      </c>
      <c r="C42" s="175"/>
      <c r="D42" s="176"/>
      <c r="E42" s="175"/>
      <c r="F42" s="177"/>
    </row>
    <row r="43" spans="2:7" x14ac:dyDescent="0.25">
      <c r="B43" s="183" t="s">
        <v>139</v>
      </c>
      <c r="C43" s="184"/>
      <c r="D43" s="185" t="s">
        <v>140</v>
      </c>
      <c r="E43" s="184"/>
      <c r="F43" s="186">
        <f>281.5*1.029*1.032</f>
        <v>298.93273199999999</v>
      </c>
    </row>
    <row r="44" spans="2:7" x14ac:dyDescent="0.25">
      <c r="B44" s="114"/>
      <c r="C44" s="113"/>
      <c r="D44" s="115"/>
      <c r="E44" s="40"/>
      <c r="F44" s="40"/>
    </row>
    <row r="45" spans="2:7" x14ac:dyDescent="0.25">
      <c r="B45" s="114"/>
      <c r="C45" s="113"/>
      <c r="D45" s="115"/>
      <c r="E45" s="40"/>
      <c r="F45" s="40"/>
    </row>
    <row r="46" spans="2:7" x14ac:dyDescent="0.25">
      <c r="B46" s="114"/>
      <c r="C46" s="113"/>
      <c r="D46" s="118"/>
      <c r="E46" s="40"/>
      <c r="F46" s="40"/>
    </row>
    <row r="47" spans="2:7" x14ac:dyDescent="0.25">
      <c r="C47" s="3" t="s">
        <v>10</v>
      </c>
    </row>
    <row r="48" spans="2:7" ht="45" x14ac:dyDescent="0.25">
      <c r="B48" s="6"/>
      <c r="C48" s="132" t="s">
        <v>6</v>
      </c>
      <c r="D48" s="132" t="s">
        <v>7</v>
      </c>
      <c r="F48" s="133" t="s">
        <v>27</v>
      </c>
      <c r="G48" s="134"/>
    </row>
    <row r="49" spans="2:8" x14ac:dyDescent="0.25">
      <c r="B49" s="14" t="s">
        <v>8</v>
      </c>
      <c r="C49" s="24">
        <v>996.2</v>
      </c>
      <c r="D49" s="24">
        <v>976.24</v>
      </c>
      <c r="F49" s="123" t="s">
        <v>109</v>
      </c>
      <c r="G49" s="35">
        <v>1.4999999999999999E-2</v>
      </c>
    </row>
    <row r="50" spans="2:8" x14ac:dyDescent="0.25">
      <c r="B50" s="14" t="s">
        <v>9</v>
      </c>
      <c r="C50" s="24">
        <v>202.32</v>
      </c>
      <c r="D50" s="24">
        <v>202.32</v>
      </c>
      <c r="F50" s="123" t="s">
        <v>110</v>
      </c>
      <c r="G50" s="36">
        <v>0.03</v>
      </c>
    </row>
    <row r="51" spans="2:8" x14ac:dyDescent="0.25">
      <c r="B51" s="15" t="s">
        <v>11</v>
      </c>
      <c r="C51" s="9">
        <f>+C49+C50</f>
        <v>1198.52</v>
      </c>
      <c r="D51" s="9">
        <f>+D49+D50</f>
        <v>1178.56</v>
      </c>
      <c r="F51" s="123" t="s">
        <v>111</v>
      </c>
      <c r="G51" s="36">
        <v>2.5000000000000001E-2</v>
      </c>
    </row>
    <row r="52" spans="2:8" x14ac:dyDescent="0.25">
      <c r="B52" s="14" t="s">
        <v>12</v>
      </c>
      <c r="C52" s="10">
        <f>+C51*12</f>
        <v>14382.24</v>
      </c>
      <c r="D52" s="10">
        <f>+D51*12</f>
        <v>14142.72</v>
      </c>
      <c r="F52" s="124" t="s">
        <v>112</v>
      </c>
      <c r="G52" s="38">
        <v>3.2500000000000001E-2</v>
      </c>
    </row>
    <row r="53" spans="2:8" ht="15.75" thickBot="1" x14ac:dyDescent="0.3">
      <c r="B53" s="16" t="s">
        <v>13</v>
      </c>
      <c r="C53" s="11">
        <f>+((C49*12)/365)*90+(C50*3)</f>
        <v>3554.6202739726032</v>
      </c>
      <c r="D53" s="11">
        <f>+((D49*12)/365)*90+(D50*3)</f>
        <v>3495.5605479452056</v>
      </c>
      <c r="F53" s="150" t="s">
        <v>28</v>
      </c>
      <c r="G53" s="151">
        <f>+AVERAGE(G50:G52)</f>
        <v>2.9166666666666664E-2</v>
      </c>
    </row>
    <row r="54" spans="2:8" ht="15.75" thickTop="1" x14ac:dyDescent="0.25">
      <c r="B54" s="17" t="s">
        <v>19</v>
      </c>
      <c r="C54" s="12">
        <f>+C52+C53</f>
        <v>17936.860273972605</v>
      </c>
      <c r="D54" s="12">
        <f>+D52+D53</f>
        <v>17638.280547945204</v>
      </c>
    </row>
    <row r="55" spans="2:8" ht="37.5" customHeight="1" x14ac:dyDescent="0.25">
      <c r="B55" s="25" t="s">
        <v>14</v>
      </c>
      <c r="C55" s="13">
        <v>1792</v>
      </c>
      <c r="D55" s="13">
        <v>1792</v>
      </c>
      <c r="F55" s="129" t="s">
        <v>99</v>
      </c>
      <c r="G55" s="130" t="s">
        <v>20</v>
      </c>
      <c r="H55" s="131" t="s">
        <v>21</v>
      </c>
    </row>
    <row r="56" spans="2:8" x14ac:dyDescent="0.25">
      <c r="B56" s="14" t="s">
        <v>16</v>
      </c>
      <c r="C56" s="18">
        <f>+C54/C55</f>
        <v>10.009408635029356</v>
      </c>
      <c r="D56" s="18">
        <f>+D54/D55</f>
        <v>9.8427904843444214</v>
      </c>
      <c r="E56" s="19"/>
      <c r="F56" s="127">
        <v>2025</v>
      </c>
      <c r="G56" s="125">
        <f>+C61</f>
        <v>26008.447397260279</v>
      </c>
      <c r="H56" s="125">
        <f>+D61</f>
        <v>25575.506794520545</v>
      </c>
    </row>
    <row r="57" spans="2:8" ht="41.25" x14ac:dyDescent="0.25">
      <c r="B57" s="81" t="s">
        <v>79</v>
      </c>
      <c r="C57" s="82">
        <f>+C56*0.34</f>
        <v>3.4031989359099812</v>
      </c>
      <c r="D57" s="82">
        <f>+D56*0.34</f>
        <v>3.3465487646771037</v>
      </c>
      <c r="F57" s="128" t="s">
        <v>119</v>
      </c>
      <c r="G57" s="126">
        <f t="shared" ref="G57:H61" si="1">G56*1.03</f>
        <v>26788.700819178088</v>
      </c>
      <c r="H57" s="126">
        <f t="shared" si="1"/>
        <v>26342.771998356162</v>
      </c>
    </row>
    <row r="58" spans="2:8" x14ac:dyDescent="0.25">
      <c r="B58" s="83" t="s">
        <v>38</v>
      </c>
      <c r="C58" s="84">
        <f>+C56*0.05</f>
        <v>0.50047043175146777</v>
      </c>
      <c r="D58" s="84">
        <f>+D56*0.05</f>
        <v>0.49213952421722107</v>
      </c>
      <c r="F58" s="128" t="s">
        <v>120</v>
      </c>
      <c r="G58" s="126">
        <f t="shared" si="1"/>
        <v>27592.361843753431</v>
      </c>
      <c r="H58" s="126">
        <f t="shared" si="1"/>
        <v>27133.055158306848</v>
      </c>
    </row>
    <row r="59" spans="2:8" ht="30" x14ac:dyDescent="0.25">
      <c r="B59" s="83" t="s">
        <v>15</v>
      </c>
      <c r="C59" s="84">
        <f>+C56*0.06</f>
        <v>0.60056451810176137</v>
      </c>
      <c r="D59" s="84">
        <f>+D56*0.06</f>
        <v>0.59056742906066528</v>
      </c>
      <c r="F59" s="128" t="s">
        <v>121</v>
      </c>
      <c r="G59" s="126">
        <f t="shared" si="1"/>
        <v>28420.132699066035</v>
      </c>
      <c r="H59" s="126">
        <f t="shared" si="1"/>
        <v>27947.046813056055</v>
      </c>
    </row>
    <row r="60" spans="2:8" x14ac:dyDescent="0.25">
      <c r="B60" s="20" t="s">
        <v>17</v>
      </c>
      <c r="C60" s="21">
        <f>+SUM(C56:C59)</f>
        <v>14.513642520792565</v>
      </c>
      <c r="D60" s="21">
        <f>+SUM(D56:D59)</f>
        <v>14.272046202299411</v>
      </c>
      <c r="E60" s="19"/>
      <c r="F60" s="128" t="s">
        <v>122</v>
      </c>
      <c r="G60" s="126">
        <f t="shared" si="1"/>
        <v>29272.736680038015</v>
      </c>
      <c r="H60" s="126">
        <f t="shared" si="1"/>
        <v>28785.458217447736</v>
      </c>
    </row>
    <row r="61" spans="2:8" x14ac:dyDescent="0.25">
      <c r="B61" s="22" t="s">
        <v>18</v>
      </c>
      <c r="C61" s="23">
        <f>+C60*C55</f>
        <v>26008.447397260279</v>
      </c>
      <c r="D61" s="23">
        <f>+D60*D55</f>
        <v>25575.506794520545</v>
      </c>
      <c r="F61" s="128" t="s">
        <v>123</v>
      </c>
      <c r="G61" s="126">
        <f t="shared" si="1"/>
        <v>30150.918780439155</v>
      </c>
      <c r="H61" s="126">
        <f t="shared" si="1"/>
        <v>29649.021963971169</v>
      </c>
    </row>
    <row r="62" spans="2:8" ht="15.75" thickBot="1" x14ac:dyDescent="0.3">
      <c r="B62" s="3"/>
      <c r="C62" s="19"/>
      <c r="F62" s="29" t="s">
        <v>29</v>
      </c>
      <c r="G62" s="30">
        <f>AVERAGE(G56:G61)</f>
        <v>28038.883036622501</v>
      </c>
      <c r="H62" s="30">
        <f>AVERAGE(H56:H61)</f>
        <v>27572.143490943086</v>
      </c>
    </row>
    <row r="63" spans="2:8" ht="15.75" thickTop="1" x14ac:dyDescent="0.25">
      <c r="B63" s="3"/>
      <c r="C63" s="19"/>
    </row>
    <row r="66" spans="1:25" x14ac:dyDescent="0.25">
      <c r="B66" s="5" t="s">
        <v>164</v>
      </c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</row>
    <row r="67" spans="1:25" ht="15.75" thickBot="1" x14ac:dyDescent="0.3">
      <c r="B67" s="1"/>
    </row>
    <row r="68" spans="1:25" s="95" customFormat="1" ht="45.75" thickBot="1" x14ac:dyDescent="0.3">
      <c r="B68" s="96" t="s">
        <v>80</v>
      </c>
      <c r="C68" s="97" t="s">
        <v>20</v>
      </c>
      <c r="D68" s="98" t="s">
        <v>21</v>
      </c>
      <c r="E68" s="98" t="s">
        <v>113</v>
      </c>
      <c r="G68" s="96" t="s">
        <v>81</v>
      </c>
      <c r="H68" s="97" t="s">
        <v>20</v>
      </c>
      <c r="I68" s="98" t="s">
        <v>21</v>
      </c>
      <c r="J68" s="98" t="s">
        <v>114</v>
      </c>
      <c r="L68" s="96" t="s">
        <v>82</v>
      </c>
      <c r="M68" s="97" t="s">
        <v>20</v>
      </c>
      <c r="N68" s="98" t="s">
        <v>21</v>
      </c>
      <c r="O68" s="98" t="s">
        <v>115</v>
      </c>
      <c r="Q68" s="96" t="s">
        <v>83</v>
      </c>
      <c r="R68" s="97" t="s">
        <v>20</v>
      </c>
      <c r="S68" s="98" t="s">
        <v>21</v>
      </c>
      <c r="T68" s="98" t="s">
        <v>116</v>
      </c>
      <c r="V68" s="96" t="s">
        <v>84</v>
      </c>
      <c r="W68" s="97" t="s">
        <v>20</v>
      </c>
      <c r="X68" s="98" t="s">
        <v>21</v>
      </c>
      <c r="Y68" s="98" t="s">
        <v>117</v>
      </c>
    </row>
    <row r="69" spans="1:25" x14ac:dyDescent="0.25">
      <c r="A69" s="234" t="s">
        <v>45</v>
      </c>
      <c r="B69" s="3" t="s">
        <v>30</v>
      </c>
      <c r="C69" s="41">
        <f>+G57</f>
        <v>26788.700819178088</v>
      </c>
      <c r="D69" s="41">
        <f>+H57</f>
        <v>26342.771998356162</v>
      </c>
      <c r="E69" s="137">
        <f>+C69+D69</f>
        <v>53131.472817534246</v>
      </c>
      <c r="G69" s="3" t="s">
        <v>30</v>
      </c>
      <c r="H69" s="41">
        <f>+G58</f>
        <v>27592.361843753431</v>
      </c>
      <c r="I69" s="41">
        <f>H58</f>
        <v>27133.055158306848</v>
      </c>
      <c r="J69" s="137">
        <f>+H69+I69</f>
        <v>54725.417002060276</v>
      </c>
      <c r="L69" s="3" t="s">
        <v>30</v>
      </c>
      <c r="M69" s="41">
        <f>+G59</f>
        <v>28420.132699066035</v>
      </c>
      <c r="N69" s="41">
        <f>+H59</f>
        <v>27947.046813056055</v>
      </c>
      <c r="O69" s="137">
        <f>+M69+N69</f>
        <v>56367.179512122093</v>
      </c>
      <c r="Q69" s="3" t="s">
        <v>30</v>
      </c>
      <c r="R69" s="41">
        <f>+G60</f>
        <v>29272.736680038015</v>
      </c>
      <c r="S69" s="41">
        <f>+H60</f>
        <v>28785.458217447736</v>
      </c>
      <c r="T69" s="137">
        <f>+R69+S69</f>
        <v>58058.194897485751</v>
      </c>
      <c r="V69" s="3" t="s">
        <v>30</v>
      </c>
      <c r="W69" s="41">
        <f>+G61</f>
        <v>30150.918780439155</v>
      </c>
      <c r="X69" s="41">
        <f>+H61</f>
        <v>29649.021963971169</v>
      </c>
      <c r="Y69" s="137">
        <f>+W69+X69</f>
        <v>59799.940744410327</v>
      </c>
    </row>
    <row r="70" spans="1:25" x14ac:dyDescent="0.25">
      <c r="A70" s="235"/>
      <c r="B70" t="s">
        <v>39</v>
      </c>
      <c r="C70" s="45">
        <f>+$C$69*0.025</f>
        <v>669.71752047945222</v>
      </c>
      <c r="D70" s="45">
        <f>+$D$69*0.025</f>
        <v>658.56929995890414</v>
      </c>
      <c r="E70" s="99">
        <f t="shared" ref="E70:E74" si="2">+C70+D70</f>
        <v>1328.2868204383562</v>
      </c>
      <c r="F70" s="85"/>
      <c r="G70" t="s">
        <v>39</v>
      </c>
      <c r="H70" s="45">
        <f>+$H69*0.025</f>
        <v>689.80904609383583</v>
      </c>
      <c r="I70" s="45">
        <f>+$I69*0.025</f>
        <v>678.3263789576713</v>
      </c>
      <c r="J70" s="99">
        <f t="shared" ref="J70:J74" si="3">+H70+I70</f>
        <v>1368.1354250515071</v>
      </c>
      <c r="L70" t="s">
        <v>39</v>
      </c>
      <c r="M70" s="45">
        <f>+$M$69*0.025</f>
        <v>710.50331747665086</v>
      </c>
      <c r="N70" s="45">
        <f>+$N$69*0.025</f>
        <v>698.67617032640146</v>
      </c>
      <c r="O70" s="99">
        <f t="shared" ref="O70:O74" si="4">+M70+N70</f>
        <v>1409.1794878030523</v>
      </c>
      <c r="Q70" t="s">
        <v>39</v>
      </c>
      <c r="R70" s="45">
        <f>+$R$69*0.025</f>
        <v>731.81841700095038</v>
      </c>
      <c r="S70" s="45">
        <f>+$S$69*0.025</f>
        <v>719.6364554361935</v>
      </c>
      <c r="T70" s="99">
        <f t="shared" ref="T70:T74" si="5">+R70+S70</f>
        <v>1451.4548724371439</v>
      </c>
      <c r="V70" t="s">
        <v>39</v>
      </c>
      <c r="W70" s="45">
        <f>+$W$69*0.025</f>
        <v>753.7729695109789</v>
      </c>
      <c r="X70" s="45">
        <f>+$X$69*0.025</f>
        <v>741.22554909927931</v>
      </c>
      <c r="Y70" s="99">
        <f t="shared" ref="Y70:Y74" si="6">+W70+X70</f>
        <v>1494.9985186102581</v>
      </c>
    </row>
    <row r="71" spans="1:25" x14ac:dyDescent="0.25">
      <c r="A71" s="235"/>
      <c r="B71" t="s">
        <v>40</v>
      </c>
      <c r="C71" s="45">
        <f>+$C$69*0.017</f>
        <v>455.4079139260275</v>
      </c>
      <c r="D71" s="45">
        <f>+$D$69*0.017</f>
        <v>447.82712397205478</v>
      </c>
      <c r="E71" s="99">
        <f t="shared" si="2"/>
        <v>903.23503789808228</v>
      </c>
      <c r="F71" s="85"/>
      <c r="G71" t="s">
        <v>40</v>
      </c>
      <c r="H71" s="45">
        <f>+$H69*0.017</f>
        <v>469.07015134380839</v>
      </c>
      <c r="I71" s="45">
        <f>+$I69*0.017</f>
        <v>461.26193769121647</v>
      </c>
      <c r="J71" s="99">
        <f t="shared" si="3"/>
        <v>930.33208903502486</v>
      </c>
      <c r="L71" t="s">
        <v>40</v>
      </c>
      <c r="M71" s="45">
        <f>+$M$69*0.017</f>
        <v>483.14225588412262</v>
      </c>
      <c r="N71" s="45">
        <f>+$N$69*0.017</f>
        <v>475.09979582195297</v>
      </c>
      <c r="O71" s="99">
        <f t="shared" si="4"/>
        <v>958.24205170607559</v>
      </c>
      <c r="Q71" t="s">
        <v>40</v>
      </c>
      <c r="R71" s="45">
        <f>+$R$69*0.017</f>
        <v>497.63652356064631</v>
      </c>
      <c r="S71" s="45">
        <f>+$S$69*0.017</f>
        <v>489.35278969661158</v>
      </c>
      <c r="T71" s="99">
        <f t="shared" si="5"/>
        <v>986.98931325725789</v>
      </c>
      <c r="V71" t="s">
        <v>40</v>
      </c>
      <c r="W71" s="45">
        <f>+$W$69*0.017</f>
        <v>512.56561926746565</v>
      </c>
      <c r="X71" s="45">
        <f>+$X$69*0.017</f>
        <v>504.03337338750993</v>
      </c>
      <c r="Y71" s="99">
        <f t="shared" si="6"/>
        <v>1016.5989926549755</v>
      </c>
    </row>
    <row r="72" spans="1:25" x14ac:dyDescent="0.25">
      <c r="A72" s="235"/>
      <c r="B72" t="s">
        <v>41</v>
      </c>
      <c r="C72" s="45">
        <f>+$C$69*0.08</f>
        <v>2143.0960655342469</v>
      </c>
      <c r="D72" s="45">
        <f>+$D$69*0.08</f>
        <v>2107.4217598684932</v>
      </c>
      <c r="E72" s="99">
        <f t="shared" si="2"/>
        <v>4250.5178254027396</v>
      </c>
      <c r="F72" s="85"/>
      <c r="G72" t="s">
        <v>41</v>
      </c>
      <c r="H72" s="45">
        <f>+H$69*0.08</f>
        <v>2207.3889475002748</v>
      </c>
      <c r="I72" s="45">
        <f>+I$69*0.08</f>
        <v>2170.6444126645479</v>
      </c>
      <c r="J72" s="99">
        <f t="shared" si="3"/>
        <v>4378.0333601648226</v>
      </c>
      <c r="L72" t="s">
        <v>41</v>
      </c>
      <c r="M72" s="45">
        <f>+$M$69*0.08</f>
        <v>2273.6106159252827</v>
      </c>
      <c r="N72" s="45">
        <f>+$N$69*0.08</f>
        <v>2235.7637450444845</v>
      </c>
      <c r="O72" s="99">
        <f t="shared" si="4"/>
        <v>4509.3743609697667</v>
      </c>
      <c r="Q72" t="s">
        <v>41</v>
      </c>
      <c r="R72" s="45">
        <f>+$R$69*0.08</f>
        <v>2341.8189344030411</v>
      </c>
      <c r="S72" s="45">
        <f>+$S$69*0.08</f>
        <v>2302.8366573958187</v>
      </c>
      <c r="T72" s="99">
        <f t="shared" si="5"/>
        <v>4644.6555917988599</v>
      </c>
      <c r="V72" t="s">
        <v>41</v>
      </c>
      <c r="W72" s="45">
        <f>+$W$69*0.08</f>
        <v>2412.0735024351325</v>
      </c>
      <c r="X72" s="45">
        <f>+$X$69*0.08</f>
        <v>2371.9217571176937</v>
      </c>
      <c r="Y72" s="99">
        <f t="shared" si="6"/>
        <v>4783.9952595528266</v>
      </c>
    </row>
    <row r="73" spans="1:25" x14ac:dyDescent="0.25">
      <c r="A73" s="235"/>
      <c r="B73" t="s">
        <v>94</v>
      </c>
      <c r="C73" s="8">
        <f>+$C$69*0.02</f>
        <v>535.77401638356173</v>
      </c>
      <c r="D73" s="8">
        <f>+$D$69*0.02</f>
        <v>526.85543996712329</v>
      </c>
      <c r="E73" s="138">
        <f t="shared" si="2"/>
        <v>1062.6294563506849</v>
      </c>
      <c r="F73" s="85"/>
      <c r="G73" t="s">
        <v>94</v>
      </c>
      <c r="H73" s="8">
        <f>+H$69*0.02</f>
        <v>551.84723687506869</v>
      </c>
      <c r="I73" s="8">
        <f>+I$69*0.02</f>
        <v>542.66110316613697</v>
      </c>
      <c r="J73" s="138">
        <f t="shared" si="3"/>
        <v>1094.5083400412057</v>
      </c>
      <c r="L73" t="s">
        <v>94</v>
      </c>
      <c r="M73" s="8">
        <f>+$M$69*0.02</f>
        <v>568.40265398132067</v>
      </c>
      <c r="N73" s="8">
        <f>+$N$69*0.02</f>
        <v>558.94093626112112</v>
      </c>
      <c r="O73" s="138">
        <f t="shared" si="4"/>
        <v>1127.3435902424417</v>
      </c>
      <c r="Q73" t="s">
        <v>94</v>
      </c>
      <c r="R73" s="8">
        <f>+$R$69*0.02</f>
        <v>585.45473360076028</v>
      </c>
      <c r="S73" s="8">
        <f>+$S$69*0.02</f>
        <v>575.70916434895469</v>
      </c>
      <c r="T73" s="138">
        <f t="shared" si="5"/>
        <v>1161.163897949715</v>
      </c>
      <c r="V73" t="s">
        <v>94</v>
      </c>
      <c r="W73" s="8">
        <f>+$W$69*0.02</f>
        <v>603.01837560878312</v>
      </c>
      <c r="X73" s="8">
        <f>+$X$69*0.02</f>
        <v>592.98043927942342</v>
      </c>
      <c r="Y73" s="138">
        <f t="shared" si="6"/>
        <v>1195.9988148882067</v>
      </c>
    </row>
    <row r="74" spans="1:25" x14ac:dyDescent="0.25">
      <c r="A74" s="235"/>
      <c r="B74" t="s">
        <v>95</v>
      </c>
      <c r="C74" s="148">
        <f>+$C$69*0.05</f>
        <v>1339.4350409589044</v>
      </c>
      <c r="D74" s="148">
        <f>+$D$69*0.05</f>
        <v>1317.1385999178083</v>
      </c>
      <c r="E74" s="149">
        <f t="shared" si="2"/>
        <v>2656.5736408767125</v>
      </c>
      <c r="F74" s="85"/>
      <c r="G74" t="s">
        <v>95</v>
      </c>
      <c r="H74" s="148">
        <f>+H$69*0.05</f>
        <v>1379.6180921876717</v>
      </c>
      <c r="I74" s="148">
        <f>+I$69*0.05</f>
        <v>1356.6527579153426</v>
      </c>
      <c r="J74" s="149">
        <f t="shared" si="3"/>
        <v>2736.2708501030143</v>
      </c>
      <c r="L74" t="s">
        <v>95</v>
      </c>
      <c r="M74" s="148">
        <f>+$M$69*0.05</f>
        <v>1421.0066349533017</v>
      </c>
      <c r="N74" s="148">
        <f>+$N$69*0.05</f>
        <v>1397.3523406528029</v>
      </c>
      <c r="O74" s="149">
        <f t="shared" si="4"/>
        <v>2818.3589756061047</v>
      </c>
      <c r="Q74" t="s">
        <v>95</v>
      </c>
      <c r="R74" s="148">
        <f>+$R$69*0.05</f>
        <v>1463.6368340019008</v>
      </c>
      <c r="S74" s="148">
        <f>+$S$69*0.05</f>
        <v>1439.272910872387</v>
      </c>
      <c r="T74" s="149">
        <f t="shared" si="5"/>
        <v>2902.9097448742878</v>
      </c>
      <c r="V74" t="s">
        <v>95</v>
      </c>
      <c r="W74" s="148">
        <f>+$W$69*0.05</f>
        <v>1507.5459390219578</v>
      </c>
      <c r="X74" s="148">
        <f>+$X$69*0.05</f>
        <v>1482.4510981985586</v>
      </c>
      <c r="Y74" s="149">
        <f t="shared" si="6"/>
        <v>2989.9970372205162</v>
      </c>
    </row>
    <row r="75" spans="1:25" x14ac:dyDescent="0.25">
      <c r="A75" s="235"/>
      <c r="B75" s="47" t="s">
        <v>32</v>
      </c>
      <c r="C75" s="48">
        <f>+SUM(C69:C74)</f>
        <v>31932.131376460282</v>
      </c>
      <c r="D75" s="48">
        <f>+SUM(D69:D74)</f>
        <v>31400.584222040547</v>
      </c>
      <c r="E75" s="89">
        <f>+SUM(E69:E74)</f>
        <v>63332.715598500821</v>
      </c>
      <c r="F75" s="85"/>
      <c r="G75" s="47" t="s">
        <v>32</v>
      </c>
      <c r="H75" s="48">
        <f>+SUM(H69:H74)</f>
        <v>32890.095317754094</v>
      </c>
      <c r="I75" s="49">
        <f>+SUM(I69:I74)</f>
        <v>32342.60174870176</v>
      </c>
      <c r="J75" s="89">
        <f>+SUM(J69:J74)</f>
        <v>65232.697066455847</v>
      </c>
      <c r="L75" s="47" t="s">
        <v>32</v>
      </c>
      <c r="M75" s="48">
        <f>+SUM(M69:M74)</f>
        <v>33876.798177286713</v>
      </c>
      <c r="N75" s="49">
        <f>+SUM(N69:N74)</f>
        <v>33312.879801162817</v>
      </c>
      <c r="O75" s="89">
        <f>+SUM(O69:O74)</f>
        <v>67189.67797844953</v>
      </c>
      <c r="Q75" s="47" t="s">
        <v>32</v>
      </c>
      <c r="R75" s="48">
        <f>+SUM(R69:R74)</f>
        <v>34893.10212260532</v>
      </c>
      <c r="S75" s="49">
        <f>+SUM(S69:S74)</f>
        <v>34312.266195197699</v>
      </c>
      <c r="T75" s="89">
        <f>+SUM(T69:T74)</f>
        <v>69205.368317803019</v>
      </c>
      <c r="V75" s="47" t="s">
        <v>32</v>
      </c>
      <c r="W75" s="48">
        <f>+SUM(W69:W74)</f>
        <v>35939.895186283473</v>
      </c>
      <c r="X75" s="49">
        <f>+SUM(X69:X74)</f>
        <v>35341.634181053632</v>
      </c>
      <c r="Y75" s="89">
        <f>+SUM(Y69:Y74)</f>
        <v>71281.529367337105</v>
      </c>
    </row>
    <row r="76" spans="1:25" x14ac:dyDescent="0.25">
      <c r="A76" s="235"/>
      <c r="B76" t="s">
        <v>43</v>
      </c>
      <c r="C76" s="46">
        <f>+C75*0.0125</f>
        <v>399.15164220575355</v>
      </c>
      <c r="D76" s="46">
        <f>+D75*0.0125</f>
        <v>392.50730277550684</v>
      </c>
      <c r="E76" s="99">
        <f>+E75*0.0125</f>
        <v>791.65894498126033</v>
      </c>
      <c r="F76" s="85"/>
      <c r="G76" t="s">
        <v>43</v>
      </c>
      <c r="H76" s="46">
        <f>+H75*0.0125</f>
        <v>411.12619147192618</v>
      </c>
      <c r="I76" s="46">
        <f>+I75*0.0125</f>
        <v>404.28252185877204</v>
      </c>
      <c r="J76" s="99">
        <f>+J75*0.0125</f>
        <v>815.40871333069811</v>
      </c>
      <c r="L76" t="s">
        <v>43</v>
      </c>
      <c r="M76" s="46">
        <f>+M75*0.0125</f>
        <v>423.45997721608393</v>
      </c>
      <c r="N76" s="46">
        <f>+N75*0.0125</f>
        <v>416.41099751453521</v>
      </c>
      <c r="O76" s="99">
        <f>+O75*0.0125</f>
        <v>839.8709747306192</v>
      </c>
      <c r="Q76" t="s">
        <v>43</v>
      </c>
      <c r="R76" s="46">
        <f>+R75*0.0125</f>
        <v>436.16377653256654</v>
      </c>
      <c r="S76" s="46">
        <f>+S75*0.0125</f>
        <v>428.90332743997124</v>
      </c>
      <c r="T76" s="99">
        <f>+T75*0.0125</f>
        <v>865.06710397253778</v>
      </c>
      <c r="V76" t="s">
        <v>43</v>
      </c>
      <c r="W76" s="46">
        <f>+W75*0.0125</f>
        <v>449.24868982854343</v>
      </c>
      <c r="X76" s="46">
        <f>+X75*0.0125</f>
        <v>441.7704272631704</v>
      </c>
      <c r="Y76" s="99">
        <f>+Y75*0.0125</f>
        <v>891.01911709171384</v>
      </c>
    </row>
    <row r="77" spans="1:25" x14ac:dyDescent="0.25">
      <c r="A77" s="235"/>
      <c r="B77" s="47" t="s">
        <v>36</v>
      </c>
      <c r="C77" s="48">
        <f>+C76</f>
        <v>399.15164220575355</v>
      </c>
      <c r="D77" s="48">
        <f>+D76</f>
        <v>392.50730277550684</v>
      </c>
      <c r="E77" s="89">
        <f>+E76</f>
        <v>791.65894498126033</v>
      </c>
      <c r="F77" s="85"/>
      <c r="G77" s="47" t="s">
        <v>36</v>
      </c>
      <c r="H77" s="48">
        <f>+H76</f>
        <v>411.12619147192618</v>
      </c>
      <c r="I77" s="49">
        <f>+I76</f>
        <v>404.28252185877204</v>
      </c>
      <c r="J77" s="89">
        <f>+J76</f>
        <v>815.40871333069811</v>
      </c>
      <c r="L77" s="47" t="s">
        <v>36</v>
      </c>
      <c r="M77" s="48">
        <f>+M76</f>
        <v>423.45997721608393</v>
      </c>
      <c r="N77" s="49">
        <f>+N76</f>
        <v>416.41099751453521</v>
      </c>
      <c r="O77" s="89">
        <f>+O76</f>
        <v>839.8709747306192</v>
      </c>
      <c r="Q77" s="47" t="s">
        <v>36</v>
      </c>
      <c r="R77" s="48">
        <f>+R76</f>
        <v>436.16377653256654</v>
      </c>
      <c r="S77" s="49">
        <f>+S76</f>
        <v>428.90332743997124</v>
      </c>
      <c r="T77" s="89">
        <f>+T76</f>
        <v>865.06710397253778</v>
      </c>
      <c r="V77" s="47" t="s">
        <v>36</v>
      </c>
      <c r="W77" s="48">
        <f>+W76</f>
        <v>449.24868982854343</v>
      </c>
      <c r="X77" s="49">
        <f>+X76</f>
        <v>441.7704272631704</v>
      </c>
      <c r="Y77" s="89">
        <f>+Y76</f>
        <v>891.01911709171384</v>
      </c>
    </row>
    <row r="78" spans="1:25" x14ac:dyDescent="0.25">
      <c r="A78" s="235"/>
      <c r="B78" s="42" t="s">
        <v>1</v>
      </c>
      <c r="C78" s="43">
        <f>+C75+C77</f>
        <v>32331.283018666036</v>
      </c>
      <c r="D78" s="43">
        <f>+D75+D77</f>
        <v>31793.091524816053</v>
      </c>
      <c r="E78" s="92">
        <f>+E75+E77</f>
        <v>64124.374543482081</v>
      </c>
      <c r="F78" s="85"/>
      <c r="G78" s="42" t="s">
        <v>1</v>
      </c>
      <c r="H78" s="43">
        <f>+H75+H77</f>
        <v>33301.221509226023</v>
      </c>
      <c r="I78" s="43">
        <f>+I75+I77</f>
        <v>32746.884270560531</v>
      </c>
      <c r="J78" s="92">
        <f>+J75+J77</f>
        <v>66048.105779786551</v>
      </c>
      <c r="L78" s="42" t="s">
        <v>1</v>
      </c>
      <c r="M78" s="43">
        <f>+M75+M77</f>
        <v>34300.258154502801</v>
      </c>
      <c r="N78" s="43">
        <f>+N75+N77</f>
        <v>33729.29079867735</v>
      </c>
      <c r="O78" s="92">
        <f>+O75+O77</f>
        <v>68029.548953180143</v>
      </c>
      <c r="Q78" s="42" t="s">
        <v>1</v>
      </c>
      <c r="R78" s="43">
        <f>+R75+R77</f>
        <v>35329.265899137885</v>
      </c>
      <c r="S78" s="43">
        <f>+S75+S77</f>
        <v>34741.169522637669</v>
      </c>
      <c r="T78" s="92">
        <f>+T75+T77</f>
        <v>70070.435421775561</v>
      </c>
      <c r="V78" s="42" t="s">
        <v>1</v>
      </c>
      <c r="W78" s="43">
        <f>+W75+W77</f>
        <v>36389.143876112015</v>
      </c>
      <c r="X78" s="43">
        <f>+X75+X77</f>
        <v>35783.4046083168</v>
      </c>
      <c r="Y78" s="92">
        <f>+Y75+Y77</f>
        <v>72172.548484428815</v>
      </c>
    </row>
    <row r="79" spans="1:25" x14ac:dyDescent="0.25">
      <c r="A79" s="235"/>
      <c r="B79" t="s">
        <v>31</v>
      </c>
      <c r="C79" s="8">
        <f>+C78*0.13</f>
        <v>4203.0667924265845</v>
      </c>
      <c r="D79" s="8">
        <f>+D78*0.13</f>
        <v>4133.1018982260866</v>
      </c>
      <c r="E79" s="138">
        <f>+E78*0.13</f>
        <v>8336.1686906526702</v>
      </c>
      <c r="F79" s="85"/>
      <c r="G79" t="s">
        <v>31</v>
      </c>
      <c r="H79" s="8">
        <f>+H78*0.13</f>
        <v>4329.1587961993828</v>
      </c>
      <c r="I79" s="8">
        <f>+I78*0.13</f>
        <v>4257.094955172869</v>
      </c>
      <c r="J79" s="138">
        <f>+J78*0.13</f>
        <v>8586.2537513722527</v>
      </c>
      <c r="L79" t="s">
        <v>31</v>
      </c>
      <c r="M79" s="8">
        <f>+M78*0.13</f>
        <v>4459.0335600853641</v>
      </c>
      <c r="N79" s="8">
        <f>+N78*0.13</f>
        <v>4384.8078038280555</v>
      </c>
      <c r="O79" s="138">
        <f>+O78*0.13</f>
        <v>8843.8413639134196</v>
      </c>
      <c r="Q79" t="s">
        <v>31</v>
      </c>
      <c r="R79" s="8">
        <f>+R78*0.13</f>
        <v>4592.8045668879249</v>
      </c>
      <c r="S79" s="8">
        <f>+S78*0.13</f>
        <v>4516.3520379428974</v>
      </c>
      <c r="T79" s="138">
        <f>+T78*0.13</f>
        <v>9109.1566048308232</v>
      </c>
      <c r="V79" t="s">
        <v>31</v>
      </c>
      <c r="W79" s="8">
        <f>+W78*0.13</f>
        <v>4730.5887038945621</v>
      </c>
      <c r="X79" s="8">
        <f>+X78*0.13</f>
        <v>4651.8425990811838</v>
      </c>
      <c r="Y79" s="138">
        <f>+Y78*0.13</f>
        <v>9382.4313029757468</v>
      </c>
    </row>
    <row r="80" spans="1:25" x14ac:dyDescent="0.25">
      <c r="B80" t="s">
        <v>0</v>
      </c>
      <c r="C80" s="8">
        <f>+C78*0.06</f>
        <v>1939.876981119962</v>
      </c>
      <c r="D80" s="8">
        <f>+D78*0.06</f>
        <v>1907.585491488963</v>
      </c>
      <c r="E80" s="138">
        <f>+E78*0.06</f>
        <v>3847.4624726089246</v>
      </c>
      <c r="F80" s="85"/>
      <c r="G80" t="s">
        <v>0</v>
      </c>
      <c r="H80" s="8">
        <f>+H78*0.06</f>
        <v>1998.0732905535613</v>
      </c>
      <c r="I80" s="8">
        <f>+I78*0.06</f>
        <v>1964.8130562336319</v>
      </c>
      <c r="J80" s="138">
        <f>+J78*0.06</f>
        <v>3962.8863467871929</v>
      </c>
      <c r="L80" t="s">
        <v>0</v>
      </c>
      <c r="M80" s="8">
        <f>+M78*0.06</f>
        <v>2058.015489270168</v>
      </c>
      <c r="N80" s="8">
        <f>+N78*0.06</f>
        <v>2023.757447920641</v>
      </c>
      <c r="O80" s="138">
        <f>+O78*0.06</f>
        <v>4081.7729371908085</v>
      </c>
      <c r="Q80" t="s">
        <v>0</v>
      </c>
      <c r="R80" s="8">
        <f>+R78*0.06</f>
        <v>2119.7559539482731</v>
      </c>
      <c r="S80" s="8">
        <f>+S78*0.06</f>
        <v>2084.4701713582599</v>
      </c>
      <c r="T80" s="138">
        <f>+T78*0.06</f>
        <v>4204.2261253065335</v>
      </c>
      <c r="V80" t="s">
        <v>0</v>
      </c>
      <c r="W80" s="8">
        <f>+W78*0.06</f>
        <v>2183.3486325667209</v>
      </c>
      <c r="X80" s="8">
        <f>+X78*0.06</f>
        <v>2147.004276499008</v>
      </c>
      <c r="Y80" s="138">
        <f>+Y78*0.06</f>
        <v>4330.3529090657285</v>
      </c>
    </row>
    <row r="81" spans="2:25" x14ac:dyDescent="0.25">
      <c r="B81" s="50" t="s">
        <v>44</v>
      </c>
      <c r="C81" s="51">
        <f>+C78+C79+C80</f>
        <v>38474.226792212583</v>
      </c>
      <c r="D81" s="51">
        <f>+D78+D79+D80</f>
        <v>37833.778914531104</v>
      </c>
      <c r="E81" s="93">
        <f>+E78+E79+E80</f>
        <v>76308.005706743672</v>
      </c>
      <c r="G81" s="50" t="s">
        <v>44</v>
      </c>
      <c r="H81" s="51">
        <f>+H78+H79+H80</f>
        <v>39628.453595978972</v>
      </c>
      <c r="I81" s="51">
        <f>+I78+I79+I80</f>
        <v>38968.792281967028</v>
      </c>
      <c r="J81" s="93">
        <f>+J78+J79+J80</f>
        <v>78597.245877945999</v>
      </c>
      <c r="L81" s="50" t="s">
        <v>44</v>
      </c>
      <c r="M81" s="51">
        <f>+M78+M79+M80</f>
        <v>40817.307203858334</v>
      </c>
      <c r="N81" s="51">
        <f>+N78+N79+N80</f>
        <v>40137.856050426046</v>
      </c>
      <c r="O81" s="93">
        <f>+O78+O79+O80</f>
        <v>80955.163254284373</v>
      </c>
      <c r="Q81" s="50" t="s">
        <v>44</v>
      </c>
      <c r="R81" s="51">
        <f>+R78+R79+R80</f>
        <v>42041.826419974088</v>
      </c>
      <c r="S81" s="51">
        <f>+S78+S79+S80</f>
        <v>41341.991731938826</v>
      </c>
      <c r="T81" s="93">
        <f>+T78+T79+T80</f>
        <v>83383.818151912914</v>
      </c>
      <c r="V81" s="50" t="s">
        <v>44</v>
      </c>
      <c r="W81" s="51">
        <f>+W78+W79+W80</f>
        <v>43303.081212573292</v>
      </c>
      <c r="X81" s="51">
        <f>+X78+X79+X80</f>
        <v>42582.251483896987</v>
      </c>
      <c r="Y81" s="93">
        <f>+Y78+Y79+Y80</f>
        <v>85885.332696470286</v>
      </c>
    </row>
    <row r="82" spans="2:25" x14ac:dyDescent="0.25">
      <c r="B82" t="s">
        <v>73</v>
      </c>
      <c r="C82" s="8">
        <f>C81/1792</f>
        <v>21.469992629582915</v>
      </c>
      <c r="D82" s="8">
        <f>D81/1792</f>
        <v>21.112599840698159</v>
      </c>
      <c r="E82" s="139"/>
      <c r="G82" t="s">
        <v>73</v>
      </c>
      <c r="H82" s="8">
        <f>H81/1792</f>
        <v>22.114092408470409</v>
      </c>
      <c r="I82" s="8">
        <f>I81/1792</f>
        <v>21.745977835919099</v>
      </c>
      <c r="J82" s="139"/>
      <c r="L82" t="s">
        <v>73</v>
      </c>
      <c r="M82" s="8">
        <f>M81/1792</f>
        <v>22.777515180724517</v>
      </c>
      <c r="N82" s="8">
        <f>N81/1792</f>
        <v>22.398357170996679</v>
      </c>
      <c r="O82" s="139"/>
      <c r="Q82" t="s">
        <v>73</v>
      </c>
      <c r="R82" s="8">
        <f>R81/1792</f>
        <v>23.460840636146255</v>
      </c>
      <c r="S82" s="8">
        <f>S81/1792</f>
        <v>23.070307886126578</v>
      </c>
      <c r="T82" s="139"/>
      <c r="V82" t="s">
        <v>73</v>
      </c>
      <c r="W82" s="8">
        <f>W81/1792</f>
        <v>24.164665855230631</v>
      </c>
      <c r="X82" s="8">
        <f>X81/1792</f>
        <v>23.762417122710371</v>
      </c>
      <c r="Y82" s="139"/>
    </row>
    <row r="83" spans="2:25" ht="15.75" thickBot="1" x14ac:dyDescent="0.3">
      <c r="B83" s="72" t="s">
        <v>74</v>
      </c>
      <c r="C83" s="73">
        <f>+C82*$F$31</f>
        <v>2387.516855391194</v>
      </c>
      <c r="D83" s="73">
        <f>+D82*$F$32</f>
        <v>154170.48503523055</v>
      </c>
      <c r="E83" s="94">
        <f>+C83+D83</f>
        <v>156558.00189062176</v>
      </c>
      <c r="G83" s="72" t="s">
        <v>74</v>
      </c>
      <c r="H83" s="73">
        <f>+H82*$F$31</f>
        <v>2459.1423610529305</v>
      </c>
      <c r="I83" s="73">
        <f>+I82*$F$32</f>
        <v>158795.59958628746</v>
      </c>
      <c r="J83" s="94">
        <f>+H83+I83</f>
        <v>161254.74194734037</v>
      </c>
      <c r="L83" s="72" t="s">
        <v>74</v>
      </c>
      <c r="M83" s="73">
        <f>+M82*$F$31</f>
        <v>2532.9166318845182</v>
      </c>
      <c r="N83" s="73">
        <f>+N82*$F$32</f>
        <v>163559.46757387611</v>
      </c>
      <c r="O83" s="94">
        <f>+M83+N83</f>
        <v>166092.38420576064</v>
      </c>
      <c r="Q83" s="72" t="s">
        <v>74</v>
      </c>
      <c r="R83" s="73">
        <f>+R82*$F$31</f>
        <v>2608.9041308410538</v>
      </c>
      <c r="S83" s="73">
        <f>+S82*$F$32</f>
        <v>168466.2516010924</v>
      </c>
      <c r="T83" s="94">
        <f>+R83+S83</f>
        <v>171075.15573193345</v>
      </c>
      <c r="V83" s="72" t="s">
        <v>74</v>
      </c>
      <c r="W83" s="73">
        <f>+W82*$F$31</f>
        <v>2687.1712547662842</v>
      </c>
      <c r="X83" s="73">
        <f>+X82*$F$32</f>
        <v>173520.23914912512</v>
      </c>
      <c r="Y83" s="94">
        <f>+W83+X83</f>
        <v>176207.41040389141</v>
      </c>
    </row>
    <row r="84" spans="2:25" ht="15.75" thickTop="1" x14ac:dyDescent="0.25">
      <c r="B84" s="26" t="s">
        <v>76</v>
      </c>
      <c r="C84" s="77">
        <f>+C83*0.21</f>
        <v>501.37853963215071</v>
      </c>
      <c r="D84" s="77">
        <f>+D83*0.21</f>
        <v>32375.801857398415</v>
      </c>
      <c r="E84" s="141">
        <f>+C84+D84</f>
        <v>32877.180397030563</v>
      </c>
      <c r="G84" s="26" t="s">
        <v>76</v>
      </c>
      <c r="H84" s="77">
        <f>+H83*0.21</f>
        <v>516.41989582111535</v>
      </c>
      <c r="I84" s="77">
        <f>+I83*0.21</f>
        <v>33347.075913120367</v>
      </c>
      <c r="J84" s="141">
        <f>+H84+I84</f>
        <v>33863.495808941479</v>
      </c>
      <c r="L84" s="26" t="s">
        <v>76</v>
      </c>
      <c r="M84" s="77">
        <f>+M83*0.21</f>
        <v>531.91249269574882</v>
      </c>
      <c r="N84" s="77">
        <f>+N83*0.21</f>
        <v>34347.488190513985</v>
      </c>
      <c r="O84" s="141">
        <f>+M84+N84</f>
        <v>34879.400683209737</v>
      </c>
      <c r="Q84" s="26" t="s">
        <v>76</v>
      </c>
      <c r="R84" s="77">
        <f>+R83*0.21</f>
        <v>547.86986747662127</v>
      </c>
      <c r="S84" s="77">
        <f>+S83*0.21</f>
        <v>35377.9128362294</v>
      </c>
      <c r="T84" s="141">
        <f>+R84+S84</f>
        <v>35925.78270370602</v>
      </c>
      <c r="V84" s="26" t="s">
        <v>76</v>
      </c>
      <c r="W84" s="77">
        <f>+W83*0.21</f>
        <v>564.30596350091969</v>
      </c>
      <c r="X84" s="77">
        <f>+X83*0.21</f>
        <v>36439.250221316273</v>
      </c>
      <c r="Y84" s="141">
        <f>+W84+X84</f>
        <v>37003.556184817193</v>
      </c>
    </row>
    <row r="85" spans="2:25" ht="15.75" thickBot="1" x14ac:dyDescent="0.3">
      <c r="B85" s="78" t="s">
        <v>77</v>
      </c>
      <c r="C85" s="79">
        <f>+C83+C84</f>
        <v>2888.8953950233445</v>
      </c>
      <c r="D85" s="79">
        <f>+D83+D84</f>
        <v>186546.28689262897</v>
      </c>
      <c r="E85" s="140">
        <f>+E83+E84</f>
        <v>189435.18228765234</v>
      </c>
      <c r="F85" s="1"/>
      <c r="G85" s="78" t="s">
        <v>77</v>
      </c>
      <c r="H85" s="79">
        <f>+H83+H84</f>
        <v>2975.5622568740459</v>
      </c>
      <c r="I85" s="79">
        <f>+I83+I84</f>
        <v>192142.67549940781</v>
      </c>
      <c r="J85" s="140">
        <f>+J83+J84</f>
        <v>195118.23775628186</v>
      </c>
      <c r="L85" s="78" t="s">
        <v>77</v>
      </c>
      <c r="M85" s="79">
        <f>+M83+M84</f>
        <v>3064.829124580267</v>
      </c>
      <c r="N85" s="79">
        <f>+N83+N84</f>
        <v>197906.95576439009</v>
      </c>
      <c r="O85" s="140">
        <f>+O83+O84</f>
        <v>200971.78488897037</v>
      </c>
      <c r="Q85" s="78" t="s">
        <v>77</v>
      </c>
      <c r="R85" s="79">
        <f>+R83+R84</f>
        <v>3156.7739983176753</v>
      </c>
      <c r="S85" s="79">
        <f>+S83+S84</f>
        <v>203844.1644373218</v>
      </c>
      <c r="T85" s="140">
        <f>+T83+T84</f>
        <v>207000.93843563949</v>
      </c>
      <c r="V85" s="78" t="s">
        <v>77</v>
      </c>
      <c r="W85" s="79">
        <f>+W83+W84</f>
        <v>3251.4772182672041</v>
      </c>
      <c r="X85" s="79">
        <f>+X83+X84</f>
        <v>209959.48937044138</v>
      </c>
      <c r="Y85" s="140">
        <f>+Y83+Y84</f>
        <v>213210.9665887086</v>
      </c>
    </row>
    <row r="86" spans="2:25" ht="15.75" thickTop="1" x14ac:dyDescent="0.25">
      <c r="J86" s="142"/>
      <c r="O86" s="142"/>
      <c r="T86" s="142"/>
      <c r="Y86" s="142"/>
    </row>
    <row r="88" spans="2:25" ht="15.75" thickBot="1" x14ac:dyDescent="0.3"/>
    <row r="89" spans="2:25" ht="15.75" thickBot="1" x14ac:dyDescent="0.3">
      <c r="B89" s="100" t="s">
        <v>162</v>
      </c>
      <c r="C89" s="101"/>
      <c r="D89" s="101"/>
      <c r="E89" s="102"/>
      <c r="G89" s="100" t="s">
        <v>163</v>
      </c>
      <c r="H89" s="101"/>
      <c r="I89" s="101"/>
      <c r="J89" s="101"/>
      <c r="K89" s="102"/>
    </row>
    <row r="90" spans="2:25" ht="15" customHeight="1" x14ac:dyDescent="0.25">
      <c r="E90" s="85"/>
      <c r="F90" s="85"/>
    </row>
    <row r="91" spans="2:25" ht="30" x14ac:dyDescent="0.25">
      <c r="B91" s="88" t="s">
        <v>97</v>
      </c>
      <c r="C91" s="10">
        <f>+E83</f>
        <v>156558.00189062176</v>
      </c>
      <c r="E91" s="85"/>
      <c r="F91" s="85"/>
      <c r="G91" s="103" t="s">
        <v>88</v>
      </c>
      <c r="H91" s="103" t="s">
        <v>87</v>
      </c>
      <c r="I91" s="104" t="s">
        <v>89</v>
      </c>
      <c r="J91" s="104" t="s">
        <v>90</v>
      </c>
      <c r="K91" s="104" t="s">
        <v>91</v>
      </c>
    </row>
    <row r="92" spans="2:25" x14ac:dyDescent="0.25">
      <c r="B92" s="88" t="s">
        <v>85</v>
      </c>
      <c r="C92" s="10">
        <f>+C91*0.21</f>
        <v>32877.18039703057</v>
      </c>
      <c r="E92" s="85"/>
      <c r="F92" s="85"/>
      <c r="G92" s="105">
        <v>2026</v>
      </c>
      <c r="H92" s="106">
        <f>+'LOT 1'!H58+'LOT 2'!H60+'LOT 3'!H62+'LOT 4'!H65+'LOT 5'!H30</f>
        <v>160829.92584902176</v>
      </c>
      <c r="I92" s="107">
        <v>21</v>
      </c>
      <c r="J92" s="108">
        <f t="shared" ref="J92:J97" si="7">+H92*0.21</f>
        <v>33774.284428294566</v>
      </c>
      <c r="K92" s="108">
        <f t="shared" ref="K92:K97" si="8">+H92+J92</f>
        <v>194604.21027731634</v>
      </c>
    </row>
    <row r="93" spans="2:25" ht="30.75" thickBot="1" x14ac:dyDescent="0.3">
      <c r="B93" s="90" t="s">
        <v>86</v>
      </c>
      <c r="C93" s="91">
        <f>+C91+C92</f>
        <v>189435.18228765234</v>
      </c>
      <c r="E93" s="85"/>
      <c r="F93" s="85"/>
      <c r="G93" s="105">
        <v>2027</v>
      </c>
      <c r="H93" s="106">
        <f>+'LOT 1'!H59+'LOT 2'!H61+'LOT 3'!H63+'LOT 4'!H66+'LOT 5'!H31</f>
        <v>165654.82362449236</v>
      </c>
      <c r="I93" s="107">
        <v>21</v>
      </c>
      <c r="J93" s="108">
        <f t="shared" si="7"/>
        <v>34787.512961143395</v>
      </c>
      <c r="K93" s="108">
        <f t="shared" si="8"/>
        <v>200442.33658563576</v>
      </c>
    </row>
    <row r="94" spans="2:25" ht="15.75" thickTop="1" x14ac:dyDescent="0.25">
      <c r="C94" s="86">
        <f>+C93-E85</f>
        <v>0</v>
      </c>
      <c r="E94" s="85"/>
      <c r="F94" s="85"/>
      <c r="G94" s="105">
        <v>2028</v>
      </c>
      <c r="H94" s="106">
        <f>+'LOT 1'!H60+'LOT 2'!H62+'LOT 3'!H64+'LOT 4'!H67+'LOT 5'!H32</f>
        <v>170624.46833322718</v>
      </c>
      <c r="I94" s="107">
        <v>21</v>
      </c>
      <c r="J94" s="108">
        <f t="shared" si="7"/>
        <v>35831.138349977708</v>
      </c>
      <c r="K94" s="108">
        <f t="shared" si="8"/>
        <v>206455.60668320488</v>
      </c>
    </row>
    <row r="95" spans="2:25" x14ac:dyDescent="0.25">
      <c r="E95" s="85"/>
      <c r="F95" s="85"/>
      <c r="G95" s="105">
        <v>2029</v>
      </c>
      <c r="H95" s="106">
        <f>+'LOT 1'!H61+'LOT 2'!H63+'LOT 3'!H65+'LOT 4'!H68+'LOT 5'!H33</f>
        <v>175743.20238322404</v>
      </c>
      <c r="I95" s="107">
        <v>21</v>
      </c>
      <c r="J95" s="108">
        <f t="shared" si="7"/>
        <v>36906.072500477043</v>
      </c>
      <c r="K95" s="108">
        <f t="shared" si="8"/>
        <v>212649.27488370109</v>
      </c>
    </row>
    <row r="96" spans="2:25" x14ac:dyDescent="0.25">
      <c r="E96" s="85"/>
      <c r="F96" s="85"/>
      <c r="G96" s="105">
        <v>2030</v>
      </c>
      <c r="H96" s="106">
        <f>+'LOT 1'!H62+'LOT 2'!H64+'LOT 3'!H66+'LOT 4'!H69+'LOT 5'!H34</f>
        <v>181015.49845472071</v>
      </c>
      <c r="I96" s="107">
        <v>21</v>
      </c>
      <c r="J96" s="108">
        <f t="shared" si="7"/>
        <v>38013.254675491349</v>
      </c>
      <c r="K96" s="108">
        <f t="shared" si="8"/>
        <v>219028.75313021208</v>
      </c>
    </row>
    <row r="97" spans="2:11" x14ac:dyDescent="0.25">
      <c r="F97" s="85"/>
      <c r="G97" s="107" t="s">
        <v>98</v>
      </c>
      <c r="H97" s="106">
        <f>+(H92+H93+H94)*0.2</f>
        <v>99421.843561348272</v>
      </c>
      <c r="I97" s="107">
        <v>21</v>
      </c>
      <c r="J97" s="108">
        <f t="shared" si="7"/>
        <v>20878.587147883136</v>
      </c>
      <c r="K97" s="108">
        <f t="shared" si="8"/>
        <v>120300.43070923141</v>
      </c>
    </row>
    <row r="98" spans="2:11" ht="15.75" thickBot="1" x14ac:dyDescent="0.3">
      <c r="G98" s="109" t="s">
        <v>92</v>
      </c>
      <c r="H98" s="110">
        <f>+SUM(H92:H97)</f>
        <v>953289.76220603439</v>
      </c>
      <c r="I98" s="111"/>
      <c r="J98" s="112">
        <f>+SUM(J92:J97)</f>
        <v>200190.85006326722</v>
      </c>
      <c r="K98" s="112">
        <f>+SUM(K92:K97)</f>
        <v>1153480.6122693014</v>
      </c>
    </row>
    <row r="99" spans="2:11" ht="15.75" thickTop="1" x14ac:dyDescent="0.25">
      <c r="H99" s="86"/>
    </row>
    <row r="101" spans="2:11" ht="15.75" thickBot="1" x14ac:dyDescent="0.3"/>
    <row r="102" spans="2:11" ht="15.75" thickBot="1" x14ac:dyDescent="0.3">
      <c r="B102" s="100" t="s">
        <v>165</v>
      </c>
      <c r="C102" s="101"/>
      <c r="D102" s="101"/>
      <c r="E102" s="102"/>
    </row>
    <row r="104" spans="2:11" ht="75" x14ac:dyDescent="0.25">
      <c r="B104" s="198"/>
      <c r="C104" s="199" t="s">
        <v>153</v>
      </c>
      <c r="D104" s="199" t="s">
        <v>85</v>
      </c>
      <c r="E104" s="200" t="s">
        <v>154</v>
      </c>
    </row>
    <row r="105" spans="2:11" x14ac:dyDescent="0.25">
      <c r="B105" s="201" t="s">
        <v>150</v>
      </c>
      <c r="C105" s="202">
        <f>+'LOT 1'!C57</f>
        <v>60186.188087714574</v>
      </c>
      <c r="D105" s="203">
        <f>+C105*0.21</f>
        <v>12639.099498420061</v>
      </c>
      <c r="E105" s="204">
        <f>+C105+D105</f>
        <v>72825.28758613464</v>
      </c>
    </row>
    <row r="106" spans="2:11" x14ac:dyDescent="0.25">
      <c r="B106" s="201" t="s">
        <v>151</v>
      </c>
      <c r="C106" s="205">
        <f>+'LOT 2'!C59</f>
        <v>48069.758117424666</v>
      </c>
      <c r="D106" s="203">
        <f>+C106*0.21</f>
        <v>10094.649204659179</v>
      </c>
      <c r="E106" s="204">
        <f>+C106+D106</f>
        <v>58164.407322083847</v>
      </c>
    </row>
    <row r="107" spans="2:11" x14ac:dyDescent="0.25">
      <c r="B107" s="201" t="s">
        <v>155</v>
      </c>
      <c r="C107" s="205">
        <f>+'LOT 3'!C61</f>
        <v>40382.820410783235</v>
      </c>
      <c r="D107" s="203">
        <f t="shared" ref="D107:D109" si="9">+C107*0.21</f>
        <v>8480.3922862644795</v>
      </c>
      <c r="E107" s="204">
        <f t="shared" ref="E107:E108" si="10">+C107+D107</f>
        <v>48863.212697047711</v>
      </c>
    </row>
    <row r="108" spans="2:11" x14ac:dyDescent="0.25">
      <c r="B108" s="201" t="s">
        <v>156</v>
      </c>
      <c r="C108" s="205">
        <f>+'LOT 4'!C64</f>
        <v>7919.2352746992865</v>
      </c>
      <c r="D108" s="203">
        <f t="shared" si="9"/>
        <v>1663.0394076868502</v>
      </c>
      <c r="E108" s="204">
        <f t="shared" si="10"/>
        <v>9582.2746823861362</v>
      </c>
    </row>
    <row r="109" spans="2:11" x14ac:dyDescent="0.25">
      <c r="B109" s="201" t="s">
        <v>157</v>
      </c>
      <c r="C109" s="205">
        <f>+'LOT 5'!C29</f>
        <v>4271.9239583999997</v>
      </c>
      <c r="D109" s="203">
        <f t="shared" si="9"/>
        <v>897.1040312639999</v>
      </c>
      <c r="E109" s="204">
        <f t="shared" ref="E109" si="11">+C109+D109</f>
        <v>5169.0279896639995</v>
      </c>
    </row>
    <row r="110" spans="2:11" x14ac:dyDescent="0.25">
      <c r="B110" s="206" t="s">
        <v>152</v>
      </c>
      <c r="C110" s="207">
        <f>+SUM(C105:C109)</f>
        <v>160829.92584902176</v>
      </c>
      <c r="D110" s="208">
        <f t="shared" ref="D110" si="12">+SUM(D105:D109)</f>
        <v>33774.284428294573</v>
      </c>
      <c r="E110" s="209">
        <f>+SUM(E105:E109)</f>
        <v>194604.21027731634</v>
      </c>
    </row>
    <row r="113" spans="2:9" ht="15.75" thickBot="1" x14ac:dyDescent="0.3"/>
    <row r="114" spans="2:9" ht="15.75" thickBot="1" x14ac:dyDescent="0.3">
      <c r="B114" s="96" t="s">
        <v>80</v>
      </c>
      <c r="C114" s="222"/>
      <c r="D114" s="221" t="s">
        <v>150</v>
      </c>
      <c r="E114" s="201" t="s">
        <v>151</v>
      </c>
      <c r="F114" s="201" t="s">
        <v>155</v>
      </c>
      <c r="G114" s="201" t="s">
        <v>156</v>
      </c>
      <c r="H114" s="201" t="s">
        <v>157</v>
      </c>
      <c r="I114" s="206" t="s">
        <v>152</v>
      </c>
    </row>
    <row r="115" spans="2:9" x14ac:dyDescent="0.25">
      <c r="B115" s="3" t="s">
        <v>30</v>
      </c>
      <c r="C115" s="41">
        <f>+'LOT 1'!E35</f>
        <v>53131.472817534246</v>
      </c>
      <c r="D115" s="41"/>
      <c r="E115" s="41"/>
      <c r="F115" s="41"/>
    </row>
    <row r="116" spans="2:9" x14ac:dyDescent="0.25">
      <c r="B116" t="s">
        <v>39</v>
      </c>
      <c r="C116" s="8">
        <f>+'LOT 1'!E36</f>
        <v>1328.2868204383562</v>
      </c>
      <c r="D116" s="8"/>
      <c r="E116" s="8"/>
      <c r="F116" s="8"/>
    </row>
    <row r="117" spans="2:9" x14ac:dyDescent="0.25">
      <c r="B117" t="s">
        <v>40</v>
      </c>
      <c r="C117" s="8">
        <f>+'LOT 1'!E37</f>
        <v>903.23503789808228</v>
      </c>
      <c r="D117" s="8"/>
      <c r="E117" s="8"/>
      <c r="F117" s="8"/>
    </row>
    <row r="118" spans="2:9" x14ac:dyDescent="0.25">
      <c r="B118" t="s">
        <v>41</v>
      </c>
      <c r="C118" s="8">
        <f>+'LOT 1'!E38</f>
        <v>4250.5178254027396</v>
      </c>
      <c r="D118" s="8"/>
      <c r="E118" s="8"/>
      <c r="F118" s="8"/>
    </row>
    <row r="119" spans="2:9" x14ac:dyDescent="0.25">
      <c r="B119" t="s">
        <v>94</v>
      </c>
      <c r="C119" s="8">
        <f>+'LOT 1'!E39</f>
        <v>1062.6294563506849</v>
      </c>
      <c r="D119" s="8"/>
      <c r="E119" s="8"/>
      <c r="F119" s="8"/>
    </row>
    <row r="120" spans="2:9" x14ac:dyDescent="0.25">
      <c r="B120" t="s">
        <v>95</v>
      </c>
      <c r="C120" s="8">
        <f>+'LOT 1'!E40</f>
        <v>2656.5736408767125</v>
      </c>
      <c r="D120" s="8"/>
      <c r="E120" s="8"/>
      <c r="F120" s="8"/>
    </row>
    <row r="121" spans="2:9" x14ac:dyDescent="0.25">
      <c r="B121" s="47" t="s">
        <v>32</v>
      </c>
      <c r="C121" s="210">
        <f>+'LOT 1'!E41</f>
        <v>63332.715598500821</v>
      </c>
      <c r="D121" s="217"/>
      <c r="E121" s="217"/>
      <c r="F121" s="217"/>
    </row>
    <row r="122" spans="2:9" x14ac:dyDescent="0.25">
      <c r="B122" t="s">
        <v>43</v>
      </c>
      <c r="C122" s="8">
        <f>+'LOT 1'!E42</f>
        <v>791.65894498126033</v>
      </c>
      <c r="D122" s="218"/>
      <c r="E122" s="218"/>
      <c r="F122" s="218"/>
    </row>
    <row r="123" spans="2:9" x14ac:dyDescent="0.25">
      <c r="B123" s="47" t="s">
        <v>36</v>
      </c>
      <c r="C123" s="210">
        <f>+'LOT 1'!E43</f>
        <v>791.65894498126033</v>
      </c>
      <c r="D123" s="217"/>
      <c r="E123" s="217"/>
      <c r="F123" s="217"/>
    </row>
    <row r="124" spans="2:9" x14ac:dyDescent="0.25">
      <c r="B124" s="42" t="s">
        <v>1</v>
      </c>
      <c r="C124" s="211">
        <f>+'LOT 1'!E44</f>
        <v>64124.374543482081</v>
      </c>
      <c r="D124" s="217"/>
      <c r="E124" s="217"/>
      <c r="F124" s="217"/>
    </row>
    <row r="125" spans="2:9" x14ac:dyDescent="0.25">
      <c r="B125" t="s">
        <v>31</v>
      </c>
      <c r="C125" s="8">
        <f>+'LOT 1'!E45</f>
        <v>8336.1686906526702</v>
      </c>
      <c r="D125" s="218"/>
      <c r="E125" s="218"/>
      <c r="F125" s="218"/>
    </row>
    <row r="126" spans="2:9" x14ac:dyDescent="0.25">
      <c r="B126" t="s">
        <v>0</v>
      </c>
      <c r="C126" s="8">
        <f>+'LOT 1'!E46</f>
        <v>3847.4624726089246</v>
      </c>
      <c r="D126" s="218"/>
      <c r="E126" s="218"/>
      <c r="F126" s="218"/>
    </row>
    <row r="127" spans="2:9" x14ac:dyDescent="0.25">
      <c r="B127" s="50" t="s">
        <v>44</v>
      </c>
      <c r="C127" s="212">
        <f>+'LOT 1'!E47</f>
        <v>76308.005706743672</v>
      </c>
      <c r="D127" s="217"/>
      <c r="E127" s="217"/>
      <c r="F127" s="217"/>
    </row>
    <row r="128" spans="2:9" x14ac:dyDescent="0.25">
      <c r="B128" t="s">
        <v>166</v>
      </c>
      <c r="C128" s="86">
        <f>+C82</f>
        <v>21.469992629582915</v>
      </c>
      <c r="D128" s="8"/>
      <c r="E128" s="8"/>
      <c r="F128" s="8"/>
      <c r="G128" s="8"/>
    </row>
    <row r="129" spans="2:9" x14ac:dyDescent="0.25">
      <c r="B129" t="s">
        <v>167</v>
      </c>
      <c r="C129" s="86">
        <f>+D82</f>
        <v>21.112599840698159</v>
      </c>
      <c r="D129" s="8"/>
      <c r="E129" s="8"/>
      <c r="F129" s="8"/>
      <c r="G129" s="8"/>
    </row>
    <row r="130" spans="2:9" ht="15.75" thickBot="1" x14ac:dyDescent="0.3">
      <c r="B130" s="187" t="s">
        <v>70</v>
      </c>
      <c r="C130" s="187"/>
      <c r="D130" s="215">
        <f>+F11</f>
        <v>2850</v>
      </c>
      <c r="E130" s="215">
        <f>+F13</f>
        <v>2276.25</v>
      </c>
      <c r="F130" s="215">
        <f>+F17</f>
        <v>1912.25</v>
      </c>
      <c r="G130" s="189">
        <f>+F22</f>
        <v>375</v>
      </c>
      <c r="H130" s="189"/>
      <c r="I130" s="189"/>
    </row>
    <row r="131" spans="2:9" ht="15.75" thickBot="1" x14ac:dyDescent="0.3">
      <c r="B131" s="219" t="s">
        <v>168</v>
      </c>
      <c r="C131" s="219"/>
      <c r="D131" s="220">
        <f>+D130*0.015</f>
        <v>42.75</v>
      </c>
      <c r="E131" s="220">
        <f>+E130*0.015</f>
        <v>34.143749999999997</v>
      </c>
      <c r="F131" s="220">
        <f>+F130*0.015</f>
        <v>28.68375</v>
      </c>
      <c r="G131" s="220">
        <f>+G130*0.015</f>
        <v>5.625</v>
      </c>
      <c r="H131" s="220"/>
      <c r="I131" s="220"/>
    </row>
    <row r="132" spans="2:9" ht="15.75" thickBot="1" x14ac:dyDescent="0.3">
      <c r="B132" s="219" t="s">
        <v>169</v>
      </c>
      <c r="C132" s="219"/>
      <c r="D132" s="220">
        <f>+D130-D131</f>
        <v>2807.25</v>
      </c>
      <c r="E132" s="220">
        <f>+E130-E131</f>
        <v>2242.1062499999998</v>
      </c>
      <c r="F132" s="220">
        <f>+F130-F131</f>
        <v>1883.5662500000001</v>
      </c>
      <c r="G132" s="220">
        <f>+G130-G131</f>
        <v>369.375</v>
      </c>
      <c r="H132" s="220"/>
      <c r="I132" s="220"/>
    </row>
    <row r="133" spans="2:9" ht="15.75" thickBot="1" x14ac:dyDescent="0.3">
      <c r="B133" s="72" t="s">
        <v>74</v>
      </c>
      <c r="C133" s="72"/>
      <c r="D133" s="73">
        <f>+($C$128*D131)+($C$129*D132)</f>
        <v>60186.188087714574</v>
      </c>
      <c r="E133" s="73">
        <f t="shared" ref="E133:G133" si="13">+($C$128*E131)+($C$129*E132)</f>
        <v>48069.758117424666</v>
      </c>
      <c r="F133" s="73">
        <f t="shared" si="13"/>
        <v>40382.820410783235</v>
      </c>
      <c r="G133" s="73">
        <f t="shared" si="13"/>
        <v>7919.2352746992865</v>
      </c>
      <c r="H133" s="73">
        <v>3606.3074879999995</v>
      </c>
      <c r="I133" s="73">
        <f>+SUM(D133:H133)</f>
        <v>160164.30937862175</v>
      </c>
    </row>
    <row r="134" spans="2:9" ht="15.75" thickTop="1" x14ac:dyDescent="0.25">
      <c r="B134" s="26" t="s">
        <v>76</v>
      </c>
      <c r="C134" s="26"/>
      <c r="D134" s="213">
        <f>+D133*0.21</f>
        <v>12639.099498420061</v>
      </c>
      <c r="E134" s="213">
        <f t="shared" ref="E134:G134" si="14">+E133*0.21</f>
        <v>10094.649204659179</v>
      </c>
      <c r="F134" s="213">
        <f t="shared" si="14"/>
        <v>8480.3922862644795</v>
      </c>
      <c r="G134" s="213">
        <f t="shared" si="14"/>
        <v>1663.0394076868502</v>
      </c>
      <c r="H134" s="213">
        <f>+H133*0.21</f>
        <v>757.32457247999992</v>
      </c>
      <c r="I134" s="213">
        <f t="shared" ref="I134:I135" si="15">+SUM(D134:H134)</f>
        <v>33634.50496951057</v>
      </c>
    </row>
    <row r="135" spans="2:9" ht="15.75" thickBot="1" x14ac:dyDescent="0.3">
      <c r="B135" s="78" t="s">
        <v>77</v>
      </c>
      <c r="C135" s="78"/>
      <c r="D135" s="214">
        <f>+D133+D134</f>
        <v>72825.28758613464</v>
      </c>
      <c r="E135" s="214">
        <f t="shared" ref="E135:G135" si="16">+E133+E134</f>
        <v>58164.407322083847</v>
      </c>
      <c r="F135" s="214">
        <f t="shared" si="16"/>
        <v>48863.212697047711</v>
      </c>
      <c r="G135" s="214">
        <f t="shared" si="16"/>
        <v>9582.2746823861362</v>
      </c>
      <c r="H135" s="214">
        <f>+H133+H134</f>
        <v>4363.6320604799994</v>
      </c>
      <c r="I135" s="214">
        <f t="shared" si="15"/>
        <v>193798.81434813235</v>
      </c>
    </row>
    <row r="136" spans="2:9" ht="15.75" thickTop="1" x14ac:dyDescent="0.25">
      <c r="D136" s="216"/>
    </row>
    <row r="157" spans="14:21" ht="15.75" thickBot="1" x14ac:dyDescent="0.3">
      <c r="N157" s="8"/>
      <c r="O157" s="8"/>
      <c r="P157" s="189">
        <v>375</v>
      </c>
      <c r="Q157" s="220">
        <v>5.625</v>
      </c>
      <c r="R157" s="220">
        <v>369.375</v>
      </c>
      <c r="S157" s="73">
        <v>7919.2352746992865</v>
      </c>
      <c r="T157" s="213">
        <v>1663.0394076868502</v>
      </c>
      <c r="U157" s="214">
        <v>9582.2746823861362</v>
      </c>
    </row>
  </sheetData>
  <mergeCells count="1">
    <mergeCell ref="A69:A79"/>
  </mergeCells>
  <pageMargins left="0.7" right="0.7" top="0.75" bottom="0.75" header="0.3" footer="0.3"/>
  <pageSetup paperSize="9" scale="19" orientation="landscape" r:id="rId1"/>
  <ignoredErrors>
    <ignoredError sqref="F22 F17 F13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057585-7DE2-43A3-BAF6-1967540329B2}">
  <dimension ref="A2:Y85"/>
  <sheetViews>
    <sheetView showGridLines="0" zoomScaleNormal="100" workbookViewId="0"/>
  </sheetViews>
  <sheetFormatPr baseColWidth="10" defaultColWidth="9.140625" defaultRowHeight="15" x14ac:dyDescent="0.25"/>
  <cols>
    <col min="1" max="1" width="20.7109375" customWidth="1"/>
    <col min="2" max="2" width="50" customWidth="1"/>
    <col min="3" max="3" width="16.140625" customWidth="1"/>
    <col min="4" max="4" width="29.140625" bestFit="1" customWidth="1"/>
    <col min="5" max="5" width="13.7109375" bestFit="1" customWidth="1"/>
    <col min="6" max="6" width="18.140625" bestFit="1" customWidth="1"/>
    <col min="7" max="7" width="29.5703125" customWidth="1"/>
    <col min="8" max="8" width="13.28515625" customWidth="1"/>
    <col min="9" max="9" width="14.140625" customWidth="1"/>
    <col min="10" max="10" width="17.28515625" customWidth="1"/>
    <col min="11" max="11" width="13.28515625" customWidth="1"/>
    <col min="12" max="12" width="44" customWidth="1"/>
    <col min="13" max="13" width="12.140625" bestFit="1" customWidth="1"/>
    <col min="14" max="14" width="18" bestFit="1" customWidth="1"/>
    <col min="15" max="15" width="16.5703125" bestFit="1" customWidth="1"/>
    <col min="16" max="16" width="13.28515625" customWidth="1"/>
    <col min="17" max="17" width="42.140625" customWidth="1"/>
    <col min="18" max="18" width="12.140625" bestFit="1" customWidth="1"/>
    <col min="19" max="19" width="18" bestFit="1" customWidth="1"/>
    <col min="20" max="20" width="16.5703125" bestFit="1" customWidth="1"/>
    <col min="21" max="21" width="13.28515625" customWidth="1"/>
    <col min="22" max="22" width="29.85546875" customWidth="1"/>
    <col min="23" max="23" width="12.140625" bestFit="1" customWidth="1"/>
    <col min="24" max="24" width="13.140625" bestFit="1" customWidth="1"/>
    <col min="25" max="25" width="13.7109375" bestFit="1" customWidth="1"/>
  </cols>
  <sheetData>
    <row r="2" spans="1:12" x14ac:dyDescent="0.25">
      <c r="B2" s="5" t="s">
        <v>149</v>
      </c>
      <c r="C2" s="4"/>
      <c r="D2" s="4"/>
      <c r="E2" s="4"/>
      <c r="F2" s="4"/>
      <c r="G2" s="4"/>
      <c r="H2" s="4"/>
      <c r="I2" s="4"/>
      <c r="J2" s="4"/>
      <c r="K2" s="4"/>
      <c r="L2" s="4"/>
    </row>
    <row r="4" spans="1:12" x14ac:dyDescent="0.25">
      <c r="B4" s="3"/>
    </row>
    <row r="5" spans="1:12" ht="15" customHeight="1" x14ac:dyDescent="0.25">
      <c r="A5" s="116"/>
      <c r="B5" s="3" t="s">
        <v>118</v>
      </c>
    </row>
    <row r="6" spans="1:12" ht="15" customHeight="1" x14ac:dyDescent="0.25">
      <c r="B6" s="155" t="s">
        <v>46</v>
      </c>
      <c r="C6" s="156" t="s">
        <v>52</v>
      </c>
      <c r="D6" s="155" t="s">
        <v>101</v>
      </c>
      <c r="E6" s="155" t="s">
        <v>100</v>
      </c>
      <c r="F6" s="156" t="s">
        <v>54</v>
      </c>
    </row>
    <row r="7" spans="1:12" x14ac:dyDescent="0.25">
      <c r="B7" s="119" t="s">
        <v>105</v>
      </c>
      <c r="C7" s="153">
        <f>+C8</f>
        <v>60</v>
      </c>
      <c r="D7" s="154"/>
      <c r="E7" s="122"/>
      <c r="F7" s="157">
        <f>+F8</f>
        <v>2850</v>
      </c>
    </row>
    <row r="8" spans="1:12" ht="16.5" customHeight="1" x14ac:dyDescent="0.25">
      <c r="B8" s="145" t="s">
        <v>48</v>
      </c>
      <c r="C8" s="146">
        <v>60</v>
      </c>
      <c r="D8" s="145" t="s">
        <v>102</v>
      </c>
      <c r="E8" s="147">
        <v>47.5</v>
      </c>
      <c r="F8" s="158">
        <f>+C8*E8</f>
        <v>2850</v>
      </c>
    </row>
    <row r="9" spans="1:12" ht="15.75" thickBot="1" x14ac:dyDescent="0.3">
      <c r="B9" s="187" t="s">
        <v>70</v>
      </c>
      <c r="C9" s="188"/>
      <c r="D9" s="188"/>
      <c r="E9" s="188"/>
      <c r="F9" s="189">
        <f>+F7</f>
        <v>2850</v>
      </c>
    </row>
    <row r="10" spans="1:12" x14ac:dyDescent="0.25">
      <c r="B10" s="190"/>
      <c r="C10" s="135" t="s">
        <v>158</v>
      </c>
      <c r="D10" s="135"/>
      <c r="E10" s="135"/>
      <c r="F10" s="191">
        <f>+F9*0.015</f>
        <v>42.75</v>
      </c>
    </row>
    <row r="11" spans="1:12" x14ac:dyDescent="0.25">
      <c r="B11" s="192"/>
      <c r="C11" s="4" t="s">
        <v>159</v>
      </c>
      <c r="D11" s="4"/>
      <c r="E11" s="4"/>
      <c r="F11" s="193">
        <f>+F9-F10</f>
        <v>2807.25</v>
      </c>
    </row>
    <row r="12" spans="1:12" x14ac:dyDescent="0.25">
      <c r="B12" s="114"/>
      <c r="C12" s="113"/>
      <c r="D12" s="115"/>
      <c r="E12" s="40"/>
      <c r="F12" s="40"/>
    </row>
    <row r="13" spans="1:12" x14ac:dyDescent="0.25">
      <c r="B13" s="114"/>
      <c r="C13" s="113"/>
      <c r="D13" s="115"/>
      <c r="E13" s="40"/>
      <c r="F13" s="40"/>
    </row>
    <row r="14" spans="1:12" x14ac:dyDescent="0.25">
      <c r="B14" s="114"/>
      <c r="C14" s="113"/>
      <c r="D14" s="118"/>
      <c r="E14" s="40"/>
      <c r="F14" s="40"/>
    </row>
    <row r="15" spans="1:12" x14ac:dyDescent="0.25">
      <c r="C15" s="3" t="s">
        <v>10</v>
      </c>
    </row>
    <row r="16" spans="1:12" ht="45" x14ac:dyDescent="0.25">
      <c r="B16" s="6"/>
      <c r="C16" s="132" t="s">
        <v>6</v>
      </c>
      <c r="D16" s="132" t="s">
        <v>7</v>
      </c>
      <c r="F16" s="133" t="s">
        <v>27</v>
      </c>
      <c r="G16" s="134"/>
    </row>
    <row r="17" spans="2:8" x14ac:dyDescent="0.25">
      <c r="B17" s="14" t="s">
        <v>8</v>
      </c>
      <c r="C17" s="24">
        <v>996.2</v>
      </c>
      <c r="D17" s="24">
        <v>976.24</v>
      </c>
      <c r="F17" s="123" t="s">
        <v>109</v>
      </c>
      <c r="G17" s="35">
        <v>1.4999999999999999E-2</v>
      </c>
    </row>
    <row r="18" spans="2:8" x14ac:dyDescent="0.25">
      <c r="B18" s="14" t="s">
        <v>9</v>
      </c>
      <c r="C18" s="24">
        <v>202.32</v>
      </c>
      <c r="D18" s="24">
        <v>202.32</v>
      </c>
      <c r="F18" s="123" t="s">
        <v>110</v>
      </c>
      <c r="G18" s="36">
        <v>0.03</v>
      </c>
    </row>
    <row r="19" spans="2:8" x14ac:dyDescent="0.25">
      <c r="B19" s="15" t="s">
        <v>11</v>
      </c>
      <c r="C19" s="9">
        <f>+C17+C18</f>
        <v>1198.52</v>
      </c>
      <c r="D19" s="9">
        <f>+D17+D18</f>
        <v>1178.56</v>
      </c>
      <c r="F19" s="123" t="s">
        <v>111</v>
      </c>
      <c r="G19" s="36">
        <v>2.5000000000000001E-2</v>
      </c>
    </row>
    <row r="20" spans="2:8" x14ac:dyDescent="0.25">
      <c r="B20" s="14" t="s">
        <v>12</v>
      </c>
      <c r="C20" s="10">
        <f>+C19*12</f>
        <v>14382.24</v>
      </c>
      <c r="D20" s="10">
        <f>+D19*12</f>
        <v>14142.72</v>
      </c>
      <c r="F20" s="124" t="s">
        <v>112</v>
      </c>
      <c r="G20" s="38">
        <v>3.2500000000000001E-2</v>
      </c>
    </row>
    <row r="21" spans="2:8" ht="15.75" thickBot="1" x14ac:dyDescent="0.3">
      <c r="B21" s="16" t="s">
        <v>13</v>
      </c>
      <c r="C21" s="11">
        <f>+((C17*12)/365)*90+(C18*3)</f>
        <v>3554.6202739726032</v>
      </c>
      <c r="D21" s="11">
        <f>+((D17*12)/365)*90+(D18*3)</f>
        <v>3495.5605479452056</v>
      </c>
      <c r="F21" s="150" t="s">
        <v>28</v>
      </c>
      <c r="G21" s="151">
        <f>+AVERAGE(G18:G20)</f>
        <v>2.9166666666666664E-2</v>
      </c>
    </row>
    <row r="22" spans="2:8" ht="15.75" thickTop="1" x14ac:dyDescent="0.25">
      <c r="B22" s="17" t="s">
        <v>19</v>
      </c>
      <c r="C22" s="12">
        <f>+C20+C21</f>
        <v>17936.860273972605</v>
      </c>
      <c r="D22" s="12">
        <f>+D20+D21</f>
        <v>17638.280547945204</v>
      </c>
    </row>
    <row r="23" spans="2:8" ht="63" customHeight="1" x14ac:dyDescent="0.25">
      <c r="B23" s="25" t="s">
        <v>14</v>
      </c>
      <c r="C23" s="13">
        <v>1792</v>
      </c>
      <c r="D23" s="13">
        <v>1792</v>
      </c>
      <c r="F23" s="129" t="s">
        <v>99</v>
      </c>
      <c r="G23" s="130" t="s">
        <v>147</v>
      </c>
      <c r="H23" s="131" t="s">
        <v>148</v>
      </c>
    </row>
    <row r="24" spans="2:8" x14ac:dyDescent="0.25">
      <c r="B24" s="14" t="s">
        <v>16</v>
      </c>
      <c r="C24" s="18">
        <f>+C22/C23</f>
        <v>10.009408635029356</v>
      </c>
      <c r="D24" s="18">
        <f>+D22/D23</f>
        <v>9.8427904843444214</v>
      </c>
      <c r="E24" s="19"/>
      <c r="F24" s="127">
        <v>2025</v>
      </c>
      <c r="G24" s="125">
        <f>+C29</f>
        <v>26008.447397260279</v>
      </c>
      <c r="H24" s="125">
        <f>+D29</f>
        <v>25575.506794520545</v>
      </c>
    </row>
    <row r="25" spans="2:8" ht="41.25" x14ac:dyDescent="0.25">
      <c r="B25" s="81" t="s">
        <v>79</v>
      </c>
      <c r="C25" s="82">
        <f>+C24*0.34</f>
        <v>3.4031989359099812</v>
      </c>
      <c r="D25" s="82">
        <f>+D24*0.34</f>
        <v>3.3465487646771037</v>
      </c>
      <c r="F25" s="128" t="s">
        <v>119</v>
      </c>
      <c r="G25" s="126">
        <f t="shared" ref="G25:H29" si="0">G24*1.03</f>
        <v>26788.700819178088</v>
      </c>
      <c r="H25" s="126">
        <f t="shared" si="0"/>
        <v>26342.771998356162</v>
      </c>
    </row>
    <row r="26" spans="2:8" x14ac:dyDescent="0.25">
      <c r="B26" s="83" t="s">
        <v>38</v>
      </c>
      <c r="C26" s="84">
        <f>+C24*0.05</f>
        <v>0.50047043175146777</v>
      </c>
      <c r="D26" s="84">
        <f>+D24*0.05</f>
        <v>0.49213952421722107</v>
      </c>
      <c r="F26" s="128" t="s">
        <v>120</v>
      </c>
      <c r="G26" s="126">
        <f t="shared" si="0"/>
        <v>27592.361843753431</v>
      </c>
      <c r="H26" s="126">
        <f t="shared" si="0"/>
        <v>27133.055158306848</v>
      </c>
    </row>
    <row r="27" spans="2:8" ht="30" x14ac:dyDescent="0.25">
      <c r="B27" s="83" t="s">
        <v>15</v>
      </c>
      <c r="C27" s="84">
        <f>+C24*0.06</f>
        <v>0.60056451810176137</v>
      </c>
      <c r="D27" s="84">
        <f>+D24*0.06</f>
        <v>0.59056742906066528</v>
      </c>
      <c r="F27" s="128" t="s">
        <v>121</v>
      </c>
      <c r="G27" s="126">
        <f t="shared" si="0"/>
        <v>28420.132699066035</v>
      </c>
      <c r="H27" s="126">
        <f t="shared" si="0"/>
        <v>27947.046813056055</v>
      </c>
    </row>
    <row r="28" spans="2:8" x14ac:dyDescent="0.25">
      <c r="B28" s="20" t="s">
        <v>17</v>
      </c>
      <c r="C28" s="21">
        <f>+SUM(C24:C27)</f>
        <v>14.513642520792565</v>
      </c>
      <c r="D28" s="21">
        <f>+SUM(D24:D27)</f>
        <v>14.272046202299411</v>
      </c>
      <c r="E28" s="19"/>
      <c r="F28" s="128" t="s">
        <v>122</v>
      </c>
      <c r="G28" s="126">
        <f t="shared" si="0"/>
        <v>29272.736680038015</v>
      </c>
      <c r="H28" s="126">
        <f t="shared" si="0"/>
        <v>28785.458217447736</v>
      </c>
    </row>
    <row r="29" spans="2:8" x14ac:dyDescent="0.25">
      <c r="B29" s="22" t="s">
        <v>18</v>
      </c>
      <c r="C29" s="23">
        <f>+C28*C23</f>
        <v>26008.447397260279</v>
      </c>
      <c r="D29" s="23">
        <f>+D28*D23</f>
        <v>25575.506794520545</v>
      </c>
      <c r="F29" s="128" t="s">
        <v>123</v>
      </c>
      <c r="G29" s="126">
        <f t="shared" si="0"/>
        <v>30150.918780439155</v>
      </c>
      <c r="H29" s="126">
        <f t="shared" si="0"/>
        <v>29649.021963971169</v>
      </c>
    </row>
    <row r="30" spans="2:8" ht="15.75" thickBot="1" x14ac:dyDescent="0.3">
      <c r="B30" s="3"/>
      <c r="C30" s="19"/>
      <c r="F30" s="29" t="s">
        <v>29</v>
      </c>
      <c r="G30" s="30">
        <f>AVERAGE(G24:G29)</f>
        <v>28038.883036622501</v>
      </c>
      <c r="H30" s="30">
        <f>AVERAGE(H24:H29)</f>
        <v>27572.143490943086</v>
      </c>
    </row>
    <row r="31" spans="2:8" ht="15.75" thickTop="1" x14ac:dyDescent="0.25">
      <c r="B31" s="3"/>
      <c r="C31" s="19"/>
    </row>
    <row r="33" spans="1:25" ht="15.75" thickBot="1" x14ac:dyDescent="0.3">
      <c r="B33" s="1"/>
    </row>
    <row r="34" spans="1:25" s="95" customFormat="1" ht="45.75" thickBot="1" x14ac:dyDescent="0.3">
      <c r="B34" s="96" t="s">
        <v>80</v>
      </c>
      <c r="C34" s="97" t="s">
        <v>20</v>
      </c>
      <c r="D34" s="98" t="s">
        <v>21</v>
      </c>
      <c r="E34" s="98" t="s">
        <v>113</v>
      </c>
      <c r="G34" s="96" t="s">
        <v>81</v>
      </c>
      <c r="H34" s="97" t="s">
        <v>20</v>
      </c>
      <c r="I34" s="98" t="s">
        <v>21</v>
      </c>
      <c r="J34" s="98" t="s">
        <v>114</v>
      </c>
      <c r="L34" s="96" t="s">
        <v>82</v>
      </c>
      <c r="M34" s="97" t="s">
        <v>20</v>
      </c>
      <c r="N34" s="98" t="s">
        <v>21</v>
      </c>
      <c r="O34" s="98" t="s">
        <v>115</v>
      </c>
      <c r="Q34" s="96" t="s">
        <v>83</v>
      </c>
      <c r="R34" s="97" t="s">
        <v>20</v>
      </c>
      <c r="S34" s="98" t="s">
        <v>21</v>
      </c>
      <c r="T34" s="98" t="s">
        <v>116</v>
      </c>
      <c r="V34" s="96" t="s">
        <v>84</v>
      </c>
      <c r="W34" s="97" t="s">
        <v>20</v>
      </c>
      <c r="X34" s="98" t="s">
        <v>21</v>
      </c>
      <c r="Y34" s="98" t="s">
        <v>117</v>
      </c>
    </row>
    <row r="35" spans="1:25" x14ac:dyDescent="0.25">
      <c r="A35" s="234" t="s">
        <v>45</v>
      </c>
      <c r="B35" s="3" t="s">
        <v>30</v>
      </c>
      <c r="C35" s="41">
        <f>+G25</f>
        <v>26788.700819178088</v>
      </c>
      <c r="D35" s="41">
        <f>+H25</f>
        <v>26342.771998356162</v>
      </c>
      <c r="E35" s="137">
        <f>+C35+D35</f>
        <v>53131.472817534246</v>
      </c>
      <c r="G35" s="3" t="s">
        <v>30</v>
      </c>
      <c r="H35" s="41">
        <f>+G26</f>
        <v>27592.361843753431</v>
      </c>
      <c r="I35" s="41">
        <f>H26</f>
        <v>27133.055158306848</v>
      </c>
      <c r="J35" s="137">
        <f>+H35+I35</f>
        <v>54725.417002060276</v>
      </c>
      <c r="L35" s="3" t="s">
        <v>30</v>
      </c>
      <c r="M35" s="41">
        <f>+G27</f>
        <v>28420.132699066035</v>
      </c>
      <c r="N35" s="41">
        <f>+H27</f>
        <v>27947.046813056055</v>
      </c>
      <c r="O35" s="137">
        <f>+M35+N35</f>
        <v>56367.179512122093</v>
      </c>
      <c r="Q35" s="3" t="s">
        <v>30</v>
      </c>
      <c r="R35" s="41">
        <f>+G28</f>
        <v>29272.736680038015</v>
      </c>
      <c r="S35" s="41">
        <f>+H28</f>
        <v>28785.458217447736</v>
      </c>
      <c r="T35" s="137">
        <f>+R35+S35</f>
        <v>58058.194897485751</v>
      </c>
      <c r="V35" s="3" t="s">
        <v>30</v>
      </c>
      <c r="W35" s="41">
        <f>+G29</f>
        <v>30150.918780439155</v>
      </c>
      <c r="X35" s="41">
        <f>+H29</f>
        <v>29649.021963971169</v>
      </c>
      <c r="Y35" s="137">
        <f>+W35+X35</f>
        <v>59799.940744410327</v>
      </c>
    </row>
    <row r="36" spans="1:25" x14ac:dyDescent="0.25">
      <c r="A36" s="235"/>
      <c r="B36" t="s">
        <v>39</v>
      </c>
      <c r="C36" s="45">
        <f>+$C$35*0.025</f>
        <v>669.71752047945222</v>
      </c>
      <c r="D36" s="45">
        <f>+$D$35*0.025</f>
        <v>658.56929995890414</v>
      </c>
      <c r="E36" s="99">
        <f t="shared" ref="E36:E40" si="1">+C36+D36</f>
        <v>1328.2868204383562</v>
      </c>
      <c r="F36" s="85"/>
      <c r="G36" t="s">
        <v>39</v>
      </c>
      <c r="H36" s="45">
        <f>+$H35*0.025</f>
        <v>689.80904609383583</v>
      </c>
      <c r="I36" s="45">
        <f>+$I35*0.025</f>
        <v>678.3263789576713</v>
      </c>
      <c r="J36" s="99">
        <f t="shared" ref="J36:J40" si="2">+H36+I36</f>
        <v>1368.1354250515071</v>
      </c>
      <c r="L36" t="s">
        <v>39</v>
      </c>
      <c r="M36" s="45">
        <f>+$M$35*0.025</f>
        <v>710.50331747665086</v>
      </c>
      <c r="N36" s="45">
        <f>+$N$35*0.025</f>
        <v>698.67617032640146</v>
      </c>
      <c r="O36" s="99">
        <f t="shared" ref="O36:O40" si="3">+M36+N36</f>
        <v>1409.1794878030523</v>
      </c>
      <c r="Q36" t="s">
        <v>39</v>
      </c>
      <c r="R36" s="45">
        <f>+$R$35*0.025</f>
        <v>731.81841700095038</v>
      </c>
      <c r="S36" s="45">
        <f>+$S$35*0.025</f>
        <v>719.6364554361935</v>
      </c>
      <c r="T36" s="99">
        <f t="shared" ref="T36:T40" si="4">+R36+S36</f>
        <v>1451.4548724371439</v>
      </c>
      <c r="V36" t="s">
        <v>39</v>
      </c>
      <c r="W36" s="45">
        <f>+$W$35*0.025</f>
        <v>753.7729695109789</v>
      </c>
      <c r="X36" s="45">
        <f>+$X$35*0.025</f>
        <v>741.22554909927931</v>
      </c>
      <c r="Y36" s="99">
        <f t="shared" ref="Y36:Y40" si="5">+W36+X36</f>
        <v>1494.9985186102581</v>
      </c>
    </row>
    <row r="37" spans="1:25" x14ac:dyDescent="0.25">
      <c r="A37" s="235"/>
      <c r="B37" t="s">
        <v>40</v>
      </c>
      <c r="C37" s="45">
        <f>+$C$35*0.017</f>
        <v>455.4079139260275</v>
      </c>
      <c r="D37" s="45">
        <f>+$D$35*0.017</f>
        <v>447.82712397205478</v>
      </c>
      <c r="E37" s="99">
        <f t="shared" si="1"/>
        <v>903.23503789808228</v>
      </c>
      <c r="F37" s="85"/>
      <c r="G37" t="s">
        <v>40</v>
      </c>
      <c r="H37" s="45">
        <f>+$H35*0.017</f>
        <v>469.07015134380839</v>
      </c>
      <c r="I37" s="45">
        <f>+$I35*0.017</f>
        <v>461.26193769121647</v>
      </c>
      <c r="J37" s="99">
        <f t="shared" si="2"/>
        <v>930.33208903502486</v>
      </c>
      <c r="L37" t="s">
        <v>40</v>
      </c>
      <c r="M37" s="45">
        <f>+$M$35*0.017</f>
        <v>483.14225588412262</v>
      </c>
      <c r="N37" s="45">
        <f>+$N$35*0.017</f>
        <v>475.09979582195297</v>
      </c>
      <c r="O37" s="99">
        <f t="shared" si="3"/>
        <v>958.24205170607559</v>
      </c>
      <c r="Q37" t="s">
        <v>40</v>
      </c>
      <c r="R37" s="45">
        <f>+$R$35*0.017</f>
        <v>497.63652356064631</v>
      </c>
      <c r="S37" s="45">
        <f>+$S$35*0.017</f>
        <v>489.35278969661158</v>
      </c>
      <c r="T37" s="99">
        <f t="shared" si="4"/>
        <v>986.98931325725789</v>
      </c>
      <c r="V37" t="s">
        <v>40</v>
      </c>
      <c r="W37" s="45">
        <f>+$W$35*0.017</f>
        <v>512.56561926746565</v>
      </c>
      <c r="X37" s="45">
        <f>+$X$35*0.017</f>
        <v>504.03337338750993</v>
      </c>
      <c r="Y37" s="99">
        <f t="shared" si="5"/>
        <v>1016.5989926549755</v>
      </c>
    </row>
    <row r="38" spans="1:25" x14ac:dyDescent="0.25">
      <c r="A38" s="235"/>
      <c r="B38" t="s">
        <v>41</v>
      </c>
      <c r="C38" s="45">
        <f>+$C$35*0.08</f>
        <v>2143.0960655342469</v>
      </c>
      <c r="D38" s="45">
        <f>+$D$35*0.08</f>
        <v>2107.4217598684932</v>
      </c>
      <c r="E38" s="99">
        <f t="shared" si="1"/>
        <v>4250.5178254027396</v>
      </c>
      <c r="F38" s="85"/>
      <c r="G38" t="s">
        <v>41</v>
      </c>
      <c r="H38" s="45">
        <f>+H$35*0.08</f>
        <v>2207.3889475002748</v>
      </c>
      <c r="I38" s="45">
        <f>+I$35*0.08</f>
        <v>2170.6444126645479</v>
      </c>
      <c r="J38" s="99">
        <f t="shared" si="2"/>
        <v>4378.0333601648226</v>
      </c>
      <c r="L38" t="s">
        <v>41</v>
      </c>
      <c r="M38" s="45">
        <f>+$M$35*0.08</f>
        <v>2273.6106159252827</v>
      </c>
      <c r="N38" s="45">
        <f>+$N$35*0.08</f>
        <v>2235.7637450444845</v>
      </c>
      <c r="O38" s="99">
        <f t="shared" si="3"/>
        <v>4509.3743609697667</v>
      </c>
      <c r="Q38" t="s">
        <v>41</v>
      </c>
      <c r="R38" s="45">
        <f>+$R$35*0.08</f>
        <v>2341.8189344030411</v>
      </c>
      <c r="S38" s="45">
        <f>+$S$35*0.08</f>
        <v>2302.8366573958187</v>
      </c>
      <c r="T38" s="99">
        <f t="shared" si="4"/>
        <v>4644.6555917988599</v>
      </c>
      <c r="V38" t="s">
        <v>41</v>
      </c>
      <c r="W38" s="45">
        <f>+$W$35*0.08</f>
        <v>2412.0735024351325</v>
      </c>
      <c r="X38" s="45">
        <f>+$X$35*0.08</f>
        <v>2371.9217571176937</v>
      </c>
      <c r="Y38" s="99">
        <f t="shared" si="5"/>
        <v>4783.9952595528266</v>
      </c>
    </row>
    <row r="39" spans="1:25" x14ac:dyDescent="0.25">
      <c r="A39" s="235"/>
      <c r="B39" t="s">
        <v>94</v>
      </c>
      <c r="C39" s="8">
        <f>+$C$35*0.02</f>
        <v>535.77401638356173</v>
      </c>
      <c r="D39" s="8">
        <f>+$D$35*0.02</f>
        <v>526.85543996712329</v>
      </c>
      <c r="E39" s="138">
        <f t="shared" si="1"/>
        <v>1062.6294563506849</v>
      </c>
      <c r="F39" s="85"/>
      <c r="G39" t="s">
        <v>94</v>
      </c>
      <c r="H39" s="8">
        <f>+H$35*0.02</f>
        <v>551.84723687506869</v>
      </c>
      <c r="I39" s="8">
        <f>+I$35*0.02</f>
        <v>542.66110316613697</v>
      </c>
      <c r="J39" s="138">
        <f t="shared" si="2"/>
        <v>1094.5083400412057</v>
      </c>
      <c r="L39" t="s">
        <v>94</v>
      </c>
      <c r="M39" s="8">
        <f>+$M$35*0.02</f>
        <v>568.40265398132067</v>
      </c>
      <c r="N39" s="8">
        <f>+$N$35*0.02</f>
        <v>558.94093626112112</v>
      </c>
      <c r="O39" s="138">
        <f t="shared" si="3"/>
        <v>1127.3435902424417</v>
      </c>
      <c r="Q39" t="s">
        <v>94</v>
      </c>
      <c r="R39" s="8">
        <f>+$R$35*0.02</f>
        <v>585.45473360076028</v>
      </c>
      <c r="S39" s="8">
        <f>+$S$35*0.02</f>
        <v>575.70916434895469</v>
      </c>
      <c r="T39" s="138">
        <f t="shared" si="4"/>
        <v>1161.163897949715</v>
      </c>
      <c r="V39" t="s">
        <v>94</v>
      </c>
      <c r="W39" s="8">
        <f>+$W$35*0.02</f>
        <v>603.01837560878312</v>
      </c>
      <c r="X39" s="8">
        <f>+$X$35*0.02</f>
        <v>592.98043927942342</v>
      </c>
      <c r="Y39" s="138">
        <f t="shared" si="5"/>
        <v>1195.9988148882067</v>
      </c>
    </row>
    <row r="40" spans="1:25" x14ac:dyDescent="0.25">
      <c r="A40" s="235"/>
      <c r="B40" t="s">
        <v>95</v>
      </c>
      <c r="C40" s="148">
        <f>+$C$35*0.05</f>
        <v>1339.4350409589044</v>
      </c>
      <c r="D40" s="148">
        <f>+$D$35*0.05</f>
        <v>1317.1385999178083</v>
      </c>
      <c r="E40" s="149">
        <f t="shared" si="1"/>
        <v>2656.5736408767125</v>
      </c>
      <c r="F40" s="85"/>
      <c r="G40" t="s">
        <v>95</v>
      </c>
      <c r="H40" s="148">
        <f>+H$35*0.05</f>
        <v>1379.6180921876717</v>
      </c>
      <c r="I40" s="148">
        <f>+I$35*0.05</f>
        <v>1356.6527579153426</v>
      </c>
      <c r="J40" s="149">
        <f t="shared" si="2"/>
        <v>2736.2708501030143</v>
      </c>
      <c r="L40" t="s">
        <v>95</v>
      </c>
      <c r="M40" s="148">
        <f>+$M$35*0.05</f>
        <v>1421.0066349533017</v>
      </c>
      <c r="N40" s="148">
        <f>+$N$35*0.05</f>
        <v>1397.3523406528029</v>
      </c>
      <c r="O40" s="149">
        <f t="shared" si="3"/>
        <v>2818.3589756061047</v>
      </c>
      <c r="Q40" t="s">
        <v>95</v>
      </c>
      <c r="R40" s="148">
        <f>+$R$35*0.05</f>
        <v>1463.6368340019008</v>
      </c>
      <c r="S40" s="148">
        <f>+$S$35*0.05</f>
        <v>1439.272910872387</v>
      </c>
      <c r="T40" s="149">
        <f t="shared" si="4"/>
        <v>2902.9097448742878</v>
      </c>
      <c r="V40" t="s">
        <v>95</v>
      </c>
      <c r="W40" s="148">
        <f>+$W$35*0.05</f>
        <v>1507.5459390219578</v>
      </c>
      <c r="X40" s="148">
        <f>+$X$35*0.05</f>
        <v>1482.4510981985586</v>
      </c>
      <c r="Y40" s="149">
        <f t="shared" si="5"/>
        <v>2989.9970372205162</v>
      </c>
    </row>
    <row r="41" spans="1:25" x14ac:dyDescent="0.25">
      <c r="A41" s="235"/>
      <c r="B41" s="47" t="s">
        <v>32</v>
      </c>
      <c r="C41" s="48">
        <f>+SUM(C35:C40)</f>
        <v>31932.131376460282</v>
      </c>
      <c r="D41" s="48">
        <f>+SUM(D35:D40)</f>
        <v>31400.584222040547</v>
      </c>
      <c r="E41" s="89">
        <f>+SUM(E35:E40)</f>
        <v>63332.715598500821</v>
      </c>
      <c r="F41" s="85"/>
      <c r="G41" s="47" t="s">
        <v>32</v>
      </c>
      <c r="H41" s="48">
        <f>+SUM(H35:H40)</f>
        <v>32890.095317754094</v>
      </c>
      <c r="I41" s="49">
        <f>+SUM(I35:I40)</f>
        <v>32342.60174870176</v>
      </c>
      <c r="J41" s="89">
        <f>+SUM(J35:J40)</f>
        <v>65232.697066455847</v>
      </c>
      <c r="L41" s="47" t="s">
        <v>32</v>
      </c>
      <c r="M41" s="48">
        <f>+SUM(M35:M40)</f>
        <v>33876.798177286713</v>
      </c>
      <c r="N41" s="49">
        <f>+SUM(N35:N40)</f>
        <v>33312.879801162817</v>
      </c>
      <c r="O41" s="89">
        <f>+SUM(O35:O40)</f>
        <v>67189.67797844953</v>
      </c>
      <c r="Q41" s="47" t="s">
        <v>32</v>
      </c>
      <c r="R41" s="48">
        <f>+SUM(R35:R40)</f>
        <v>34893.10212260532</v>
      </c>
      <c r="S41" s="49">
        <f>+SUM(S35:S40)</f>
        <v>34312.266195197699</v>
      </c>
      <c r="T41" s="89">
        <f>+SUM(T35:T40)</f>
        <v>69205.368317803019</v>
      </c>
      <c r="V41" s="47" t="s">
        <v>32</v>
      </c>
      <c r="W41" s="48">
        <f>+SUM(W35:W40)</f>
        <v>35939.895186283473</v>
      </c>
      <c r="X41" s="49">
        <f>+SUM(X35:X40)</f>
        <v>35341.634181053632</v>
      </c>
      <c r="Y41" s="89">
        <f>+SUM(Y35:Y40)</f>
        <v>71281.529367337105</v>
      </c>
    </row>
    <row r="42" spans="1:25" x14ac:dyDescent="0.25">
      <c r="A42" s="235"/>
      <c r="B42" t="s">
        <v>43</v>
      </c>
      <c r="C42" s="46">
        <f>+C41*0.0125</f>
        <v>399.15164220575355</v>
      </c>
      <c r="D42" s="46">
        <f>+D41*0.0125</f>
        <v>392.50730277550684</v>
      </c>
      <c r="E42" s="99">
        <f>+E41*0.0125</f>
        <v>791.65894498126033</v>
      </c>
      <c r="F42" s="85"/>
      <c r="G42" t="s">
        <v>43</v>
      </c>
      <c r="H42" s="46">
        <f>+H41*0.0125</f>
        <v>411.12619147192618</v>
      </c>
      <c r="I42" s="46">
        <f>+I41*0.0125</f>
        <v>404.28252185877204</v>
      </c>
      <c r="J42" s="99">
        <f>+J41*0.0125</f>
        <v>815.40871333069811</v>
      </c>
      <c r="L42" t="s">
        <v>43</v>
      </c>
      <c r="M42" s="46">
        <f>+M41*0.0125</f>
        <v>423.45997721608393</v>
      </c>
      <c r="N42" s="46">
        <f>+N41*0.0125</f>
        <v>416.41099751453521</v>
      </c>
      <c r="O42" s="99">
        <f>+O41*0.0125</f>
        <v>839.8709747306192</v>
      </c>
      <c r="Q42" t="s">
        <v>43</v>
      </c>
      <c r="R42" s="46">
        <f>+R41*0.0125</f>
        <v>436.16377653256654</v>
      </c>
      <c r="S42" s="46">
        <f>+S41*0.0125</f>
        <v>428.90332743997124</v>
      </c>
      <c r="T42" s="99">
        <f>+T41*0.0125</f>
        <v>865.06710397253778</v>
      </c>
      <c r="V42" t="s">
        <v>43</v>
      </c>
      <c r="W42" s="46">
        <f>+W41*0.0125</f>
        <v>449.24868982854343</v>
      </c>
      <c r="X42" s="46">
        <f>+X41*0.0125</f>
        <v>441.7704272631704</v>
      </c>
      <c r="Y42" s="99">
        <f>+Y41*0.0125</f>
        <v>891.01911709171384</v>
      </c>
    </row>
    <row r="43" spans="1:25" x14ac:dyDescent="0.25">
      <c r="A43" s="235"/>
      <c r="B43" s="47" t="s">
        <v>36</v>
      </c>
      <c r="C43" s="48">
        <f>+C42</f>
        <v>399.15164220575355</v>
      </c>
      <c r="D43" s="48">
        <f>+D42</f>
        <v>392.50730277550684</v>
      </c>
      <c r="E43" s="89">
        <f>+E42</f>
        <v>791.65894498126033</v>
      </c>
      <c r="F43" s="85"/>
      <c r="G43" s="47" t="s">
        <v>36</v>
      </c>
      <c r="H43" s="48">
        <f>+H42</f>
        <v>411.12619147192618</v>
      </c>
      <c r="I43" s="49">
        <f>+I42</f>
        <v>404.28252185877204</v>
      </c>
      <c r="J43" s="89">
        <f>+J42</f>
        <v>815.40871333069811</v>
      </c>
      <c r="L43" s="47" t="s">
        <v>36</v>
      </c>
      <c r="M43" s="48">
        <f>+M42</f>
        <v>423.45997721608393</v>
      </c>
      <c r="N43" s="49">
        <f>+N42</f>
        <v>416.41099751453521</v>
      </c>
      <c r="O43" s="89">
        <f>+O42</f>
        <v>839.8709747306192</v>
      </c>
      <c r="Q43" s="47" t="s">
        <v>36</v>
      </c>
      <c r="R43" s="48">
        <f>+R42</f>
        <v>436.16377653256654</v>
      </c>
      <c r="S43" s="49">
        <f>+S42</f>
        <v>428.90332743997124</v>
      </c>
      <c r="T43" s="89">
        <f>+T42</f>
        <v>865.06710397253778</v>
      </c>
      <c r="V43" s="47" t="s">
        <v>36</v>
      </c>
      <c r="W43" s="48">
        <f>+W42</f>
        <v>449.24868982854343</v>
      </c>
      <c r="X43" s="49">
        <f>+X42</f>
        <v>441.7704272631704</v>
      </c>
      <c r="Y43" s="89">
        <f>+Y42</f>
        <v>891.01911709171384</v>
      </c>
    </row>
    <row r="44" spans="1:25" x14ac:dyDescent="0.25">
      <c r="A44" s="235"/>
      <c r="B44" s="42" t="s">
        <v>1</v>
      </c>
      <c r="C44" s="43">
        <f>+C41+C43</f>
        <v>32331.283018666036</v>
      </c>
      <c r="D44" s="43">
        <f>+D41+D43</f>
        <v>31793.091524816053</v>
      </c>
      <c r="E44" s="92">
        <f>+E41+E43</f>
        <v>64124.374543482081</v>
      </c>
      <c r="F44" s="85"/>
      <c r="G44" s="42" t="s">
        <v>1</v>
      </c>
      <c r="H44" s="43">
        <f>+H41+H43</f>
        <v>33301.221509226023</v>
      </c>
      <c r="I44" s="43">
        <f>+I41+I43</f>
        <v>32746.884270560531</v>
      </c>
      <c r="J44" s="92">
        <f>+J41+J43</f>
        <v>66048.105779786551</v>
      </c>
      <c r="L44" s="42" t="s">
        <v>1</v>
      </c>
      <c r="M44" s="43">
        <f>+M41+M43</f>
        <v>34300.258154502801</v>
      </c>
      <c r="N44" s="43">
        <f>+N41+N43</f>
        <v>33729.29079867735</v>
      </c>
      <c r="O44" s="92">
        <f>+O41+O43</f>
        <v>68029.548953180143</v>
      </c>
      <c r="Q44" s="42" t="s">
        <v>1</v>
      </c>
      <c r="R44" s="43">
        <f>+R41+R43</f>
        <v>35329.265899137885</v>
      </c>
      <c r="S44" s="43">
        <f>+S41+S43</f>
        <v>34741.169522637669</v>
      </c>
      <c r="T44" s="92">
        <f>+T41+T43</f>
        <v>70070.435421775561</v>
      </c>
      <c r="V44" s="42" t="s">
        <v>1</v>
      </c>
      <c r="W44" s="43">
        <f>+W41+W43</f>
        <v>36389.143876112015</v>
      </c>
      <c r="X44" s="43">
        <f>+X41+X43</f>
        <v>35783.4046083168</v>
      </c>
      <c r="Y44" s="92">
        <f>+Y41+Y43</f>
        <v>72172.548484428815</v>
      </c>
    </row>
    <row r="45" spans="1:25" x14ac:dyDescent="0.25">
      <c r="A45" s="235"/>
      <c r="B45" t="s">
        <v>31</v>
      </c>
      <c r="C45" s="8">
        <f>+C44*0.13</f>
        <v>4203.0667924265845</v>
      </c>
      <c r="D45" s="8">
        <f>+D44*0.13</f>
        <v>4133.1018982260866</v>
      </c>
      <c r="E45" s="138">
        <f>+E44*0.13</f>
        <v>8336.1686906526702</v>
      </c>
      <c r="F45" s="85"/>
      <c r="G45" t="s">
        <v>31</v>
      </c>
      <c r="H45" s="8">
        <f>+H44*0.13</f>
        <v>4329.1587961993828</v>
      </c>
      <c r="I45" s="8">
        <f>+I44*0.13</f>
        <v>4257.094955172869</v>
      </c>
      <c r="J45" s="138">
        <f>+J44*0.13</f>
        <v>8586.2537513722527</v>
      </c>
      <c r="L45" t="s">
        <v>31</v>
      </c>
      <c r="M45" s="8">
        <f>+M44*0.13</f>
        <v>4459.0335600853641</v>
      </c>
      <c r="N45" s="8">
        <f>+N44*0.13</f>
        <v>4384.8078038280555</v>
      </c>
      <c r="O45" s="138">
        <f>+O44*0.13</f>
        <v>8843.8413639134196</v>
      </c>
      <c r="Q45" t="s">
        <v>31</v>
      </c>
      <c r="R45" s="8">
        <f>+R44*0.13</f>
        <v>4592.8045668879249</v>
      </c>
      <c r="S45" s="8">
        <f>+S44*0.13</f>
        <v>4516.3520379428974</v>
      </c>
      <c r="T45" s="138">
        <f>+T44*0.13</f>
        <v>9109.1566048308232</v>
      </c>
      <c r="V45" t="s">
        <v>31</v>
      </c>
      <c r="W45" s="8">
        <f>+W44*0.13</f>
        <v>4730.5887038945621</v>
      </c>
      <c r="X45" s="8">
        <f>+X44*0.13</f>
        <v>4651.8425990811838</v>
      </c>
      <c r="Y45" s="138">
        <f>+Y44*0.13</f>
        <v>9382.4313029757468</v>
      </c>
    </row>
    <row r="46" spans="1:25" x14ac:dyDescent="0.25">
      <c r="B46" t="s">
        <v>0</v>
      </c>
      <c r="C46" s="8">
        <f>+C44*0.06</f>
        <v>1939.876981119962</v>
      </c>
      <c r="D46" s="8">
        <f>+D44*0.06</f>
        <v>1907.585491488963</v>
      </c>
      <c r="E46" s="138">
        <f>+E44*0.06</f>
        <v>3847.4624726089246</v>
      </c>
      <c r="F46" s="85"/>
      <c r="G46" t="s">
        <v>0</v>
      </c>
      <c r="H46" s="8">
        <f>+H44*0.06</f>
        <v>1998.0732905535613</v>
      </c>
      <c r="I46" s="8">
        <f>+I44*0.06</f>
        <v>1964.8130562336319</v>
      </c>
      <c r="J46" s="138">
        <f>+J44*0.06</f>
        <v>3962.8863467871929</v>
      </c>
      <c r="L46" t="s">
        <v>0</v>
      </c>
      <c r="M46" s="8">
        <f>+M44*0.06</f>
        <v>2058.015489270168</v>
      </c>
      <c r="N46" s="8">
        <f>+N44*0.06</f>
        <v>2023.757447920641</v>
      </c>
      <c r="O46" s="138">
        <f>+O44*0.06</f>
        <v>4081.7729371908085</v>
      </c>
      <c r="Q46" t="s">
        <v>0</v>
      </c>
      <c r="R46" s="8">
        <f>+R44*0.06</f>
        <v>2119.7559539482731</v>
      </c>
      <c r="S46" s="8">
        <f>+S44*0.06</f>
        <v>2084.4701713582599</v>
      </c>
      <c r="T46" s="138">
        <f>+T44*0.06</f>
        <v>4204.2261253065335</v>
      </c>
      <c r="V46" t="s">
        <v>0</v>
      </c>
      <c r="W46" s="8">
        <f>+W44*0.06</f>
        <v>2183.3486325667209</v>
      </c>
      <c r="X46" s="8">
        <f>+X44*0.06</f>
        <v>2147.004276499008</v>
      </c>
      <c r="Y46" s="138">
        <f>+Y44*0.06</f>
        <v>4330.3529090657285</v>
      </c>
    </row>
    <row r="47" spans="1:25" x14ac:dyDescent="0.25">
      <c r="B47" s="50" t="s">
        <v>44</v>
      </c>
      <c r="C47" s="51">
        <f>+C44+C45+C46</f>
        <v>38474.226792212583</v>
      </c>
      <c r="D47" s="51">
        <f>+D44+D45+D46</f>
        <v>37833.778914531104</v>
      </c>
      <c r="E47" s="93">
        <f>+E44+E45+E46</f>
        <v>76308.005706743672</v>
      </c>
      <c r="G47" s="50" t="s">
        <v>44</v>
      </c>
      <c r="H47" s="51">
        <f>+H44+H45+H46</f>
        <v>39628.453595978972</v>
      </c>
      <c r="I47" s="51">
        <f>+I44+I45+I46</f>
        <v>38968.792281967028</v>
      </c>
      <c r="J47" s="93">
        <f>+J44+J45+J46</f>
        <v>78597.245877945999</v>
      </c>
      <c r="L47" s="50" t="s">
        <v>44</v>
      </c>
      <c r="M47" s="51">
        <f>+M44+M45+M46</f>
        <v>40817.307203858334</v>
      </c>
      <c r="N47" s="51">
        <f>+N44+N45+N46</f>
        <v>40137.856050426046</v>
      </c>
      <c r="O47" s="93">
        <f>+O44+O45+O46</f>
        <v>80955.163254284373</v>
      </c>
      <c r="Q47" s="50" t="s">
        <v>44</v>
      </c>
      <c r="R47" s="51">
        <f>+R44+R45+R46</f>
        <v>42041.826419974088</v>
      </c>
      <c r="S47" s="51">
        <f>+S44+S45+S46</f>
        <v>41341.991731938826</v>
      </c>
      <c r="T47" s="93">
        <f>+T44+T45+T46</f>
        <v>83383.818151912914</v>
      </c>
      <c r="V47" s="50" t="s">
        <v>44</v>
      </c>
      <c r="W47" s="51">
        <f>+W44+W45+W46</f>
        <v>43303.081212573292</v>
      </c>
      <c r="X47" s="51">
        <f>+X44+X45+X46</f>
        <v>42582.251483896987</v>
      </c>
      <c r="Y47" s="93">
        <f>+Y44+Y45+Y46</f>
        <v>85885.332696470286</v>
      </c>
    </row>
    <row r="48" spans="1:25" x14ac:dyDescent="0.25">
      <c r="B48" t="s">
        <v>73</v>
      </c>
      <c r="C48" s="8">
        <f>C47/1792</f>
        <v>21.469992629582915</v>
      </c>
      <c r="D48" s="8">
        <f>D47/1792</f>
        <v>21.112599840698159</v>
      </c>
      <c r="E48" s="139"/>
      <c r="G48" t="s">
        <v>73</v>
      </c>
      <c r="H48" s="8">
        <f>H47/1792</f>
        <v>22.114092408470409</v>
      </c>
      <c r="I48" s="8">
        <f>I47/1792</f>
        <v>21.745977835919099</v>
      </c>
      <c r="J48" s="139"/>
      <c r="L48" t="s">
        <v>73</v>
      </c>
      <c r="M48" s="8">
        <f>M47/1792</f>
        <v>22.777515180724517</v>
      </c>
      <c r="N48" s="8">
        <f>N47/1792</f>
        <v>22.398357170996679</v>
      </c>
      <c r="O48" s="139"/>
      <c r="Q48" t="s">
        <v>73</v>
      </c>
      <c r="R48" s="8">
        <f>R47/1792</f>
        <v>23.460840636146255</v>
      </c>
      <c r="S48" s="8">
        <f>S47/1792</f>
        <v>23.070307886126578</v>
      </c>
      <c r="T48" s="139"/>
      <c r="V48" t="s">
        <v>73</v>
      </c>
      <c r="W48" s="8">
        <f>W47/1792</f>
        <v>24.164665855230631</v>
      </c>
      <c r="X48" s="8">
        <f>X47/1792</f>
        <v>23.762417122710371</v>
      </c>
      <c r="Y48" s="139"/>
    </row>
    <row r="49" spans="2:25" ht="15.75" thickBot="1" x14ac:dyDescent="0.3">
      <c r="B49" s="72" t="s">
        <v>74</v>
      </c>
      <c r="C49" s="73">
        <f>+C48*$F$10</f>
        <v>917.84218491466959</v>
      </c>
      <c r="D49" s="73">
        <f>+D48*$F$11</f>
        <v>59268.345902799905</v>
      </c>
      <c r="E49" s="94">
        <f>+C49+D49</f>
        <v>60186.188087714574</v>
      </c>
      <c r="G49" s="72" t="s">
        <v>74</v>
      </c>
      <c r="H49" s="73">
        <f>+H48*$F$10</f>
        <v>945.37745046211</v>
      </c>
      <c r="I49" s="73">
        <f>+I48*$F$11</f>
        <v>61046.396279883891</v>
      </c>
      <c r="J49" s="94">
        <f>+H49+I49</f>
        <v>61991.773730346002</v>
      </c>
      <c r="L49" s="72" t="s">
        <v>74</v>
      </c>
      <c r="M49" s="73">
        <f>+M48*$F$10</f>
        <v>973.73877397597312</v>
      </c>
      <c r="N49" s="73">
        <f>+N48*$F$11</f>
        <v>62877.788168280429</v>
      </c>
      <c r="O49" s="94">
        <f>+M49+N49</f>
        <v>63851.526942256402</v>
      </c>
      <c r="Q49" s="72" t="s">
        <v>74</v>
      </c>
      <c r="R49" s="73">
        <f>+R48*$F$10</f>
        <v>1002.9509371952524</v>
      </c>
      <c r="S49" s="73">
        <f>+S48*$F$11</f>
        <v>64764.121813328835</v>
      </c>
      <c r="T49" s="94">
        <f>+R49+S49</f>
        <v>65767.072750524094</v>
      </c>
      <c r="V49" s="72" t="s">
        <v>74</v>
      </c>
      <c r="W49" s="73">
        <f>+W48*$F$10</f>
        <v>1033.0394653111096</v>
      </c>
      <c r="X49" s="73">
        <f>+X48*$F$11</f>
        <v>66707.045467728691</v>
      </c>
      <c r="Y49" s="94">
        <f>+W49+X49</f>
        <v>67740.084933039805</v>
      </c>
    </row>
    <row r="50" spans="2:25" ht="15.75" thickTop="1" x14ac:dyDescent="0.25">
      <c r="B50" s="26" t="s">
        <v>76</v>
      </c>
      <c r="C50" s="77">
        <f>+C49*0.21</f>
        <v>192.74685883208062</v>
      </c>
      <c r="D50" s="77">
        <f>+D49*0.21</f>
        <v>12446.35263958798</v>
      </c>
      <c r="E50" s="141">
        <f>+C50+D50</f>
        <v>12639.099498420061</v>
      </c>
      <c r="G50" s="26" t="s">
        <v>76</v>
      </c>
      <c r="H50" s="77">
        <f>+H49*0.21</f>
        <v>198.5292645970431</v>
      </c>
      <c r="I50" s="77">
        <f>+I49*0.21</f>
        <v>12819.743218775617</v>
      </c>
      <c r="J50" s="141">
        <f>+H50+I50</f>
        <v>13018.272483372661</v>
      </c>
      <c r="L50" s="26" t="s">
        <v>76</v>
      </c>
      <c r="M50" s="77">
        <f>+M49*0.21</f>
        <v>204.48514253495435</v>
      </c>
      <c r="N50" s="77">
        <f>+N49*0.21</f>
        <v>13204.335515338889</v>
      </c>
      <c r="O50" s="141">
        <f>+M50+N50</f>
        <v>13408.820657873845</v>
      </c>
      <c r="Q50" s="26" t="s">
        <v>76</v>
      </c>
      <c r="R50" s="77">
        <f>+R49*0.21</f>
        <v>210.619696811003</v>
      </c>
      <c r="S50" s="77">
        <f>+S49*0.21</f>
        <v>13600.465580799055</v>
      </c>
      <c r="T50" s="141">
        <f>+R50+S50</f>
        <v>13811.085277610058</v>
      </c>
      <c r="V50" s="26" t="s">
        <v>76</v>
      </c>
      <c r="W50" s="77">
        <f>+W49*0.21</f>
        <v>216.93828771533299</v>
      </c>
      <c r="X50" s="77">
        <f>+X49*0.21</f>
        <v>14008.479548223024</v>
      </c>
      <c r="Y50" s="141">
        <f>+W50+X50</f>
        <v>14225.417835938357</v>
      </c>
    </row>
    <row r="51" spans="2:25" ht="15.75" thickBot="1" x14ac:dyDescent="0.3">
      <c r="B51" s="78" t="s">
        <v>77</v>
      </c>
      <c r="C51" s="79">
        <f>+C49+C50</f>
        <v>1110.5890437467501</v>
      </c>
      <c r="D51" s="79">
        <f>+D49+D50</f>
        <v>71714.69854238788</v>
      </c>
      <c r="E51" s="140">
        <f>+E49+E50</f>
        <v>72825.28758613464</v>
      </c>
      <c r="F51" s="1"/>
      <c r="G51" s="78" t="s">
        <v>77</v>
      </c>
      <c r="H51" s="79">
        <f>+H49+H50</f>
        <v>1143.9067150591532</v>
      </c>
      <c r="I51" s="79">
        <f>+I49+I50</f>
        <v>73866.139498659511</v>
      </c>
      <c r="J51" s="140">
        <f>+J49+J50</f>
        <v>75010.046213718655</v>
      </c>
      <c r="L51" s="78" t="s">
        <v>77</v>
      </c>
      <c r="M51" s="79">
        <f>+M49+M50</f>
        <v>1178.2239165109274</v>
      </c>
      <c r="N51" s="79">
        <f>+N49+N50</f>
        <v>76082.123683619313</v>
      </c>
      <c r="O51" s="140">
        <f>+O49+O50</f>
        <v>77260.347600130248</v>
      </c>
      <c r="Q51" s="78" t="s">
        <v>77</v>
      </c>
      <c r="R51" s="79">
        <f>+R49+R50</f>
        <v>1213.5706340062554</v>
      </c>
      <c r="S51" s="79">
        <f>+S49+S50</f>
        <v>78364.587394127884</v>
      </c>
      <c r="T51" s="140">
        <f>+T49+T50</f>
        <v>79578.158028134145</v>
      </c>
      <c r="V51" s="78" t="s">
        <v>77</v>
      </c>
      <c r="W51" s="79">
        <f>+W49+W50</f>
        <v>1249.9777530264425</v>
      </c>
      <c r="X51" s="79">
        <f>+X49+X50</f>
        <v>80715.525015951716</v>
      </c>
      <c r="Y51" s="140">
        <f>+Y49+Y50</f>
        <v>81965.502768978156</v>
      </c>
    </row>
    <row r="52" spans="2:25" ht="15.75" thickTop="1" x14ac:dyDescent="0.25">
      <c r="J52" s="142"/>
      <c r="O52" s="142"/>
      <c r="T52" s="142"/>
      <c r="Y52" s="142"/>
    </row>
    <row r="54" spans="2:25" ht="15.75" thickBot="1" x14ac:dyDescent="0.3"/>
    <row r="55" spans="2:25" ht="15.75" thickBot="1" x14ac:dyDescent="0.3">
      <c r="B55" s="100" t="s">
        <v>96</v>
      </c>
      <c r="C55" s="101"/>
      <c r="D55" s="101"/>
      <c r="E55" s="102"/>
      <c r="G55" s="100" t="s">
        <v>93</v>
      </c>
      <c r="H55" s="101"/>
      <c r="I55" s="101"/>
      <c r="J55" s="101"/>
      <c r="K55" s="102"/>
    </row>
    <row r="56" spans="2:25" ht="15" customHeight="1" x14ac:dyDescent="0.25">
      <c r="E56" s="85"/>
      <c r="F56" s="85"/>
    </row>
    <row r="57" spans="2:25" ht="30" x14ac:dyDescent="0.25">
      <c r="B57" s="88" t="s">
        <v>97</v>
      </c>
      <c r="C57" s="10">
        <f>+E49</f>
        <v>60186.188087714574</v>
      </c>
      <c r="E57" s="85"/>
      <c r="F57" s="85"/>
      <c r="G57" s="103" t="s">
        <v>88</v>
      </c>
      <c r="H57" s="103" t="s">
        <v>87</v>
      </c>
      <c r="I57" s="104" t="s">
        <v>89</v>
      </c>
      <c r="J57" s="104" t="s">
        <v>90</v>
      </c>
      <c r="K57" s="104" t="s">
        <v>91</v>
      </c>
    </row>
    <row r="58" spans="2:25" x14ac:dyDescent="0.25">
      <c r="B58" s="88" t="s">
        <v>85</v>
      </c>
      <c r="C58" s="10">
        <f>+C57*0.21</f>
        <v>12639.099498420061</v>
      </c>
      <c r="E58" s="85"/>
      <c r="F58" s="85"/>
      <c r="G58" s="105">
        <v>2026</v>
      </c>
      <c r="H58" s="106">
        <f>+E49</f>
        <v>60186.188087714574</v>
      </c>
      <c r="I58" s="107">
        <v>21</v>
      </c>
      <c r="J58" s="108">
        <f t="shared" ref="J58:J63" si="6">+H58*0.21</f>
        <v>12639.099498420061</v>
      </c>
      <c r="K58" s="108">
        <f t="shared" ref="K58:K63" si="7">+H58+J58</f>
        <v>72825.28758613464</v>
      </c>
    </row>
    <row r="59" spans="2:25" ht="30.75" thickBot="1" x14ac:dyDescent="0.3">
      <c r="B59" s="90" t="s">
        <v>86</v>
      </c>
      <c r="C59" s="91">
        <f>+C57+C58</f>
        <v>72825.28758613464</v>
      </c>
      <c r="E59" s="85"/>
      <c r="F59" s="85"/>
      <c r="G59" s="105">
        <v>2027</v>
      </c>
      <c r="H59" s="106">
        <f>+J49</f>
        <v>61991.773730346002</v>
      </c>
      <c r="I59" s="107">
        <v>21</v>
      </c>
      <c r="J59" s="108">
        <f t="shared" si="6"/>
        <v>13018.272483372661</v>
      </c>
      <c r="K59" s="108">
        <f t="shared" si="7"/>
        <v>75010.046213718655</v>
      </c>
    </row>
    <row r="60" spans="2:25" ht="15.75" thickTop="1" x14ac:dyDescent="0.25">
      <c r="C60" s="86">
        <f>+C59-E51</f>
        <v>0</v>
      </c>
      <c r="E60" s="85"/>
      <c r="F60" s="85"/>
      <c r="G60" s="105">
        <v>2028</v>
      </c>
      <c r="H60" s="106">
        <f>+O49</f>
        <v>63851.526942256402</v>
      </c>
      <c r="I60" s="107">
        <v>21</v>
      </c>
      <c r="J60" s="108">
        <f t="shared" si="6"/>
        <v>13408.820657873845</v>
      </c>
      <c r="K60" s="108">
        <f t="shared" si="7"/>
        <v>77260.347600130248</v>
      </c>
    </row>
    <row r="61" spans="2:25" x14ac:dyDescent="0.25">
      <c r="E61" s="85"/>
      <c r="F61" s="85"/>
      <c r="G61" s="105">
        <v>2029</v>
      </c>
      <c r="H61" s="106">
        <f>+T49</f>
        <v>65767.072750524094</v>
      </c>
      <c r="I61" s="107">
        <v>21</v>
      </c>
      <c r="J61" s="108">
        <f t="shared" si="6"/>
        <v>13811.08527761006</v>
      </c>
      <c r="K61" s="108">
        <f t="shared" si="7"/>
        <v>79578.158028134159</v>
      </c>
    </row>
    <row r="62" spans="2:25" x14ac:dyDescent="0.25">
      <c r="E62" s="85"/>
      <c r="F62" s="85"/>
      <c r="G62" s="105">
        <v>2030</v>
      </c>
      <c r="H62" s="106">
        <f>+Y49</f>
        <v>67740.084933039805</v>
      </c>
      <c r="I62" s="107">
        <v>21</v>
      </c>
      <c r="J62" s="108">
        <f t="shared" si="6"/>
        <v>14225.417835938359</v>
      </c>
      <c r="K62" s="108">
        <f t="shared" si="7"/>
        <v>81965.502768978156</v>
      </c>
    </row>
    <row r="63" spans="2:25" x14ac:dyDescent="0.25">
      <c r="F63" s="85"/>
      <c r="G63" s="107" t="s">
        <v>98</v>
      </c>
      <c r="H63" s="106">
        <f>+(H58+H59+H60)*0.2</f>
        <v>37205.8977520634</v>
      </c>
      <c r="I63" s="107">
        <v>21</v>
      </c>
      <c r="J63" s="108">
        <f t="shared" si="6"/>
        <v>7813.2385279333139</v>
      </c>
      <c r="K63" s="108">
        <f t="shared" si="7"/>
        <v>45019.136279996717</v>
      </c>
    </row>
    <row r="64" spans="2:25" ht="15.75" thickBot="1" x14ac:dyDescent="0.3">
      <c r="G64" s="109" t="s">
        <v>92</v>
      </c>
      <c r="H64" s="110">
        <f>+SUM(H58:H63)</f>
        <v>356742.54419594427</v>
      </c>
      <c r="I64" s="111"/>
      <c r="J64" s="112">
        <f>+SUM(J58:J63)</f>
        <v>74915.934281148293</v>
      </c>
      <c r="K64" s="112">
        <f>+SUM(K58:K63)</f>
        <v>431658.47847709258</v>
      </c>
    </row>
    <row r="65" ht="15.75" thickTop="1" x14ac:dyDescent="0.25"/>
    <row r="85" spans="2:2" x14ac:dyDescent="0.25">
      <c r="B85" s="194"/>
    </row>
  </sheetData>
  <mergeCells count="1">
    <mergeCell ref="A35:A4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2493D8-8D6D-4E89-8C99-BF2F85FFF6EE}">
  <dimension ref="A2:Y67"/>
  <sheetViews>
    <sheetView showGridLines="0" zoomScaleNormal="100" workbookViewId="0"/>
  </sheetViews>
  <sheetFormatPr baseColWidth="10" defaultColWidth="9.140625" defaultRowHeight="15" x14ac:dyDescent="0.25"/>
  <cols>
    <col min="1" max="1" width="20.7109375" customWidth="1"/>
    <col min="2" max="2" width="50" customWidth="1"/>
    <col min="3" max="3" width="16.140625" customWidth="1"/>
    <col min="4" max="4" width="29.140625" bestFit="1" customWidth="1"/>
    <col min="5" max="5" width="13.7109375" bestFit="1" customWidth="1"/>
    <col min="6" max="6" width="18.140625" bestFit="1" customWidth="1"/>
    <col min="7" max="7" width="29.5703125" customWidth="1"/>
    <col min="8" max="8" width="13.28515625" customWidth="1"/>
    <col min="9" max="9" width="14.140625" customWidth="1"/>
    <col min="10" max="10" width="17.28515625" customWidth="1"/>
    <col min="11" max="11" width="13.28515625" customWidth="1"/>
    <col min="12" max="12" width="44" customWidth="1"/>
    <col min="13" max="13" width="12.140625" bestFit="1" customWidth="1"/>
    <col min="14" max="14" width="18" bestFit="1" customWidth="1"/>
    <col min="15" max="15" width="16.5703125" bestFit="1" customWidth="1"/>
    <col min="16" max="16" width="13.28515625" customWidth="1"/>
    <col min="17" max="17" width="42.140625" customWidth="1"/>
    <col min="18" max="18" width="12.140625" bestFit="1" customWidth="1"/>
    <col min="19" max="19" width="18" bestFit="1" customWidth="1"/>
    <col min="20" max="20" width="16.5703125" bestFit="1" customWidth="1"/>
    <col min="21" max="21" width="13.28515625" customWidth="1"/>
    <col min="22" max="22" width="29.85546875" customWidth="1"/>
    <col min="23" max="23" width="12.140625" bestFit="1" customWidth="1"/>
    <col min="24" max="24" width="13.140625" bestFit="1" customWidth="1"/>
    <col min="25" max="25" width="13.7109375" bestFit="1" customWidth="1"/>
  </cols>
  <sheetData>
    <row r="2" spans="1:10" x14ac:dyDescent="0.25">
      <c r="B2" s="5" t="s">
        <v>106</v>
      </c>
      <c r="C2" s="4"/>
      <c r="D2" s="4"/>
    </row>
    <row r="4" spans="1:10" ht="15" customHeight="1" x14ac:dyDescent="0.25">
      <c r="A4" s="116"/>
      <c r="B4" s="3" t="s">
        <v>118</v>
      </c>
      <c r="J4" s="195"/>
    </row>
    <row r="5" spans="1:10" ht="15" customHeight="1" x14ac:dyDescent="0.25">
      <c r="B5" s="155" t="s">
        <v>46</v>
      </c>
      <c r="C5" s="156" t="s">
        <v>52</v>
      </c>
      <c r="D5" s="155" t="s">
        <v>101</v>
      </c>
      <c r="E5" s="155" t="s">
        <v>100</v>
      </c>
      <c r="F5" s="156" t="s">
        <v>54</v>
      </c>
      <c r="J5" s="195"/>
    </row>
    <row r="6" spans="1:10" x14ac:dyDescent="0.25">
      <c r="B6" s="119" t="s">
        <v>106</v>
      </c>
      <c r="C6" s="153">
        <f>+SUM(C7:C9)</f>
        <v>47.5</v>
      </c>
      <c r="D6" s="121"/>
      <c r="E6" s="122"/>
      <c r="F6" s="157">
        <f>+SUM(F7:F9)</f>
        <v>2276.25</v>
      </c>
    </row>
    <row r="7" spans="1:10" x14ac:dyDescent="0.25">
      <c r="B7" t="s">
        <v>50</v>
      </c>
      <c r="C7" s="143">
        <v>22.5</v>
      </c>
      <c r="D7" t="s">
        <v>102</v>
      </c>
      <c r="E7" s="117">
        <v>47.5</v>
      </c>
      <c r="F7" s="159">
        <f>+C7*E7</f>
        <v>1068.75</v>
      </c>
    </row>
    <row r="8" spans="1:10" x14ac:dyDescent="0.25">
      <c r="B8" s="56" t="s">
        <v>51</v>
      </c>
      <c r="C8" s="143">
        <v>7.5</v>
      </c>
      <c r="D8" t="s">
        <v>124</v>
      </c>
      <c r="E8" s="117">
        <v>45.5</v>
      </c>
      <c r="F8" s="159">
        <f>+C8*E8</f>
        <v>341.25</v>
      </c>
    </row>
    <row r="9" spans="1:10" ht="15.75" thickBot="1" x14ac:dyDescent="0.3">
      <c r="B9" t="s">
        <v>62</v>
      </c>
      <c r="C9" s="57">
        <v>17.5</v>
      </c>
      <c r="D9" t="s">
        <v>125</v>
      </c>
      <c r="E9" s="117">
        <v>49.5</v>
      </c>
      <c r="F9" s="159">
        <f>+C9*E9</f>
        <v>866.25</v>
      </c>
      <c r="J9" s="19"/>
    </row>
    <row r="10" spans="1:10" ht="15.75" thickBot="1" x14ac:dyDescent="0.3">
      <c r="B10" s="69" t="s">
        <v>70</v>
      </c>
      <c r="C10" s="70"/>
      <c r="D10" s="70"/>
      <c r="E10" s="70"/>
      <c r="F10" s="71">
        <f>+F6</f>
        <v>2276.25</v>
      </c>
    </row>
    <row r="11" spans="1:10" x14ac:dyDescent="0.25">
      <c r="B11" s="63"/>
      <c r="C11" s="135" t="s">
        <v>158</v>
      </c>
      <c r="D11" s="135"/>
      <c r="E11" s="135"/>
      <c r="F11" s="136">
        <f>+F10*0.015</f>
        <v>34.143749999999997</v>
      </c>
    </row>
    <row r="12" spans="1:10" x14ac:dyDescent="0.25">
      <c r="B12" s="196"/>
      <c r="C12" s="4" t="s">
        <v>159</v>
      </c>
      <c r="D12" s="4"/>
      <c r="E12" s="4"/>
      <c r="F12" s="197">
        <f>+F10-F11</f>
        <v>2242.1062499999998</v>
      </c>
    </row>
    <row r="13" spans="1:10" x14ac:dyDescent="0.25">
      <c r="B13" s="114"/>
      <c r="C13" s="113"/>
      <c r="D13" s="115"/>
      <c r="E13" s="40"/>
      <c r="F13" s="40"/>
    </row>
    <row r="14" spans="1:10" x14ac:dyDescent="0.25">
      <c r="B14" s="114"/>
      <c r="C14" s="113"/>
      <c r="D14" s="118"/>
      <c r="E14" s="40"/>
      <c r="F14" s="40"/>
    </row>
    <row r="15" spans="1:10" x14ac:dyDescent="0.25">
      <c r="C15" s="3" t="s">
        <v>10</v>
      </c>
    </row>
    <row r="16" spans="1:10" ht="45" x14ac:dyDescent="0.25">
      <c r="B16" s="6"/>
      <c r="C16" s="132" t="s">
        <v>6</v>
      </c>
      <c r="D16" s="132" t="s">
        <v>7</v>
      </c>
      <c r="F16" s="133" t="s">
        <v>27</v>
      </c>
      <c r="G16" s="134"/>
    </row>
    <row r="17" spans="2:8" x14ac:dyDescent="0.25">
      <c r="B17" s="14" t="s">
        <v>8</v>
      </c>
      <c r="C17" s="24">
        <v>996.2</v>
      </c>
      <c r="D17" s="24">
        <v>976.24</v>
      </c>
      <c r="F17" s="123" t="s">
        <v>109</v>
      </c>
      <c r="G17" s="35">
        <v>1.4999999999999999E-2</v>
      </c>
    </row>
    <row r="18" spans="2:8" x14ac:dyDescent="0.25">
      <c r="B18" s="14" t="s">
        <v>9</v>
      </c>
      <c r="C18" s="24">
        <v>202.32</v>
      </c>
      <c r="D18" s="24">
        <v>202.32</v>
      </c>
      <c r="F18" s="123" t="s">
        <v>110</v>
      </c>
      <c r="G18" s="36">
        <v>0.03</v>
      </c>
    </row>
    <row r="19" spans="2:8" x14ac:dyDescent="0.25">
      <c r="B19" s="15" t="s">
        <v>11</v>
      </c>
      <c r="C19" s="9">
        <f>+C17+C18</f>
        <v>1198.52</v>
      </c>
      <c r="D19" s="9">
        <f>+D17+D18</f>
        <v>1178.56</v>
      </c>
      <c r="F19" s="123" t="s">
        <v>111</v>
      </c>
      <c r="G19" s="36">
        <v>2.5000000000000001E-2</v>
      </c>
    </row>
    <row r="20" spans="2:8" x14ac:dyDescent="0.25">
      <c r="B20" s="14" t="s">
        <v>12</v>
      </c>
      <c r="C20" s="10">
        <f>+C19*12</f>
        <v>14382.24</v>
      </c>
      <c r="D20" s="10">
        <f>+D19*12</f>
        <v>14142.72</v>
      </c>
      <c r="F20" s="124" t="s">
        <v>112</v>
      </c>
      <c r="G20" s="38">
        <v>3.2500000000000001E-2</v>
      </c>
    </row>
    <row r="21" spans="2:8" ht="15.75" thickBot="1" x14ac:dyDescent="0.3">
      <c r="B21" s="16" t="s">
        <v>13</v>
      </c>
      <c r="C21" s="11">
        <f>+((C17*12)/365)*90+(C18*3)</f>
        <v>3554.6202739726032</v>
      </c>
      <c r="D21" s="11">
        <f>+((D17*12)/365)*90+(D18*3)</f>
        <v>3495.5605479452056</v>
      </c>
      <c r="F21" s="150" t="s">
        <v>28</v>
      </c>
      <c r="G21" s="151">
        <f>+AVERAGE(G18:G20)</f>
        <v>2.9166666666666664E-2</v>
      </c>
    </row>
    <row r="22" spans="2:8" ht="15.75" thickTop="1" x14ac:dyDescent="0.25">
      <c r="B22" s="17" t="s">
        <v>19</v>
      </c>
      <c r="C22" s="12">
        <f>+C20+C21</f>
        <v>17936.860273972605</v>
      </c>
      <c r="D22" s="12">
        <f>+D20+D21</f>
        <v>17638.280547945204</v>
      </c>
    </row>
    <row r="23" spans="2:8" ht="37.5" customHeight="1" x14ac:dyDescent="0.25">
      <c r="B23" s="25" t="s">
        <v>14</v>
      </c>
      <c r="C23" s="13">
        <v>1792</v>
      </c>
      <c r="D23" s="13">
        <v>1792</v>
      </c>
      <c r="F23" s="129" t="s">
        <v>99</v>
      </c>
      <c r="G23" s="130" t="s">
        <v>20</v>
      </c>
      <c r="H23" s="131" t="s">
        <v>21</v>
      </c>
    </row>
    <row r="24" spans="2:8" x14ac:dyDescent="0.25">
      <c r="B24" s="14" t="s">
        <v>16</v>
      </c>
      <c r="C24" s="18">
        <f>+C22/C23</f>
        <v>10.009408635029356</v>
      </c>
      <c r="D24" s="18">
        <f>+D22/D23</f>
        <v>9.8427904843444214</v>
      </c>
      <c r="E24" s="19"/>
      <c r="F24" s="127">
        <v>2025</v>
      </c>
      <c r="G24" s="125">
        <f>+C29</f>
        <v>26008.447397260279</v>
      </c>
      <c r="H24" s="125">
        <f>+D29</f>
        <v>25575.506794520545</v>
      </c>
    </row>
    <row r="25" spans="2:8" ht="41.25" x14ac:dyDescent="0.25">
      <c r="B25" s="81" t="s">
        <v>79</v>
      </c>
      <c r="C25" s="82">
        <f>+C24*0.34</f>
        <v>3.4031989359099812</v>
      </c>
      <c r="D25" s="82">
        <f>+D24*0.34</f>
        <v>3.3465487646771037</v>
      </c>
      <c r="F25" s="128" t="s">
        <v>119</v>
      </c>
      <c r="G25" s="126">
        <f t="shared" ref="G25:H29" si="0">G24*1.03</f>
        <v>26788.700819178088</v>
      </c>
      <c r="H25" s="126">
        <f t="shared" si="0"/>
        <v>26342.771998356162</v>
      </c>
    </row>
    <row r="26" spans="2:8" x14ac:dyDescent="0.25">
      <c r="B26" s="83" t="s">
        <v>38</v>
      </c>
      <c r="C26" s="84">
        <f>+C24*0.05</f>
        <v>0.50047043175146777</v>
      </c>
      <c r="D26" s="84">
        <f>+D24*0.05</f>
        <v>0.49213952421722107</v>
      </c>
      <c r="F26" s="128" t="s">
        <v>120</v>
      </c>
      <c r="G26" s="126">
        <f t="shared" si="0"/>
        <v>27592.361843753431</v>
      </c>
      <c r="H26" s="126">
        <f t="shared" si="0"/>
        <v>27133.055158306848</v>
      </c>
    </row>
    <row r="27" spans="2:8" ht="30" x14ac:dyDescent="0.25">
      <c r="B27" s="83" t="s">
        <v>15</v>
      </c>
      <c r="C27" s="84">
        <f>+C24*0.06</f>
        <v>0.60056451810176137</v>
      </c>
      <c r="D27" s="84">
        <f>+D24*0.06</f>
        <v>0.59056742906066528</v>
      </c>
      <c r="F27" s="128" t="s">
        <v>121</v>
      </c>
      <c r="G27" s="126">
        <f t="shared" si="0"/>
        <v>28420.132699066035</v>
      </c>
      <c r="H27" s="126">
        <f t="shared" si="0"/>
        <v>27947.046813056055</v>
      </c>
    </row>
    <row r="28" spans="2:8" x14ac:dyDescent="0.25">
      <c r="B28" s="20" t="s">
        <v>17</v>
      </c>
      <c r="C28" s="21">
        <f>+SUM(C24:C27)</f>
        <v>14.513642520792565</v>
      </c>
      <c r="D28" s="21">
        <f>+SUM(D24:D27)</f>
        <v>14.272046202299411</v>
      </c>
      <c r="E28" s="19"/>
      <c r="F28" s="128" t="s">
        <v>122</v>
      </c>
      <c r="G28" s="126">
        <f t="shared" si="0"/>
        <v>29272.736680038015</v>
      </c>
      <c r="H28" s="126">
        <f t="shared" si="0"/>
        <v>28785.458217447736</v>
      </c>
    </row>
    <row r="29" spans="2:8" x14ac:dyDescent="0.25">
      <c r="B29" s="22" t="s">
        <v>18</v>
      </c>
      <c r="C29" s="23">
        <f>+C28*C23</f>
        <v>26008.447397260279</v>
      </c>
      <c r="D29" s="23">
        <f>+D28*D23</f>
        <v>25575.506794520545</v>
      </c>
      <c r="F29" s="128" t="s">
        <v>123</v>
      </c>
      <c r="G29" s="126">
        <f t="shared" si="0"/>
        <v>30150.918780439155</v>
      </c>
      <c r="H29" s="126">
        <f t="shared" si="0"/>
        <v>29649.021963971169</v>
      </c>
    </row>
    <row r="30" spans="2:8" ht="15.75" thickBot="1" x14ac:dyDescent="0.3">
      <c r="B30" s="3"/>
      <c r="C30" s="19"/>
      <c r="F30" s="29" t="s">
        <v>29</v>
      </c>
      <c r="G30" s="30">
        <f>AVERAGE(G24:G29)</f>
        <v>28038.883036622501</v>
      </c>
      <c r="H30" s="30">
        <f>AVERAGE(H24:H29)</f>
        <v>27572.143490943086</v>
      </c>
    </row>
    <row r="31" spans="2:8" ht="15.75" thickTop="1" x14ac:dyDescent="0.25">
      <c r="B31" s="3"/>
      <c r="C31" s="19"/>
    </row>
    <row r="35" spans="1:25" ht="15.75" thickBot="1" x14ac:dyDescent="0.3">
      <c r="B35" s="1"/>
    </row>
    <row r="36" spans="1:25" s="95" customFormat="1" ht="45.75" thickBot="1" x14ac:dyDescent="0.3">
      <c r="B36" s="96" t="s">
        <v>80</v>
      </c>
      <c r="C36" s="97" t="s">
        <v>20</v>
      </c>
      <c r="D36" s="98" t="s">
        <v>21</v>
      </c>
      <c r="E36" s="98" t="s">
        <v>113</v>
      </c>
      <c r="G36" s="96" t="s">
        <v>81</v>
      </c>
      <c r="H36" s="97" t="s">
        <v>20</v>
      </c>
      <c r="I36" s="98" t="s">
        <v>21</v>
      </c>
      <c r="J36" s="98" t="s">
        <v>114</v>
      </c>
      <c r="L36" s="96" t="s">
        <v>82</v>
      </c>
      <c r="M36" s="97" t="s">
        <v>20</v>
      </c>
      <c r="N36" s="98" t="s">
        <v>21</v>
      </c>
      <c r="O36" s="98" t="s">
        <v>115</v>
      </c>
      <c r="Q36" s="96" t="s">
        <v>83</v>
      </c>
      <c r="R36" s="97" t="s">
        <v>20</v>
      </c>
      <c r="S36" s="98" t="s">
        <v>21</v>
      </c>
      <c r="T36" s="98" t="s">
        <v>116</v>
      </c>
      <c r="V36" s="96" t="s">
        <v>84</v>
      </c>
      <c r="W36" s="97" t="s">
        <v>20</v>
      </c>
      <c r="X36" s="98" t="s">
        <v>21</v>
      </c>
      <c r="Y36" s="98" t="s">
        <v>117</v>
      </c>
    </row>
    <row r="37" spans="1:25" x14ac:dyDescent="0.25">
      <c r="A37" s="234" t="s">
        <v>45</v>
      </c>
      <c r="B37" s="3" t="s">
        <v>30</v>
      </c>
      <c r="C37" s="41">
        <f>+G25</f>
        <v>26788.700819178088</v>
      </c>
      <c r="D37" s="41">
        <f>+H25</f>
        <v>26342.771998356162</v>
      </c>
      <c r="E37" s="137">
        <f>+C37+D37</f>
        <v>53131.472817534246</v>
      </c>
      <c r="G37" s="3" t="s">
        <v>30</v>
      </c>
      <c r="H37" s="41">
        <f>+G26</f>
        <v>27592.361843753431</v>
      </c>
      <c r="I37" s="41">
        <f>H26</f>
        <v>27133.055158306848</v>
      </c>
      <c r="J37" s="137">
        <f>+H37+I37</f>
        <v>54725.417002060276</v>
      </c>
      <c r="L37" s="3" t="s">
        <v>30</v>
      </c>
      <c r="M37" s="41">
        <f>+G27</f>
        <v>28420.132699066035</v>
      </c>
      <c r="N37" s="41">
        <f>+H27</f>
        <v>27947.046813056055</v>
      </c>
      <c r="O37" s="137">
        <f>+M37+N37</f>
        <v>56367.179512122093</v>
      </c>
      <c r="Q37" s="3" t="s">
        <v>30</v>
      </c>
      <c r="R37" s="41">
        <f>+G28</f>
        <v>29272.736680038015</v>
      </c>
      <c r="S37" s="41">
        <f>+H28</f>
        <v>28785.458217447736</v>
      </c>
      <c r="T37" s="137">
        <f>+R37+S37</f>
        <v>58058.194897485751</v>
      </c>
      <c r="V37" s="3" t="s">
        <v>30</v>
      </c>
      <c r="W37" s="41">
        <f>+G29</f>
        <v>30150.918780439155</v>
      </c>
      <c r="X37" s="41">
        <f>+H29</f>
        <v>29649.021963971169</v>
      </c>
      <c r="Y37" s="137">
        <f>+W37+X37</f>
        <v>59799.940744410327</v>
      </c>
    </row>
    <row r="38" spans="1:25" x14ac:dyDescent="0.25">
      <c r="A38" s="235"/>
      <c r="B38" t="s">
        <v>39</v>
      </c>
      <c r="C38" s="45">
        <f>+$C$37*0.025</f>
        <v>669.71752047945222</v>
      </c>
      <c r="D38" s="45">
        <f>+$D$37*0.025</f>
        <v>658.56929995890414</v>
      </c>
      <c r="E38" s="99">
        <f t="shared" ref="E38:E42" si="1">+C38+D38</f>
        <v>1328.2868204383562</v>
      </c>
      <c r="F38" s="85"/>
      <c r="G38" t="s">
        <v>39</v>
      </c>
      <c r="H38" s="45">
        <f>+$H37*0.025</f>
        <v>689.80904609383583</v>
      </c>
      <c r="I38" s="45">
        <f>+$I37*0.025</f>
        <v>678.3263789576713</v>
      </c>
      <c r="J38" s="99">
        <f t="shared" ref="J38:J42" si="2">+H38+I38</f>
        <v>1368.1354250515071</v>
      </c>
      <c r="L38" t="s">
        <v>39</v>
      </c>
      <c r="M38" s="45">
        <f>+$M$37*0.025</f>
        <v>710.50331747665086</v>
      </c>
      <c r="N38" s="45">
        <f>+$N$37*0.025</f>
        <v>698.67617032640146</v>
      </c>
      <c r="O38" s="99">
        <f t="shared" ref="O38:O42" si="3">+M38+N38</f>
        <v>1409.1794878030523</v>
      </c>
      <c r="Q38" t="s">
        <v>39</v>
      </c>
      <c r="R38" s="45">
        <f>+$R$37*0.025</f>
        <v>731.81841700095038</v>
      </c>
      <c r="S38" s="45">
        <f>+$S$37*0.025</f>
        <v>719.6364554361935</v>
      </c>
      <c r="T38" s="99">
        <f t="shared" ref="T38:T42" si="4">+R38+S38</f>
        <v>1451.4548724371439</v>
      </c>
      <c r="V38" t="s">
        <v>39</v>
      </c>
      <c r="W38" s="45">
        <f>+$W$37*0.025</f>
        <v>753.7729695109789</v>
      </c>
      <c r="X38" s="45">
        <f>+$X$37*0.025</f>
        <v>741.22554909927931</v>
      </c>
      <c r="Y38" s="99">
        <f t="shared" ref="Y38:Y42" si="5">+W38+X38</f>
        <v>1494.9985186102581</v>
      </c>
    </row>
    <row r="39" spans="1:25" x14ac:dyDescent="0.25">
      <c r="A39" s="235"/>
      <c r="B39" t="s">
        <v>40</v>
      </c>
      <c r="C39" s="45">
        <f>+$C$37*0.017</f>
        <v>455.4079139260275</v>
      </c>
      <c r="D39" s="45">
        <f>+$D$37*0.017</f>
        <v>447.82712397205478</v>
      </c>
      <c r="E39" s="99">
        <f t="shared" si="1"/>
        <v>903.23503789808228</v>
      </c>
      <c r="F39" s="85"/>
      <c r="G39" t="s">
        <v>40</v>
      </c>
      <c r="H39" s="45">
        <f>+$H37*0.017</f>
        <v>469.07015134380839</v>
      </c>
      <c r="I39" s="45">
        <f>+$I37*0.017</f>
        <v>461.26193769121647</v>
      </c>
      <c r="J39" s="99">
        <f t="shared" si="2"/>
        <v>930.33208903502486</v>
      </c>
      <c r="L39" t="s">
        <v>40</v>
      </c>
      <c r="M39" s="45">
        <f>+$M$37*0.017</f>
        <v>483.14225588412262</v>
      </c>
      <c r="N39" s="45">
        <f>+$N$37*0.017</f>
        <v>475.09979582195297</v>
      </c>
      <c r="O39" s="99">
        <f t="shared" si="3"/>
        <v>958.24205170607559</v>
      </c>
      <c r="Q39" t="s">
        <v>40</v>
      </c>
      <c r="R39" s="45">
        <f>+$R$37*0.017</f>
        <v>497.63652356064631</v>
      </c>
      <c r="S39" s="45">
        <f>+$S$37*0.017</f>
        <v>489.35278969661158</v>
      </c>
      <c r="T39" s="99">
        <f t="shared" si="4"/>
        <v>986.98931325725789</v>
      </c>
      <c r="V39" t="s">
        <v>40</v>
      </c>
      <c r="W39" s="45">
        <f>+$W$37*0.017</f>
        <v>512.56561926746565</v>
      </c>
      <c r="X39" s="45">
        <f>+$X$37*0.017</f>
        <v>504.03337338750993</v>
      </c>
      <c r="Y39" s="99">
        <f t="shared" si="5"/>
        <v>1016.5989926549755</v>
      </c>
    </row>
    <row r="40" spans="1:25" x14ac:dyDescent="0.25">
      <c r="A40" s="235"/>
      <c r="B40" t="s">
        <v>41</v>
      </c>
      <c r="C40" s="45">
        <f>+$C$37*0.08</f>
        <v>2143.0960655342469</v>
      </c>
      <c r="D40" s="45">
        <f>+$D$37*0.08</f>
        <v>2107.4217598684932</v>
      </c>
      <c r="E40" s="99">
        <f t="shared" si="1"/>
        <v>4250.5178254027396</v>
      </c>
      <c r="F40" s="85"/>
      <c r="G40" t="s">
        <v>41</v>
      </c>
      <c r="H40" s="45">
        <f>+H$37*0.08</f>
        <v>2207.3889475002748</v>
      </c>
      <c r="I40" s="45">
        <f>+I$37*0.08</f>
        <v>2170.6444126645479</v>
      </c>
      <c r="J40" s="99">
        <f t="shared" si="2"/>
        <v>4378.0333601648226</v>
      </c>
      <c r="L40" t="s">
        <v>41</v>
      </c>
      <c r="M40" s="45">
        <f>+$M$37*0.08</f>
        <v>2273.6106159252827</v>
      </c>
      <c r="N40" s="45">
        <f>+$N$37*0.08</f>
        <v>2235.7637450444845</v>
      </c>
      <c r="O40" s="99">
        <f t="shared" si="3"/>
        <v>4509.3743609697667</v>
      </c>
      <c r="Q40" t="s">
        <v>41</v>
      </c>
      <c r="R40" s="45">
        <f>+$R$37*0.08</f>
        <v>2341.8189344030411</v>
      </c>
      <c r="S40" s="45">
        <f>+$S$37*0.08</f>
        <v>2302.8366573958187</v>
      </c>
      <c r="T40" s="99">
        <f t="shared" si="4"/>
        <v>4644.6555917988599</v>
      </c>
      <c r="V40" t="s">
        <v>41</v>
      </c>
      <c r="W40" s="45">
        <f>+$W$37*0.08</f>
        <v>2412.0735024351325</v>
      </c>
      <c r="X40" s="45">
        <f>+$X$37*0.08</f>
        <v>2371.9217571176937</v>
      </c>
      <c r="Y40" s="99">
        <f t="shared" si="5"/>
        <v>4783.9952595528266</v>
      </c>
    </row>
    <row r="41" spans="1:25" x14ac:dyDescent="0.25">
      <c r="A41" s="235"/>
      <c r="B41" t="s">
        <v>94</v>
      </c>
      <c r="C41" s="8">
        <f>+$C$37*0.02</f>
        <v>535.77401638356173</v>
      </c>
      <c r="D41" s="8">
        <f>+$D$37*0.02</f>
        <v>526.85543996712329</v>
      </c>
      <c r="E41" s="138">
        <f t="shared" si="1"/>
        <v>1062.6294563506849</v>
      </c>
      <c r="F41" s="85"/>
      <c r="G41" t="s">
        <v>94</v>
      </c>
      <c r="H41" s="8">
        <f>+H$37*0.02</f>
        <v>551.84723687506869</v>
      </c>
      <c r="I41" s="8">
        <f>+I$37*0.02</f>
        <v>542.66110316613697</v>
      </c>
      <c r="J41" s="138">
        <f t="shared" si="2"/>
        <v>1094.5083400412057</v>
      </c>
      <c r="L41" t="s">
        <v>94</v>
      </c>
      <c r="M41" s="8">
        <f>+$M$37*0.02</f>
        <v>568.40265398132067</v>
      </c>
      <c r="N41" s="8">
        <f>+$N$37*0.02</f>
        <v>558.94093626112112</v>
      </c>
      <c r="O41" s="138">
        <f t="shared" si="3"/>
        <v>1127.3435902424417</v>
      </c>
      <c r="Q41" t="s">
        <v>94</v>
      </c>
      <c r="R41" s="8">
        <f>+$R$37*0.02</f>
        <v>585.45473360076028</v>
      </c>
      <c r="S41" s="8">
        <f>+$S$37*0.02</f>
        <v>575.70916434895469</v>
      </c>
      <c r="T41" s="138">
        <f t="shared" si="4"/>
        <v>1161.163897949715</v>
      </c>
      <c r="V41" t="s">
        <v>94</v>
      </c>
      <c r="W41" s="8">
        <f>+$W$37*0.02</f>
        <v>603.01837560878312</v>
      </c>
      <c r="X41" s="8">
        <f>+$X$37*0.02</f>
        <v>592.98043927942342</v>
      </c>
      <c r="Y41" s="138">
        <f t="shared" si="5"/>
        <v>1195.9988148882067</v>
      </c>
    </row>
    <row r="42" spans="1:25" x14ac:dyDescent="0.25">
      <c r="A42" s="235"/>
      <c r="B42" t="s">
        <v>95</v>
      </c>
      <c r="C42" s="148">
        <f>+$C$37*0.05</f>
        <v>1339.4350409589044</v>
      </c>
      <c r="D42" s="148">
        <f>+$D$37*0.05</f>
        <v>1317.1385999178083</v>
      </c>
      <c r="E42" s="149">
        <f t="shared" si="1"/>
        <v>2656.5736408767125</v>
      </c>
      <c r="F42" s="85"/>
      <c r="G42" t="s">
        <v>95</v>
      </c>
      <c r="H42" s="148">
        <f>+H$37*0.05</f>
        <v>1379.6180921876717</v>
      </c>
      <c r="I42" s="148">
        <f>+I$37*0.05</f>
        <v>1356.6527579153426</v>
      </c>
      <c r="J42" s="149">
        <f t="shared" si="2"/>
        <v>2736.2708501030143</v>
      </c>
      <c r="L42" t="s">
        <v>95</v>
      </c>
      <c r="M42" s="148">
        <f>+$M$37*0.05</f>
        <v>1421.0066349533017</v>
      </c>
      <c r="N42" s="148">
        <f>+$N$37*0.05</f>
        <v>1397.3523406528029</v>
      </c>
      <c r="O42" s="149">
        <f t="shared" si="3"/>
        <v>2818.3589756061047</v>
      </c>
      <c r="Q42" t="s">
        <v>95</v>
      </c>
      <c r="R42" s="148">
        <f>+$R$37*0.05</f>
        <v>1463.6368340019008</v>
      </c>
      <c r="S42" s="148">
        <f>+$S$37*0.05</f>
        <v>1439.272910872387</v>
      </c>
      <c r="T42" s="149">
        <f t="shared" si="4"/>
        <v>2902.9097448742878</v>
      </c>
      <c r="V42" t="s">
        <v>95</v>
      </c>
      <c r="W42" s="148">
        <f>+$W$37*0.05</f>
        <v>1507.5459390219578</v>
      </c>
      <c r="X42" s="148">
        <f>+$X$37*0.05</f>
        <v>1482.4510981985586</v>
      </c>
      <c r="Y42" s="149">
        <f t="shared" si="5"/>
        <v>2989.9970372205162</v>
      </c>
    </row>
    <row r="43" spans="1:25" x14ac:dyDescent="0.25">
      <c r="A43" s="235"/>
      <c r="B43" s="47" t="s">
        <v>32</v>
      </c>
      <c r="C43" s="48">
        <f>+SUM(C37:C42)</f>
        <v>31932.131376460282</v>
      </c>
      <c r="D43" s="48">
        <f>+SUM(D37:D42)</f>
        <v>31400.584222040547</v>
      </c>
      <c r="E43" s="89">
        <f>+SUM(E37:E42)</f>
        <v>63332.715598500821</v>
      </c>
      <c r="F43" s="85"/>
      <c r="G43" s="47" t="s">
        <v>32</v>
      </c>
      <c r="H43" s="48">
        <f>+SUM(H37:H42)</f>
        <v>32890.095317754094</v>
      </c>
      <c r="I43" s="49">
        <f>+SUM(I37:I42)</f>
        <v>32342.60174870176</v>
      </c>
      <c r="J43" s="89">
        <f>+SUM(J37:J42)</f>
        <v>65232.697066455847</v>
      </c>
      <c r="L43" s="47" t="s">
        <v>32</v>
      </c>
      <c r="M43" s="48">
        <f>+SUM(M37:M42)</f>
        <v>33876.798177286713</v>
      </c>
      <c r="N43" s="49">
        <f>+SUM(N37:N42)</f>
        <v>33312.879801162817</v>
      </c>
      <c r="O43" s="89">
        <f>+SUM(O37:O42)</f>
        <v>67189.67797844953</v>
      </c>
      <c r="Q43" s="47" t="s">
        <v>32</v>
      </c>
      <c r="R43" s="48">
        <f>+SUM(R37:R42)</f>
        <v>34893.10212260532</v>
      </c>
      <c r="S43" s="49">
        <f>+SUM(S37:S42)</f>
        <v>34312.266195197699</v>
      </c>
      <c r="T43" s="89">
        <f>+SUM(T37:T42)</f>
        <v>69205.368317803019</v>
      </c>
      <c r="V43" s="47" t="s">
        <v>32</v>
      </c>
      <c r="W43" s="48">
        <f>+SUM(W37:W42)</f>
        <v>35939.895186283473</v>
      </c>
      <c r="X43" s="49">
        <f>+SUM(X37:X42)</f>
        <v>35341.634181053632</v>
      </c>
      <c r="Y43" s="89">
        <f>+SUM(Y37:Y42)</f>
        <v>71281.529367337105</v>
      </c>
    </row>
    <row r="44" spans="1:25" x14ac:dyDescent="0.25">
      <c r="A44" s="235"/>
      <c r="B44" t="s">
        <v>43</v>
      </c>
      <c r="C44" s="46">
        <f>+C43*0.0125</f>
        <v>399.15164220575355</v>
      </c>
      <c r="D44" s="46">
        <f>+D43*0.0125</f>
        <v>392.50730277550684</v>
      </c>
      <c r="E44" s="99">
        <f>+E43*0.0125</f>
        <v>791.65894498126033</v>
      </c>
      <c r="F44" s="85"/>
      <c r="G44" t="s">
        <v>43</v>
      </c>
      <c r="H44" s="46">
        <f>+H43*0.0125</f>
        <v>411.12619147192618</v>
      </c>
      <c r="I44" s="46">
        <f>+I43*0.0125</f>
        <v>404.28252185877204</v>
      </c>
      <c r="J44" s="99">
        <f>+J43*0.0125</f>
        <v>815.40871333069811</v>
      </c>
      <c r="L44" t="s">
        <v>43</v>
      </c>
      <c r="M44" s="46">
        <f>+M43*0.0125</f>
        <v>423.45997721608393</v>
      </c>
      <c r="N44" s="46">
        <f>+N43*0.0125</f>
        <v>416.41099751453521</v>
      </c>
      <c r="O44" s="99">
        <f>+O43*0.0125</f>
        <v>839.8709747306192</v>
      </c>
      <c r="Q44" t="s">
        <v>43</v>
      </c>
      <c r="R44" s="46">
        <f>+R43*0.0125</f>
        <v>436.16377653256654</v>
      </c>
      <c r="S44" s="46">
        <f>+S43*0.0125</f>
        <v>428.90332743997124</v>
      </c>
      <c r="T44" s="99">
        <f>+T43*0.0125</f>
        <v>865.06710397253778</v>
      </c>
      <c r="V44" t="s">
        <v>43</v>
      </c>
      <c r="W44" s="46">
        <f>+W43*0.0125</f>
        <v>449.24868982854343</v>
      </c>
      <c r="X44" s="46">
        <f>+X43*0.0125</f>
        <v>441.7704272631704</v>
      </c>
      <c r="Y44" s="99">
        <f>+Y43*0.0125</f>
        <v>891.01911709171384</v>
      </c>
    </row>
    <row r="45" spans="1:25" x14ac:dyDescent="0.25">
      <c r="A45" s="235"/>
      <c r="B45" s="47" t="s">
        <v>36</v>
      </c>
      <c r="C45" s="48">
        <f>+C44</f>
        <v>399.15164220575355</v>
      </c>
      <c r="D45" s="48">
        <f>+D44</f>
        <v>392.50730277550684</v>
      </c>
      <c r="E45" s="89">
        <f>+E44</f>
        <v>791.65894498126033</v>
      </c>
      <c r="F45" s="85"/>
      <c r="G45" s="47" t="s">
        <v>36</v>
      </c>
      <c r="H45" s="48">
        <f>+H44</f>
        <v>411.12619147192618</v>
      </c>
      <c r="I45" s="49">
        <f>+I44</f>
        <v>404.28252185877204</v>
      </c>
      <c r="J45" s="89">
        <f>+J44</f>
        <v>815.40871333069811</v>
      </c>
      <c r="L45" s="47" t="s">
        <v>36</v>
      </c>
      <c r="M45" s="48">
        <f>+M44</f>
        <v>423.45997721608393</v>
      </c>
      <c r="N45" s="49">
        <f>+N44</f>
        <v>416.41099751453521</v>
      </c>
      <c r="O45" s="89">
        <f>+O44</f>
        <v>839.8709747306192</v>
      </c>
      <c r="Q45" s="47" t="s">
        <v>36</v>
      </c>
      <c r="R45" s="48">
        <f>+R44</f>
        <v>436.16377653256654</v>
      </c>
      <c r="S45" s="49">
        <f>+S44</f>
        <v>428.90332743997124</v>
      </c>
      <c r="T45" s="89">
        <f>+T44</f>
        <v>865.06710397253778</v>
      </c>
      <c r="V45" s="47" t="s">
        <v>36</v>
      </c>
      <c r="W45" s="48">
        <f>+W44</f>
        <v>449.24868982854343</v>
      </c>
      <c r="X45" s="49">
        <f>+X44</f>
        <v>441.7704272631704</v>
      </c>
      <c r="Y45" s="89">
        <f>+Y44</f>
        <v>891.01911709171384</v>
      </c>
    </row>
    <row r="46" spans="1:25" x14ac:dyDescent="0.25">
      <c r="A46" s="235"/>
      <c r="B46" s="42" t="s">
        <v>1</v>
      </c>
      <c r="C46" s="43">
        <f>+C43+C45</f>
        <v>32331.283018666036</v>
      </c>
      <c r="D46" s="43">
        <f>+D43+D45</f>
        <v>31793.091524816053</v>
      </c>
      <c r="E46" s="92">
        <f>+E43+E45</f>
        <v>64124.374543482081</v>
      </c>
      <c r="F46" s="85"/>
      <c r="G46" s="42" t="s">
        <v>1</v>
      </c>
      <c r="H46" s="43">
        <f>+H43+H45</f>
        <v>33301.221509226023</v>
      </c>
      <c r="I46" s="43">
        <f>+I43+I45</f>
        <v>32746.884270560531</v>
      </c>
      <c r="J46" s="92">
        <f>+J43+J45</f>
        <v>66048.105779786551</v>
      </c>
      <c r="L46" s="42" t="s">
        <v>1</v>
      </c>
      <c r="M46" s="43">
        <f>+M43+M45</f>
        <v>34300.258154502801</v>
      </c>
      <c r="N46" s="43">
        <f>+N43+N45</f>
        <v>33729.29079867735</v>
      </c>
      <c r="O46" s="92">
        <f>+O43+O45</f>
        <v>68029.548953180143</v>
      </c>
      <c r="Q46" s="42" t="s">
        <v>1</v>
      </c>
      <c r="R46" s="43">
        <f>+R43+R45</f>
        <v>35329.265899137885</v>
      </c>
      <c r="S46" s="43">
        <f>+S43+S45</f>
        <v>34741.169522637669</v>
      </c>
      <c r="T46" s="92">
        <f>+T43+T45</f>
        <v>70070.435421775561</v>
      </c>
      <c r="V46" s="42" t="s">
        <v>1</v>
      </c>
      <c r="W46" s="43">
        <f>+W43+W45</f>
        <v>36389.143876112015</v>
      </c>
      <c r="X46" s="43">
        <f>+X43+X45</f>
        <v>35783.4046083168</v>
      </c>
      <c r="Y46" s="92">
        <f>+Y43+Y45</f>
        <v>72172.548484428815</v>
      </c>
    </row>
    <row r="47" spans="1:25" x14ac:dyDescent="0.25">
      <c r="A47" s="235"/>
      <c r="B47" t="s">
        <v>31</v>
      </c>
      <c r="C47" s="8">
        <f>+C46*0.13</f>
        <v>4203.0667924265845</v>
      </c>
      <c r="D47" s="8">
        <f>+D46*0.13</f>
        <v>4133.1018982260866</v>
      </c>
      <c r="E47" s="138">
        <f>+E46*0.13</f>
        <v>8336.1686906526702</v>
      </c>
      <c r="F47" s="85"/>
      <c r="G47" t="s">
        <v>31</v>
      </c>
      <c r="H47" s="8">
        <f>+H46*0.13</f>
        <v>4329.1587961993828</v>
      </c>
      <c r="I47" s="8">
        <f>+I46*0.13</f>
        <v>4257.094955172869</v>
      </c>
      <c r="J47" s="138">
        <f>+J46*0.13</f>
        <v>8586.2537513722527</v>
      </c>
      <c r="L47" t="s">
        <v>31</v>
      </c>
      <c r="M47" s="8">
        <f>+M46*0.13</f>
        <v>4459.0335600853641</v>
      </c>
      <c r="N47" s="8">
        <f>+N46*0.13</f>
        <v>4384.8078038280555</v>
      </c>
      <c r="O47" s="138">
        <f>+O46*0.13</f>
        <v>8843.8413639134196</v>
      </c>
      <c r="Q47" t="s">
        <v>31</v>
      </c>
      <c r="R47" s="8">
        <f>+R46*0.13</f>
        <v>4592.8045668879249</v>
      </c>
      <c r="S47" s="8">
        <f>+S46*0.13</f>
        <v>4516.3520379428974</v>
      </c>
      <c r="T47" s="138">
        <f>+T46*0.13</f>
        <v>9109.1566048308232</v>
      </c>
      <c r="V47" t="s">
        <v>31</v>
      </c>
      <c r="W47" s="8">
        <f>+W46*0.13</f>
        <v>4730.5887038945621</v>
      </c>
      <c r="X47" s="8">
        <f>+X46*0.13</f>
        <v>4651.8425990811838</v>
      </c>
      <c r="Y47" s="138">
        <f>+Y46*0.13</f>
        <v>9382.4313029757468</v>
      </c>
    </row>
    <row r="48" spans="1:25" x14ac:dyDescent="0.25">
      <c r="B48" t="s">
        <v>0</v>
      </c>
      <c r="C48" s="8">
        <f>+C46*0.06</f>
        <v>1939.876981119962</v>
      </c>
      <c r="D48" s="8">
        <f>+D46*0.06</f>
        <v>1907.585491488963</v>
      </c>
      <c r="E48" s="138">
        <f>+E46*0.06</f>
        <v>3847.4624726089246</v>
      </c>
      <c r="F48" s="85"/>
      <c r="G48" t="s">
        <v>0</v>
      </c>
      <c r="H48" s="8">
        <f>+H46*0.06</f>
        <v>1998.0732905535613</v>
      </c>
      <c r="I48" s="8">
        <f>+I46*0.06</f>
        <v>1964.8130562336319</v>
      </c>
      <c r="J48" s="138">
        <f>+J46*0.06</f>
        <v>3962.8863467871929</v>
      </c>
      <c r="L48" t="s">
        <v>0</v>
      </c>
      <c r="M48" s="8">
        <f>+M46*0.06</f>
        <v>2058.015489270168</v>
      </c>
      <c r="N48" s="8">
        <f>+N46*0.06</f>
        <v>2023.757447920641</v>
      </c>
      <c r="O48" s="138">
        <f>+O46*0.06</f>
        <v>4081.7729371908085</v>
      </c>
      <c r="Q48" t="s">
        <v>0</v>
      </c>
      <c r="R48" s="8">
        <f>+R46*0.06</f>
        <v>2119.7559539482731</v>
      </c>
      <c r="S48" s="8">
        <f>+S46*0.06</f>
        <v>2084.4701713582599</v>
      </c>
      <c r="T48" s="138">
        <f>+T46*0.06</f>
        <v>4204.2261253065335</v>
      </c>
      <c r="V48" t="s">
        <v>0</v>
      </c>
      <c r="W48" s="8">
        <f>+W46*0.06</f>
        <v>2183.3486325667209</v>
      </c>
      <c r="X48" s="8">
        <f>+X46*0.06</f>
        <v>2147.004276499008</v>
      </c>
      <c r="Y48" s="138">
        <f>+Y46*0.06</f>
        <v>4330.3529090657285</v>
      </c>
    </row>
    <row r="49" spans="2:25" x14ac:dyDescent="0.25">
      <c r="B49" s="50" t="s">
        <v>44</v>
      </c>
      <c r="C49" s="51">
        <f>+C46+C47+C48</f>
        <v>38474.226792212583</v>
      </c>
      <c r="D49" s="51">
        <f>+D46+D47+D48</f>
        <v>37833.778914531104</v>
      </c>
      <c r="E49" s="93">
        <f>+E46+E47+E48</f>
        <v>76308.005706743672</v>
      </c>
      <c r="G49" s="50" t="s">
        <v>44</v>
      </c>
      <c r="H49" s="51">
        <f>+H46+H47+H48</f>
        <v>39628.453595978972</v>
      </c>
      <c r="I49" s="51">
        <f>+I46+I47+I48</f>
        <v>38968.792281967028</v>
      </c>
      <c r="J49" s="93">
        <f>+J46+J47+J48</f>
        <v>78597.245877945999</v>
      </c>
      <c r="L49" s="50" t="s">
        <v>44</v>
      </c>
      <c r="M49" s="51">
        <f>+M46+M47+M48</f>
        <v>40817.307203858334</v>
      </c>
      <c r="N49" s="51">
        <f>+N46+N47+N48</f>
        <v>40137.856050426046</v>
      </c>
      <c r="O49" s="93">
        <f>+O46+O47+O48</f>
        <v>80955.163254284373</v>
      </c>
      <c r="Q49" s="50" t="s">
        <v>44</v>
      </c>
      <c r="R49" s="51">
        <f>+R46+R47+R48</f>
        <v>42041.826419974088</v>
      </c>
      <c r="S49" s="51">
        <f>+S46+S47+S48</f>
        <v>41341.991731938826</v>
      </c>
      <c r="T49" s="93">
        <f>+T46+T47+T48</f>
        <v>83383.818151912914</v>
      </c>
      <c r="V49" s="50" t="s">
        <v>44</v>
      </c>
      <c r="W49" s="51">
        <f>+W46+W47+W48</f>
        <v>43303.081212573292</v>
      </c>
      <c r="X49" s="51">
        <f>+X46+X47+X48</f>
        <v>42582.251483896987</v>
      </c>
      <c r="Y49" s="93">
        <f>+Y46+Y47+Y48</f>
        <v>85885.332696470286</v>
      </c>
    </row>
    <row r="50" spans="2:25" x14ac:dyDescent="0.25">
      <c r="B50" t="s">
        <v>73</v>
      </c>
      <c r="C50" s="8">
        <f>C49/1792</f>
        <v>21.469992629582915</v>
      </c>
      <c r="D50" s="8">
        <f>D49/1792</f>
        <v>21.112599840698159</v>
      </c>
      <c r="E50" s="139"/>
      <c r="G50" t="s">
        <v>73</v>
      </c>
      <c r="H50" s="8">
        <f>H49/1792</f>
        <v>22.114092408470409</v>
      </c>
      <c r="I50" s="8">
        <f>I49/1792</f>
        <v>21.745977835919099</v>
      </c>
      <c r="J50" s="139"/>
      <c r="L50" t="s">
        <v>73</v>
      </c>
      <c r="M50" s="8">
        <f>M49/1792</f>
        <v>22.777515180724517</v>
      </c>
      <c r="N50" s="8">
        <f>N49/1792</f>
        <v>22.398357170996679</v>
      </c>
      <c r="O50" s="139"/>
      <c r="Q50" t="s">
        <v>73</v>
      </c>
      <c r="R50" s="8">
        <f>R49/1792</f>
        <v>23.460840636146255</v>
      </c>
      <c r="S50" s="8">
        <f>S49/1792</f>
        <v>23.070307886126578</v>
      </c>
      <c r="T50" s="139"/>
      <c r="V50" t="s">
        <v>73</v>
      </c>
      <c r="W50" s="8">
        <f>W49/1792</f>
        <v>24.164665855230631</v>
      </c>
      <c r="X50" s="8">
        <f>X49/1792</f>
        <v>23.762417122710371</v>
      </c>
      <c r="Y50" s="139"/>
    </row>
    <row r="51" spans="2:25" ht="15.75" thickBot="1" x14ac:dyDescent="0.3">
      <c r="B51" s="72" t="s">
        <v>74</v>
      </c>
      <c r="C51" s="73">
        <f>+C50*$F$11</f>
        <v>733.06606084632165</v>
      </c>
      <c r="D51" s="73">
        <f>+D50*$F$12</f>
        <v>47336.692056578344</v>
      </c>
      <c r="E51" s="94">
        <f>+C51+D51</f>
        <v>48069.758117424666</v>
      </c>
      <c r="G51" s="72" t="s">
        <v>74</v>
      </c>
      <c r="H51" s="73">
        <f>+H50*$F$11</f>
        <v>755.05804267171141</v>
      </c>
      <c r="I51" s="73">
        <f>+I50*$F$12</f>
        <v>48756.79281827568</v>
      </c>
      <c r="J51" s="94">
        <f>+H51+I51</f>
        <v>49511.850860947394</v>
      </c>
      <c r="L51" s="72" t="s">
        <v>74</v>
      </c>
      <c r="M51" s="73">
        <f>+M50*$F$11</f>
        <v>777.70978395186262</v>
      </c>
      <c r="N51" s="73">
        <f>+N50*$F$12</f>
        <v>50219.496602823965</v>
      </c>
      <c r="O51" s="94">
        <f>+M51+N51</f>
        <v>50997.206386775826</v>
      </c>
      <c r="Q51" s="72" t="s">
        <v>74</v>
      </c>
      <c r="R51" s="73">
        <f>+R50*$F$11</f>
        <v>801.0410774704186</v>
      </c>
      <c r="S51" s="73">
        <f>+S50*$F$12</f>
        <v>51726.081500908687</v>
      </c>
      <c r="T51" s="94">
        <f>+R51+S51</f>
        <v>52527.122578379109</v>
      </c>
      <c r="V51" s="72" t="s">
        <v>74</v>
      </c>
      <c r="W51" s="73">
        <f>+W50*$F$11</f>
        <v>825.07230979453072</v>
      </c>
      <c r="X51" s="73">
        <f>+X50*$F$12</f>
        <v>53277.863945935933</v>
      </c>
      <c r="Y51" s="94">
        <f>+W51+X51</f>
        <v>54102.936255730463</v>
      </c>
    </row>
    <row r="52" spans="2:25" ht="15.75" thickTop="1" x14ac:dyDescent="0.25">
      <c r="B52" s="26" t="s">
        <v>76</v>
      </c>
      <c r="C52" s="77">
        <f>+C51*0.21</f>
        <v>153.94387277772753</v>
      </c>
      <c r="D52" s="77">
        <f>+D51*0.21</f>
        <v>9940.7053318814524</v>
      </c>
      <c r="E52" s="141">
        <f>+C52+D52</f>
        <v>10094.649204659179</v>
      </c>
      <c r="G52" s="26" t="s">
        <v>76</v>
      </c>
      <c r="H52" s="77">
        <f>+H51*0.21</f>
        <v>158.56218896105938</v>
      </c>
      <c r="I52" s="77">
        <f>+I51*0.21</f>
        <v>10238.926491837892</v>
      </c>
      <c r="J52" s="141">
        <f>+H52+I52</f>
        <v>10397.488680798951</v>
      </c>
      <c r="L52" s="26" t="s">
        <v>76</v>
      </c>
      <c r="M52" s="77">
        <f>+M51*0.21</f>
        <v>163.31905462989116</v>
      </c>
      <c r="N52" s="77">
        <f>+N51*0.21</f>
        <v>10546.094286593032</v>
      </c>
      <c r="O52" s="141">
        <f>+M52+N52</f>
        <v>10709.413341222924</v>
      </c>
      <c r="Q52" s="26" t="s">
        <v>76</v>
      </c>
      <c r="R52" s="77">
        <f>+R51*0.21</f>
        <v>168.21862626878789</v>
      </c>
      <c r="S52" s="77">
        <f>+S51*0.21</f>
        <v>10862.477115190824</v>
      </c>
      <c r="T52" s="141">
        <f>+R52+S52</f>
        <v>11030.695741459613</v>
      </c>
      <c r="V52" s="26" t="s">
        <v>76</v>
      </c>
      <c r="W52" s="77">
        <f>+W51*0.21</f>
        <v>173.26518505685144</v>
      </c>
      <c r="X52" s="77">
        <f>+X51*0.21</f>
        <v>11188.351428646545</v>
      </c>
      <c r="Y52" s="141">
        <f>+W52+X52</f>
        <v>11361.616613703396</v>
      </c>
    </row>
    <row r="53" spans="2:25" ht="15.75" thickBot="1" x14ac:dyDescent="0.3">
      <c r="B53" s="78" t="s">
        <v>77</v>
      </c>
      <c r="C53" s="79">
        <f>+C51+C52</f>
        <v>887.00993362404915</v>
      </c>
      <c r="D53" s="79">
        <f>+D51+D52</f>
        <v>57277.397388459794</v>
      </c>
      <c r="E53" s="140">
        <f>+E51+E52</f>
        <v>58164.407322083847</v>
      </c>
      <c r="F53" s="1"/>
      <c r="G53" s="78" t="s">
        <v>77</v>
      </c>
      <c r="H53" s="79">
        <f>+H51+H52</f>
        <v>913.62023163277081</v>
      </c>
      <c r="I53" s="79">
        <f>+I51+I52</f>
        <v>58995.719310113571</v>
      </c>
      <c r="J53" s="140">
        <f>+J51+J52</f>
        <v>59909.339541746347</v>
      </c>
      <c r="L53" s="78" t="s">
        <v>77</v>
      </c>
      <c r="M53" s="79">
        <f>+M51+M52</f>
        <v>941.0288385817538</v>
      </c>
      <c r="N53" s="79">
        <f>+N51+N52</f>
        <v>60765.590889416999</v>
      </c>
      <c r="O53" s="140">
        <f>+O51+O52</f>
        <v>61706.619727998754</v>
      </c>
      <c r="Q53" s="78" t="s">
        <v>77</v>
      </c>
      <c r="R53" s="79">
        <f>+R51+R52</f>
        <v>969.25970373920654</v>
      </c>
      <c r="S53" s="79">
        <f>+S51+S52</f>
        <v>62588.558616099515</v>
      </c>
      <c r="T53" s="140">
        <f>+T51+T52</f>
        <v>63557.81831983872</v>
      </c>
      <c r="V53" s="78" t="s">
        <v>77</v>
      </c>
      <c r="W53" s="79">
        <f>+W51+W52</f>
        <v>998.33749485138219</v>
      </c>
      <c r="X53" s="79">
        <f>+X51+X52</f>
        <v>64466.215374582476</v>
      </c>
      <c r="Y53" s="140">
        <f>+Y51+Y52</f>
        <v>65464.552869433857</v>
      </c>
    </row>
    <row r="54" spans="2:25" ht="15.75" thickTop="1" x14ac:dyDescent="0.25">
      <c r="J54" s="142"/>
      <c r="O54" s="142"/>
      <c r="T54" s="142"/>
      <c r="Y54" s="142"/>
    </row>
    <row r="56" spans="2:25" ht="15.75" thickBot="1" x14ac:dyDescent="0.3"/>
    <row r="57" spans="2:25" ht="15.75" thickBot="1" x14ac:dyDescent="0.3">
      <c r="B57" s="100" t="s">
        <v>96</v>
      </c>
      <c r="C57" s="101"/>
      <c r="D57" s="101"/>
      <c r="E57" s="102"/>
      <c r="G57" s="100" t="s">
        <v>93</v>
      </c>
      <c r="H57" s="101"/>
      <c r="I57" s="101"/>
      <c r="J57" s="101"/>
      <c r="K57" s="102"/>
    </row>
    <row r="58" spans="2:25" ht="15" customHeight="1" x14ac:dyDescent="0.25">
      <c r="E58" s="85"/>
      <c r="F58" s="85"/>
    </row>
    <row r="59" spans="2:25" ht="30" x14ac:dyDescent="0.25">
      <c r="B59" s="88" t="s">
        <v>97</v>
      </c>
      <c r="C59" s="10">
        <f>+E51</f>
        <v>48069.758117424666</v>
      </c>
      <c r="E59" s="85"/>
      <c r="F59" s="85"/>
      <c r="G59" s="103" t="s">
        <v>88</v>
      </c>
      <c r="H59" s="103" t="s">
        <v>87</v>
      </c>
      <c r="I59" s="104" t="s">
        <v>89</v>
      </c>
      <c r="J59" s="104" t="s">
        <v>90</v>
      </c>
      <c r="K59" s="104" t="s">
        <v>91</v>
      </c>
    </row>
    <row r="60" spans="2:25" x14ac:dyDescent="0.25">
      <c r="B60" s="88" t="s">
        <v>85</v>
      </c>
      <c r="C60" s="10">
        <f>+C59*0.21</f>
        <v>10094.649204659179</v>
      </c>
      <c r="E60" s="85"/>
      <c r="F60" s="85"/>
      <c r="G60" s="105">
        <v>2026</v>
      </c>
      <c r="H60" s="106">
        <f>+E51</f>
        <v>48069.758117424666</v>
      </c>
      <c r="I60" s="107">
        <v>21</v>
      </c>
      <c r="J60" s="108">
        <f t="shared" ref="J60:J65" si="6">+H60*0.21</f>
        <v>10094.649204659179</v>
      </c>
      <c r="K60" s="108">
        <f t="shared" ref="K60:K65" si="7">+H60+J60</f>
        <v>58164.407322083847</v>
      </c>
    </row>
    <row r="61" spans="2:25" ht="30.75" thickBot="1" x14ac:dyDescent="0.3">
      <c r="B61" s="90" t="s">
        <v>86</v>
      </c>
      <c r="C61" s="91">
        <f>+C59+C60</f>
        <v>58164.407322083847</v>
      </c>
      <c r="E61" s="85"/>
      <c r="F61" s="85"/>
      <c r="G61" s="105">
        <v>2027</v>
      </c>
      <c r="H61" s="106">
        <f>+J51</f>
        <v>49511.850860947394</v>
      </c>
      <c r="I61" s="107">
        <v>21</v>
      </c>
      <c r="J61" s="108">
        <f t="shared" si="6"/>
        <v>10397.488680798951</v>
      </c>
      <c r="K61" s="108">
        <f t="shared" si="7"/>
        <v>59909.339541746347</v>
      </c>
    </row>
    <row r="62" spans="2:25" ht="15.75" thickTop="1" x14ac:dyDescent="0.25">
      <c r="C62" s="86">
        <f>+C61-E53</f>
        <v>0</v>
      </c>
      <c r="E62" s="85"/>
      <c r="F62" s="85"/>
      <c r="G62" s="105">
        <v>2028</v>
      </c>
      <c r="H62" s="106">
        <f>+O51</f>
        <v>50997.206386775826</v>
      </c>
      <c r="I62" s="107">
        <v>21</v>
      </c>
      <c r="J62" s="108">
        <f t="shared" si="6"/>
        <v>10709.413341222924</v>
      </c>
      <c r="K62" s="108">
        <f t="shared" si="7"/>
        <v>61706.619727998754</v>
      </c>
    </row>
    <row r="63" spans="2:25" x14ac:dyDescent="0.25">
      <c r="E63" s="85"/>
      <c r="F63" s="85"/>
      <c r="G63" s="105">
        <v>2029</v>
      </c>
      <c r="H63" s="106">
        <f>+T51</f>
        <v>52527.122578379109</v>
      </c>
      <c r="I63" s="107">
        <v>21</v>
      </c>
      <c r="J63" s="108">
        <f t="shared" si="6"/>
        <v>11030.695741459613</v>
      </c>
      <c r="K63" s="108">
        <f t="shared" si="7"/>
        <v>63557.81831983872</v>
      </c>
    </row>
    <row r="64" spans="2:25" x14ac:dyDescent="0.25">
      <c r="E64" s="85"/>
      <c r="F64" s="85"/>
      <c r="G64" s="105">
        <v>2030</v>
      </c>
      <c r="H64" s="106">
        <f>+Y51</f>
        <v>54102.936255730463</v>
      </c>
      <c r="I64" s="107">
        <v>21</v>
      </c>
      <c r="J64" s="108">
        <f t="shared" si="6"/>
        <v>11361.616613703396</v>
      </c>
      <c r="K64" s="108">
        <f t="shared" si="7"/>
        <v>65464.552869433857</v>
      </c>
    </row>
    <row r="65" spans="6:11" x14ac:dyDescent="0.25">
      <c r="F65" s="85"/>
      <c r="G65" s="107" t="s">
        <v>98</v>
      </c>
      <c r="H65" s="106">
        <f>+(H60+H61+H62)*0.2</f>
        <v>29715.763073029579</v>
      </c>
      <c r="I65" s="107">
        <v>21</v>
      </c>
      <c r="J65" s="108">
        <f t="shared" si="6"/>
        <v>6240.3102453362117</v>
      </c>
      <c r="K65" s="108">
        <f t="shared" si="7"/>
        <v>35956.073318365787</v>
      </c>
    </row>
    <row r="66" spans="6:11" ht="15.75" thickBot="1" x14ac:dyDescent="0.3">
      <c r="G66" s="109" t="s">
        <v>92</v>
      </c>
      <c r="H66" s="110">
        <f>+SUM(H60:H65)</f>
        <v>284924.63727228704</v>
      </c>
      <c r="I66" s="111"/>
      <c r="J66" s="112">
        <f>+SUM(J60:J65)</f>
        <v>59834.173827180275</v>
      </c>
      <c r="K66" s="112">
        <f>+SUM(K60:K65)</f>
        <v>344758.81109946728</v>
      </c>
    </row>
    <row r="67" spans="6:11" ht="15.75" thickTop="1" x14ac:dyDescent="0.25"/>
  </sheetData>
  <mergeCells count="1">
    <mergeCell ref="A37:A47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96FBA2-498A-41C1-ABF8-B0EF7257DB90}">
  <dimension ref="A2:Y69"/>
  <sheetViews>
    <sheetView showGridLines="0" zoomScaleNormal="100" workbookViewId="0"/>
  </sheetViews>
  <sheetFormatPr baseColWidth="10" defaultColWidth="9.140625" defaultRowHeight="15" x14ac:dyDescent="0.25"/>
  <cols>
    <col min="1" max="1" width="20.7109375" customWidth="1"/>
    <col min="2" max="2" width="50" customWidth="1"/>
    <col min="3" max="3" width="16.140625" customWidth="1"/>
    <col min="4" max="4" width="29.140625" bestFit="1" customWidth="1"/>
    <col min="5" max="5" width="13.7109375" bestFit="1" customWidth="1"/>
    <col min="6" max="6" width="18.140625" bestFit="1" customWidth="1"/>
    <col min="7" max="7" width="29.5703125" customWidth="1"/>
    <col min="8" max="8" width="13.28515625" customWidth="1"/>
    <col min="9" max="9" width="14.140625" customWidth="1"/>
    <col min="10" max="10" width="17.28515625" customWidth="1"/>
    <col min="11" max="11" width="13.28515625" customWidth="1"/>
    <col min="12" max="12" width="44" customWidth="1"/>
    <col min="13" max="13" width="12.140625" bestFit="1" customWidth="1"/>
    <col min="14" max="14" width="18" bestFit="1" customWidth="1"/>
    <col min="15" max="15" width="16.5703125" bestFit="1" customWidth="1"/>
    <col min="16" max="16" width="13.28515625" customWidth="1"/>
    <col min="17" max="17" width="42.140625" customWidth="1"/>
    <col min="18" max="18" width="12.140625" bestFit="1" customWidth="1"/>
    <col min="19" max="19" width="18" bestFit="1" customWidth="1"/>
    <col min="20" max="20" width="16.5703125" bestFit="1" customWidth="1"/>
    <col min="21" max="21" width="13.28515625" customWidth="1"/>
    <col min="22" max="22" width="29.85546875" customWidth="1"/>
    <col min="23" max="23" width="12.140625" bestFit="1" customWidth="1"/>
    <col min="24" max="24" width="13.140625" bestFit="1" customWidth="1"/>
    <col min="25" max="25" width="13.7109375" bestFit="1" customWidth="1"/>
  </cols>
  <sheetData>
    <row r="2" spans="1:10" x14ac:dyDescent="0.25">
      <c r="B2" s="5" t="s">
        <v>107</v>
      </c>
      <c r="C2" s="4"/>
      <c r="D2" s="4"/>
    </row>
    <row r="4" spans="1:10" ht="15" customHeight="1" x14ac:dyDescent="0.25">
      <c r="A4" s="116"/>
      <c r="B4" s="3" t="s">
        <v>118</v>
      </c>
      <c r="J4" s="195"/>
    </row>
    <row r="5" spans="1:10" ht="15" customHeight="1" x14ac:dyDescent="0.25">
      <c r="B5" s="155" t="s">
        <v>46</v>
      </c>
      <c r="C5" s="156" t="s">
        <v>52</v>
      </c>
      <c r="D5" s="155" t="s">
        <v>101</v>
      </c>
      <c r="E5" s="155" t="s">
        <v>100</v>
      </c>
      <c r="F5" s="156" t="s">
        <v>54</v>
      </c>
      <c r="J5" s="195"/>
    </row>
    <row r="6" spans="1:10" x14ac:dyDescent="0.25">
      <c r="B6" s="119" t="s">
        <v>107</v>
      </c>
      <c r="C6" s="153">
        <f>+SUM(C7:C10)</f>
        <v>39</v>
      </c>
      <c r="D6" s="121"/>
      <c r="E6" s="122"/>
      <c r="F6" s="157">
        <f>+SUM(F7:F10)</f>
        <v>1912.25</v>
      </c>
    </row>
    <row r="7" spans="1:10" x14ac:dyDescent="0.25">
      <c r="B7" t="s">
        <v>49</v>
      </c>
      <c r="C7" s="144">
        <v>7.5</v>
      </c>
      <c r="D7" t="s">
        <v>104</v>
      </c>
      <c r="E7" s="117">
        <v>43.5</v>
      </c>
      <c r="F7" s="159">
        <f t="shared" ref="F7:F10" si="0">+C7*E7</f>
        <v>326.25</v>
      </c>
      <c r="G7" s="19"/>
    </row>
    <row r="8" spans="1:10" x14ac:dyDescent="0.25">
      <c r="B8" t="s">
        <v>132</v>
      </c>
      <c r="C8" s="57">
        <v>7.5</v>
      </c>
      <c r="D8" t="s">
        <v>103</v>
      </c>
      <c r="E8" s="117">
        <v>52</v>
      </c>
      <c r="F8" s="159">
        <f t="shared" si="0"/>
        <v>390</v>
      </c>
    </row>
    <row r="9" spans="1:10" x14ac:dyDescent="0.25">
      <c r="B9" t="s">
        <v>59</v>
      </c>
      <c r="C9" s="57">
        <v>4</v>
      </c>
      <c r="D9" t="s">
        <v>126</v>
      </c>
      <c r="E9" s="117">
        <v>39</v>
      </c>
      <c r="F9" s="159">
        <f t="shared" si="0"/>
        <v>156</v>
      </c>
    </row>
    <row r="10" spans="1:10" ht="15.75" thickBot="1" x14ac:dyDescent="0.3">
      <c r="B10" t="s">
        <v>127</v>
      </c>
      <c r="C10" s="57">
        <v>20</v>
      </c>
      <c r="D10" t="s">
        <v>103</v>
      </c>
      <c r="E10" s="117">
        <v>52</v>
      </c>
      <c r="F10" s="159">
        <f t="shared" si="0"/>
        <v>1040</v>
      </c>
    </row>
    <row r="11" spans="1:10" ht="15.75" thickBot="1" x14ac:dyDescent="0.3">
      <c r="B11" s="69" t="s">
        <v>70</v>
      </c>
      <c r="C11" s="70"/>
      <c r="D11" s="70"/>
      <c r="E11" s="70"/>
      <c r="F11" s="71">
        <f>+F6</f>
        <v>1912.25</v>
      </c>
    </row>
    <row r="12" spans="1:10" x14ac:dyDescent="0.25">
      <c r="B12" s="63"/>
      <c r="C12" s="135" t="s">
        <v>158</v>
      </c>
      <c r="D12" s="135"/>
      <c r="E12" s="135"/>
      <c r="F12" s="136">
        <f>+F11*0.015</f>
        <v>28.68375</v>
      </c>
    </row>
    <row r="13" spans="1:10" x14ac:dyDescent="0.25">
      <c r="B13" s="196"/>
      <c r="C13" s="4" t="s">
        <v>159</v>
      </c>
      <c r="D13" s="4"/>
      <c r="E13" s="4"/>
      <c r="F13" s="197">
        <f>+F11-F12</f>
        <v>1883.5662500000001</v>
      </c>
    </row>
    <row r="14" spans="1:10" x14ac:dyDescent="0.25">
      <c r="B14" s="114"/>
      <c r="C14" s="113"/>
      <c r="D14" s="115"/>
      <c r="E14" s="40"/>
      <c r="F14" s="40"/>
    </row>
    <row r="15" spans="1:10" x14ac:dyDescent="0.25">
      <c r="B15" s="114"/>
      <c r="C15" s="113"/>
      <c r="D15" s="115"/>
      <c r="E15" s="40"/>
      <c r="F15" s="40"/>
    </row>
    <row r="16" spans="1:10" x14ac:dyDescent="0.25">
      <c r="B16" s="114"/>
      <c r="C16" s="113"/>
      <c r="D16" s="118"/>
      <c r="E16" s="40"/>
      <c r="F16" s="40"/>
    </row>
    <row r="17" spans="2:8" x14ac:dyDescent="0.25">
      <c r="C17" s="3" t="s">
        <v>10</v>
      </c>
    </row>
    <row r="18" spans="2:8" ht="45" x14ac:dyDescent="0.25">
      <c r="B18" s="6"/>
      <c r="C18" s="132" t="s">
        <v>6</v>
      </c>
      <c r="D18" s="132" t="s">
        <v>7</v>
      </c>
      <c r="F18" s="133" t="s">
        <v>27</v>
      </c>
      <c r="G18" s="134"/>
    </row>
    <row r="19" spans="2:8" x14ac:dyDescent="0.25">
      <c r="B19" s="14" t="s">
        <v>8</v>
      </c>
      <c r="C19" s="24">
        <v>996.2</v>
      </c>
      <c r="D19" s="24">
        <v>976.24</v>
      </c>
      <c r="F19" s="123" t="s">
        <v>109</v>
      </c>
      <c r="G19" s="35">
        <v>1.4999999999999999E-2</v>
      </c>
    </row>
    <row r="20" spans="2:8" x14ac:dyDescent="0.25">
      <c r="B20" s="14" t="s">
        <v>9</v>
      </c>
      <c r="C20" s="24">
        <v>202.32</v>
      </c>
      <c r="D20" s="24">
        <v>202.32</v>
      </c>
      <c r="F20" s="123" t="s">
        <v>110</v>
      </c>
      <c r="G20" s="36">
        <v>0.03</v>
      </c>
    </row>
    <row r="21" spans="2:8" x14ac:dyDescent="0.25">
      <c r="B21" s="15" t="s">
        <v>11</v>
      </c>
      <c r="C21" s="9">
        <f>+C19+C20</f>
        <v>1198.52</v>
      </c>
      <c r="D21" s="9">
        <f>+D19+D20</f>
        <v>1178.56</v>
      </c>
      <c r="F21" s="123" t="s">
        <v>111</v>
      </c>
      <c r="G21" s="36">
        <v>2.5000000000000001E-2</v>
      </c>
    </row>
    <row r="22" spans="2:8" x14ac:dyDescent="0.25">
      <c r="B22" s="14" t="s">
        <v>12</v>
      </c>
      <c r="C22" s="10">
        <f>+C21*12</f>
        <v>14382.24</v>
      </c>
      <c r="D22" s="10">
        <f>+D21*12</f>
        <v>14142.72</v>
      </c>
      <c r="F22" s="124" t="s">
        <v>112</v>
      </c>
      <c r="G22" s="38">
        <v>3.2500000000000001E-2</v>
      </c>
    </row>
    <row r="23" spans="2:8" ht="15.75" thickBot="1" x14ac:dyDescent="0.3">
      <c r="B23" s="16" t="s">
        <v>13</v>
      </c>
      <c r="C23" s="11">
        <f>+((C19*12)/365)*90+(C20*3)</f>
        <v>3554.6202739726032</v>
      </c>
      <c r="D23" s="11">
        <f>+((D19*12)/365)*90+(D20*3)</f>
        <v>3495.5605479452056</v>
      </c>
      <c r="F23" s="150" t="s">
        <v>28</v>
      </c>
      <c r="G23" s="151">
        <f>+AVERAGE(G20:G22)</f>
        <v>2.9166666666666664E-2</v>
      </c>
    </row>
    <row r="24" spans="2:8" ht="15.75" thickTop="1" x14ac:dyDescent="0.25">
      <c r="B24" s="17" t="s">
        <v>19</v>
      </c>
      <c r="C24" s="12">
        <f>+C22+C23</f>
        <v>17936.860273972605</v>
      </c>
      <c r="D24" s="12">
        <f>+D22+D23</f>
        <v>17638.280547945204</v>
      </c>
    </row>
    <row r="25" spans="2:8" ht="37.5" customHeight="1" x14ac:dyDescent="0.25">
      <c r="B25" s="25" t="s">
        <v>14</v>
      </c>
      <c r="C25" s="13">
        <v>1792</v>
      </c>
      <c r="D25" s="13">
        <v>1792</v>
      </c>
      <c r="F25" s="129" t="s">
        <v>99</v>
      </c>
      <c r="G25" s="130" t="s">
        <v>20</v>
      </c>
      <c r="H25" s="131" t="s">
        <v>21</v>
      </c>
    </row>
    <row r="26" spans="2:8" x14ac:dyDescent="0.25">
      <c r="B26" s="14" t="s">
        <v>16</v>
      </c>
      <c r="C26" s="18">
        <f>+C24/C25</f>
        <v>10.009408635029356</v>
      </c>
      <c r="D26" s="18">
        <f>+D24/D25</f>
        <v>9.8427904843444214</v>
      </c>
      <c r="E26" s="19"/>
      <c r="F26" s="127">
        <v>2025</v>
      </c>
      <c r="G26" s="125">
        <f>+C31</f>
        <v>26008.447397260279</v>
      </c>
      <c r="H26" s="125">
        <f>+D31</f>
        <v>25575.506794520545</v>
      </c>
    </row>
    <row r="27" spans="2:8" ht="41.25" x14ac:dyDescent="0.25">
      <c r="B27" s="81" t="s">
        <v>79</v>
      </c>
      <c r="C27" s="82">
        <f>+C26*0.34</f>
        <v>3.4031989359099812</v>
      </c>
      <c r="D27" s="82">
        <f>+D26*0.34</f>
        <v>3.3465487646771037</v>
      </c>
      <c r="F27" s="128" t="s">
        <v>119</v>
      </c>
      <c r="G27" s="126">
        <f t="shared" ref="G27:H31" si="1">G26*1.03</f>
        <v>26788.700819178088</v>
      </c>
      <c r="H27" s="126">
        <f t="shared" si="1"/>
        <v>26342.771998356162</v>
      </c>
    </row>
    <row r="28" spans="2:8" x14ac:dyDescent="0.25">
      <c r="B28" s="83" t="s">
        <v>38</v>
      </c>
      <c r="C28" s="84">
        <f>+C26*0.05</f>
        <v>0.50047043175146777</v>
      </c>
      <c r="D28" s="84">
        <f>+D26*0.05</f>
        <v>0.49213952421722107</v>
      </c>
      <c r="F28" s="128" t="s">
        <v>120</v>
      </c>
      <c r="G28" s="126">
        <f t="shared" si="1"/>
        <v>27592.361843753431</v>
      </c>
      <c r="H28" s="126">
        <f t="shared" si="1"/>
        <v>27133.055158306848</v>
      </c>
    </row>
    <row r="29" spans="2:8" ht="30" x14ac:dyDescent="0.25">
      <c r="B29" s="83" t="s">
        <v>15</v>
      </c>
      <c r="C29" s="84">
        <f>+C26*0.06</f>
        <v>0.60056451810176137</v>
      </c>
      <c r="D29" s="84">
        <f>+D26*0.06</f>
        <v>0.59056742906066528</v>
      </c>
      <c r="F29" s="128" t="s">
        <v>121</v>
      </c>
      <c r="G29" s="126">
        <f t="shared" si="1"/>
        <v>28420.132699066035</v>
      </c>
      <c r="H29" s="126">
        <f t="shared" si="1"/>
        <v>27947.046813056055</v>
      </c>
    </row>
    <row r="30" spans="2:8" x14ac:dyDescent="0.25">
      <c r="B30" s="20" t="s">
        <v>17</v>
      </c>
      <c r="C30" s="21">
        <f>+SUM(C26:C29)</f>
        <v>14.513642520792565</v>
      </c>
      <c r="D30" s="21">
        <f>+SUM(D26:D29)</f>
        <v>14.272046202299411</v>
      </c>
      <c r="E30" s="19"/>
      <c r="F30" s="128" t="s">
        <v>122</v>
      </c>
      <c r="G30" s="126">
        <f t="shared" si="1"/>
        <v>29272.736680038015</v>
      </c>
      <c r="H30" s="126">
        <f t="shared" si="1"/>
        <v>28785.458217447736</v>
      </c>
    </row>
    <row r="31" spans="2:8" x14ac:dyDescent="0.25">
      <c r="B31" s="22" t="s">
        <v>18</v>
      </c>
      <c r="C31" s="23">
        <f>+C30*C25</f>
        <v>26008.447397260279</v>
      </c>
      <c r="D31" s="23">
        <f>+D30*D25</f>
        <v>25575.506794520545</v>
      </c>
      <c r="F31" s="128" t="s">
        <v>123</v>
      </c>
      <c r="G31" s="126">
        <f t="shared" si="1"/>
        <v>30150.918780439155</v>
      </c>
      <c r="H31" s="126">
        <f t="shared" si="1"/>
        <v>29649.021963971169</v>
      </c>
    </row>
    <row r="32" spans="2:8" ht="15.75" thickBot="1" x14ac:dyDescent="0.3">
      <c r="B32" s="3"/>
      <c r="C32" s="19"/>
      <c r="F32" s="29" t="s">
        <v>29</v>
      </c>
      <c r="G32" s="30">
        <f>AVERAGE(G26:G31)</f>
        <v>28038.883036622501</v>
      </c>
      <c r="H32" s="30">
        <f>AVERAGE(H26:H31)</f>
        <v>27572.143490943086</v>
      </c>
    </row>
    <row r="33" spans="1:25" ht="15.75" thickTop="1" x14ac:dyDescent="0.25">
      <c r="B33" s="3"/>
      <c r="C33" s="19"/>
    </row>
    <row r="37" spans="1:25" ht="15.75" thickBot="1" x14ac:dyDescent="0.3">
      <c r="B37" s="1"/>
    </row>
    <row r="38" spans="1:25" s="95" customFormat="1" ht="45.75" thickBot="1" x14ac:dyDescent="0.3">
      <c r="B38" s="96" t="s">
        <v>80</v>
      </c>
      <c r="C38" s="97" t="s">
        <v>20</v>
      </c>
      <c r="D38" s="98" t="s">
        <v>21</v>
      </c>
      <c r="E38" s="98" t="s">
        <v>113</v>
      </c>
      <c r="G38" s="96" t="s">
        <v>81</v>
      </c>
      <c r="H38" s="97" t="s">
        <v>20</v>
      </c>
      <c r="I38" s="98" t="s">
        <v>21</v>
      </c>
      <c r="J38" s="98" t="s">
        <v>114</v>
      </c>
      <c r="L38" s="96" t="s">
        <v>82</v>
      </c>
      <c r="M38" s="97" t="s">
        <v>20</v>
      </c>
      <c r="N38" s="98" t="s">
        <v>21</v>
      </c>
      <c r="O38" s="98" t="s">
        <v>115</v>
      </c>
      <c r="Q38" s="96" t="s">
        <v>83</v>
      </c>
      <c r="R38" s="97" t="s">
        <v>20</v>
      </c>
      <c r="S38" s="98" t="s">
        <v>21</v>
      </c>
      <c r="T38" s="98" t="s">
        <v>116</v>
      </c>
      <c r="V38" s="96" t="s">
        <v>84</v>
      </c>
      <c r="W38" s="97" t="s">
        <v>20</v>
      </c>
      <c r="X38" s="98" t="s">
        <v>21</v>
      </c>
      <c r="Y38" s="98" t="s">
        <v>117</v>
      </c>
    </row>
    <row r="39" spans="1:25" x14ac:dyDescent="0.25">
      <c r="A39" s="234" t="s">
        <v>45</v>
      </c>
      <c r="B39" s="3" t="s">
        <v>30</v>
      </c>
      <c r="C39" s="41">
        <f>+G27</f>
        <v>26788.700819178088</v>
      </c>
      <c r="D39" s="41">
        <f>+H27</f>
        <v>26342.771998356162</v>
      </c>
      <c r="E39" s="137">
        <f>+C39+D39</f>
        <v>53131.472817534246</v>
      </c>
      <c r="G39" s="3" t="s">
        <v>30</v>
      </c>
      <c r="H39" s="41">
        <f>+G28</f>
        <v>27592.361843753431</v>
      </c>
      <c r="I39" s="41">
        <f>H28</f>
        <v>27133.055158306848</v>
      </c>
      <c r="J39" s="137">
        <f>+H39+I39</f>
        <v>54725.417002060276</v>
      </c>
      <c r="L39" s="3" t="s">
        <v>30</v>
      </c>
      <c r="M39" s="41">
        <f>+G29</f>
        <v>28420.132699066035</v>
      </c>
      <c r="N39" s="41">
        <f>+H29</f>
        <v>27947.046813056055</v>
      </c>
      <c r="O39" s="137">
        <f>+M39+N39</f>
        <v>56367.179512122093</v>
      </c>
      <c r="Q39" s="3" t="s">
        <v>30</v>
      </c>
      <c r="R39" s="41">
        <f>+G30</f>
        <v>29272.736680038015</v>
      </c>
      <c r="S39" s="41">
        <f>+H30</f>
        <v>28785.458217447736</v>
      </c>
      <c r="T39" s="137">
        <f>+R39+S39</f>
        <v>58058.194897485751</v>
      </c>
      <c r="V39" s="3" t="s">
        <v>30</v>
      </c>
      <c r="W39" s="41">
        <f>+G31</f>
        <v>30150.918780439155</v>
      </c>
      <c r="X39" s="41">
        <f>+H31</f>
        <v>29649.021963971169</v>
      </c>
      <c r="Y39" s="137">
        <f>+W39+X39</f>
        <v>59799.940744410327</v>
      </c>
    </row>
    <row r="40" spans="1:25" x14ac:dyDescent="0.25">
      <c r="A40" s="235"/>
      <c r="B40" t="s">
        <v>39</v>
      </c>
      <c r="C40" s="45">
        <f>+$C$39*0.025</f>
        <v>669.71752047945222</v>
      </c>
      <c r="D40" s="45">
        <f>+$D$39*0.025</f>
        <v>658.56929995890414</v>
      </c>
      <c r="E40" s="99">
        <f t="shared" ref="E40:E44" si="2">+C40+D40</f>
        <v>1328.2868204383562</v>
      </c>
      <c r="F40" s="85"/>
      <c r="G40" t="s">
        <v>39</v>
      </c>
      <c r="H40" s="45">
        <f>+$H39*0.025</f>
        <v>689.80904609383583</v>
      </c>
      <c r="I40" s="45">
        <f>+$I39*0.025</f>
        <v>678.3263789576713</v>
      </c>
      <c r="J40" s="99">
        <f t="shared" ref="J40:J44" si="3">+H40+I40</f>
        <v>1368.1354250515071</v>
      </c>
      <c r="L40" t="s">
        <v>39</v>
      </c>
      <c r="M40" s="45">
        <f>+$M$39*0.025</f>
        <v>710.50331747665086</v>
      </c>
      <c r="N40" s="45">
        <f>+$N$39*0.025</f>
        <v>698.67617032640146</v>
      </c>
      <c r="O40" s="99">
        <f t="shared" ref="O40:O44" si="4">+M40+N40</f>
        <v>1409.1794878030523</v>
      </c>
      <c r="Q40" t="s">
        <v>39</v>
      </c>
      <c r="R40" s="45">
        <f>+$R$39*0.025</f>
        <v>731.81841700095038</v>
      </c>
      <c r="S40" s="45">
        <f>+$S$39*0.025</f>
        <v>719.6364554361935</v>
      </c>
      <c r="T40" s="99">
        <f t="shared" ref="T40:T44" si="5">+R40+S40</f>
        <v>1451.4548724371439</v>
      </c>
      <c r="V40" t="s">
        <v>39</v>
      </c>
      <c r="W40" s="45">
        <f>+$W$39*0.025</f>
        <v>753.7729695109789</v>
      </c>
      <c r="X40" s="45">
        <f>+$X$39*0.025</f>
        <v>741.22554909927931</v>
      </c>
      <c r="Y40" s="99">
        <f t="shared" ref="Y40:Y44" si="6">+W40+X40</f>
        <v>1494.9985186102581</v>
      </c>
    </row>
    <row r="41" spans="1:25" x14ac:dyDescent="0.25">
      <c r="A41" s="235"/>
      <c r="B41" t="s">
        <v>40</v>
      </c>
      <c r="C41" s="45">
        <f>+$C$39*0.017</f>
        <v>455.4079139260275</v>
      </c>
      <c r="D41" s="45">
        <f>+$D$39*0.017</f>
        <v>447.82712397205478</v>
      </c>
      <c r="E41" s="99">
        <f t="shared" si="2"/>
        <v>903.23503789808228</v>
      </c>
      <c r="F41" s="85"/>
      <c r="G41" t="s">
        <v>40</v>
      </c>
      <c r="H41" s="45">
        <f>+$H39*0.017</f>
        <v>469.07015134380839</v>
      </c>
      <c r="I41" s="45">
        <f>+$I39*0.017</f>
        <v>461.26193769121647</v>
      </c>
      <c r="J41" s="99">
        <f t="shared" si="3"/>
        <v>930.33208903502486</v>
      </c>
      <c r="L41" t="s">
        <v>40</v>
      </c>
      <c r="M41" s="45">
        <f>+$M$39*0.017</f>
        <v>483.14225588412262</v>
      </c>
      <c r="N41" s="45">
        <f>+$N$39*0.017</f>
        <v>475.09979582195297</v>
      </c>
      <c r="O41" s="99">
        <f t="shared" si="4"/>
        <v>958.24205170607559</v>
      </c>
      <c r="Q41" t="s">
        <v>40</v>
      </c>
      <c r="R41" s="45">
        <f>+$R$39*0.017</f>
        <v>497.63652356064631</v>
      </c>
      <c r="S41" s="45">
        <f>+$S$39*0.017</f>
        <v>489.35278969661158</v>
      </c>
      <c r="T41" s="99">
        <f t="shared" si="5"/>
        <v>986.98931325725789</v>
      </c>
      <c r="V41" t="s">
        <v>40</v>
      </c>
      <c r="W41" s="45">
        <f>+$W$39*0.017</f>
        <v>512.56561926746565</v>
      </c>
      <c r="X41" s="45">
        <f>+$X$39*0.017</f>
        <v>504.03337338750993</v>
      </c>
      <c r="Y41" s="99">
        <f t="shared" si="6"/>
        <v>1016.5989926549755</v>
      </c>
    </row>
    <row r="42" spans="1:25" x14ac:dyDescent="0.25">
      <c r="A42" s="235"/>
      <c r="B42" t="s">
        <v>41</v>
      </c>
      <c r="C42" s="45">
        <f>+$C$39*0.08</f>
        <v>2143.0960655342469</v>
      </c>
      <c r="D42" s="45">
        <f>+$D$39*0.08</f>
        <v>2107.4217598684932</v>
      </c>
      <c r="E42" s="99">
        <f t="shared" si="2"/>
        <v>4250.5178254027396</v>
      </c>
      <c r="F42" s="85"/>
      <c r="G42" t="s">
        <v>41</v>
      </c>
      <c r="H42" s="45">
        <f>+H$39*0.08</f>
        <v>2207.3889475002748</v>
      </c>
      <c r="I42" s="45">
        <f>+I$39*0.08</f>
        <v>2170.6444126645479</v>
      </c>
      <c r="J42" s="99">
        <f t="shared" si="3"/>
        <v>4378.0333601648226</v>
      </c>
      <c r="L42" t="s">
        <v>41</v>
      </c>
      <c r="M42" s="45">
        <f>+$M$39*0.08</f>
        <v>2273.6106159252827</v>
      </c>
      <c r="N42" s="45">
        <f>+$N$39*0.08</f>
        <v>2235.7637450444845</v>
      </c>
      <c r="O42" s="99">
        <f t="shared" si="4"/>
        <v>4509.3743609697667</v>
      </c>
      <c r="Q42" t="s">
        <v>41</v>
      </c>
      <c r="R42" s="45">
        <f>+$R$39*0.08</f>
        <v>2341.8189344030411</v>
      </c>
      <c r="S42" s="45">
        <f>+$S$39*0.08</f>
        <v>2302.8366573958187</v>
      </c>
      <c r="T42" s="99">
        <f t="shared" si="5"/>
        <v>4644.6555917988599</v>
      </c>
      <c r="V42" t="s">
        <v>41</v>
      </c>
      <c r="W42" s="45">
        <f>+$W$39*0.08</f>
        <v>2412.0735024351325</v>
      </c>
      <c r="X42" s="45">
        <f>+$X$39*0.08</f>
        <v>2371.9217571176937</v>
      </c>
      <c r="Y42" s="99">
        <f t="shared" si="6"/>
        <v>4783.9952595528266</v>
      </c>
    </row>
    <row r="43" spans="1:25" x14ac:dyDescent="0.25">
      <c r="A43" s="235"/>
      <c r="B43" t="s">
        <v>94</v>
      </c>
      <c r="C43" s="8">
        <f>+$C$39*0.02</f>
        <v>535.77401638356173</v>
      </c>
      <c r="D43" s="8">
        <f>+$D$39*0.02</f>
        <v>526.85543996712329</v>
      </c>
      <c r="E43" s="138">
        <f t="shared" si="2"/>
        <v>1062.6294563506849</v>
      </c>
      <c r="F43" s="85"/>
      <c r="G43" t="s">
        <v>94</v>
      </c>
      <c r="H43" s="8">
        <f>+H$39*0.02</f>
        <v>551.84723687506869</v>
      </c>
      <c r="I43" s="8">
        <f>+I$39*0.02</f>
        <v>542.66110316613697</v>
      </c>
      <c r="J43" s="138">
        <f t="shared" si="3"/>
        <v>1094.5083400412057</v>
      </c>
      <c r="L43" t="s">
        <v>94</v>
      </c>
      <c r="M43" s="8">
        <f>+$M$39*0.02</f>
        <v>568.40265398132067</v>
      </c>
      <c r="N43" s="8">
        <f>+$N$39*0.02</f>
        <v>558.94093626112112</v>
      </c>
      <c r="O43" s="138">
        <f t="shared" si="4"/>
        <v>1127.3435902424417</v>
      </c>
      <c r="Q43" t="s">
        <v>94</v>
      </c>
      <c r="R43" s="8">
        <f>+$R$39*0.02</f>
        <v>585.45473360076028</v>
      </c>
      <c r="S43" s="8">
        <f>+$S$39*0.02</f>
        <v>575.70916434895469</v>
      </c>
      <c r="T43" s="138">
        <f t="shared" si="5"/>
        <v>1161.163897949715</v>
      </c>
      <c r="V43" t="s">
        <v>94</v>
      </c>
      <c r="W43" s="8">
        <f>+$W$39*0.02</f>
        <v>603.01837560878312</v>
      </c>
      <c r="X43" s="8">
        <f>+$X$39*0.02</f>
        <v>592.98043927942342</v>
      </c>
      <c r="Y43" s="138">
        <f t="shared" si="6"/>
        <v>1195.9988148882067</v>
      </c>
    </row>
    <row r="44" spans="1:25" x14ac:dyDescent="0.25">
      <c r="A44" s="235"/>
      <c r="B44" t="s">
        <v>95</v>
      </c>
      <c r="C44" s="148">
        <f>+$C$39*0.05</f>
        <v>1339.4350409589044</v>
      </c>
      <c r="D44" s="148">
        <f>+$D$39*0.05</f>
        <v>1317.1385999178083</v>
      </c>
      <c r="E44" s="149">
        <f t="shared" si="2"/>
        <v>2656.5736408767125</v>
      </c>
      <c r="F44" s="85"/>
      <c r="G44" t="s">
        <v>95</v>
      </c>
      <c r="H44" s="148">
        <f>+H$39*0.05</f>
        <v>1379.6180921876717</v>
      </c>
      <c r="I44" s="148">
        <f>+I$39*0.05</f>
        <v>1356.6527579153426</v>
      </c>
      <c r="J44" s="149">
        <f t="shared" si="3"/>
        <v>2736.2708501030143</v>
      </c>
      <c r="L44" t="s">
        <v>95</v>
      </c>
      <c r="M44" s="148">
        <f>+$M$39*0.05</f>
        <v>1421.0066349533017</v>
      </c>
      <c r="N44" s="148">
        <f>+$N$39*0.05</f>
        <v>1397.3523406528029</v>
      </c>
      <c r="O44" s="149">
        <f t="shared" si="4"/>
        <v>2818.3589756061047</v>
      </c>
      <c r="Q44" t="s">
        <v>95</v>
      </c>
      <c r="R44" s="148">
        <f>+$R$39*0.05</f>
        <v>1463.6368340019008</v>
      </c>
      <c r="S44" s="148">
        <f>+$S$39*0.05</f>
        <v>1439.272910872387</v>
      </c>
      <c r="T44" s="149">
        <f t="shared" si="5"/>
        <v>2902.9097448742878</v>
      </c>
      <c r="V44" t="s">
        <v>95</v>
      </c>
      <c r="W44" s="148">
        <f>+$W$39*0.05</f>
        <v>1507.5459390219578</v>
      </c>
      <c r="X44" s="148">
        <f>+$X$39*0.05</f>
        <v>1482.4510981985586</v>
      </c>
      <c r="Y44" s="149">
        <f t="shared" si="6"/>
        <v>2989.9970372205162</v>
      </c>
    </row>
    <row r="45" spans="1:25" x14ac:dyDescent="0.25">
      <c r="A45" s="235"/>
      <c r="B45" s="47" t="s">
        <v>32</v>
      </c>
      <c r="C45" s="48">
        <f>+SUM(C39:C44)</f>
        <v>31932.131376460282</v>
      </c>
      <c r="D45" s="48">
        <f>+SUM(D39:D44)</f>
        <v>31400.584222040547</v>
      </c>
      <c r="E45" s="89">
        <f>+SUM(E39:E44)</f>
        <v>63332.715598500821</v>
      </c>
      <c r="F45" s="85"/>
      <c r="G45" s="47" t="s">
        <v>32</v>
      </c>
      <c r="H45" s="48">
        <f>+SUM(H39:H44)</f>
        <v>32890.095317754094</v>
      </c>
      <c r="I45" s="49">
        <f>+SUM(I39:I44)</f>
        <v>32342.60174870176</v>
      </c>
      <c r="J45" s="89">
        <f>+SUM(J39:J44)</f>
        <v>65232.697066455847</v>
      </c>
      <c r="L45" s="47" t="s">
        <v>32</v>
      </c>
      <c r="M45" s="48">
        <f>+SUM(M39:M44)</f>
        <v>33876.798177286713</v>
      </c>
      <c r="N45" s="49">
        <f>+SUM(N39:N44)</f>
        <v>33312.879801162817</v>
      </c>
      <c r="O45" s="89">
        <f>+SUM(O39:O44)</f>
        <v>67189.67797844953</v>
      </c>
      <c r="Q45" s="47" t="s">
        <v>32</v>
      </c>
      <c r="R45" s="48">
        <f>+SUM(R39:R44)</f>
        <v>34893.10212260532</v>
      </c>
      <c r="S45" s="49">
        <f>+SUM(S39:S44)</f>
        <v>34312.266195197699</v>
      </c>
      <c r="T45" s="89">
        <f>+SUM(T39:T44)</f>
        <v>69205.368317803019</v>
      </c>
      <c r="V45" s="47" t="s">
        <v>32</v>
      </c>
      <c r="W45" s="48">
        <f>+SUM(W39:W44)</f>
        <v>35939.895186283473</v>
      </c>
      <c r="X45" s="49">
        <f>+SUM(X39:X44)</f>
        <v>35341.634181053632</v>
      </c>
      <c r="Y45" s="89">
        <f>+SUM(Y39:Y44)</f>
        <v>71281.529367337105</v>
      </c>
    </row>
    <row r="46" spans="1:25" x14ac:dyDescent="0.25">
      <c r="A46" s="235"/>
      <c r="B46" t="s">
        <v>43</v>
      </c>
      <c r="C46" s="46">
        <f>+C45*0.0125</f>
        <v>399.15164220575355</v>
      </c>
      <c r="D46" s="46">
        <f>+D45*0.0125</f>
        <v>392.50730277550684</v>
      </c>
      <c r="E46" s="99">
        <f>+E45*0.0125</f>
        <v>791.65894498126033</v>
      </c>
      <c r="F46" s="85"/>
      <c r="G46" t="s">
        <v>43</v>
      </c>
      <c r="H46" s="46">
        <f>+H45*0.0125</f>
        <v>411.12619147192618</v>
      </c>
      <c r="I46" s="46">
        <f>+I45*0.0125</f>
        <v>404.28252185877204</v>
      </c>
      <c r="J46" s="99">
        <f>+J45*0.0125</f>
        <v>815.40871333069811</v>
      </c>
      <c r="L46" t="s">
        <v>43</v>
      </c>
      <c r="M46" s="46">
        <f>+M45*0.0125</f>
        <v>423.45997721608393</v>
      </c>
      <c r="N46" s="46">
        <f>+N45*0.0125</f>
        <v>416.41099751453521</v>
      </c>
      <c r="O46" s="99">
        <f>+O45*0.0125</f>
        <v>839.8709747306192</v>
      </c>
      <c r="Q46" t="s">
        <v>43</v>
      </c>
      <c r="R46" s="46">
        <f>+R45*0.0125</f>
        <v>436.16377653256654</v>
      </c>
      <c r="S46" s="46">
        <f>+S45*0.0125</f>
        <v>428.90332743997124</v>
      </c>
      <c r="T46" s="99">
        <f>+T45*0.0125</f>
        <v>865.06710397253778</v>
      </c>
      <c r="V46" t="s">
        <v>43</v>
      </c>
      <c r="W46" s="46">
        <f>+W45*0.0125</f>
        <v>449.24868982854343</v>
      </c>
      <c r="X46" s="46">
        <f>+X45*0.0125</f>
        <v>441.7704272631704</v>
      </c>
      <c r="Y46" s="99">
        <f>+Y45*0.0125</f>
        <v>891.01911709171384</v>
      </c>
    </row>
    <row r="47" spans="1:25" x14ac:dyDescent="0.25">
      <c r="A47" s="235"/>
      <c r="B47" s="47" t="s">
        <v>36</v>
      </c>
      <c r="C47" s="48">
        <f>+C46</f>
        <v>399.15164220575355</v>
      </c>
      <c r="D47" s="48">
        <f>+D46</f>
        <v>392.50730277550684</v>
      </c>
      <c r="E47" s="89">
        <f>+E46</f>
        <v>791.65894498126033</v>
      </c>
      <c r="F47" s="85"/>
      <c r="G47" s="47" t="s">
        <v>36</v>
      </c>
      <c r="H47" s="48">
        <f>+H46</f>
        <v>411.12619147192618</v>
      </c>
      <c r="I47" s="49">
        <f>+I46</f>
        <v>404.28252185877204</v>
      </c>
      <c r="J47" s="89">
        <f>+J46</f>
        <v>815.40871333069811</v>
      </c>
      <c r="L47" s="47" t="s">
        <v>36</v>
      </c>
      <c r="M47" s="48">
        <f>+M46</f>
        <v>423.45997721608393</v>
      </c>
      <c r="N47" s="49">
        <f>+N46</f>
        <v>416.41099751453521</v>
      </c>
      <c r="O47" s="89">
        <f>+O46</f>
        <v>839.8709747306192</v>
      </c>
      <c r="Q47" s="47" t="s">
        <v>36</v>
      </c>
      <c r="R47" s="48">
        <f>+R46</f>
        <v>436.16377653256654</v>
      </c>
      <c r="S47" s="49">
        <f>+S46</f>
        <v>428.90332743997124</v>
      </c>
      <c r="T47" s="89">
        <f>+T46</f>
        <v>865.06710397253778</v>
      </c>
      <c r="V47" s="47" t="s">
        <v>36</v>
      </c>
      <c r="W47" s="48">
        <f>+W46</f>
        <v>449.24868982854343</v>
      </c>
      <c r="X47" s="49">
        <f>+X46</f>
        <v>441.7704272631704</v>
      </c>
      <c r="Y47" s="89">
        <f>+Y46</f>
        <v>891.01911709171384</v>
      </c>
    </row>
    <row r="48" spans="1:25" x14ac:dyDescent="0.25">
      <c r="A48" s="235"/>
      <c r="B48" s="42" t="s">
        <v>1</v>
      </c>
      <c r="C48" s="43">
        <f>+C45+C47</f>
        <v>32331.283018666036</v>
      </c>
      <c r="D48" s="43">
        <f>+D45+D47</f>
        <v>31793.091524816053</v>
      </c>
      <c r="E48" s="92">
        <f>+E45+E47</f>
        <v>64124.374543482081</v>
      </c>
      <c r="F48" s="85"/>
      <c r="G48" s="42" t="s">
        <v>1</v>
      </c>
      <c r="H48" s="43">
        <f>+H45+H47</f>
        <v>33301.221509226023</v>
      </c>
      <c r="I48" s="43">
        <f>+I45+I47</f>
        <v>32746.884270560531</v>
      </c>
      <c r="J48" s="92">
        <f>+J45+J47</f>
        <v>66048.105779786551</v>
      </c>
      <c r="L48" s="42" t="s">
        <v>1</v>
      </c>
      <c r="M48" s="43">
        <f>+M45+M47</f>
        <v>34300.258154502801</v>
      </c>
      <c r="N48" s="43">
        <f>+N45+N47</f>
        <v>33729.29079867735</v>
      </c>
      <c r="O48" s="92">
        <f>+O45+O47</f>
        <v>68029.548953180143</v>
      </c>
      <c r="Q48" s="42" t="s">
        <v>1</v>
      </c>
      <c r="R48" s="43">
        <f>+R45+R47</f>
        <v>35329.265899137885</v>
      </c>
      <c r="S48" s="43">
        <f>+S45+S47</f>
        <v>34741.169522637669</v>
      </c>
      <c r="T48" s="92">
        <f>+T45+T47</f>
        <v>70070.435421775561</v>
      </c>
      <c r="V48" s="42" t="s">
        <v>1</v>
      </c>
      <c r="W48" s="43">
        <f>+W45+W47</f>
        <v>36389.143876112015</v>
      </c>
      <c r="X48" s="43">
        <f>+X45+X47</f>
        <v>35783.4046083168</v>
      </c>
      <c r="Y48" s="92">
        <f>+Y45+Y47</f>
        <v>72172.548484428815</v>
      </c>
    </row>
    <row r="49" spans="1:25" x14ac:dyDescent="0.25">
      <c r="A49" s="235"/>
      <c r="B49" t="s">
        <v>31</v>
      </c>
      <c r="C49" s="8">
        <f>+C48*0.13</f>
        <v>4203.0667924265845</v>
      </c>
      <c r="D49" s="8">
        <f>+D48*0.13</f>
        <v>4133.1018982260866</v>
      </c>
      <c r="E49" s="138">
        <f>+E48*0.13</f>
        <v>8336.1686906526702</v>
      </c>
      <c r="F49" s="85"/>
      <c r="G49" t="s">
        <v>31</v>
      </c>
      <c r="H49" s="8">
        <f>+H48*0.13</f>
        <v>4329.1587961993828</v>
      </c>
      <c r="I49" s="8">
        <f>+I48*0.13</f>
        <v>4257.094955172869</v>
      </c>
      <c r="J49" s="138">
        <f>+J48*0.13</f>
        <v>8586.2537513722527</v>
      </c>
      <c r="L49" t="s">
        <v>31</v>
      </c>
      <c r="M49" s="8">
        <f>+M48*0.13</f>
        <v>4459.0335600853641</v>
      </c>
      <c r="N49" s="8">
        <f>+N48*0.13</f>
        <v>4384.8078038280555</v>
      </c>
      <c r="O49" s="138">
        <f>+O48*0.13</f>
        <v>8843.8413639134196</v>
      </c>
      <c r="Q49" t="s">
        <v>31</v>
      </c>
      <c r="R49" s="8">
        <f>+R48*0.13</f>
        <v>4592.8045668879249</v>
      </c>
      <c r="S49" s="8">
        <f>+S48*0.13</f>
        <v>4516.3520379428974</v>
      </c>
      <c r="T49" s="138">
        <f>+T48*0.13</f>
        <v>9109.1566048308232</v>
      </c>
      <c r="V49" t="s">
        <v>31</v>
      </c>
      <c r="W49" s="8">
        <f>+W48*0.13</f>
        <v>4730.5887038945621</v>
      </c>
      <c r="X49" s="8">
        <f>+X48*0.13</f>
        <v>4651.8425990811838</v>
      </c>
      <c r="Y49" s="138">
        <f>+Y48*0.13</f>
        <v>9382.4313029757468</v>
      </c>
    </row>
    <row r="50" spans="1:25" x14ac:dyDescent="0.25">
      <c r="B50" t="s">
        <v>0</v>
      </c>
      <c r="C50" s="8">
        <f>+C48*0.06</f>
        <v>1939.876981119962</v>
      </c>
      <c r="D50" s="8">
        <f>+D48*0.06</f>
        <v>1907.585491488963</v>
      </c>
      <c r="E50" s="138">
        <f>+E48*0.06</f>
        <v>3847.4624726089246</v>
      </c>
      <c r="F50" s="85"/>
      <c r="G50" t="s">
        <v>0</v>
      </c>
      <c r="H50" s="8">
        <f>+H48*0.06</f>
        <v>1998.0732905535613</v>
      </c>
      <c r="I50" s="8">
        <f>+I48*0.06</f>
        <v>1964.8130562336319</v>
      </c>
      <c r="J50" s="138">
        <f>+J48*0.06</f>
        <v>3962.8863467871929</v>
      </c>
      <c r="L50" t="s">
        <v>0</v>
      </c>
      <c r="M50" s="8">
        <f>+M48*0.06</f>
        <v>2058.015489270168</v>
      </c>
      <c r="N50" s="8">
        <f>+N48*0.06</f>
        <v>2023.757447920641</v>
      </c>
      <c r="O50" s="138">
        <f>+O48*0.06</f>
        <v>4081.7729371908085</v>
      </c>
      <c r="Q50" t="s">
        <v>0</v>
      </c>
      <c r="R50" s="8">
        <f>+R48*0.06</f>
        <v>2119.7559539482731</v>
      </c>
      <c r="S50" s="8">
        <f>+S48*0.06</f>
        <v>2084.4701713582599</v>
      </c>
      <c r="T50" s="138">
        <f>+T48*0.06</f>
        <v>4204.2261253065335</v>
      </c>
      <c r="V50" t="s">
        <v>0</v>
      </c>
      <c r="W50" s="8">
        <f>+W48*0.06</f>
        <v>2183.3486325667209</v>
      </c>
      <c r="X50" s="8">
        <f>+X48*0.06</f>
        <v>2147.004276499008</v>
      </c>
      <c r="Y50" s="138">
        <f>+Y48*0.06</f>
        <v>4330.3529090657285</v>
      </c>
    </row>
    <row r="51" spans="1:25" x14ac:dyDescent="0.25">
      <c r="B51" s="50" t="s">
        <v>44</v>
      </c>
      <c r="C51" s="51">
        <f>+C48+C49+C50</f>
        <v>38474.226792212583</v>
      </c>
      <c r="D51" s="51">
        <f>+D48+D49+D50</f>
        <v>37833.778914531104</v>
      </c>
      <c r="E51" s="93">
        <f>+E48+E49+E50</f>
        <v>76308.005706743672</v>
      </c>
      <c r="G51" s="50" t="s">
        <v>44</v>
      </c>
      <c r="H51" s="51">
        <f>+H48+H49+H50</f>
        <v>39628.453595978972</v>
      </c>
      <c r="I51" s="51">
        <f>+I48+I49+I50</f>
        <v>38968.792281967028</v>
      </c>
      <c r="J51" s="93">
        <f>+J48+J49+J50</f>
        <v>78597.245877945999</v>
      </c>
      <c r="L51" s="50" t="s">
        <v>44</v>
      </c>
      <c r="M51" s="51">
        <f>+M48+M49+M50</f>
        <v>40817.307203858334</v>
      </c>
      <c r="N51" s="51">
        <f>+N48+N49+N50</f>
        <v>40137.856050426046</v>
      </c>
      <c r="O51" s="93">
        <f>+O48+O49+O50</f>
        <v>80955.163254284373</v>
      </c>
      <c r="Q51" s="50" t="s">
        <v>44</v>
      </c>
      <c r="R51" s="51">
        <f>+R48+R49+R50</f>
        <v>42041.826419974088</v>
      </c>
      <c r="S51" s="51">
        <f>+S48+S49+S50</f>
        <v>41341.991731938826</v>
      </c>
      <c r="T51" s="93">
        <f>+T48+T49+T50</f>
        <v>83383.818151912914</v>
      </c>
      <c r="V51" s="50" t="s">
        <v>44</v>
      </c>
      <c r="W51" s="51">
        <f>+W48+W49+W50</f>
        <v>43303.081212573292</v>
      </c>
      <c r="X51" s="51">
        <f>+X48+X49+X50</f>
        <v>42582.251483896987</v>
      </c>
      <c r="Y51" s="93">
        <f>+Y48+Y49+Y50</f>
        <v>85885.332696470286</v>
      </c>
    </row>
    <row r="52" spans="1:25" x14ac:dyDescent="0.25">
      <c r="B52" t="s">
        <v>73</v>
      </c>
      <c r="C52" s="8">
        <f>C51/1792</f>
        <v>21.469992629582915</v>
      </c>
      <c r="D52" s="8">
        <f>D51/1792</f>
        <v>21.112599840698159</v>
      </c>
      <c r="E52" s="139"/>
      <c r="G52" t="s">
        <v>73</v>
      </c>
      <c r="H52" s="8">
        <f>H51/1792</f>
        <v>22.114092408470409</v>
      </c>
      <c r="I52" s="8">
        <f>I51/1792</f>
        <v>21.745977835919099</v>
      </c>
      <c r="J52" s="139"/>
      <c r="L52" t="s">
        <v>73</v>
      </c>
      <c r="M52" s="8">
        <f>M51/1792</f>
        <v>22.777515180724517</v>
      </c>
      <c r="N52" s="8">
        <f>N51/1792</f>
        <v>22.398357170996679</v>
      </c>
      <c r="O52" s="139"/>
      <c r="Q52" t="s">
        <v>73</v>
      </c>
      <c r="R52" s="8">
        <f>R51/1792</f>
        <v>23.460840636146255</v>
      </c>
      <c r="S52" s="8">
        <f>S51/1792</f>
        <v>23.070307886126578</v>
      </c>
      <c r="T52" s="139"/>
      <c r="V52" t="s">
        <v>73</v>
      </c>
      <c r="W52" s="8">
        <f>W51/1792</f>
        <v>24.164665855230631</v>
      </c>
      <c r="X52" s="8">
        <f>X51/1792</f>
        <v>23.762417122710371</v>
      </c>
      <c r="Y52" s="139"/>
    </row>
    <row r="53" spans="1:25" ht="15.75" thickBot="1" x14ac:dyDescent="0.3">
      <c r="B53" s="72" t="s">
        <v>74</v>
      </c>
      <c r="C53" s="73">
        <f>+C52*$F$12</f>
        <v>615.83990108879891</v>
      </c>
      <c r="D53" s="73">
        <f>+D52*$F$13</f>
        <v>39766.980509694433</v>
      </c>
      <c r="E53" s="94">
        <f>+C53+D53</f>
        <v>40382.820410783235</v>
      </c>
      <c r="G53" s="72" t="s">
        <v>74</v>
      </c>
      <c r="H53" s="73">
        <f>+H52*$F$12</f>
        <v>634.31509812146305</v>
      </c>
      <c r="I53" s="73">
        <f>+I52*$F$13</f>
        <v>40959.989924985253</v>
      </c>
      <c r="J53" s="94">
        <f>+H53+I53</f>
        <v>41594.305023106717</v>
      </c>
      <c r="L53" s="72" t="s">
        <v>74</v>
      </c>
      <c r="M53" s="73">
        <f>+M52*$F$12</f>
        <v>653.34455106510688</v>
      </c>
      <c r="N53" s="73">
        <f>+N52*$F$13</f>
        <v>42188.789622734825</v>
      </c>
      <c r="O53" s="94">
        <f>+M53+N53</f>
        <v>42842.134173799932</v>
      </c>
      <c r="Q53" s="72" t="s">
        <v>74</v>
      </c>
      <c r="R53" s="73">
        <f>+R52*$F$12</f>
        <v>672.94488759706019</v>
      </c>
      <c r="S53" s="73">
        <f>+S52*$F$13</f>
        <v>43454.453311416866</v>
      </c>
      <c r="T53" s="94">
        <f>+R53+S53</f>
        <v>44127.398199013929</v>
      </c>
      <c r="V53" s="72" t="s">
        <v>74</v>
      </c>
      <c r="W53" s="73">
        <f>+W52*$F$12</f>
        <v>693.1332342249716</v>
      </c>
      <c r="X53" s="73">
        <f>+X52*$F$13</f>
        <v>44758.086910759368</v>
      </c>
      <c r="Y53" s="94">
        <f>+W53+X53</f>
        <v>45451.220144984341</v>
      </c>
    </row>
    <row r="54" spans="1:25" ht="15.75" thickTop="1" x14ac:dyDescent="0.25">
      <c r="B54" s="26" t="s">
        <v>76</v>
      </c>
      <c r="C54" s="77">
        <f>+C53*0.21</f>
        <v>129.32637922864777</v>
      </c>
      <c r="D54" s="77">
        <f>+D53*0.21</f>
        <v>8351.0659070358306</v>
      </c>
      <c r="E54" s="141">
        <f>+C54+D54</f>
        <v>8480.3922862644777</v>
      </c>
      <c r="G54" s="26" t="s">
        <v>76</v>
      </c>
      <c r="H54" s="77">
        <f>+H53*0.21</f>
        <v>133.20617060550722</v>
      </c>
      <c r="I54" s="77">
        <f>+I53*0.21</f>
        <v>8601.597884246903</v>
      </c>
      <c r="J54" s="141">
        <f>+H54+I54</f>
        <v>8734.8040548524095</v>
      </c>
      <c r="L54" s="26" t="s">
        <v>76</v>
      </c>
      <c r="M54" s="77">
        <f>+M53*0.21</f>
        <v>137.20235572367244</v>
      </c>
      <c r="N54" s="77">
        <f>+N53*0.21</f>
        <v>8859.6458207743126</v>
      </c>
      <c r="O54" s="141">
        <f>+M54+N54</f>
        <v>8996.8481764979842</v>
      </c>
      <c r="Q54" s="26" t="s">
        <v>76</v>
      </c>
      <c r="R54" s="77">
        <f>+R53*0.21</f>
        <v>141.31842639538263</v>
      </c>
      <c r="S54" s="77">
        <f>+S53*0.21</f>
        <v>9125.435195397542</v>
      </c>
      <c r="T54" s="141">
        <f>+R54+S54</f>
        <v>9266.7536217929246</v>
      </c>
      <c r="V54" s="26" t="s">
        <v>76</v>
      </c>
      <c r="W54" s="77">
        <f>+W53*0.21</f>
        <v>145.55797918724403</v>
      </c>
      <c r="X54" s="77">
        <f>+X53*0.21</f>
        <v>9399.1982512594677</v>
      </c>
      <c r="Y54" s="141">
        <f>+W54+X54</f>
        <v>9544.7562304467119</v>
      </c>
    </row>
    <row r="55" spans="1:25" ht="15.75" thickBot="1" x14ac:dyDescent="0.3">
      <c r="B55" s="78" t="s">
        <v>77</v>
      </c>
      <c r="C55" s="79">
        <f>+C53+C54</f>
        <v>745.16628031744665</v>
      </c>
      <c r="D55" s="79">
        <f>+D53+D54</f>
        <v>48118.046416730263</v>
      </c>
      <c r="E55" s="140">
        <f>+E53+E54</f>
        <v>48863.212697047711</v>
      </c>
      <c r="F55" s="1"/>
      <c r="G55" s="78" t="s">
        <v>77</v>
      </c>
      <c r="H55" s="79">
        <f>+H53+H54</f>
        <v>767.52126872697022</v>
      </c>
      <c r="I55" s="79">
        <f>+I53+I54</f>
        <v>49561.587809232158</v>
      </c>
      <c r="J55" s="140">
        <f>+J53+J54</f>
        <v>50329.109077959125</v>
      </c>
      <c r="L55" s="78" t="s">
        <v>77</v>
      </c>
      <c r="M55" s="79">
        <f>+M53+M54</f>
        <v>790.54690678877932</v>
      </c>
      <c r="N55" s="79">
        <f>+N53+N54</f>
        <v>51048.435443509137</v>
      </c>
      <c r="O55" s="140">
        <f>+O53+O54</f>
        <v>51838.982350297912</v>
      </c>
      <c r="Q55" s="78" t="s">
        <v>77</v>
      </c>
      <c r="R55" s="79">
        <f>+R53+R54</f>
        <v>814.26331399244282</v>
      </c>
      <c r="S55" s="79">
        <f>+S53+S54</f>
        <v>52579.888506814408</v>
      </c>
      <c r="T55" s="140">
        <f>+T53+T54</f>
        <v>53394.151820806852</v>
      </c>
      <c r="V55" s="78" t="s">
        <v>77</v>
      </c>
      <c r="W55" s="79">
        <f>+W53+W54</f>
        <v>838.69121341221557</v>
      </c>
      <c r="X55" s="79">
        <f>+X53+X54</f>
        <v>54157.285162018838</v>
      </c>
      <c r="Y55" s="140">
        <f>+Y53+Y54</f>
        <v>54995.976375431055</v>
      </c>
    </row>
    <row r="56" spans="1:25" ht="15.75" thickTop="1" x14ac:dyDescent="0.25">
      <c r="J56" s="142"/>
      <c r="O56" s="142"/>
      <c r="T56" s="142"/>
      <c r="Y56" s="142"/>
    </row>
    <row r="58" spans="1:25" ht="15.75" thickBot="1" x14ac:dyDescent="0.3"/>
    <row r="59" spans="1:25" ht="15.75" thickBot="1" x14ac:dyDescent="0.3">
      <c r="B59" s="100" t="s">
        <v>96</v>
      </c>
      <c r="C59" s="101"/>
      <c r="D59" s="101"/>
      <c r="E59" s="102"/>
      <c r="G59" s="100" t="s">
        <v>93</v>
      </c>
      <c r="H59" s="101"/>
      <c r="I59" s="101"/>
      <c r="J59" s="101"/>
      <c r="K59" s="102"/>
    </row>
    <row r="60" spans="1:25" ht="15" customHeight="1" x14ac:dyDescent="0.25">
      <c r="E60" s="85"/>
      <c r="F60" s="85"/>
    </row>
    <row r="61" spans="1:25" ht="30" x14ac:dyDescent="0.25">
      <c r="B61" s="88" t="s">
        <v>97</v>
      </c>
      <c r="C61" s="10">
        <f>+E53</f>
        <v>40382.820410783235</v>
      </c>
      <c r="E61" s="85"/>
      <c r="F61" s="85"/>
      <c r="G61" s="103" t="s">
        <v>88</v>
      </c>
      <c r="H61" s="103" t="s">
        <v>87</v>
      </c>
      <c r="I61" s="104" t="s">
        <v>89</v>
      </c>
      <c r="J61" s="104" t="s">
        <v>90</v>
      </c>
      <c r="K61" s="104" t="s">
        <v>91</v>
      </c>
    </row>
    <row r="62" spans="1:25" x14ac:dyDescent="0.25">
      <c r="B62" s="88" t="s">
        <v>85</v>
      </c>
      <c r="C62" s="10">
        <f>+C61*0.21</f>
        <v>8480.3922862644795</v>
      </c>
      <c r="E62" s="85"/>
      <c r="F62" s="85"/>
      <c r="G62" s="105">
        <v>2026</v>
      </c>
      <c r="H62" s="106">
        <f>+E53</f>
        <v>40382.820410783235</v>
      </c>
      <c r="I62" s="107">
        <v>21</v>
      </c>
      <c r="J62" s="108">
        <f t="shared" ref="J62:J67" si="7">+H62*0.21</f>
        <v>8480.3922862644795</v>
      </c>
      <c r="K62" s="108">
        <f t="shared" ref="K62:K67" si="8">+H62+J62</f>
        <v>48863.212697047711</v>
      </c>
    </row>
    <row r="63" spans="1:25" ht="30.75" thickBot="1" x14ac:dyDescent="0.3">
      <c r="B63" s="90" t="s">
        <v>86</v>
      </c>
      <c r="C63" s="91">
        <f>+C61+C62</f>
        <v>48863.212697047711</v>
      </c>
      <c r="E63" s="85"/>
      <c r="F63" s="85"/>
      <c r="G63" s="105">
        <v>2027</v>
      </c>
      <c r="H63" s="106">
        <f>+J53</f>
        <v>41594.305023106717</v>
      </c>
      <c r="I63" s="107">
        <v>21</v>
      </c>
      <c r="J63" s="108">
        <f t="shared" si="7"/>
        <v>8734.8040548524095</v>
      </c>
      <c r="K63" s="108">
        <f t="shared" si="8"/>
        <v>50329.109077959125</v>
      </c>
    </row>
    <row r="64" spans="1:25" ht="15.75" thickTop="1" x14ac:dyDescent="0.25">
      <c r="C64" s="86">
        <f>+C63-E55</f>
        <v>0</v>
      </c>
      <c r="E64" s="85"/>
      <c r="F64" s="85"/>
      <c r="G64" s="105">
        <v>2028</v>
      </c>
      <c r="H64" s="106">
        <f>+O53</f>
        <v>42842.134173799932</v>
      </c>
      <c r="I64" s="107">
        <v>21</v>
      </c>
      <c r="J64" s="108">
        <f t="shared" si="7"/>
        <v>8996.8481764979861</v>
      </c>
      <c r="K64" s="108">
        <f t="shared" si="8"/>
        <v>51838.98235029792</v>
      </c>
    </row>
    <row r="65" spans="5:11" x14ac:dyDescent="0.25">
      <c r="E65" s="85"/>
      <c r="F65" s="85"/>
      <c r="G65" s="105">
        <v>2029</v>
      </c>
      <c r="H65" s="106">
        <f>+T53</f>
        <v>44127.398199013929</v>
      </c>
      <c r="I65" s="107">
        <v>21</v>
      </c>
      <c r="J65" s="108">
        <f t="shared" si="7"/>
        <v>9266.7536217929246</v>
      </c>
      <c r="K65" s="108">
        <f t="shared" si="8"/>
        <v>53394.151820806852</v>
      </c>
    </row>
    <row r="66" spans="5:11" x14ac:dyDescent="0.25">
      <c r="E66" s="85"/>
      <c r="F66" s="85"/>
      <c r="G66" s="105">
        <v>2030</v>
      </c>
      <c r="H66" s="106">
        <f>+Y53</f>
        <v>45451.220144984341</v>
      </c>
      <c r="I66" s="107">
        <v>21</v>
      </c>
      <c r="J66" s="108">
        <f t="shared" si="7"/>
        <v>9544.7562304467119</v>
      </c>
      <c r="K66" s="108">
        <f t="shared" si="8"/>
        <v>54995.976375431055</v>
      </c>
    </row>
    <row r="67" spans="5:11" x14ac:dyDescent="0.25">
      <c r="F67" s="85"/>
      <c r="G67" s="107" t="s">
        <v>98</v>
      </c>
      <c r="H67" s="106">
        <f>+(H62+H63+H64)*0.2</f>
        <v>24963.851921537978</v>
      </c>
      <c r="I67" s="107">
        <v>21</v>
      </c>
      <c r="J67" s="108">
        <f t="shared" si="7"/>
        <v>5242.4089035229754</v>
      </c>
      <c r="K67" s="108">
        <f t="shared" si="8"/>
        <v>30206.260825060956</v>
      </c>
    </row>
    <row r="68" spans="5:11" ht="15.75" thickBot="1" x14ac:dyDescent="0.3">
      <c r="G68" s="109" t="s">
        <v>92</v>
      </c>
      <c r="H68" s="110">
        <f>+SUM(H62:H67)</f>
        <v>239361.72987322614</v>
      </c>
      <c r="I68" s="111"/>
      <c r="J68" s="112">
        <f>+SUM(J62:J67)</f>
        <v>50265.963273377492</v>
      </c>
      <c r="K68" s="112">
        <f>+SUM(K62:K67)</f>
        <v>289627.69314660359</v>
      </c>
    </row>
    <row r="69" spans="5:11" ht="15.75" thickTop="1" x14ac:dyDescent="0.25"/>
  </sheetData>
  <mergeCells count="1">
    <mergeCell ref="A39:A4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1BD7A9-769A-40A2-AAB1-E9C089CCDD3C}">
  <dimension ref="A2:Y72"/>
  <sheetViews>
    <sheetView showGridLines="0" zoomScaleNormal="100" workbookViewId="0"/>
  </sheetViews>
  <sheetFormatPr baseColWidth="10" defaultColWidth="9.140625" defaultRowHeight="15" x14ac:dyDescent="0.25"/>
  <cols>
    <col min="1" max="1" width="20.7109375" customWidth="1"/>
    <col min="2" max="2" width="50" customWidth="1"/>
    <col min="3" max="3" width="16.140625" customWidth="1"/>
    <col min="4" max="4" width="29.140625" bestFit="1" customWidth="1"/>
    <col min="5" max="5" width="13.7109375" bestFit="1" customWidth="1"/>
    <col min="6" max="6" width="18.140625" bestFit="1" customWidth="1"/>
    <col min="7" max="7" width="29.5703125" customWidth="1"/>
    <col min="8" max="8" width="13.28515625" customWidth="1"/>
    <col min="9" max="9" width="14.140625" customWidth="1"/>
    <col min="10" max="10" width="17.28515625" customWidth="1"/>
    <col min="11" max="11" width="13.28515625" customWidth="1"/>
    <col min="12" max="12" width="44" customWidth="1"/>
    <col min="13" max="13" width="12.140625" bestFit="1" customWidth="1"/>
    <col min="14" max="14" width="18" bestFit="1" customWidth="1"/>
    <col min="15" max="15" width="16.5703125" bestFit="1" customWidth="1"/>
    <col min="16" max="16" width="13.28515625" customWidth="1"/>
    <col min="17" max="17" width="42.140625" customWidth="1"/>
    <col min="18" max="18" width="12.140625" bestFit="1" customWidth="1"/>
    <col min="19" max="19" width="18" bestFit="1" customWidth="1"/>
    <col min="20" max="20" width="16.5703125" bestFit="1" customWidth="1"/>
    <col min="21" max="21" width="13.28515625" customWidth="1"/>
    <col min="22" max="22" width="29.85546875" customWidth="1"/>
    <col min="23" max="23" width="12.140625" bestFit="1" customWidth="1"/>
    <col min="24" max="24" width="13.140625" bestFit="1" customWidth="1"/>
    <col min="25" max="25" width="13.7109375" bestFit="1" customWidth="1"/>
  </cols>
  <sheetData>
    <row r="2" spans="1:10" x14ac:dyDescent="0.25">
      <c r="B2" s="5" t="s">
        <v>108</v>
      </c>
      <c r="C2" s="4"/>
      <c r="D2" s="4"/>
    </row>
    <row r="4" spans="1:10" x14ac:dyDescent="0.25">
      <c r="B4" s="3"/>
    </row>
    <row r="5" spans="1:10" ht="15" customHeight="1" x14ac:dyDescent="0.25">
      <c r="A5" s="116"/>
      <c r="B5" s="3" t="s">
        <v>118</v>
      </c>
      <c r="J5" s="195"/>
    </row>
    <row r="6" spans="1:10" ht="15" customHeight="1" x14ac:dyDescent="0.25">
      <c r="B6" s="155" t="s">
        <v>46</v>
      </c>
      <c r="C6" s="156" t="s">
        <v>52</v>
      </c>
      <c r="D6" s="155" t="s">
        <v>101</v>
      </c>
      <c r="E6" s="155" t="s">
        <v>100</v>
      </c>
      <c r="F6" s="156" t="s">
        <v>54</v>
      </c>
      <c r="J6" s="195"/>
    </row>
    <row r="7" spans="1:10" x14ac:dyDescent="0.25">
      <c r="B7" s="119" t="s">
        <v>108</v>
      </c>
      <c r="C7" s="120"/>
      <c r="D7" s="121"/>
      <c r="E7" s="122"/>
      <c r="F7" s="157">
        <f>+SUM(F8:F14)</f>
        <v>375</v>
      </c>
    </row>
    <row r="8" spans="1:10" x14ac:dyDescent="0.25">
      <c r="B8" t="s">
        <v>60</v>
      </c>
      <c r="C8" s="57">
        <v>2</v>
      </c>
      <c r="D8" t="s">
        <v>103</v>
      </c>
      <c r="E8" s="117">
        <v>52</v>
      </c>
      <c r="F8" s="160">
        <f t="shared" ref="F8:F12" si="0">+C8*E8</f>
        <v>104</v>
      </c>
    </row>
    <row r="9" spans="1:10" x14ac:dyDescent="0.25">
      <c r="B9" t="s">
        <v>143</v>
      </c>
      <c r="C9" s="57">
        <v>1</v>
      </c>
      <c r="D9" t="s">
        <v>103</v>
      </c>
      <c r="E9" s="117">
        <v>52</v>
      </c>
      <c r="F9" s="161">
        <f t="shared" si="0"/>
        <v>52</v>
      </c>
    </row>
    <row r="10" spans="1:10" x14ac:dyDescent="0.25">
      <c r="B10" t="s">
        <v>128</v>
      </c>
      <c r="C10" s="57"/>
      <c r="E10" s="117"/>
      <c r="F10" s="162">
        <v>20</v>
      </c>
    </row>
    <row r="11" spans="1:10" x14ac:dyDescent="0.25">
      <c r="B11" s="62" t="s">
        <v>69</v>
      </c>
      <c r="C11" s="57">
        <v>2.5</v>
      </c>
      <c r="D11" t="s">
        <v>103</v>
      </c>
      <c r="E11" s="117">
        <v>52</v>
      </c>
      <c r="F11" s="159">
        <f t="shared" si="0"/>
        <v>130</v>
      </c>
    </row>
    <row r="12" spans="1:10" x14ac:dyDescent="0.25">
      <c r="B12" t="s">
        <v>68</v>
      </c>
      <c r="C12" s="80">
        <v>0.80769230769230771</v>
      </c>
      <c r="D12" t="s">
        <v>103</v>
      </c>
      <c r="E12" s="117">
        <v>52</v>
      </c>
      <c r="F12" s="159">
        <f t="shared" si="0"/>
        <v>42</v>
      </c>
      <c r="G12" s="62" t="s">
        <v>78</v>
      </c>
    </row>
    <row r="13" spans="1:10" x14ac:dyDescent="0.25">
      <c r="B13" t="s">
        <v>129</v>
      </c>
      <c r="C13" s="80"/>
      <c r="E13" s="117"/>
      <c r="F13" s="159">
        <v>12</v>
      </c>
      <c r="G13" s="62"/>
    </row>
    <row r="14" spans="1:10" ht="15.75" thickBot="1" x14ac:dyDescent="0.3">
      <c r="B14" t="s">
        <v>144</v>
      </c>
      <c r="C14" s="152"/>
      <c r="D14" t="s">
        <v>103</v>
      </c>
      <c r="E14" s="152">
        <v>52</v>
      </c>
      <c r="F14" s="152">
        <v>15</v>
      </c>
      <c r="G14" s="62" t="s">
        <v>145</v>
      </c>
    </row>
    <row r="15" spans="1:10" ht="15.75" thickBot="1" x14ac:dyDescent="0.3">
      <c r="B15" s="69" t="s">
        <v>70</v>
      </c>
      <c r="C15" s="70"/>
      <c r="D15" s="70"/>
      <c r="E15" s="70"/>
      <c r="F15" s="71">
        <f>+F7</f>
        <v>375</v>
      </c>
    </row>
    <row r="16" spans="1:10" x14ac:dyDescent="0.25">
      <c r="B16" s="63"/>
      <c r="C16" s="135" t="s">
        <v>158</v>
      </c>
      <c r="D16" s="135"/>
      <c r="E16" s="135"/>
      <c r="F16" s="136">
        <f>+F15*0.015</f>
        <v>5.625</v>
      </c>
    </row>
    <row r="17" spans="2:8" x14ac:dyDescent="0.25">
      <c r="B17" s="196"/>
      <c r="C17" s="4" t="s">
        <v>159</v>
      </c>
      <c r="D17" s="4"/>
      <c r="E17" s="4"/>
      <c r="F17" s="197">
        <f>+F15-F16</f>
        <v>369.375</v>
      </c>
    </row>
    <row r="18" spans="2:8" x14ac:dyDescent="0.25">
      <c r="B18" s="114"/>
      <c r="C18" s="113"/>
      <c r="D18" s="115"/>
      <c r="E18" s="40"/>
      <c r="F18" s="40"/>
    </row>
    <row r="19" spans="2:8" x14ac:dyDescent="0.25">
      <c r="B19" s="114"/>
      <c r="C19" s="113"/>
      <c r="D19" s="118"/>
      <c r="E19" s="40"/>
      <c r="F19" s="40"/>
    </row>
    <row r="20" spans="2:8" x14ac:dyDescent="0.25">
      <c r="C20" s="3" t="s">
        <v>10</v>
      </c>
    </row>
    <row r="21" spans="2:8" ht="45" x14ac:dyDescent="0.25">
      <c r="B21" s="6"/>
      <c r="C21" s="132" t="s">
        <v>6</v>
      </c>
      <c r="D21" s="132" t="s">
        <v>7</v>
      </c>
      <c r="F21" s="133" t="s">
        <v>27</v>
      </c>
      <c r="G21" s="134"/>
    </row>
    <row r="22" spans="2:8" x14ac:dyDescent="0.25">
      <c r="B22" s="14" t="s">
        <v>8</v>
      </c>
      <c r="C22" s="24">
        <v>996.2</v>
      </c>
      <c r="D22" s="24">
        <v>976.24</v>
      </c>
      <c r="F22" s="123" t="s">
        <v>109</v>
      </c>
      <c r="G22" s="35">
        <v>1.4999999999999999E-2</v>
      </c>
    </row>
    <row r="23" spans="2:8" x14ac:dyDescent="0.25">
      <c r="B23" s="14" t="s">
        <v>9</v>
      </c>
      <c r="C23" s="24">
        <v>202.32</v>
      </c>
      <c r="D23" s="24">
        <v>202.32</v>
      </c>
      <c r="F23" s="123" t="s">
        <v>110</v>
      </c>
      <c r="G23" s="36">
        <v>0.03</v>
      </c>
    </row>
    <row r="24" spans="2:8" x14ac:dyDescent="0.25">
      <c r="B24" s="15" t="s">
        <v>11</v>
      </c>
      <c r="C24" s="9">
        <f>+C22+C23</f>
        <v>1198.52</v>
      </c>
      <c r="D24" s="9">
        <f>+D22+D23</f>
        <v>1178.56</v>
      </c>
      <c r="F24" s="123" t="s">
        <v>111</v>
      </c>
      <c r="G24" s="36">
        <v>2.5000000000000001E-2</v>
      </c>
    </row>
    <row r="25" spans="2:8" x14ac:dyDescent="0.25">
      <c r="B25" s="14" t="s">
        <v>12</v>
      </c>
      <c r="C25" s="10">
        <f>+C24*12</f>
        <v>14382.24</v>
      </c>
      <c r="D25" s="10">
        <f>+D24*12</f>
        <v>14142.72</v>
      </c>
      <c r="F25" s="124" t="s">
        <v>112</v>
      </c>
      <c r="G25" s="38">
        <v>3.2500000000000001E-2</v>
      </c>
    </row>
    <row r="26" spans="2:8" ht="15.75" thickBot="1" x14ac:dyDescent="0.3">
      <c r="B26" s="16" t="s">
        <v>13</v>
      </c>
      <c r="C26" s="11">
        <f>+((C22*12)/365)*90+(C23*3)</f>
        <v>3554.6202739726032</v>
      </c>
      <c r="D26" s="11">
        <f>+((D22*12)/365)*90+(D23*3)</f>
        <v>3495.5605479452056</v>
      </c>
      <c r="F26" s="150" t="s">
        <v>28</v>
      </c>
      <c r="G26" s="151">
        <f>+AVERAGE(G23:G25)</f>
        <v>2.9166666666666664E-2</v>
      </c>
    </row>
    <row r="27" spans="2:8" ht="15.75" thickTop="1" x14ac:dyDescent="0.25">
      <c r="B27" s="17" t="s">
        <v>19</v>
      </c>
      <c r="C27" s="12">
        <f>+C25+C26</f>
        <v>17936.860273972605</v>
      </c>
      <c r="D27" s="12">
        <f>+D25+D26</f>
        <v>17638.280547945204</v>
      </c>
    </row>
    <row r="28" spans="2:8" ht="37.5" customHeight="1" x14ac:dyDescent="0.25">
      <c r="B28" s="25" t="s">
        <v>14</v>
      </c>
      <c r="C28" s="13">
        <v>1792</v>
      </c>
      <c r="D28" s="13">
        <v>1792</v>
      </c>
      <c r="F28" s="129" t="s">
        <v>99</v>
      </c>
      <c r="G28" s="130" t="s">
        <v>20</v>
      </c>
      <c r="H28" s="131" t="s">
        <v>21</v>
      </c>
    </row>
    <row r="29" spans="2:8" x14ac:dyDescent="0.25">
      <c r="B29" s="14" t="s">
        <v>16</v>
      </c>
      <c r="C29" s="18">
        <f>+C27/C28</f>
        <v>10.009408635029356</v>
      </c>
      <c r="D29" s="18">
        <f>+D27/D28</f>
        <v>9.8427904843444214</v>
      </c>
      <c r="E29" s="19"/>
      <c r="F29" s="127">
        <v>2025</v>
      </c>
      <c r="G29" s="125">
        <f>+C34</f>
        <v>26008.447397260279</v>
      </c>
      <c r="H29" s="125">
        <f>+D34</f>
        <v>25575.506794520545</v>
      </c>
    </row>
    <row r="30" spans="2:8" ht="41.25" x14ac:dyDescent="0.25">
      <c r="B30" s="81" t="s">
        <v>79</v>
      </c>
      <c r="C30" s="82">
        <f>+C29*0.34</f>
        <v>3.4031989359099812</v>
      </c>
      <c r="D30" s="82">
        <f>+D29*0.34</f>
        <v>3.3465487646771037</v>
      </c>
      <c r="F30" s="128" t="s">
        <v>119</v>
      </c>
      <c r="G30" s="126">
        <f t="shared" ref="G30:H34" si="1">G29*1.03</f>
        <v>26788.700819178088</v>
      </c>
      <c r="H30" s="126">
        <f t="shared" si="1"/>
        <v>26342.771998356162</v>
      </c>
    </row>
    <row r="31" spans="2:8" x14ac:dyDescent="0.25">
      <c r="B31" s="83" t="s">
        <v>38</v>
      </c>
      <c r="C31" s="84">
        <f>+C29*0.05</f>
        <v>0.50047043175146777</v>
      </c>
      <c r="D31" s="84">
        <f>+D29*0.05</f>
        <v>0.49213952421722107</v>
      </c>
      <c r="F31" s="128" t="s">
        <v>120</v>
      </c>
      <c r="G31" s="126">
        <f t="shared" si="1"/>
        <v>27592.361843753431</v>
      </c>
      <c r="H31" s="126">
        <f t="shared" si="1"/>
        <v>27133.055158306848</v>
      </c>
    </row>
    <row r="32" spans="2:8" ht="30" x14ac:dyDescent="0.25">
      <c r="B32" s="83" t="s">
        <v>15</v>
      </c>
      <c r="C32" s="84">
        <f>+C29*0.06</f>
        <v>0.60056451810176137</v>
      </c>
      <c r="D32" s="84">
        <f>+D29*0.06</f>
        <v>0.59056742906066528</v>
      </c>
      <c r="F32" s="128" t="s">
        <v>121</v>
      </c>
      <c r="G32" s="126">
        <f t="shared" si="1"/>
        <v>28420.132699066035</v>
      </c>
      <c r="H32" s="126">
        <f t="shared" si="1"/>
        <v>27947.046813056055</v>
      </c>
    </row>
    <row r="33" spans="1:25" x14ac:dyDescent="0.25">
      <c r="B33" s="20" t="s">
        <v>17</v>
      </c>
      <c r="C33" s="21">
        <f>+SUM(C29:C32)</f>
        <v>14.513642520792565</v>
      </c>
      <c r="D33" s="21">
        <f>+SUM(D29:D32)</f>
        <v>14.272046202299411</v>
      </c>
      <c r="E33" s="19"/>
      <c r="F33" s="128" t="s">
        <v>122</v>
      </c>
      <c r="G33" s="126">
        <f t="shared" si="1"/>
        <v>29272.736680038015</v>
      </c>
      <c r="H33" s="126">
        <f t="shared" si="1"/>
        <v>28785.458217447736</v>
      </c>
    </row>
    <row r="34" spans="1:25" x14ac:dyDescent="0.25">
      <c r="B34" s="22" t="s">
        <v>18</v>
      </c>
      <c r="C34" s="23">
        <f>+C33*C28</f>
        <v>26008.447397260279</v>
      </c>
      <c r="D34" s="23">
        <f>+D33*D28</f>
        <v>25575.506794520545</v>
      </c>
      <c r="F34" s="128" t="s">
        <v>123</v>
      </c>
      <c r="G34" s="126">
        <f t="shared" si="1"/>
        <v>30150.918780439155</v>
      </c>
      <c r="H34" s="126">
        <f t="shared" si="1"/>
        <v>29649.021963971169</v>
      </c>
    </row>
    <row r="35" spans="1:25" ht="15.75" thickBot="1" x14ac:dyDescent="0.3">
      <c r="B35" s="3"/>
      <c r="C35" s="19"/>
      <c r="F35" s="29" t="s">
        <v>29</v>
      </c>
      <c r="G35" s="30">
        <f>AVERAGE(G29:G34)</f>
        <v>28038.883036622501</v>
      </c>
      <c r="H35" s="30">
        <f>AVERAGE(H29:H34)</f>
        <v>27572.143490943086</v>
      </c>
    </row>
    <row r="36" spans="1:25" ht="15.75" thickTop="1" x14ac:dyDescent="0.25">
      <c r="B36" s="3"/>
      <c r="C36" s="19"/>
    </row>
    <row r="40" spans="1:25" ht="15.75" thickBot="1" x14ac:dyDescent="0.3">
      <c r="B40" s="1"/>
    </row>
    <row r="41" spans="1:25" s="95" customFormat="1" ht="45.75" thickBot="1" x14ac:dyDescent="0.3">
      <c r="B41" s="96" t="s">
        <v>80</v>
      </c>
      <c r="C41" s="97" t="s">
        <v>20</v>
      </c>
      <c r="D41" s="98" t="s">
        <v>21</v>
      </c>
      <c r="E41" s="98" t="s">
        <v>113</v>
      </c>
      <c r="G41" s="96" t="s">
        <v>81</v>
      </c>
      <c r="H41" s="97" t="s">
        <v>20</v>
      </c>
      <c r="I41" s="98" t="s">
        <v>21</v>
      </c>
      <c r="J41" s="98" t="s">
        <v>114</v>
      </c>
      <c r="L41" s="96" t="s">
        <v>82</v>
      </c>
      <c r="M41" s="97" t="s">
        <v>20</v>
      </c>
      <c r="N41" s="98" t="s">
        <v>21</v>
      </c>
      <c r="O41" s="98" t="s">
        <v>115</v>
      </c>
      <c r="Q41" s="96" t="s">
        <v>83</v>
      </c>
      <c r="R41" s="97" t="s">
        <v>20</v>
      </c>
      <c r="S41" s="98" t="s">
        <v>21</v>
      </c>
      <c r="T41" s="98" t="s">
        <v>116</v>
      </c>
      <c r="V41" s="96" t="s">
        <v>84</v>
      </c>
      <c r="W41" s="97" t="s">
        <v>20</v>
      </c>
      <c r="X41" s="98" t="s">
        <v>21</v>
      </c>
      <c r="Y41" s="98" t="s">
        <v>117</v>
      </c>
    </row>
    <row r="42" spans="1:25" x14ac:dyDescent="0.25">
      <c r="A42" s="234" t="s">
        <v>45</v>
      </c>
      <c r="B42" s="3" t="s">
        <v>30</v>
      </c>
      <c r="C42" s="41">
        <f>+G30</f>
        <v>26788.700819178088</v>
      </c>
      <c r="D42" s="41">
        <f>+H30</f>
        <v>26342.771998356162</v>
      </c>
      <c r="E42" s="137">
        <f>+C42+D42</f>
        <v>53131.472817534246</v>
      </c>
      <c r="G42" s="3" t="s">
        <v>30</v>
      </c>
      <c r="H42" s="41">
        <f>+G31</f>
        <v>27592.361843753431</v>
      </c>
      <c r="I42" s="41">
        <f>H31</f>
        <v>27133.055158306848</v>
      </c>
      <c r="J42" s="137">
        <f>+H42+I42</f>
        <v>54725.417002060276</v>
      </c>
      <c r="L42" s="3" t="s">
        <v>30</v>
      </c>
      <c r="M42" s="41">
        <f>+G32</f>
        <v>28420.132699066035</v>
      </c>
      <c r="N42" s="41">
        <f>+H32</f>
        <v>27947.046813056055</v>
      </c>
      <c r="O42" s="137">
        <f>+M42+N42</f>
        <v>56367.179512122093</v>
      </c>
      <c r="Q42" s="3" t="s">
        <v>30</v>
      </c>
      <c r="R42" s="41">
        <f>+G33</f>
        <v>29272.736680038015</v>
      </c>
      <c r="S42" s="41">
        <f>+H33</f>
        <v>28785.458217447736</v>
      </c>
      <c r="T42" s="137">
        <f>+R42+S42</f>
        <v>58058.194897485751</v>
      </c>
      <c r="V42" s="3" t="s">
        <v>30</v>
      </c>
      <c r="W42" s="41">
        <f>+G34</f>
        <v>30150.918780439155</v>
      </c>
      <c r="X42" s="41">
        <f>+H34</f>
        <v>29649.021963971169</v>
      </c>
      <c r="Y42" s="137">
        <f>+W42+X42</f>
        <v>59799.940744410327</v>
      </c>
    </row>
    <row r="43" spans="1:25" x14ac:dyDescent="0.25">
      <c r="A43" s="235"/>
      <c r="B43" t="s">
        <v>39</v>
      </c>
      <c r="C43" s="45">
        <f>+$C$42*0.025</f>
        <v>669.71752047945222</v>
      </c>
      <c r="D43" s="45">
        <f>+$D$42*0.025</f>
        <v>658.56929995890414</v>
      </c>
      <c r="E43" s="99">
        <f t="shared" ref="E43:E47" si="2">+C43+D43</f>
        <v>1328.2868204383562</v>
      </c>
      <c r="F43" s="85"/>
      <c r="G43" t="s">
        <v>39</v>
      </c>
      <c r="H43" s="45">
        <f>+$H42*0.025</f>
        <v>689.80904609383583</v>
      </c>
      <c r="I43" s="45">
        <f>+$I42*0.025</f>
        <v>678.3263789576713</v>
      </c>
      <c r="J43" s="99">
        <f t="shared" ref="J43:J47" si="3">+H43+I43</f>
        <v>1368.1354250515071</v>
      </c>
      <c r="L43" t="s">
        <v>39</v>
      </c>
      <c r="M43" s="45">
        <f>+$M$42*0.025</f>
        <v>710.50331747665086</v>
      </c>
      <c r="N43" s="45">
        <f>+$N$42*0.025</f>
        <v>698.67617032640146</v>
      </c>
      <c r="O43" s="99">
        <f t="shared" ref="O43:O47" si="4">+M43+N43</f>
        <v>1409.1794878030523</v>
      </c>
      <c r="Q43" t="s">
        <v>39</v>
      </c>
      <c r="R43" s="45">
        <f>+$R$42*0.025</f>
        <v>731.81841700095038</v>
      </c>
      <c r="S43" s="45">
        <f>+$S$42*0.025</f>
        <v>719.6364554361935</v>
      </c>
      <c r="T43" s="99">
        <f t="shared" ref="T43:T47" si="5">+R43+S43</f>
        <v>1451.4548724371439</v>
      </c>
      <c r="V43" t="s">
        <v>39</v>
      </c>
      <c r="W43" s="45">
        <f>+$W$42*0.025</f>
        <v>753.7729695109789</v>
      </c>
      <c r="X43" s="45">
        <f>+$X$42*0.025</f>
        <v>741.22554909927931</v>
      </c>
      <c r="Y43" s="99">
        <f t="shared" ref="Y43:Y47" si="6">+W43+X43</f>
        <v>1494.9985186102581</v>
      </c>
    </row>
    <row r="44" spans="1:25" x14ac:dyDescent="0.25">
      <c r="A44" s="235"/>
      <c r="B44" t="s">
        <v>40</v>
      </c>
      <c r="C44" s="45">
        <f>+$C$42*0.017</f>
        <v>455.4079139260275</v>
      </c>
      <c r="D44" s="45">
        <f>+$D$42*0.017</f>
        <v>447.82712397205478</v>
      </c>
      <c r="E44" s="99">
        <f t="shared" si="2"/>
        <v>903.23503789808228</v>
      </c>
      <c r="F44" s="85"/>
      <c r="G44" t="s">
        <v>40</v>
      </c>
      <c r="H44" s="45">
        <f>+$H42*0.017</f>
        <v>469.07015134380839</v>
      </c>
      <c r="I44" s="45">
        <f>+$I42*0.017</f>
        <v>461.26193769121647</v>
      </c>
      <c r="J44" s="99">
        <f t="shared" si="3"/>
        <v>930.33208903502486</v>
      </c>
      <c r="L44" t="s">
        <v>40</v>
      </c>
      <c r="M44" s="45">
        <f>+$M$42*0.017</f>
        <v>483.14225588412262</v>
      </c>
      <c r="N44" s="45">
        <f>+$N$42*0.017</f>
        <v>475.09979582195297</v>
      </c>
      <c r="O44" s="99">
        <f t="shared" si="4"/>
        <v>958.24205170607559</v>
      </c>
      <c r="Q44" t="s">
        <v>40</v>
      </c>
      <c r="R44" s="45">
        <f>+$R$42*0.017</f>
        <v>497.63652356064631</v>
      </c>
      <c r="S44" s="45">
        <f>+$S$42*0.017</f>
        <v>489.35278969661158</v>
      </c>
      <c r="T44" s="99">
        <f t="shared" si="5"/>
        <v>986.98931325725789</v>
      </c>
      <c r="V44" t="s">
        <v>40</v>
      </c>
      <c r="W44" s="45">
        <f>+$W$42*0.017</f>
        <v>512.56561926746565</v>
      </c>
      <c r="X44" s="45">
        <f>+$X$42*0.017</f>
        <v>504.03337338750993</v>
      </c>
      <c r="Y44" s="99">
        <f t="shared" si="6"/>
        <v>1016.5989926549755</v>
      </c>
    </row>
    <row r="45" spans="1:25" x14ac:dyDescent="0.25">
      <c r="A45" s="235"/>
      <c r="B45" t="s">
        <v>41</v>
      </c>
      <c r="C45" s="45">
        <f>+$C$42*0.08</f>
        <v>2143.0960655342469</v>
      </c>
      <c r="D45" s="45">
        <f>+$D$42*0.08</f>
        <v>2107.4217598684932</v>
      </c>
      <c r="E45" s="99">
        <f t="shared" si="2"/>
        <v>4250.5178254027396</v>
      </c>
      <c r="F45" s="85"/>
      <c r="G45" t="s">
        <v>41</v>
      </c>
      <c r="H45" s="45">
        <f>+H$42*0.08</f>
        <v>2207.3889475002748</v>
      </c>
      <c r="I45" s="45">
        <f>+I$42*0.08</f>
        <v>2170.6444126645479</v>
      </c>
      <c r="J45" s="99">
        <f t="shared" si="3"/>
        <v>4378.0333601648226</v>
      </c>
      <c r="L45" t="s">
        <v>41</v>
      </c>
      <c r="M45" s="45">
        <f>+$M$42*0.08</f>
        <v>2273.6106159252827</v>
      </c>
      <c r="N45" s="45">
        <f>+$N$42*0.08</f>
        <v>2235.7637450444845</v>
      </c>
      <c r="O45" s="99">
        <f t="shared" si="4"/>
        <v>4509.3743609697667</v>
      </c>
      <c r="Q45" t="s">
        <v>41</v>
      </c>
      <c r="R45" s="45">
        <f>+$R$42*0.08</f>
        <v>2341.8189344030411</v>
      </c>
      <c r="S45" s="45">
        <f>+$S$42*0.08</f>
        <v>2302.8366573958187</v>
      </c>
      <c r="T45" s="99">
        <f t="shared" si="5"/>
        <v>4644.6555917988599</v>
      </c>
      <c r="V45" t="s">
        <v>41</v>
      </c>
      <c r="W45" s="45">
        <f>+$W$42*0.08</f>
        <v>2412.0735024351325</v>
      </c>
      <c r="X45" s="45">
        <f>+$X$42*0.08</f>
        <v>2371.9217571176937</v>
      </c>
      <c r="Y45" s="99">
        <f t="shared" si="6"/>
        <v>4783.9952595528266</v>
      </c>
    </row>
    <row r="46" spans="1:25" x14ac:dyDescent="0.25">
      <c r="A46" s="235"/>
      <c r="B46" t="s">
        <v>94</v>
      </c>
      <c r="C46" s="8">
        <f>+$C$42*0.02</f>
        <v>535.77401638356173</v>
      </c>
      <c r="D46" s="8">
        <f>+$D$42*0.02</f>
        <v>526.85543996712329</v>
      </c>
      <c r="E46" s="138">
        <f t="shared" si="2"/>
        <v>1062.6294563506849</v>
      </c>
      <c r="F46" s="85"/>
      <c r="G46" t="s">
        <v>94</v>
      </c>
      <c r="H46" s="8">
        <f>+H$42*0.02</f>
        <v>551.84723687506869</v>
      </c>
      <c r="I46" s="8">
        <f>+I$42*0.02</f>
        <v>542.66110316613697</v>
      </c>
      <c r="J46" s="138">
        <f t="shared" si="3"/>
        <v>1094.5083400412057</v>
      </c>
      <c r="L46" t="s">
        <v>94</v>
      </c>
      <c r="M46" s="8">
        <f>+$M$42*0.02</f>
        <v>568.40265398132067</v>
      </c>
      <c r="N46" s="8">
        <f>+$N$42*0.02</f>
        <v>558.94093626112112</v>
      </c>
      <c r="O46" s="138">
        <f t="shared" si="4"/>
        <v>1127.3435902424417</v>
      </c>
      <c r="Q46" t="s">
        <v>94</v>
      </c>
      <c r="R46" s="8">
        <f>+$R$42*0.02</f>
        <v>585.45473360076028</v>
      </c>
      <c r="S46" s="8">
        <f>+$S$42*0.02</f>
        <v>575.70916434895469</v>
      </c>
      <c r="T46" s="138">
        <f t="shared" si="5"/>
        <v>1161.163897949715</v>
      </c>
      <c r="V46" t="s">
        <v>94</v>
      </c>
      <c r="W46" s="8">
        <f>+$W$42*0.02</f>
        <v>603.01837560878312</v>
      </c>
      <c r="X46" s="8">
        <f>+$X$42*0.02</f>
        <v>592.98043927942342</v>
      </c>
      <c r="Y46" s="138">
        <f t="shared" si="6"/>
        <v>1195.9988148882067</v>
      </c>
    </row>
    <row r="47" spans="1:25" x14ac:dyDescent="0.25">
      <c r="A47" s="235"/>
      <c r="B47" t="s">
        <v>95</v>
      </c>
      <c r="C47" s="148">
        <f>+$C$42*0.05</f>
        <v>1339.4350409589044</v>
      </c>
      <c r="D47" s="148">
        <f>+$D$42*0.05</f>
        <v>1317.1385999178083</v>
      </c>
      <c r="E47" s="149">
        <f t="shared" si="2"/>
        <v>2656.5736408767125</v>
      </c>
      <c r="F47" s="85"/>
      <c r="G47" t="s">
        <v>95</v>
      </c>
      <c r="H47" s="148">
        <f>+H$42*0.05</f>
        <v>1379.6180921876717</v>
      </c>
      <c r="I47" s="148">
        <f>+I$42*0.05</f>
        <v>1356.6527579153426</v>
      </c>
      <c r="J47" s="149">
        <f t="shared" si="3"/>
        <v>2736.2708501030143</v>
      </c>
      <c r="L47" t="s">
        <v>95</v>
      </c>
      <c r="M47" s="148">
        <f>+$M$42*0.05</f>
        <v>1421.0066349533017</v>
      </c>
      <c r="N47" s="148">
        <f>+$N$42*0.05</f>
        <v>1397.3523406528029</v>
      </c>
      <c r="O47" s="149">
        <f t="shared" si="4"/>
        <v>2818.3589756061047</v>
      </c>
      <c r="Q47" t="s">
        <v>95</v>
      </c>
      <c r="R47" s="148">
        <f>+$R$42*0.05</f>
        <v>1463.6368340019008</v>
      </c>
      <c r="S47" s="148">
        <f>+$S$42*0.05</f>
        <v>1439.272910872387</v>
      </c>
      <c r="T47" s="149">
        <f t="shared" si="5"/>
        <v>2902.9097448742878</v>
      </c>
      <c r="V47" t="s">
        <v>95</v>
      </c>
      <c r="W47" s="148">
        <f>+$W$42*0.05</f>
        <v>1507.5459390219578</v>
      </c>
      <c r="X47" s="148">
        <f>+$X$42*0.05</f>
        <v>1482.4510981985586</v>
      </c>
      <c r="Y47" s="149">
        <f t="shared" si="6"/>
        <v>2989.9970372205162</v>
      </c>
    </row>
    <row r="48" spans="1:25" x14ac:dyDescent="0.25">
      <c r="A48" s="235"/>
      <c r="B48" s="47" t="s">
        <v>32</v>
      </c>
      <c r="C48" s="48">
        <f>+SUM(C42:C47)</f>
        <v>31932.131376460282</v>
      </c>
      <c r="D48" s="48">
        <f>+SUM(D42:D47)</f>
        <v>31400.584222040547</v>
      </c>
      <c r="E48" s="89">
        <f>+SUM(E42:E47)</f>
        <v>63332.715598500821</v>
      </c>
      <c r="F48" s="85"/>
      <c r="G48" s="47" t="s">
        <v>32</v>
      </c>
      <c r="H48" s="48">
        <f>+SUM(H42:H47)</f>
        <v>32890.095317754094</v>
      </c>
      <c r="I48" s="49">
        <f>+SUM(I42:I47)</f>
        <v>32342.60174870176</v>
      </c>
      <c r="J48" s="89">
        <f>+SUM(J42:J47)</f>
        <v>65232.697066455847</v>
      </c>
      <c r="L48" s="47" t="s">
        <v>32</v>
      </c>
      <c r="M48" s="48">
        <f>+SUM(M42:M47)</f>
        <v>33876.798177286713</v>
      </c>
      <c r="N48" s="49">
        <f>+SUM(N42:N47)</f>
        <v>33312.879801162817</v>
      </c>
      <c r="O48" s="89">
        <f>+SUM(O42:O47)</f>
        <v>67189.67797844953</v>
      </c>
      <c r="Q48" s="47" t="s">
        <v>32</v>
      </c>
      <c r="R48" s="48">
        <f>+SUM(R42:R47)</f>
        <v>34893.10212260532</v>
      </c>
      <c r="S48" s="49">
        <f>+SUM(S42:S47)</f>
        <v>34312.266195197699</v>
      </c>
      <c r="T48" s="89">
        <f>+SUM(T42:T47)</f>
        <v>69205.368317803019</v>
      </c>
      <c r="V48" s="47" t="s">
        <v>32</v>
      </c>
      <c r="W48" s="48">
        <f>+SUM(W42:W47)</f>
        <v>35939.895186283473</v>
      </c>
      <c r="X48" s="49">
        <f>+SUM(X42:X47)</f>
        <v>35341.634181053632</v>
      </c>
      <c r="Y48" s="89">
        <f>+SUM(Y42:Y47)</f>
        <v>71281.529367337105</v>
      </c>
    </row>
    <row r="49" spans="1:25" x14ac:dyDescent="0.25">
      <c r="A49" s="235"/>
      <c r="B49" t="s">
        <v>43</v>
      </c>
      <c r="C49" s="46">
        <f>+C48*0.0125</f>
        <v>399.15164220575355</v>
      </c>
      <c r="D49" s="46">
        <f>+D48*0.0125</f>
        <v>392.50730277550684</v>
      </c>
      <c r="E49" s="99">
        <f>+E48*0.0125</f>
        <v>791.65894498126033</v>
      </c>
      <c r="F49" s="85"/>
      <c r="G49" t="s">
        <v>43</v>
      </c>
      <c r="H49" s="46">
        <f>+H48*0.0125</f>
        <v>411.12619147192618</v>
      </c>
      <c r="I49" s="46">
        <f>+I48*0.0125</f>
        <v>404.28252185877204</v>
      </c>
      <c r="J49" s="99">
        <f>+J48*0.0125</f>
        <v>815.40871333069811</v>
      </c>
      <c r="L49" t="s">
        <v>43</v>
      </c>
      <c r="M49" s="46">
        <f>+M48*0.0125</f>
        <v>423.45997721608393</v>
      </c>
      <c r="N49" s="46">
        <f>+N48*0.0125</f>
        <v>416.41099751453521</v>
      </c>
      <c r="O49" s="99">
        <f>+O48*0.0125</f>
        <v>839.8709747306192</v>
      </c>
      <c r="Q49" t="s">
        <v>43</v>
      </c>
      <c r="R49" s="46">
        <f>+R48*0.0125</f>
        <v>436.16377653256654</v>
      </c>
      <c r="S49" s="46">
        <f>+S48*0.0125</f>
        <v>428.90332743997124</v>
      </c>
      <c r="T49" s="99">
        <f>+T48*0.0125</f>
        <v>865.06710397253778</v>
      </c>
      <c r="V49" t="s">
        <v>43</v>
      </c>
      <c r="W49" s="46">
        <f>+W48*0.0125</f>
        <v>449.24868982854343</v>
      </c>
      <c r="X49" s="46">
        <f>+X48*0.0125</f>
        <v>441.7704272631704</v>
      </c>
      <c r="Y49" s="99">
        <f>+Y48*0.0125</f>
        <v>891.01911709171384</v>
      </c>
    </row>
    <row r="50" spans="1:25" x14ac:dyDescent="0.25">
      <c r="A50" s="235"/>
      <c r="B50" s="47" t="s">
        <v>36</v>
      </c>
      <c r="C50" s="48">
        <f>+C49</f>
        <v>399.15164220575355</v>
      </c>
      <c r="D50" s="48">
        <f>+D49</f>
        <v>392.50730277550684</v>
      </c>
      <c r="E50" s="89">
        <f>+E49</f>
        <v>791.65894498126033</v>
      </c>
      <c r="F50" s="85"/>
      <c r="G50" s="47" t="s">
        <v>36</v>
      </c>
      <c r="H50" s="48">
        <f>+H49</f>
        <v>411.12619147192618</v>
      </c>
      <c r="I50" s="49">
        <f>+I49</f>
        <v>404.28252185877204</v>
      </c>
      <c r="J50" s="89">
        <f>+J49</f>
        <v>815.40871333069811</v>
      </c>
      <c r="L50" s="47" t="s">
        <v>36</v>
      </c>
      <c r="M50" s="48">
        <f>+M49</f>
        <v>423.45997721608393</v>
      </c>
      <c r="N50" s="49">
        <f>+N49</f>
        <v>416.41099751453521</v>
      </c>
      <c r="O50" s="89">
        <f>+O49</f>
        <v>839.8709747306192</v>
      </c>
      <c r="Q50" s="47" t="s">
        <v>36</v>
      </c>
      <c r="R50" s="48">
        <f>+R49</f>
        <v>436.16377653256654</v>
      </c>
      <c r="S50" s="49">
        <f>+S49</f>
        <v>428.90332743997124</v>
      </c>
      <c r="T50" s="89">
        <f>+T49</f>
        <v>865.06710397253778</v>
      </c>
      <c r="V50" s="47" t="s">
        <v>36</v>
      </c>
      <c r="W50" s="48">
        <f>+W49</f>
        <v>449.24868982854343</v>
      </c>
      <c r="X50" s="49">
        <f>+X49</f>
        <v>441.7704272631704</v>
      </c>
      <c r="Y50" s="89">
        <f>+Y49</f>
        <v>891.01911709171384</v>
      </c>
    </row>
    <row r="51" spans="1:25" x14ac:dyDescent="0.25">
      <c r="A51" s="235"/>
      <c r="B51" s="42" t="s">
        <v>1</v>
      </c>
      <c r="C51" s="43">
        <f>+C48+C50</f>
        <v>32331.283018666036</v>
      </c>
      <c r="D51" s="43">
        <f>+D48+D50</f>
        <v>31793.091524816053</v>
      </c>
      <c r="E51" s="92">
        <f>+E48+E50</f>
        <v>64124.374543482081</v>
      </c>
      <c r="F51" s="85"/>
      <c r="G51" s="42" t="s">
        <v>1</v>
      </c>
      <c r="H51" s="43">
        <f>+H48+H50</f>
        <v>33301.221509226023</v>
      </c>
      <c r="I51" s="43">
        <f>+I48+I50</f>
        <v>32746.884270560531</v>
      </c>
      <c r="J51" s="92">
        <f>+J48+J50</f>
        <v>66048.105779786551</v>
      </c>
      <c r="L51" s="42" t="s">
        <v>1</v>
      </c>
      <c r="M51" s="43">
        <f>+M48+M50</f>
        <v>34300.258154502801</v>
      </c>
      <c r="N51" s="43">
        <f>+N48+N50</f>
        <v>33729.29079867735</v>
      </c>
      <c r="O51" s="92">
        <f>+O48+O50</f>
        <v>68029.548953180143</v>
      </c>
      <c r="Q51" s="42" t="s">
        <v>1</v>
      </c>
      <c r="R51" s="43">
        <f>+R48+R50</f>
        <v>35329.265899137885</v>
      </c>
      <c r="S51" s="43">
        <f>+S48+S50</f>
        <v>34741.169522637669</v>
      </c>
      <c r="T51" s="92">
        <f>+T48+T50</f>
        <v>70070.435421775561</v>
      </c>
      <c r="V51" s="42" t="s">
        <v>1</v>
      </c>
      <c r="W51" s="43">
        <f>+W48+W50</f>
        <v>36389.143876112015</v>
      </c>
      <c r="X51" s="43">
        <f>+X48+X50</f>
        <v>35783.4046083168</v>
      </c>
      <c r="Y51" s="92">
        <f>+Y48+Y50</f>
        <v>72172.548484428815</v>
      </c>
    </row>
    <row r="52" spans="1:25" x14ac:dyDescent="0.25">
      <c r="A52" s="235"/>
      <c r="B52" t="s">
        <v>31</v>
      </c>
      <c r="C52" s="8">
        <f>+C51*0.13</f>
        <v>4203.0667924265845</v>
      </c>
      <c r="D52" s="8">
        <f>+D51*0.13</f>
        <v>4133.1018982260866</v>
      </c>
      <c r="E52" s="138">
        <f>+E51*0.13</f>
        <v>8336.1686906526702</v>
      </c>
      <c r="F52" s="85"/>
      <c r="G52" t="s">
        <v>31</v>
      </c>
      <c r="H52" s="8">
        <f>+H51*0.13</f>
        <v>4329.1587961993828</v>
      </c>
      <c r="I52" s="8">
        <f>+I51*0.13</f>
        <v>4257.094955172869</v>
      </c>
      <c r="J52" s="138">
        <f>+J51*0.13</f>
        <v>8586.2537513722527</v>
      </c>
      <c r="L52" t="s">
        <v>31</v>
      </c>
      <c r="M52" s="8">
        <f>+M51*0.13</f>
        <v>4459.0335600853641</v>
      </c>
      <c r="N52" s="8">
        <f>+N51*0.13</f>
        <v>4384.8078038280555</v>
      </c>
      <c r="O52" s="138">
        <f>+O51*0.13</f>
        <v>8843.8413639134196</v>
      </c>
      <c r="Q52" t="s">
        <v>31</v>
      </c>
      <c r="R52" s="8">
        <f>+R51*0.13</f>
        <v>4592.8045668879249</v>
      </c>
      <c r="S52" s="8">
        <f>+S51*0.13</f>
        <v>4516.3520379428974</v>
      </c>
      <c r="T52" s="138">
        <f>+T51*0.13</f>
        <v>9109.1566048308232</v>
      </c>
      <c r="V52" t="s">
        <v>31</v>
      </c>
      <c r="W52" s="8">
        <f>+W51*0.13</f>
        <v>4730.5887038945621</v>
      </c>
      <c r="X52" s="8">
        <f>+X51*0.13</f>
        <v>4651.8425990811838</v>
      </c>
      <c r="Y52" s="138">
        <f>+Y51*0.13</f>
        <v>9382.4313029757468</v>
      </c>
    </row>
    <row r="53" spans="1:25" x14ac:dyDescent="0.25">
      <c r="B53" t="s">
        <v>0</v>
      </c>
      <c r="C53" s="8">
        <f>+C51*0.06</f>
        <v>1939.876981119962</v>
      </c>
      <c r="D53" s="8">
        <f>+D51*0.06</f>
        <v>1907.585491488963</v>
      </c>
      <c r="E53" s="138">
        <f>+E51*0.06</f>
        <v>3847.4624726089246</v>
      </c>
      <c r="F53" s="85"/>
      <c r="G53" t="s">
        <v>0</v>
      </c>
      <c r="H53" s="8">
        <f>+H51*0.06</f>
        <v>1998.0732905535613</v>
      </c>
      <c r="I53" s="8">
        <f>+I51*0.06</f>
        <v>1964.8130562336319</v>
      </c>
      <c r="J53" s="138">
        <f>+J51*0.06</f>
        <v>3962.8863467871929</v>
      </c>
      <c r="L53" t="s">
        <v>0</v>
      </c>
      <c r="M53" s="8">
        <f>+M51*0.06</f>
        <v>2058.015489270168</v>
      </c>
      <c r="N53" s="8">
        <f>+N51*0.06</f>
        <v>2023.757447920641</v>
      </c>
      <c r="O53" s="138">
        <f>+O51*0.06</f>
        <v>4081.7729371908085</v>
      </c>
      <c r="Q53" t="s">
        <v>0</v>
      </c>
      <c r="R53" s="8">
        <f>+R51*0.06</f>
        <v>2119.7559539482731</v>
      </c>
      <c r="S53" s="8">
        <f>+S51*0.06</f>
        <v>2084.4701713582599</v>
      </c>
      <c r="T53" s="138">
        <f>+T51*0.06</f>
        <v>4204.2261253065335</v>
      </c>
      <c r="V53" t="s">
        <v>0</v>
      </c>
      <c r="W53" s="8">
        <f>+W51*0.06</f>
        <v>2183.3486325667209</v>
      </c>
      <c r="X53" s="8">
        <f>+X51*0.06</f>
        <v>2147.004276499008</v>
      </c>
      <c r="Y53" s="138">
        <f>+Y51*0.06</f>
        <v>4330.3529090657285</v>
      </c>
    </row>
    <row r="54" spans="1:25" x14ac:dyDescent="0.25">
      <c r="B54" s="50" t="s">
        <v>44</v>
      </c>
      <c r="C54" s="51">
        <f>+C51+C52+C53</f>
        <v>38474.226792212583</v>
      </c>
      <c r="D54" s="51">
        <f>+D51+D52+D53</f>
        <v>37833.778914531104</v>
      </c>
      <c r="E54" s="93">
        <f>+E51+E52+E53</f>
        <v>76308.005706743672</v>
      </c>
      <c r="G54" s="50" t="s">
        <v>44</v>
      </c>
      <c r="H54" s="51">
        <f>+H51+H52+H53</f>
        <v>39628.453595978972</v>
      </c>
      <c r="I54" s="51">
        <f>+I51+I52+I53</f>
        <v>38968.792281967028</v>
      </c>
      <c r="J54" s="93">
        <f>+J51+J52+J53</f>
        <v>78597.245877945999</v>
      </c>
      <c r="L54" s="50" t="s">
        <v>44</v>
      </c>
      <c r="M54" s="51">
        <f>+M51+M52+M53</f>
        <v>40817.307203858334</v>
      </c>
      <c r="N54" s="51">
        <f>+N51+N52+N53</f>
        <v>40137.856050426046</v>
      </c>
      <c r="O54" s="93">
        <f>+O51+O52+O53</f>
        <v>80955.163254284373</v>
      </c>
      <c r="Q54" s="50" t="s">
        <v>44</v>
      </c>
      <c r="R54" s="51">
        <f>+R51+R52+R53</f>
        <v>42041.826419974088</v>
      </c>
      <c r="S54" s="51">
        <f>+S51+S52+S53</f>
        <v>41341.991731938826</v>
      </c>
      <c r="T54" s="93">
        <f>+T51+T52+T53</f>
        <v>83383.818151912914</v>
      </c>
      <c r="V54" s="50" t="s">
        <v>44</v>
      </c>
      <c r="W54" s="51">
        <f>+W51+W52+W53</f>
        <v>43303.081212573292</v>
      </c>
      <c r="X54" s="51">
        <f>+X51+X52+X53</f>
        <v>42582.251483896987</v>
      </c>
      <c r="Y54" s="93">
        <f>+Y51+Y52+Y53</f>
        <v>85885.332696470286</v>
      </c>
    </row>
    <row r="55" spans="1:25" x14ac:dyDescent="0.25">
      <c r="B55" t="s">
        <v>73</v>
      </c>
      <c r="C55" s="8">
        <f>C54/1792</f>
        <v>21.469992629582915</v>
      </c>
      <c r="D55" s="8">
        <f>D54/1792</f>
        <v>21.112599840698159</v>
      </c>
      <c r="E55" s="139"/>
      <c r="G55" t="s">
        <v>73</v>
      </c>
      <c r="H55" s="8">
        <f>H54/1792</f>
        <v>22.114092408470409</v>
      </c>
      <c r="I55" s="8">
        <f>I54/1792</f>
        <v>21.745977835919099</v>
      </c>
      <c r="J55" s="139"/>
      <c r="L55" t="s">
        <v>73</v>
      </c>
      <c r="M55" s="8">
        <f>M54/1792</f>
        <v>22.777515180724517</v>
      </c>
      <c r="N55" s="8">
        <f>N54/1792</f>
        <v>22.398357170996679</v>
      </c>
      <c r="O55" s="139"/>
      <c r="Q55" t="s">
        <v>73</v>
      </c>
      <c r="R55" s="8">
        <f>R54/1792</f>
        <v>23.460840636146255</v>
      </c>
      <c r="S55" s="8">
        <f>S54/1792</f>
        <v>23.070307886126578</v>
      </c>
      <c r="T55" s="139"/>
      <c r="V55" t="s">
        <v>73</v>
      </c>
      <c r="W55" s="8">
        <f>W54/1792</f>
        <v>24.164665855230631</v>
      </c>
      <c r="X55" s="8">
        <f>X54/1792</f>
        <v>23.762417122710371</v>
      </c>
      <c r="Y55" s="139"/>
    </row>
    <row r="56" spans="1:25" ht="15.75" thickBot="1" x14ac:dyDescent="0.3">
      <c r="B56" s="72" t="s">
        <v>74</v>
      </c>
      <c r="C56" s="73">
        <f>+C55*$F$16</f>
        <v>120.7687085414039</v>
      </c>
      <c r="D56" s="73">
        <f>+D55*$F$17</f>
        <v>7798.4665661578829</v>
      </c>
      <c r="E56" s="94">
        <f>+C56+D56</f>
        <v>7919.2352746992865</v>
      </c>
      <c r="G56" s="72" t="s">
        <v>74</v>
      </c>
      <c r="H56" s="73">
        <f>+H55*$F$16</f>
        <v>124.39176979764605</v>
      </c>
      <c r="I56" s="73">
        <f>+I55*$F$17</f>
        <v>8032.4205631426175</v>
      </c>
      <c r="J56" s="94">
        <f>+H56+I56</f>
        <v>8156.8123329402633</v>
      </c>
      <c r="L56" s="72" t="s">
        <v>74</v>
      </c>
      <c r="M56" s="73">
        <f>+M55*$F$16</f>
        <v>128.12352289157542</v>
      </c>
      <c r="N56" s="73">
        <f>+N55*$F$17</f>
        <v>8273.3931800368991</v>
      </c>
      <c r="O56" s="94">
        <f>+M56+N56</f>
        <v>8401.5167029284748</v>
      </c>
      <c r="Q56" s="72" t="s">
        <v>74</v>
      </c>
      <c r="R56" s="73">
        <f>+R55*$F$16</f>
        <v>131.96722857832268</v>
      </c>
      <c r="S56" s="73">
        <f>+S55*$F$17</f>
        <v>8521.5949754380053</v>
      </c>
      <c r="T56" s="94">
        <f>+R56+S56</f>
        <v>8653.5622040163289</v>
      </c>
      <c r="V56" s="72" t="s">
        <v>74</v>
      </c>
      <c r="W56" s="73">
        <f>+W55*$F$16</f>
        <v>135.92624543567229</v>
      </c>
      <c r="X56" s="73">
        <f>+X55*$F$17</f>
        <v>8777.242824701143</v>
      </c>
      <c r="Y56" s="94">
        <f>+W56+X56</f>
        <v>8913.1690701368152</v>
      </c>
    </row>
    <row r="57" spans="1:25" ht="15.75" thickTop="1" x14ac:dyDescent="0.25">
      <c r="B57" s="26" t="s">
        <v>76</v>
      </c>
      <c r="C57" s="77">
        <f>+C56*0.21</f>
        <v>25.361428793694817</v>
      </c>
      <c r="D57" s="77">
        <f>+D56*0.21</f>
        <v>1637.6779788931553</v>
      </c>
      <c r="E57" s="141">
        <f>+C57+D57</f>
        <v>1663.0394076868502</v>
      </c>
      <c r="G57" s="26" t="s">
        <v>76</v>
      </c>
      <c r="H57" s="77">
        <f>+H56*0.21</f>
        <v>26.122271657505671</v>
      </c>
      <c r="I57" s="77">
        <f>+I56*0.21</f>
        <v>1686.8083182599496</v>
      </c>
      <c r="J57" s="141">
        <f>+H57+I57</f>
        <v>1712.9305899174553</v>
      </c>
      <c r="L57" s="26" t="s">
        <v>76</v>
      </c>
      <c r="M57" s="77">
        <f>+M56*0.21</f>
        <v>26.905939807230837</v>
      </c>
      <c r="N57" s="77">
        <f>+N56*0.21</f>
        <v>1737.4125678077487</v>
      </c>
      <c r="O57" s="141">
        <f>+M57+N57</f>
        <v>1764.3185076149796</v>
      </c>
      <c r="Q57" s="26" t="s">
        <v>76</v>
      </c>
      <c r="R57" s="77">
        <f>+R56*0.21</f>
        <v>27.713118001447761</v>
      </c>
      <c r="S57" s="77">
        <f>+S56*0.21</f>
        <v>1789.5349448419811</v>
      </c>
      <c r="T57" s="141">
        <f>+R57+S57</f>
        <v>1817.2480628434289</v>
      </c>
      <c r="V57" s="26" t="s">
        <v>76</v>
      </c>
      <c r="W57" s="77">
        <f>+W56*0.21</f>
        <v>28.544511541491179</v>
      </c>
      <c r="X57" s="77">
        <f>+X56*0.21</f>
        <v>1843.2209931872399</v>
      </c>
      <c r="Y57" s="141">
        <f>+W57+X57</f>
        <v>1871.765504728731</v>
      </c>
    </row>
    <row r="58" spans="1:25" ht="15.75" thickBot="1" x14ac:dyDescent="0.3">
      <c r="B58" s="78" t="s">
        <v>77</v>
      </c>
      <c r="C58" s="79">
        <f>+C56+C57</f>
        <v>146.13013733509871</v>
      </c>
      <c r="D58" s="79">
        <f>+D56+D57</f>
        <v>9436.1445450510382</v>
      </c>
      <c r="E58" s="140">
        <f>+E56+E57</f>
        <v>9582.2746823861362</v>
      </c>
      <c r="F58" s="1"/>
      <c r="G58" s="78" t="s">
        <v>77</v>
      </c>
      <c r="H58" s="79">
        <f>+H56+H57</f>
        <v>150.51404145515173</v>
      </c>
      <c r="I58" s="79">
        <f>+I56+I57</f>
        <v>9719.2288814025669</v>
      </c>
      <c r="J58" s="140">
        <f>+J56+J57</f>
        <v>9869.7429228577184</v>
      </c>
      <c r="L58" s="78" t="s">
        <v>77</v>
      </c>
      <c r="M58" s="79">
        <f>+M56+M57</f>
        <v>155.02946269880624</v>
      </c>
      <c r="N58" s="79">
        <f>+N56+N57</f>
        <v>10010.805747844648</v>
      </c>
      <c r="O58" s="140">
        <f>+O56+O57</f>
        <v>10165.835210543455</v>
      </c>
      <c r="Q58" s="78" t="s">
        <v>77</v>
      </c>
      <c r="R58" s="79">
        <f>+R56+R57</f>
        <v>159.68034657977043</v>
      </c>
      <c r="S58" s="79">
        <f>+S56+S57</f>
        <v>10311.129920279986</v>
      </c>
      <c r="T58" s="140">
        <f>+T56+T57</f>
        <v>10470.810266859758</v>
      </c>
      <c r="V58" s="78" t="s">
        <v>77</v>
      </c>
      <c r="W58" s="79">
        <f>+W56+W57</f>
        <v>164.47075697716346</v>
      </c>
      <c r="X58" s="79">
        <f>+X56+X57</f>
        <v>10620.463817888383</v>
      </c>
      <c r="Y58" s="140">
        <f>+Y56+Y57</f>
        <v>10784.934574865547</v>
      </c>
    </row>
    <row r="59" spans="1:25" ht="15.75" thickTop="1" x14ac:dyDescent="0.25">
      <c r="J59" s="142"/>
      <c r="O59" s="142"/>
      <c r="T59" s="142"/>
      <c r="Y59" s="142"/>
    </row>
    <row r="61" spans="1:25" ht="15.75" thickBot="1" x14ac:dyDescent="0.3"/>
    <row r="62" spans="1:25" ht="15.75" thickBot="1" x14ac:dyDescent="0.3">
      <c r="B62" s="100" t="s">
        <v>96</v>
      </c>
      <c r="C62" s="101"/>
      <c r="D62" s="101"/>
      <c r="E62" s="102"/>
      <c r="G62" s="100" t="s">
        <v>93</v>
      </c>
      <c r="H62" s="101"/>
      <c r="I62" s="101"/>
      <c r="J62" s="101"/>
      <c r="K62" s="102"/>
    </row>
    <row r="63" spans="1:25" ht="15" customHeight="1" x14ac:dyDescent="0.25">
      <c r="E63" s="85"/>
      <c r="F63" s="85"/>
    </row>
    <row r="64" spans="1:25" ht="30" x14ac:dyDescent="0.25">
      <c r="B64" s="88" t="s">
        <v>97</v>
      </c>
      <c r="C64" s="10">
        <f>+E56</f>
        <v>7919.2352746992865</v>
      </c>
      <c r="E64" s="85"/>
      <c r="F64" s="85"/>
      <c r="G64" s="103" t="s">
        <v>88</v>
      </c>
      <c r="H64" s="103" t="s">
        <v>87</v>
      </c>
      <c r="I64" s="104" t="s">
        <v>89</v>
      </c>
      <c r="J64" s="104" t="s">
        <v>90</v>
      </c>
      <c r="K64" s="104" t="s">
        <v>91</v>
      </c>
    </row>
    <row r="65" spans="2:11" x14ac:dyDescent="0.25">
      <c r="B65" s="88" t="s">
        <v>85</v>
      </c>
      <c r="C65" s="10">
        <f>+C64*0.21</f>
        <v>1663.0394076868502</v>
      </c>
      <c r="E65" s="85"/>
      <c r="F65" s="85"/>
      <c r="G65" s="105">
        <v>2026</v>
      </c>
      <c r="H65" s="106">
        <f>+E56</f>
        <v>7919.2352746992865</v>
      </c>
      <c r="I65" s="107">
        <v>21</v>
      </c>
      <c r="J65" s="108">
        <f t="shared" ref="J65:J70" si="7">+H65*0.21</f>
        <v>1663.0394076868502</v>
      </c>
      <c r="K65" s="108">
        <f t="shared" ref="K65:K70" si="8">+H65+J65</f>
        <v>9582.2746823861362</v>
      </c>
    </row>
    <row r="66" spans="2:11" ht="30.75" thickBot="1" x14ac:dyDescent="0.3">
      <c r="B66" s="90" t="s">
        <v>86</v>
      </c>
      <c r="C66" s="91">
        <f>+C64+C65</f>
        <v>9582.2746823861362</v>
      </c>
      <c r="E66" s="85"/>
      <c r="F66" s="85"/>
      <c r="G66" s="105">
        <v>2027</v>
      </c>
      <c r="H66" s="106">
        <f>+J56</f>
        <v>8156.8123329402633</v>
      </c>
      <c r="I66" s="107">
        <v>21</v>
      </c>
      <c r="J66" s="108">
        <f t="shared" si="7"/>
        <v>1712.9305899174553</v>
      </c>
      <c r="K66" s="108">
        <f t="shared" si="8"/>
        <v>9869.7429228577184</v>
      </c>
    </row>
    <row r="67" spans="2:11" ht="15.75" thickTop="1" x14ac:dyDescent="0.25">
      <c r="C67" s="86">
        <f>+C66-E58</f>
        <v>0</v>
      </c>
      <c r="E67" s="85"/>
      <c r="F67" s="85"/>
      <c r="G67" s="105">
        <v>2028</v>
      </c>
      <c r="H67" s="106">
        <f>+O56</f>
        <v>8401.5167029284748</v>
      </c>
      <c r="I67" s="107">
        <v>21</v>
      </c>
      <c r="J67" s="108">
        <f t="shared" si="7"/>
        <v>1764.3185076149796</v>
      </c>
      <c r="K67" s="108">
        <f t="shared" si="8"/>
        <v>10165.835210543455</v>
      </c>
    </row>
    <row r="68" spans="2:11" x14ac:dyDescent="0.25">
      <c r="E68" s="85"/>
      <c r="F68" s="85"/>
      <c r="G68" s="105">
        <v>2029</v>
      </c>
      <c r="H68" s="106">
        <f>+T56</f>
        <v>8653.5622040163289</v>
      </c>
      <c r="I68" s="107">
        <v>21</v>
      </c>
      <c r="J68" s="108">
        <f t="shared" si="7"/>
        <v>1817.2480628434289</v>
      </c>
      <c r="K68" s="108">
        <f t="shared" si="8"/>
        <v>10470.810266859758</v>
      </c>
    </row>
    <row r="69" spans="2:11" x14ac:dyDescent="0.25">
      <c r="E69" s="85"/>
      <c r="F69" s="85"/>
      <c r="G69" s="105">
        <v>2030</v>
      </c>
      <c r="H69" s="106">
        <f>+Y56</f>
        <v>8913.1690701368152</v>
      </c>
      <c r="I69" s="107">
        <v>21</v>
      </c>
      <c r="J69" s="108">
        <f t="shared" si="7"/>
        <v>1871.7655047287312</v>
      </c>
      <c r="K69" s="108">
        <f t="shared" si="8"/>
        <v>10784.934574865547</v>
      </c>
    </row>
    <row r="70" spans="2:11" x14ac:dyDescent="0.25">
      <c r="F70" s="85"/>
      <c r="G70" s="107" t="s">
        <v>98</v>
      </c>
      <c r="H70" s="106">
        <f>+(H65+H66+H67)*0.2</f>
        <v>4895.5128621136055</v>
      </c>
      <c r="I70" s="107">
        <v>21</v>
      </c>
      <c r="J70" s="108">
        <f t="shared" si="7"/>
        <v>1028.0577010438572</v>
      </c>
      <c r="K70" s="108">
        <f t="shared" si="8"/>
        <v>5923.5705631574629</v>
      </c>
    </row>
    <row r="71" spans="2:11" ht="15.75" thickBot="1" x14ac:dyDescent="0.3">
      <c r="G71" s="109" t="s">
        <v>92</v>
      </c>
      <c r="H71" s="110">
        <f>+SUM(H65:H70)</f>
        <v>46939.808446834766</v>
      </c>
      <c r="I71" s="111"/>
      <c r="J71" s="112">
        <f>+SUM(J65:J70)</f>
        <v>9857.3597738353019</v>
      </c>
      <c r="K71" s="112">
        <f>+SUM(K65:K70)</f>
        <v>56797.168220670072</v>
      </c>
    </row>
    <row r="72" spans="2:11" ht="15.75" thickTop="1" x14ac:dyDescent="0.25"/>
  </sheetData>
  <mergeCells count="1">
    <mergeCell ref="A42:A52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DB8482-49A0-4ED2-8F07-BA2154887349}">
  <dimension ref="A2:K37"/>
  <sheetViews>
    <sheetView showGridLines="0" zoomScaleNormal="100" workbookViewId="0"/>
  </sheetViews>
  <sheetFormatPr baseColWidth="10" defaultColWidth="9.140625" defaultRowHeight="15" x14ac:dyDescent="0.25"/>
  <cols>
    <col min="1" max="1" width="20.7109375" customWidth="1"/>
    <col min="2" max="2" width="50" customWidth="1"/>
    <col min="3" max="3" width="16.140625" customWidth="1"/>
    <col min="4" max="4" width="29.140625" bestFit="1" customWidth="1"/>
    <col min="5" max="5" width="13.7109375" bestFit="1" customWidth="1"/>
    <col min="6" max="6" width="18.140625" bestFit="1" customWidth="1"/>
    <col min="7" max="7" width="29.5703125" customWidth="1"/>
    <col min="8" max="8" width="13.28515625" customWidth="1"/>
    <col min="9" max="9" width="14.140625" customWidth="1"/>
    <col min="10" max="10" width="17.28515625" customWidth="1"/>
    <col min="11" max="11" width="13.28515625" customWidth="1"/>
    <col min="12" max="12" width="44" customWidth="1"/>
    <col min="13" max="13" width="12.140625" bestFit="1" customWidth="1"/>
    <col min="14" max="14" width="18" bestFit="1" customWidth="1"/>
    <col min="15" max="15" width="16.5703125" bestFit="1" customWidth="1"/>
    <col min="16" max="16" width="13.28515625" customWidth="1"/>
    <col min="17" max="17" width="42.140625" customWidth="1"/>
    <col min="18" max="18" width="12.140625" bestFit="1" customWidth="1"/>
    <col min="19" max="19" width="18" bestFit="1" customWidth="1"/>
    <col min="20" max="20" width="16.5703125" bestFit="1" customWidth="1"/>
    <col min="21" max="21" width="13.28515625" customWidth="1"/>
    <col min="22" max="22" width="29.85546875" customWidth="1"/>
    <col min="23" max="23" width="12.140625" bestFit="1" customWidth="1"/>
    <col min="24" max="24" width="13.140625" bestFit="1" customWidth="1"/>
    <col min="25" max="25" width="13.7109375" bestFit="1" customWidth="1"/>
  </cols>
  <sheetData>
    <row r="2" spans="1:10" x14ac:dyDescent="0.25">
      <c r="B2" s="5" t="s">
        <v>130</v>
      </c>
      <c r="C2" s="4"/>
      <c r="D2" s="4"/>
    </row>
    <row r="4" spans="1:10" ht="15" customHeight="1" x14ac:dyDescent="0.25">
      <c r="A4" s="116"/>
      <c r="B4" s="3" t="s">
        <v>118</v>
      </c>
      <c r="J4" s="195"/>
    </row>
    <row r="5" spans="1:10" x14ac:dyDescent="0.25">
      <c r="B5" s="163" t="s">
        <v>46</v>
      </c>
      <c r="C5" s="164"/>
      <c r="D5" s="165" t="s">
        <v>146</v>
      </c>
      <c r="E5" s="163"/>
      <c r="F5" s="156" t="s">
        <v>160</v>
      </c>
      <c r="G5" s="156" t="s">
        <v>171</v>
      </c>
      <c r="H5" s="166" t="s">
        <v>77</v>
      </c>
    </row>
    <row r="6" spans="1:10" x14ac:dyDescent="0.25">
      <c r="B6" s="169" t="s">
        <v>130</v>
      </c>
      <c r="C6" s="170"/>
      <c r="D6" s="171"/>
      <c r="E6" s="172"/>
      <c r="F6" s="226">
        <f>+SUM(F8:F15)</f>
        <v>4271.9239583999997</v>
      </c>
      <c r="G6" s="231">
        <f>+F6*0.21</f>
        <v>897.1040312639999</v>
      </c>
      <c r="H6" s="232">
        <f>+F6+G6</f>
        <v>5169.0279896639995</v>
      </c>
    </row>
    <row r="7" spans="1:10" x14ac:dyDescent="0.25">
      <c r="B7" s="174" t="s">
        <v>131</v>
      </c>
      <c r="C7" s="175"/>
      <c r="D7" s="176"/>
      <c r="E7" s="175"/>
      <c r="F7" s="227"/>
      <c r="G7" s="229"/>
      <c r="H7" s="224"/>
    </row>
    <row r="8" spans="1:10" x14ac:dyDescent="0.25">
      <c r="B8" s="178" t="s">
        <v>133</v>
      </c>
      <c r="C8" s="80"/>
      <c r="D8" s="179" t="s">
        <v>141</v>
      </c>
      <c r="E8" s="80"/>
      <c r="F8" s="149">
        <f>155.8*1.029*1.032</f>
        <v>165.44838239999999</v>
      </c>
      <c r="G8" s="138">
        <f>+F8*0.21</f>
        <v>34.744160303999998</v>
      </c>
      <c r="H8" s="223">
        <f>+F8+G8</f>
        <v>200.19254270399998</v>
      </c>
    </row>
    <row r="9" spans="1:10" x14ac:dyDescent="0.25">
      <c r="B9" s="181" t="s">
        <v>142</v>
      </c>
      <c r="C9" s="80"/>
      <c r="D9" s="179" t="s">
        <v>140</v>
      </c>
      <c r="E9" s="80"/>
      <c r="F9" s="149">
        <f>969.3*1.029*1.032</f>
        <v>1029.3268103999999</v>
      </c>
      <c r="G9" s="138">
        <f t="shared" ref="G9:G15" si="0">+F9*0.21</f>
        <v>216.15863018399997</v>
      </c>
      <c r="H9" s="223">
        <f t="shared" ref="H9:H15" si="1">+F9+G9</f>
        <v>1245.4854405839999</v>
      </c>
    </row>
    <row r="10" spans="1:10" x14ac:dyDescent="0.25">
      <c r="B10" s="178" t="s">
        <v>134</v>
      </c>
      <c r="C10" s="80"/>
      <c r="D10" s="179" t="s">
        <v>170</v>
      </c>
      <c r="E10" s="80"/>
      <c r="F10" s="149">
        <f>1880.4*1.029*1.032</f>
        <v>1996.8494111999998</v>
      </c>
      <c r="G10" s="149">
        <f t="shared" si="0"/>
        <v>419.33837635199995</v>
      </c>
      <c r="H10" s="180">
        <f t="shared" si="1"/>
        <v>2416.1877875519999</v>
      </c>
    </row>
    <row r="11" spans="1:10" x14ac:dyDescent="0.25">
      <c r="B11" s="178" t="s">
        <v>135</v>
      </c>
      <c r="C11" s="80"/>
      <c r="D11" s="179" t="s">
        <v>140</v>
      </c>
      <c r="E11" s="80"/>
      <c r="F11" s="149">
        <f>290*1.029*1.032</f>
        <v>307.95911999999998</v>
      </c>
      <c r="G11" s="138">
        <f t="shared" si="0"/>
        <v>64.671415199999998</v>
      </c>
      <c r="H11" s="223">
        <f t="shared" si="1"/>
        <v>372.6305352</v>
      </c>
    </row>
    <row r="12" spans="1:10" x14ac:dyDescent="0.25">
      <c r="B12" s="178" t="s">
        <v>136</v>
      </c>
      <c r="C12" s="80"/>
      <c r="D12" s="179" t="s">
        <v>140</v>
      </c>
      <c r="E12" s="80"/>
      <c r="F12" s="149">
        <f>290*1.029*1.032</f>
        <v>307.95911999999998</v>
      </c>
      <c r="G12" s="138">
        <f t="shared" si="0"/>
        <v>64.671415199999998</v>
      </c>
      <c r="H12" s="223">
        <f t="shared" si="1"/>
        <v>372.6305352</v>
      </c>
    </row>
    <row r="13" spans="1:10" x14ac:dyDescent="0.25">
      <c r="B13" s="178" t="s">
        <v>137</v>
      </c>
      <c r="C13" s="80"/>
      <c r="D13" s="179" t="s">
        <v>140</v>
      </c>
      <c r="E13" s="80"/>
      <c r="F13" s="149">
        <f>155.8*1.029*1.032</f>
        <v>165.44838239999999</v>
      </c>
      <c r="G13" s="138">
        <f t="shared" si="0"/>
        <v>34.744160303999998</v>
      </c>
      <c r="H13" s="223">
        <f t="shared" si="1"/>
        <v>200.19254270399998</v>
      </c>
    </row>
    <row r="14" spans="1:10" x14ac:dyDescent="0.25">
      <c r="B14" s="182" t="s">
        <v>138</v>
      </c>
      <c r="C14" s="175"/>
      <c r="D14" s="176"/>
      <c r="E14" s="175"/>
      <c r="F14" s="227"/>
      <c r="G14" s="138"/>
      <c r="H14" s="223"/>
    </row>
    <row r="15" spans="1:10" x14ac:dyDescent="0.25">
      <c r="B15" s="183" t="s">
        <v>139</v>
      </c>
      <c r="C15" s="184"/>
      <c r="D15" s="185" t="s">
        <v>140</v>
      </c>
      <c r="E15" s="184"/>
      <c r="F15" s="228">
        <f>281.5*1.029*1.032</f>
        <v>298.93273199999999</v>
      </c>
      <c r="G15" s="230">
        <f t="shared" si="0"/>
        <v>62.775873719999993</v>
      </c>
      <c r="H15" s="225">
        <f t="shared" si="1"/>
        <v>361.70860571999998</v>
      </c>
    </row>
    <row r="16" spans="1:10" x14ac:dyDescent="0.25">
      <c r="B16" s="114"/>
      <c r="C16" s="113"/>
      <c r="D16" s="118"/>
      <c r="E16" s="40"/>
      <c r="F16" s="40"/>
    </row>
    <row r="18" spans="2:11" ht="37.5" customHeight="1" x14ac:dyDescent="0.25">
      <c r="B18" s="129" t="s">
        <v>99</v>
      </c>
      <c r="C18" s="130" t="s">
        <v>161</v>
      </c>
    </row>
    <row r="19" spans="2:11" x14ac:dyDescent="0.25">
      <c r="B19" s="128">
        <v>2026</v>
      </c>
      <c r="C19" s="126">
        <f>+F6</f>
        <v>4271.9239583999997</v>
      </c>
    </row>
    <row r="20" spans="2:11" x14ac:dyDescent="0.25">
      <c r="B20" s="128" t="s">
        <v>120</v>
      </c>
      <c r="C20" s="126">
        <f t="shared" ref="C20:C23" si="2">C19*1.03</f>
        <v>4400.0816771519994</v>
      </c>
    </row>
    <row r="21" spans="2:11" x14ac:dyDescent="0.25">
      <c r="B21" s="128" t="s">
        <v>121</v>
      </c>
      <c r="C21" s="126">
        <f t="shared" si="2"/>
        <v>4532.0841274665599</v>
      </c>
    </row>
    <row r="22" spans="2:11" x14ac:dyDescent="0.25">
      <c r="B22" s="128" t="s">
        <v>122</v>
      </c>
      <c r="C22" s="126">
        <f t="shared" si="2"/>
        <v>4668.0466512905568</v>
      </c>
      <c r="D22" s="19"/>
      <c r="E22" s="19"/>
    </row>
    <row r="23" spans="2:11" x14ac:dyDescent="0.25">
      <c r="B23" s="128" t="s">
        <v>123</v>
      </c>
      <c r="C23" s="126">
        <f t="shared" si="2"/>
        <v>4808.0880508292739</v>
      </c>
    </row>
    <row r="24" spans="2:11" x14ac:dyDescent="0.25">
      <c r="B24" s="3"/>
      <c r="C24" s="19"/>
    </row>
    <row r="26" spans="2:11" ht="15.75" thickBot="1" x14ac:dyDescent="0.3"/>
    <row r="27" spans="2:11" ht="15.75" thickBot="1" x14ac:dyDescent="0.3">
      <c r="B27" s="100" t="s">
        <v>96</v>
      </c>
      <c r="C27" s="101"/>
      <c r="D27" s="101"/>
      <c r="E27" s="102"/>
      <c r="G27" s="100" t="s">
        <v>93</v>
      </c>
      <c r="H27" s="101"/>
      <c r="I27" s="101"/>
      <c r="J27" s="101"/>
      <c r="K27" s="102"/>
    </row>
    <row r="28" spans="2:11" ht="15" customHeight="1" x14ac:dyDescent="0.25">
      <c r="E28" s="85"/>
      <c r="F28" s="85"/>
    </row>
    <row r="29" spans="2:11" ht="30" x14ac:dyDescent="0.25">
      <c r="B29" s="88" t="s">
        <v>97</v>
      </c>
      <c r="C29" s="10">
        <f>+C19</f>
        <v>4271.9239583999997</v>
      </c>
      <c r="E29" s="85"/>
      <c r="F29" s="85"/>
      <c r="G29" s="103" t="s">
        <v>88</v>
      </c>
      <c r="H29" s="103" t="s">
        <v>87</v>
      </c>
      <c r="I29" s="104" t="s">
        <v>89</v>
      </c>
      <c r="J29" s="104" t="s">
        <v>90</v>
      </c>
      <c r="K29" s="104" t="s">
        <v>91</v>
      </c>
    </row>
    <row r="30" spans="2:11" x14ac:dyDescent="0.25">
      <c r="B30" s="88" t="s">
        <v>85</v>
      </c>
      <c r="C30" s="10">
        <f>+C29*0.21</f>
        <v>897.1040312639999</v>
      </c>
      <c r="E30" s="85"/>
      <c r="F30" s="85"/>
      <c r="G30" s="105">
        <v>2026</v>
      </c>
      <c r="H30" s="106">
        <f>+C19</f>
        <v>4271.9239583999997</v>
      </c>
      <c r="I30" s="107">
        <v>21</v>
      </c>
      <c r="J30" s="108">
        <f t="shared" ref="J30:J35" si="3">+H30*0.21</f>
        <v>897.1040312639999</v>
      </c>
      <c r="K30" s="108">
        <f t="shared" ref="K30:K35" si="4">+H30+J30</f>
        <v>5169.0279896639995</v>
      </c>
    </row>
    <row r="31" spans="2:11" ht="30.75" thickBot="1" x14ac:dyDescent="0.3">
      <c r="B31" s="90" t="s">
        <v>86</v>
      </c>
      <c r="C31" s="91">
        <f>+C29+C30</f>
        <v>5169.0279896639995</v>
      </c>
      <c r="E31" s="85"/>
      <c r="F31" s="85"/>
      <c r="G31" s="105">
        <v>2027</v>
      </c>
      <c r="H31" s="106">
        <f>+C20</f>
        <v>4400.0816771519994</v>
      </c>
      <c r="I31" s="107">
        <v>21</v>
      </c>
      <c r="J31" s="108">
        <f t="shared" si="3"/>
        <v>924.01715220191988</v>
      </c>
      <c r="K31" s="108">
        <f t="shared" si="4"/>
        <v>5324.0988293539194</v>
      </c>
    </row>
    <row r="32" spans="2:11" ht="15.75" thickTop="1" x14ac:dyDescent="0.25">
      <c r="C32" s="86"/>
      <c r="E32" s="85"/>
      <c r="F32" s="85"/>
      <c r="G32" s="105">
        <v>2028</v>
      </c>
      <c r="H32" s="106">
        <f t="shared" ref="H32:H34" si="5">+C21</f>
        <v>4532.0841274665599</v>
      </c>
      <c r="I32" s="107">
        <v>21</v>
      </c>
      <c r="J32" s="108">
        <f t="shared" si="3"/>
        <v>951.73766676797754</v>
      </c>
      <c r="K32" s="108">
        <f t="shared" si="4"/>
        <v>5483.8217942345373</v>
      </c>
    </row>
    <row r="33" spans="5:11" x14ac:dyDescent="0.25">
      <c r="E33" s="85"/>
      <c r="F33" s="85"/>
      <c r="G33" s="105">
        <v>2029</v>
      </c>
      <c r="H33" s="106">
        <f t="shared" si="5"/>
        <v>4668.0466512905568</v>
      </c>
      <c r="I33" s="107">
        <v>21</v>
      </c>
      <c r="J33" s="108">
        <f t="shared" si="3"/>
        <v>980.28979677101688</v>
      </c>
      <c r="K33" s="108">
        <f t="shared" si="4"/>
        <v>5648.3364480615737</v>
      </c>
    </row>
    <row r="34" spans="5:11" x14ac:dyDescent="0.25">
      <c r="E34" s="85"/>
      <c r="F34" s="85"/>
      <c r="G34" s="105">
        <v>2030</v>
      </c>
      <c r="H34" s="106">
        <f t="shared" si="5"/>
        <v>4808.0880508292739</v>
      </c>
      <c r="I34" s="107">
        <v>21</v>
      </c>
      <c r="J34" s="108">
        <f t="shared" si="3"/>
        <v>1009.6984906741475</v>
      </c>
      <c r="K34" s="108">
        <f t="shared" si="4"/>
        <v>5817.7865415034212</v>
      </c>
    </row>
    <row r="35" spans="5:11" x14ac:dyDescent="0.25">
      <c r="F35" s="85"/>
      <c r="G35" s="107" t="s">
        <v>98</v>
      </c>
      <c r="H35" s="106">
        <f>+(H30+H31+H32)*0.2</f>
        <v>2640.817952603712</v>
      </c>
      <c r="I35" s="107">
        <v>21</v>
      </c>
      <c r="J35" s="108">
        <f t="shared" si="3"/>
        <v>554.57177004677953</v>
      </c>
      <c r="K35" s="108">
        <f t="shared" si="4"/>
        <v>3195.3897226504914</v>
      </c>
    </row>
    <row r="36" spans="5:11" ht="15.75" thickBot="1" x14ac:dyDescent="0.3">
      <c r="G36" s="109" t="s">
        <v>92</v>
      </c>
      <c r="H36" s="110">
        <f>+SUM(H30:H35)</f>
        <v>25321.042417742101</v>
      </c>
      <c r="I36" s="111"/>
      <c r="J36" s="112">
        <f>+SUM(J30:J35)</f>
        <v>5317.4189077258407</v>
      </c>
      <c r="K36" s="112">
        <f>+SUM(K30:K35)</f>
        <v>30638.461325467943</v>
      </c>
    </row>
    <row r="37" spans="5:11" ht="15.75" thickTop="1" x14ac:dyDescent="0.25"/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Calcul amb mitjana increment</vt:lpstr>
      <vt:lpstr>NETEJA EDIFICIS</vt:lpstr>
      <vt:lpstr>LOT 1</vt:lpstr>
      <vt:lpstr>LOT 2</vt:lpstr>
      <vt:lpstr>LOT 3</vt:lpstr>
      <vt:lpstr>LOT 4</vt:lpstr>
      <vt:lpstr>LOT 5</vt:lpstr>
      <vt:lpstr>'LOT 1'!_Hlk211429777</vt:lpstr>
      <vt:lpstr>'LOT 2'!_Hlk211429777</vt:lpstr>
      <vt:lpstr>'LOT 3'!_Hlk211429777</vt:lpstr>
      <vt:lpstr>'LOT 4'!_Hlk211429777</vt:lpstr>
      <vt:lpstr>'LOT 5'!_Hlk211429777</vt:lpstr>
      <vt:lpstr>'NETEJA EDIFICIS'!_Hlk211429777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Lourdes ANGLADA CODINA</dc:creator>
  <cp:lastModifiedBy>Raquel BONILLO MUXÍ</cp:lastModifiedBy>
  <cp:lastPrinted>2026-02-18T10:45:58Z</cp:lastPrinted>
  <dcterms:created xsi:type="dcterms:W3CDTF">2021-10-18T16:41:02Z</dcterms:created>
  <dcterms:modified xsi:type="dcterms:W3CDTF">2026-03-05T12:53:16Z</dcterms:modified>
</cp:coreProperties>
</file>