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51 - Serveis de missatgeria, paqueteria, transport intern de mercaderies i valisa entre Seus\2. PLECS\1. ADMINISTRATIUS\"/>
    </mc:Choice>
  </mc:AlternateContent>
  <xr:revisionPtr revIDLastSave="0" documentId="8_{ADE3D7D3-0ABD-4840-9478-23DC715639E3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LOT 1" sheetId="10" r:id="rId1"/>
    <sheet name="LOT 2" sheetId="8" r:id="rId2"/>
    <sheet name="descripcions DEFINITIVES" sheetId="3" state="hidden" r:id="rId3"/>
    <sheet name="descripcions" sheetId="4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2">'descripcions DEFINITIVES'!$A$1:$J$36</definedName>
    <definedName name="_xlnm.Print_Area" localSheetId="0">'LOT 1'!$B$1:$O$28</definedName>
    <definedName name="_xlnm.Print_Area" localSheetId="1">'LOT 2'!$A$1:$B$41</definedName>
    <definedName name="_xlnm.Print_Titles" localSheetId="3">descripcions!$11:$13</definedName>
    <definedName name="_xlnm.Print_Titles" localSheetId="2">'descripcions DEFINITIVES'!$11:$13</definedName>
    <definedName name="_xlnm.Print_Titles" localSheetId="1">'LOT 2'!$10:$12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0" l="1"/>
  <c r="L23" i="10"/>
  <c r="L21" i="10"/>
  <c r="L22" i="10"/>
  <c r="L24" i="10"/>
  <c r="H25" i="10"/>
  <c r="I25" i="10" s="1"/>
  <c r="F25" i="10"/>
  <c r="H24" i="10"/>
  <c r="I24" i="10" s="1"/>
  <c r="F24" i="10"/>
  <c r="H23" i="10"/>
  <c r="I23" i="10" s="1"/>
  <c r="D23" i="10"/>
  <c r="F23" i="10" s="1"/>
  <c r="I22" i="10"/>
  <c r="D22" i="10"/>
  <c r="F22" i="10" s="1"/>
  <c r="M22" i="10" s="1"/>
  <c r="O22" i="10" s="1"/>
  <c r="N22" i="10" s="1"/>
  <c r="H21" i="10"/>
  <c r="I21" i="10" s="1"/>
  <c r="F21" i="10"/>
  <c r="D21" i="10"/>
  <c r="M25" i="10" l="1"/>
  <c r="O25" i="10" s="1"/>
  <c r="N25" i="10" s="1"/>
  <c r="M24" i="10"/>
  <c r="O24" i="10" s="1"/>
  <c r="N24" i="10" s="1"/>
  <c r="M21" i="10"/>
  <c r="M23" i="10"/>
  <c r="O23" i="10" s="1"/>
  <c r="N23" i="10" s="1"/>
  <c r="M26" i="10" l="1"/>
  <c r="M27" i="10" s="1"/>
  <c r="O21" i="10"/>
  <c r="N21" i="10" l="1"/>
  <c r="N26" i="10" s="1"/>
  <c r="N27" i="10" s="1"/>
  <c r="O26" i="10"/>
  <c r="O27" i="10" s="1"/>
  <c r="P36" i="8" l="1"/>
  <c r="Q36" i="8" s="1"/>
  <c r="Q35" i="8" s="1"/>
  <c r="P37" i="8"/>
  <c r="Q37" i="8" s="1"/>
  <c r="P34" i="8"/>
  <c r="Q34" i="8" s="1"/>
  <c r="P33" i="8"/>
  <c r="Q33" i="8" s="1"/>
  <c r="P32" i="8"/>
  <c r="Q32" i="8" s="1"/>
  <c r="Q31" i="8" s="1"/>
  <c r="P30" i="8"/>
  <c r="Q30" i="8" s="1"/>
  <c r="P29" i="8"/>
  <c r="Q29" i="8" s="1"/>
  <c r="P28" i="8"/>
  <c r="Q28" i="8" s="1"/>
  <c r="P27" i="8"/>
  <c r="Q27" i="8" s="1"/>
  <c r="P26" i="8"/>
  <c r="Q26" i="8" s="1"/>
  <c r="P22" i="8"/>
  <c r="Q22" i="8" s="1"/>
  <c r="P21" i="8"/>
  <c r="Q21" i="8" s="1"/>
  <c r="Q20" i="8" s="1"/>
  <c r="P19" i="8"/>
  <c r="Q19" i="8" s="1"/>
  <c r="P18" i="8"/>
  <c r="Q18" i="8" s="1"/>
  <c r="P17" i="8"/>
  <c r="Q17" i="8" s="1"/>
  <c r="P16" i="8"/>
  <c r="Q16" i="8" s="1"/>
  <c r="C25" i="8"/>
  <c r="P25" i="8" s="1"/>
  <c r="Q25" i="8" s="1"/>
  <c r="C24" i="8"/>
  <c r="H24" i="8" s="1"/>
  <c r="K24" i="8" s="1"/>
  <c r="H37" i="8"/>
  <c r="I37" i="8" s="1"/>
  <c r="J37" i="8" s="1"/>
  <c r="F37" i="8"/>
  <c r="G37" i="8" s="1"/>
  <c r="H36" i="8"/>
  <c r="I36" i="8" s="1"/>
  <c r="I35" i="8" s="1"/>
  <c r="F36" i="8"/>
  <c r="G36" i="8" s="1"/>
  <c r="F34" i="8"/>
  <c r="G34" i="8" s="1"/>
  <c r="F33" i="8"/>
  <c r="G33" i="8" s="1"/>
  <c r="F32" i="8"/>
  <c r="G32" i="8" s="1"/>
  <c r="H30" i="8"/>
  <c r="I30" i="8" s="1"/>
  <c r="J30" i="8" s="1"/>
  <c r="F30" i="8"/>
  <c r="G30" i="8" s="1"/>
  <c r="H29" i="8"/>
  <c r="I29" i="8" s="1"/>
  <c r="F29" i="8"/>
  <c r="G29" i="8" s="1"/>
  <c r="H28" i="8"/>
  <c r="K28" i="8" s="1"/>
  <c r="F28" i="8"/>
  <c r="G28" i="8" s="1"/>
  <c r="H27" i="8"/>
  <c r="I27" i="8" s="1"/>
  <c r="F27" i="8"/>
  <c r="G27" i="8" s="1"/>
  <c r="H26" i="8"/>
  <c r="I26" i="8" s="1"/>
  <c r="F26" i="8"/>
  <c r="G26" i="8" s="1"/>
  <c r="F25" i="8"/>
  <c r="G25" i="8" s="1"/>
  <c r="F24" i="8"/>
  <c r="G24" i="8" s="1"/>
  <c r="H22" i="8"/>
  <c r="I22" i="8" s="1"/>
  <c r="J22" i="8" s="1"/>
  <c r="F22" i="8"/>
  <c r="G22" i="8" s="1"/>
  <c r="H21" i="8"/>
  <c r="I21" i="8" s="1"/>
  <c r="F21" i="8"/>
  <c r="G21" i="8" s="1"/>
  <c r="C20" i="8"/>
  <c r="H19" i="8"/>
  <c r="K19" i="8" s="1"/>
  <c r="F19" i="8"/>
  <c r="G19" i="8" s="1"/>
  <c r="H18" i="8"/>
  <c r="I18" i="8" s="1"/>
  <c r="F18" i="8"/>
  <c r="G18" i="8" s="1"/>
  <c r="H17" i="8"/>
  <c r="I17" i="8" s="1"/>
  <c r="F17" i="8"/>
  <c r="G17" i="8" s="1"/>
  <c r="D16" i="8"/>
  <c r="H16" i="8" s="1"/>
  <c r="K16" i="8" s="1"/>
  <c r="C15" i="8"/>
  <c r="P24" i="8" l="1"/>
  <c r="Q24" i="8" s="1"/>
  <c r="Q23" i="8" s="1"/>
  <c r="K21" i="8"/>
  <c r="L21" i="8" s="1"/>
  <c r="Q15" i="8"/>
  <c r="K29" i="8"/>
  <c r="L29" i="8" s="1"/>
  <c r="K36" i="8"/>
  <c r="H35" i="8"/>
  <c r="R28" i="8"/>
  <c r="L28" i="8"/>
  <c r="M28" i="8" s="1"/>
  <c r="L16" i="8"/>
  <c r="L24" i="8"/>
  <c r="M24" i="8" s="1"/>
  <c r="L19" i="8"/>
  <c r="M19" i="8" s="1"/>
  <c r="K17" i="8"/>
  <c r="K22" i="8"/>
  <c r="K20" i="8" s="1"/>
  <c r="L20" i="8" s="1"/>
  <c r="K27" i="8"/>
  <c r="K37" i="8"/>
  <c r="R21" i="8"/>
  <c r="R29" i="8"/>
  <c r="K26" i="8"/>
  <c r="K30" i="8"/>
  <c r="K18" i="8"/>
  <c r="R19" i="8"/>
  <c r="K15" i="8"/>
  <c r="L15" i="8" s="1"/>
  <c r="M21" i="8"/>
  <c r="M29" i="8"/>
  <c r="J36" i="8"/>
  <c r="J35" i="8" s="1"/>
  <c r="J17" i="8"/>
  <c r="J29" i="8"/>
  <c r="I28" i="8"/>
  <c r="J28" i="8" s="1"/>
  <c r="H25" i="8"/>
  <c r="C14" i="8"/>
  <c r="H20" i="8"/>
  <c r="I24" i="8"/>
  <c r="J24" i="8" s="1"/>
  <c r="C23" i="8"/>
  <c r="H34" i="8"/>
  <c r="C31" i="8"/>
  <c r="H32" i="8"/>
  <c r="K32" i="8" s="1"/>
  <c r="H33" i="8"/>
  <c r="K33" i="8" s="1"/>
  <c r="H15" i="8"/>
  <c r="I16" i="8"/>
  <c r="J16" i="8" s="1"/>
  <c r="J21" i="8"/>
  <c r="J20" i="8" s="1"/>
  <c r="I20" i="8"/>
  <c r="I19" i="8"/>
  <c r="J19" i="8" s="1"/>
  <c r="J18" i="8"/>
  <c r="J27" i="8"/>
  <c r="F16" i="8"/>
  <c r="G16" i="8" s="1"/>
  <c r="J26" i="8"/>
  <c r="L36" i="8" l="1"/>
  <c r="M36" i="8" s="1"/>
  <c r="M35" i="8" s="1"/>
  <c r="K35" i="8"/>
  <c r="L35" i="8" s="1"/>
  <c r="L22" i="8"/>
  <c r="R18" i="8"/>
  <c r="L18" i="8"/>
  <c r="M18" i="8" s="1"/>
  <c r="R17" i="8"/>
  <c r="L17" i="8"/>
  <c r="M17" i="8" s="1"/>
  <c r="I34" i="8"/>
  <c r="J34" i="8" s="1"/>
  <c r="K34" i="8"/>
  <c r="K31" i="8" s="1"/>
  <c r="L31" i="8" s="1"/>
  <c r="M22" i="8"/>
  <c r="R30" i="8"/>
  <c r="L30" i="8"/>
  <c r="M30" i="8" s="1"/>
  <c r="L37" i="8"/>
  <c r="M37" i="8" s="1"/>
  <c r="R37" i="8"/>
  <c r="L32" i="8"/>
  <c r="M32" i="8" s="1"/>
  <c r="R24" i="8"/>
  <c r="L33" i="8"/>
  <c r="M33" i="8" s="1"/>
  <c r="R33" i="8"/>
  <c r="I25" i="8"/>
  <c r="J25" i="8" s="1"/>
  <c r="J23" i="8" s="1"/>
  <c r="K25" i="8"/>
  <c r="R26" i="8"/>
  <c r="L26" i="8"/>
  <c r="M26" i="8" s="1"/>
  <c r="L27" i="8"/>
  <c r="M27" i="8" s="1"/>
  <c r="R27" i="8"/>
  <c r="R16" i="8"/>
  <c r="M20" i="8"/>
  <c r="K14" i="8"/>
  <c r="M16" i="8"/>
  <c r="H14" i="8"/>
  <c r="H23" i="8"/>
  <c r="C13" i="8"/>
  <c r="H31" i="8"/>
  <c r="I32" i="8"/>
  <c r="J32" i="8" s="1"/>
  <c r="I33" i="8"/>
  <c r="J33" i="8" s="1"/>
  <c r="I15" i="8"/>
  <c r="I14" i="8" s="1"/>
  <c r="J15" i="8"/>
  <c r="J14" i="8" s="1"/>
  <c r="M15" i="8" l="1"/>
  <c r="M14" i="8" s="1"/>
  <c r="P15" i="8"/>
  <c r="P35" i="8"/>
  <c r="R36" i="8"/>
  <c r="R35" i="8" s="1"/>
  <c r="L14" i="8"/>
  <c r="R34" i="8"/>
  <c r="L34" i="8"/>
  <c r="M34" i="8" s="1"/>
  <c r="M31" i="8" s="1"/>
  <c r="R22" i="8"/>
  <c r="R20" i="8" s="1"/>
  <c r="P20" i="8"/>
  <c r="Q14" i="8" s="1"/>
  <c r="I23" i="8"/>
  <c r="L25" i="8"/>
  <c r="M25" i="8" s="1"/>
  <c r="M23" i="8" s="1"/>
  <c r="K23" i="8"/>
  <c r="L23" i="8" s="1"/>
  <c r="R32" i="8"/>
  <c r="P31" i="8"/>
  <c r="R15" i="8"/>
  <c r="H13" i="8"/>
  <c r="H38" i="8" s="1"/>
  <c r="I31" i="8"/>
  <c r="I13" i="8" s="1"/>
  <c r="I38" i="8" s="1"/>
  <c r="J31" i="8"/>
  <c r="R14" i="8" l="1"/>
  <c r="R25" i="8"/>
  <c r="R23" i="8" s="1"/>
  <c r="P23" i="8"/>
  <c r="Q13" i="8" s="1"/>
  <c r="P14" i="8"/>
  <c r="K13" i="8"/>
  <c r="R31" i="8"/>
  <c r="J13" i="8"/>
  <c r="J38" i="8" s="1"/>
  <c r="P13" i="8" l="1"/>
  <c r="L13" i="8"/>
  <c r="L38" i="8" s="1"/>
  <c r="M13" i="8"/>
  <c r="M38" i="8" s="1"/>
  <c r="K38" i="8"/>
  <c r="D30" i="3"/>
  <c r="D29" i="3"/>
  <c r="Q38" i="8" l="1"/>
  <c r="P38" i="8"/>
  <c r="B58" i="3"/>
  <c r="B55" i="3"/>
  <c r="B52" i="3"/>
  <c r="B49" i="3"/>
  <c r="B46" i="3"/>
  <c r="C20" i="3"/>
  <c r="K39" i="4"/>
  <c r="K44" i="4" s="1"/>
  <c r="C33" i="3"/>
  <c r="H33" i="3" s="1"/>
  <c r="I33" i="3" s="1"/>
  <c r="J33" i="3" s="1"/>
  <c r="C30" i="3"/>
  <c r="H30" i="3" s="1"/>
  <c r="I30" i="3" s="1"/>
  <c r="J30" i="3" s="1"/>
  <c r="C29" i="3"/>
  <c r="C26" i="3"/>
  <c r="H26" i="3" s="1"/>
  <c r="I26" i="3" s="1"/>
  <c r="J26" i="3" s="1"/>
  <c r="C25" i="3"/>
  <c r="H25" i="3" s="1"/>
  <c r="I25" i="3" s="1"/>
  <c r="C23" i="3"/>
  <c r="H23" i="3" s="1"/>
  <c r="I23" i="3" s="1"/>
  <c r="J23" i="3" s="1"/>
  <c r="C22" i="3"/>
  <c r="H22" i="3" s="1"/>
  <c r="C19" i="3"/>
  <c r="K19" i="3" s="1"/>
  <c r="C18" i="3"/>
  <c r="H18" i="3" s="1"/>
  <c r="I18" i="3" s="1"/>
  <c r="C17" i="3"/>
  <c r="H17" i="3" s="1"/>
  <c r="I17" i="3" s="1"/>
  <c r="J17" i="3" s="1"/>
  <c r="L17" i="3" s="1"/>
  <c r="M17" i="3" s="1"/>
  <c r="N17" i="3" s="1"/>
  <c r="C27" i="3"/>
  <c r="H27" i="3" s="1"/>
  <c r="I27" i="3" s="1"/>
  <c r="J27" i="3" s="1"/>
  <c r="J45" i="4"/>
  <c r="I42" i="4"/>
  <c r="I43" i="4" s="1"/>
  <c r="J41" i="4"/>
  <c r="F34" i="4"/>
  <c r="G34" i="4" s="1"/>
  <c r="C34" i="4"/>
  <c r="H34" i="4" s="1"/>
  <c r="I34" i="4" s="1"/>
  <c r="J34" i="4" s="1"/>
  <c r="D32" i="4"/>
  <c r="D33" i="4" s="1"/>
  <c r="F31" i="4"/>
  <c r="G31" i="4" s="1"/>
  <c r="F30" i="4"/>
  <c r="G30" i="4" s="1"/>
  <c r="C30" i="4"/>
  <c r="H30" i="4" s="1"/>
  <c r="F29" i="4"/>
  <c r="G29" i="4" s="1"/>
  <c r="C29" i="4"/>
  <c r="H29" i="4" s="1"/>
  <c r="F28" i="4"/>
  <c r="G28" i="4" s="1"/>
  <c r="F27" i="4"/>
  <c r="G27" i="4" s="1"/>
  <c r="C27" i="4"/>
  <c r="F26" i="4"/>
  <c r="G26" i="4" s="1"/>
  <c r="C26" i="4"/>
  <c r="H26" i="4" s="1"/>
  <c r="F25" i="4"/>
  <c r="G25" i="4" s="1"/>
  <c r="C25" i="4"/>
  <c r="H25" i="4" s="1"/>
  <c r="F24" i="4"/>
  <c r="G24" i="4" s="1"/>
  <c r="F23" i="4"/>
  <c r="G23" i="4" s="1"/>
  <c r="C23" i="4"/>
  <c r="H23" i="4" s="1"/>
  <c r="F22" i="4"/>
  <c r="G22" i="4" s="1"/>
  <c r="C22" i="4"/>
  <c r="H22" i="4" s="1"/>
  <c r="F21" i="4"/>
  <c r="G21" i="4" s="1"/>
  <c r="F20" i="4"/>
  <c r="G20" i="4" s="1"/>
  <c r="C20" i="4"/>
  <c r="H20" i="4" s="1"/>
  <c r="F19" i="4"/>
  <c r="G19" i="4" s="1"/>
  <c r="C19" i="4"/>
  <c r="H19" i="4" s="1"/>
  <c r="F18" i="4"/>
  <c r="G18" i="4"/>
  <c r="C18" i="4"/>
  <c r="H18" i="4" s="1"/>
  <c r="F17" i="4"/>
  <c r="G17" i="4" s="1"/>
  <c r="C17" i="4"/>
  <c r="H17" i="4" s="1"/>
  <c r="D32" i="3"/>
  <c r="H32" i="3" s="1"/>
  <c r="H31" i="3" s="1"/>
  <c r="B56" i="3" s="1"/>
  <c r="F26" i="3"/>
  <c r="G26" i="3" s="1"/>
  <c r="F19" i="3"/>
  <c r="G19" i="3" s="1"/>
  <c r="F17" i="3"/>
  <c r="G17" i="3" s="1"/>
  <c r="F18" i="3"/>
  <c r="G18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7" i="3"/>
  <c r="G27" i="3" s="1"/>
  <c r="F28" i="3"/>
  <c r="G28" i="3" s="1"/>
  <c r="F31" i="3"/>
  <c r="G31" i="3" s="1"/>
  <c r="F33" i="3"/>
  <c r="G33" i="3" s="1"/>
  <c r="F30" i="3"/>
  <c r="G30" i="3" s="1"/>
  <c r="F29" i="3"/>
  <c r="G29" i="3" s="1"/>
  <c r="J40" i="3"/>
  <c r="I41" i="3"/>
  <c r="I42" i="3" s="1"/>
  <c r="R13" i="8" l="1"/>
  <c r="R38" i="8" s="1"/>
  <c r="H19" i="3"/>
  <c r="I19" i="3" s="1"/>
  <c r="J19" i="3" s="1"/>
  <c r="L19" i="3" s="1"/>
  <c r="M19" i="3" s="1"/>
  <c r="N19" i="3" s="1"/>
  <c r="C16" i="3"/>
  <c r="C28" i="3"/>
  <c r="F32" i="3"/>
  <c r="G32" i="3" s="1"/>
  <c r="J42" i="4"/>
  <c r="J43" i="4" s="1"/>
  <c r="C21" i="4"/>
  <c r="F32" i="4"/>
  <c r="G32" i="4" s="1"/>
  <c r="I22" i="3"/>
  <c r="J22" i="3" s="1"/>
  <c r="J21" i="3" s="1"/>
  <c r="H21" i="3"/>
  <c r="H20" i="3"/>
  <c r="I20" i="3" s="1"/>
  <c r="J20" i="3" s="1"/>
  <c r="L20" i="3" s="1"/>
  <c r="M20" i="3" s="1"/>
  <c r="N20" i="3" s="1"/>
  <c r="K20" i="3"/>
  <c r="H29" i="3"/>
  <c r="I29" i="3" s="1"/>
  <c r="I28" i="3" s="1"/>
  <c r="I32" i="3"/>
  <c r="H32" i="4"/>
  <c r="I32" i="4" s="1"/>
  <c r="J32" i="4" s="1"/>
  <c r="C28" i="4"/>
  <c r="C24" i="3"/>
  <c r="B59" i="3"/>
  <c r="C21" i="3"/>
  <c r="H28" i="4"/>
  <c r="I29" i="4"/>
  <c r="J29" i="4" s="1"/>
  <c r="I30" i="4"/>
  <c r="J30" i="4" s="1"/>
  <c r="H21" i="4"/>
  <c r="I22" i="4"/>
  <c r="J22" i="4" s="1"/>
  <c r="I23" i="4"/>
  <c r="J23" i="4" s="1"/>
  <c r="F33" i="4"/>
  <c r="G33" i="4" s="1"/>
  <c r="H33" i="4"/>
  <c r="J41" i="3"/>
  <c r="J42" i="3" s="1"/>
  <c r="C16" i="4"/>
  <c r="C24" i="4"/>
  <c r="I18" i="4"/>
  <c r="J18" i="4" s="1"/>
  <c r="I20" i="4"/>
  <c r="J20" i="4" s="1"/>
  <c r="I25" i="4"/>
  <c r="J25" i="4" s="1"/>
  <c r="H16" i="4"/>
  <c r="I17" i="4"/>
  <c r="I19" i="4"/>
  <c r="J19" i="4" s="1"/>
  <c r="I26" i="4"/>
  <c r="J26" i="4" s="1"/>
  <c r="H24" i="3"/>
  <c r="B50" i="3" s="1"/>
  <c r="H27" i="4"/>
  <c r="J25" i="3"/>
  <c r="J24" i="3" s="1"/>
  <c r="I24" i="3"/>
  <c r="J18" i="3"/>
  <c r="C15" i="3" l="1"/>
  <c r="H28" i="3"/>
  <c r="B53" i="3" s="1"/>
  <c r="I21" i="3"/>
  <c r="C15" i="4"/>
  <c r="C14" i="4" s="1"/>
  <c r="I16" i="3"/>
  <c r="J32" i="3"/>
  <c r="I31" i="3"/>
  <c r="J31" i="3" s="1"/>
  <c r="H16" i="3"/>
  <c r="H15" i="3" s="1"/>
  <c r="H14" i="3" s="1"/>
  <c r="H34" i="3" s="1"/>
  <c r="J28" i="4"/>
  <c r="J16" i="3"/>
  <c r="J15" i="3" s="1"/>
  <c r="L18" i="3"/>
  <c r="M18" i="3" s="1"/>
  <c r="N18" i="3" s="1"/>
  <c r="J29" i="3"/>
  <c r="J28" i="3" s="1"/>
  <c r="H15" i="4"/>
  <c r="C14" i="3"/>
  <c r="I33" i="4"/>
  <c r="I31" i="4" s="1"/>
  <c r="H31" i="4"/>
  <c r="J21" i="4"/>
  <c r="I21" i="4"/>
  <c r="I28" i="4"/>
  <c r="I27" i="4"/>
  <c r="J27" i="4" s="1"/>
  <c r="J24" i="4" s="1"/>
  <c r="I16" i="4"/>
  <c r="J17" i="4"/>
  <c r="J16" i="4" s="1"/>
  <c r="H24" i="4"/>
  <c r="I15" i="3" l="1"/>
  <c r="I14" i="3" s="1"/>
  <c r="I34" i="3" s="1"/>
  <c r="I15" i="4"/>
  <c r="J15" i="4"/>
  <c r="H14" i="4"/>
  <c r="H35" i="4" s="1"/>
  <c r="J33" i="4"/>
  <c r="I61" i="3"/>
  <c r="I60" i="3"/>
  <c r="I62" i="3"/>
  <c r="H38" i="3"/>
  <c r="B47" i="3"/>
  <c r="I24" i="4"/>
  <c r="J31" i="4"/>
  <c r="J14" i="3" l="1"/>
  <c r="J34" i="3" s="1"/>
  <c r="J38" i="3" s="1"/>
  <c r="I14" i="4"/>
  <c r="I35" i="4" s="1"/>
  <c r="I39" i="4" s="1"/>
  <c r="I38" i="3"/>
  <c r="J62" i="3"/>
  <c r="K62" i="3" s="1"/>
  <c r="J61" i="3"/>
  <c r="K61" i="3" s="1"/>
  <c r="J60" i="3"/>
  <c r="K60" i="3" s="1"/>
  <c r="H54" i="3"/>
  <c r="L38" i="3"/>
  <c r="M38" i="3" s="1"/>
  <c r="K38" i="3"/>
  <c r="H51" i="3"/>
  <c r="I48" i="3"/>
  <c r="H39" i="4"/>
  <c r="E47" i="4"/>
  <c r="J14" i="4"/>
  <c r="J35" i="4" s="1"/>
  <c r="J39" i="4" s="1"/>
</calcChain>
</file>

<file path=xl/sharedStrings.xml><?xml version="1.0" encoding="utf-8"?>
<sst xmlns="http://schemas.openxmlformats.org/spreadsheetml/2006/main" count="199" uniqueCount="119">
  <si>
    <t>TÍTOL EXPEDIENT:</t>
  </si>
  <si>
    <t>Servei de Missatgeria, Paqueteria, Transport intern de mercaderies i Valisa entre els diferents Magatzems i Seus del Conscorci de l'Hospital Clínic de Barcelona</t>
  </si>
  <si>
    <t>NÚMERO D'EXPEDIENT:</t>
  </si>
  <si>
    <r>
      <t xml:space="preserve">DOMICILI: </t>
    </r>
    <r>
      <rPr>
        <b/>
        <sz val="11"/>
        <rFont val="Arial"/>
        <family val="2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</si>
  <si>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</si>
  <si>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</si>
  <si>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</si>
  <si>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</si>
  <si>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</si>
  <si>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</si>
  <si>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</si>
  <si>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</si>
  <si>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</si>
  <si>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Lot</t>
  </si>
  <si>
    <t>Artícle</t>
  </si>
  <si>
    <t xml:space="preserve">Denominació artícle </t>
  </si>
  <si>
    <t>Quantitat estimada any</t>
  </si>
  <si>
    <t>Durada exp</t>
  </si>
  <si>
    <t>Quantitat estimada durada de l'expedient</t>
  </si>
  <si>
    <t>Unitat de Mesura</t>
  </si>
  <si>
    <t>Preu Unitari licitat màxim (sense IVA)</t>
  </si>
  <si>
    <t>Preu Unitari licitat màxim (amb IVA)</t>
  </si>
  <si>
    <t>Preu Unitari ofertat (sense IVA)*</t>
  </si>
  <si>
    <t xml:space="preserve"> IVA</t>
  </si>
  <si>
    <t>Preu Unitari ofertat (amb IVA)</t>
  </si>
  <si>
    <t>Import Total Ofertat (sense IVA)</t>
  </si>
  <si>
    <t xml:space="preserve"> IVA 21 %</t>
  </si>
  <si>
    <t>Import Total ofertat (amb IVA)</t>
  </si>
  <si>
    <t>Camió de 14 palets</t>
  </si>
  <si>
    <t>Unitats</t>
  </si>
  <si>
    <t>Camió de 7 palets</t>
  </si>
  <si>
    <t>Furgoneta</t>
  </si>
  <si>
    <t>Transport urgent</t>
  </si>
  <si>
    <t>Sagrat Cor</t>
  </si>
  <si>
    <t xml:space="preserve">* El preu s'ha d'indicar amb 3 decimals </t>
  </si>
  <si>
    <t>EXPEDIENT:</t>
  </si>
  <si>
    <t>DURADA EN MESOS DEL CONTRACTE:</t>
  </si>
  <si>
    <t>IMPORTS LICITACIÓ</t>
  </si>
  <si>
    <t>IMPORTS OFERTA</t>
  </si>
  <si>
    <t xml:space="preserve">PREU MÀXIM UNITARI  </t>
  </si>
  <si>
    <t xml:space="preserve">IMPORT ANUAL TOTAL </t>
  </si>
  <si>
    <t>IMPORT DURADA CONCURS</t>
  </si>
  <si>
    <t>LOT</t>
  </si>
  <si>
    <t>DENOMINACIÓ DE L'ARTICLE</t>
  </si>
  <si>
    <t>QUANTITAT *</t>
  </si>
  <si>
    <t>BASE IMPOSABLE (BI)</t>
  </si>
  <si>
    <t>TIPUS IVA</t>
  </si>
  <si>
    <t>IVA</t>
  </si>
  <si>
    <t>PREU MAX. UNITARI iva incl.</t>
  </si>
  <si>
    <t>IMPORT TOTAL iva inc.</t>
  </si>
  <si>
    <t>LOT 2 - MISSATGERIA GENERAL</t>
  </si>
  <si>
    <t>SERVEI VARIABLE</t>
  </si>
  <si>
    <t>LOCAL</t>
  </si>
  <si>
    <t>Adreces moto:</t>
  </si>
  <si>
    <t>Adreces</t>
  </si>
  <si>
    <t>km extraradi</t>
  </si>
  <si>
    <t>min. temps espera</t>
  </si>
  <si>
    <t>Pluja</t>
  </si>
  <si>
    <t>Adreces furgoneta:</t>
  </si>
  <si>
    <t xml:space="preserve">hores </t>
  </si>
  <si>
    <t>NACIONAL</t>
  </si>
  <si>
    <t>URGENT 10H. (fins a 2 kgs)</t>
  </si>
  <si>
    <t>URGENT 10H. (kgs addicionals)</t>
  </si>
  <si>
    <t>URGENT 24H. (fins a 1 kgs)</t>
  </si>
  <si>
    <t>URGENT 24H. (kgs addicionals)</t>
  </si>
  <si>
    <t xml:space="preserve">Balears (Mallorca)  fins 1 kg </t>
  </si>
  <si>
    <t>Recollides fallides</t>
  </si>
  <si>
    <t>Còpia segellada</t>
  </si>
  <si>
    <t>INTERNACIONALS</t>
  </si>
  <si>
    <t>Serv. Aeri: Alemanya, Âustria,  Bélgica, França, Itàlia, Països Baixos, Portugal i Suècia fins 1000 gr</t>
  </si>
  <si>
    <t>Estats Units i Canadà fins 2.500 gr.</t>
  </si>
  <si>
    <t>Resta del Món fins 4.500 gr</t>
  </si>
  <si>
    <t>SERVEIS FIXOS</t>
  </si>
  <si>
    <t>Missatger diari de dilluns a divendres de 8h a 16h (preu mensual)</t>
  </si>
  <si>
    <t>SERVEIS NITS I FESTIUS Clinic-Maternitat</t>
  </si>
  <si>
    <t>Total Lot 2</t>
  </si>
  <si>
    <t>* Les quantitats són estimades en base anual (12 mesos)  i supeditades a les necessitats reals de l'Hospital</t>
  </si>
  <si>
    <t>17/xxxx</t>
  </si>
  <si>
    <t>DURADA EN MESOS DEL CONTRACTE</t>
  </si>
  <si>
    <t>IMPORT LICITACIÓ</t>
  </si>
  <si>
    <t xml:space="preserve">IMPORT MÀXIM TOTAL </t>
  </si>
  <si>
    <t>LOT 1</t>
  </si>
  <si>
    <t>Aadreces moto:</t>
  </si>
  <si>
    <t xml:space="preserve">adreces </t>
  </si>
  <si>
    <t>mi. Temps espera</t>
  </si>
  <si>
    <t>Excessos pes i mides</t>
  </si>
  <si>
    <t>minim 2 hores</t>
  </si>
  <si>
    <t>Documents i poblacions</t>
  </si>
  <si>
    <t>URGENT 10H.</t>
  </si>
  <si>
    <t>IBEX mateix dia</t>
  </si>
  <si>
    <t>ZONA 1: UE Documents fins 500 g</t>
  </si>
  <si>
    <t>ZONA 2: Resta Mon (no UE) Documents fins  500 g</t>
  </si>
  <si>
    <t>Missatger diari de dillus a divendres  de 8 a 13h</t>
  </si>
  <si>
    <t>Total Lot 1</t>
  </si>
  <si>
    <t>* Les quantitats són estimades per la durada del contracte (24 mesos)  i supeditades a les necessitats de l'Administració</t>
  </si>
  <si>
    <t>Previst 1 any</t>
  </si>
  <si>
    <t>Cost any 2016</t>
  </si>
  <si>
    <t>servei variable</t>
  </si>
  <si>
    <t>Sense IVA</t>
  </si>
  <si>
    <t>diferencia  (sense iva)</t>
  </si>
  <si>
    <t>disminució despesa en 12 per contracte de 24</t>
  </si>
  <si>
    <t>nacional</t>
  </si>
  <si>
    <t>diferencia preu anual respecte concurs inicial</t>
  </si>
  <si>
    <t>internacional</t>
  </si>
  <si>
    <t>serveis fixos</t>
  </si>
  <si>
    <t>serveis nits i festius Mater</t>
  </si>
  <si>
    <t>MESOS</t>
  </si>
  <si>
    <t>IMPORT</t>
  </si>
  <si>
    <t>IVA 0% i 21%</t>
  </si>
  <si>
    <t>TOTAL</t>
  </si>
  <si>
    <t>ANY</t>
  </si>
  <si>
    <t>Missatger diari de dillus a divendres  de 13,30h a 17,00h</t>
  </si>
  <si>
    <t>* Les quantitats son estimades per la durada del contracte (19 mesos)  i supeditades a les necessitats de l'Administració</t>
  </si>
  <si>
    <t>2025-151</t>
  </si>
  <si>
    <t>Només omplir les cel·les en color groc</t>
  </si>
  <si>
    <t>Només omplir les cel·les de color blau</t>
  </si>
  <si>
    <t xml:space="preserve">* El preu s'ha d'indicar amb 2 decimals </t>
  </si>
  <si>
    <t xml:space="preserve">OFERTA ECONÒMICA </t>
  </si>
  <si>
    <t xml:space="preserve">ANNEX 3  Oferta Econòmica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</si>
</sst>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_ ;\-#,##0.00\ "/>
    <numFmt numFmtId="168" formatCode="#,##0.00;[Red]#,##0.00"/>
    <numFmt numFmtId="169" formatCode="#,##0.000_ ;\-#,##0.000\ "/>
    <numFmt numFmtId="170" formatCode="0.000"/>
    <numFmt numFmtId="171" formatCode="#,##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66" fontId="6" fillId="0" borderId="0" xfId="1" applyNumberFormat="1" applyFont="1" applyAlignment="1"/>
    <xf numFmtId="1" fontId="6" fillId="0" borderId="0" xfId="0" applyNumberFormat="1" applyFont="1"/>
    <xf numFmtId="166" fontId="6" fillId="0" borderId="0" xfId="1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4" fontId="5" fillId="0" borderId="1" xfId="1" applyNumberFormat="1" applyFont="1" applyFill="1" applyBorder="1" applyAlignment="1">
      <alignment horizontal="center" wrapText="1"/>
    </xf>
    <xf numFmtId="4" fontId="5" fillId="0" borderId="9" xfId="1" applyNumberFormat="1" applyFont="1" applyFill="1" applyBorder="1" applyAlignment="1">
      <alignment horizontal="center" wrapText="1"/>
    </xf>
    <xf numFmtId="166" fontId="5" fillId="0" borderId="3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wrapText="1"/>
    </xf>
    <xf numFmtId="4" fontId="5" fillId="4" borderId="1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justify" wrapText="1"/>
    </xf>
    <xf numFmtId="0" fontId="7" fillId="3" borderId="1" xfId="0" applyFont="1" applyFill="1" applyBorder="1" applyAlignment="1">
      <alignment horizontal="justify" wrapText="1"/>
    </xf>
    <xf numFmtId="4" fontId="7" fillId="3" borderId="1" xfId="1" applyNumberFormat="1" applyFont="1" applyFill="1" applyBorder="1" applyAlignment="1">
      <alignment horizontal="center" wrapText="1"/>
    </xf>
    <xf numFmtId="165" fontId="5" fillId="5" borderId="1" xfId="1" applyFont="1" applyFill="1" applyBorder="1"/>
    <xf numFmtId="4" fontId="5" fillId="4" borderId="3" xfId="1" applyNumberFormat="1" applyFont="1" applyFill="1" applyBorder="1" applyAlignment="1">
      <alignment horizontal="center" wrapText="1"/>
    </xf>
    <xf numFmtId="4" fontId="7" fillId="3" borderId="3" xfId="1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4" borderId="7" xfId="1" applyNumberFormat="1" applyFont="1" applyFill="1" applyBorder="1" applyAlignment="1">
      <alignment horizontal="center" wrapText="1"/>
    </xf>
    <xf numFmtId="4" fontId="5" fillId="4" borderId="8" xfId="1" applyNumberFormat="1" applyFont="1" applyFill="1" applyBorder="1" applyAlignment="1">
      <alignment horizontal="center" wrapText="1"/>
    </xf>
    <xf numFmtId="4" fontId="7" fillId="3" borderId="7" xfId="1" applyNumberFormat="1" applyFont="1" applyFill="1" applyBorder="1" applyAlignment="1">
      <alignment horizontal="center" wrapText="1"/>
    </xf>
    <xf numFmtId="4" fontId="5" fillId="3" borderId="8" xfId="1" applyNumberFormat="1" applyFont="1" applyFill="1" applyBorder="1" applyAlignment="1">
      <alignment horizontal="center" wrapText="1"/>
    </xf>
    <xf numFmtId="4" fontId="7" fillId="3" borderId="8" xfId="1" applyNumberFormat="1" applyFont="1" applyFill="1" applyBorder="1" applyAlignment="1">
      <alignment horizontal="center" wrapText="1"/>
    </xf>
    <xf numFmtId="166" fontId="5" fillId="0" borderId="8" xfId="1" applyNumberFormat="1" applyFont="1" applyBorder="1" applyAlignment="1">
      <alignment horizontal="center" wrapText="1"/>
    </xf>
    <xf numFmtId="165" fontId="5" fillId="4" borderId="7" xfId="1" applyFont="1" applyFill="1" applyBorder="1" applyAlignment="1">
      <alignment horizontal="center" wrapText="1"/>
    </xf>
    <xf numFmtId="165" fontId="5" fillId="4" borderId="1" xfId="1" applyFont="1" applyFill="1" applyBorder="1" applyAlignment="1">
      <alignment horizontal="center" wrapText="1"/>
    </xf>
    <xf numFmtId="165" fontId="5" fillId="4" borderId="8" xfId="1" applyFont="1" applyFill="1" applyBorder="1" applyAlignment="1">
      <alignment horizontal="center" wrapText="1"/>
    </xf>
    <xf numFmtId="165" fontId="7" fillId="3" borderId="7" xfId="1" applyFont="1" applyFill="1" applyBorder="1" applyAlignment="1">
      <alignment horizontal="center" wrapText="1"/>
    </xf>
    <xf numFmtId="165" fontId="7" fillId="3" borderId="1" xfId="1" applyFont="1" applyFill="1" applyBorder="1" applyAlignment="1">
      <alignment horizontal="center" wrapText="1"/>
    </xf>
    <xf numFmtId="165" fontId="7" fillId="3" borderId="8" xfId="1" applyFont="1" applyFill="1" applyBorder="1" applyAlignment="1">
      <alignment horizontal="center" wrapText="1"/>
    </xf>
    <xf numFmtId="165" fontId="5" fillId="8" borderId="10" xfId="1" applyFont="1" applyFill="1" applyBorder="1" applyAlignment="1">
      <alignment horizontal="center" wrapText="1"/>
    </xf>
    <xf numFmtId="165" fontId="5" fillId="8" borderId="11" xfId="1" applyFont="1" applyFill="1" applyBorder="1" applyAlignment="1">
      <alignment horizontal="center" wrapText="1"/>
    </xf>
    <xf numFmtId="165" fontId="5" fillId="8" borderId="12" xfId="1" applyFont="1" applyFill="1" applyBorder="1" applyAlignment="1">
      <alignment horizontal="center" wrapText="1"/>
    </xf>
    <xf numFmtId="165" fontId="5" fillId="9" borderId="1" xfId="1" applyFont="1" applyFill="1" applyBorder="1" applyAlignment="1">
      <alignment horizontal="center" wrapText="1"/>
    </xf>
    <xf numFmtId="4" fontId="5" fillId="9" borderId="3" xfId="1" applyNumberFormat="1" applyFont="1" applyFill="1" applyBorder="1" applyAlignment="1">
      <alignment horizontal="center" wrapText="1"/>
    </xf>
    <xf numFmtId="4" fontId="5" fillId="9" borderId="7" xfId="1" applyNumberFormat="1" applyFont="1" applyFill="1" applyBorder="1" applyAlignment="1">
      <alignment horizontal="center" wrapText="1"/>
    </xf>
    <xf numFmtId="4" fontId="5" fillId="9" borderId="1" xfId="1" applyNumberFormat="1" applyFont="1" applyFill="1" applyBorder="1" applyAlignment="1">
      <alignment horizontal="center" wrapText="1"/>
    </xf>
    <xf numFmtId="4" fontId="5" fillId="9" borderId="8" xfId="1" applyNumberFormat="1" applyFont="1" applyFill="1" applyBorder="1" applyAlignment="1">
      <alignment horizontal="center" wrapText="1"/>
    </xf>
    <xf numFmtId="165" fontId="5" fillId="9" borderId="7" xfId="1" applyFont="1" applyFill="1" applyBorder="1" applyAlignment="1">
      <alignment horizontal="center" wrapText="1"/>
    </xf>
    <xf numFmtId="165" fontId="5" fillId="9" borderId="8" xfId="1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justify" wrapText="1"/>
    </xf>
    <xf numFmtId="165" fontId="5" fillId="9" borderId="3" xfId="1" applyFont="1" applyFill="1" applyBorder="1" applyAlignment="1">
      <alignment horizontal="center" wrapText="1"/>
    </xf>
    <xf numFmtId="165" fontId="5" fillId="9" borderId="4" xfId="1" applyFont="1" applyFill="1" applyBorder="1" applyAlignment="1">
      <alignment horizontal="center" wrapText="1"/>
    </xf>
    <xf numFmtId="165" fontId="5" fillId="9" borderId="5" xfId="1" applyFont="1" applyFill="1" applyBorder="1" applyAlignment="1">
      <alignment horizontal="center" wrapText="1"/>
    </xf>
    <xf numFmtId="165" fontId="5" fillId="9" borderId="6" xfId="1" applyFont="1" applyFill="1" applyBorder="1" applyAlignment="1">
      <alignment horizontal="center" wrapText="1"/>
    </xf>
    <xf numFmtId="165" fontId="5" fillId="8" borderId="12" xfId="1" applyFont="1" applyFill="1" applyBorder="1" applyAlignment="1">
      <alignment horizontal="center" vertical="center" wrapText="1"/>
    </xf>
    <xf numFmtId="165" fontId="5" fillId="10" borderId="12" xfId="1" applyFont="1" applyFill="1" applyBorder="1" applyAlignment="1">
      <alignment horizontal="center" vertical="center" wrapText="1"/>
    </xf>
    <xf numFmtId="167" fontId="3" fillId="0" borderId="0" xfId="1" applyNumberFormat="1" applyFont="1" applyAlignment="1"/>
    <xf numFmtId="166" fontId="3" fillId="0" borderId="0" xfId="1" applyNumberFormat="1" applyFont="1" applyAlignment="1"/>
    <xf numFmtId="4" fontId="8" fillId="0" borderId="0" xfId="0" applyNumberFormat="1" applyFont="1"/>
    <xf numFmtId="4" fontId="3" fillId="0" borderId="0" xfId="0" applyNumberFormat="1" applyFont="1"/>
    <xf numFmtId="165" fontId="3" fillId="6" borderId="14" xfId="0" applyNumberFormat="1" applyFont="1" applyFill="1" applyBorder="1"/>
    <xf numFmtId="166" fontId="3" fillId="6" borderId="15" xfId="1" applyNumberFormat="1" applyFont="1" applyFill="1" applyBorder="1"/>
    <xf numFmtId="164" fontId="9" fillId="0" borderId="0" xfId="0" applyNumberFormat="1" applyFont="1"/>
    <xf numFmtId="0" fontId="3" fillId="0" borderId="0" xfId="0" applyFont="1"/>
    <xf numFmtId="165" fontId="6" fillId="0" borderId="0" xfId="1" applyFont="1"/>
    <xf numFmtId="165" fontId="5" fillId="0" borderId="0" xfId="1" applyFont="1"/>
    <xf numFmtId="165" fontId="7" fillId="0" borderId="0" xfId="1" applyFont="1"/>
    <xf numFmtId="165" fontId="8" fillId="7" borderId="7" xfId="1" applyFont="1" applyFill="1" applyBorder="1" applyAlignment="1">
      <alignment horizont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4" fontId="3" fillId="0" borderId="17" xfId="0" applyNumberFormat="1" applyFont="1" applyBorder="1" applyAlignment="1">
      <alignment horizontal="justify" vertical="top" wrapText="1"/>
    </xf>
    <xf numFmtId="167" fontId="5" fillId="9" borderId="4" xfId="1" applyNumberFormat="1" applyFont="1" applyFill="1" applyBorder="1" applyAlignment="1">
      <alignment horizontal="center" wrapText="1"/>
    </xf>
    <xf numFmtId="167" fontId="5" fillId="9" borderId="5" xfId="1" applyNumberFormat="1" applyFont="1" applyFill="1" applyBorder="1" applyAlignment="1">
      <alignment horizontal="center" wrapText="1"/>
    </xf>
    <xf numFmtId="167" fontId="5" fillId="9" borderId="6" xfId="1" applyNumberFormat="1" applyFont="1" applyFill="1" applyBorder="1" applyAlignment="1">
      <alignment horizontal="center" wrapText="1"/>
    </xf>
    <xf numFmtId="167" fontId="5" fillId="4" borderId="7" xfId="1" applyNumberFormat="1" applyFont="1" applyFill="1" applyBorder="1" applyAlignment="1">
      <alignment horizontal="center" wrapText="1"/>
    </xf>
    <xf numFmtId="167" fontId="5" fillId="4" borderId="1" xfId="1" applyNumberFormat="1" applyFont="1" applyFill="1" applyBorder="1" applyAlignment="1">
      <alignment horizontal="center" wrapText="1"/>
    </xf>
    <xf numFmtId="167" fontId="5" fillId="4" borderId="8" xfId="1" applyNumberFormat="1" applyFont="1" applyFill="1" applyBorder="1" applyAlignment="1">
      <alignment horizontal="center" wrapText="1"/>
    </xf>
    <xf numFmtId="167" fontId="7" fillId="3" borderId="7" xfId="1" applyNumberFormat="1" applyFont="1" applyFill="1" applyBorder="1" applyAlignment="1">
      <alignment horizontal="center" wrapText="1"/>
    </xf>
    <xf numFmtId="167" fontId="7" fillId="3" borderId="1" xfId="1" applyNumberFormat="1" applyFont="1" applyFill="1" applyBorder="1" applyAlignment="1">
      <alignment horizontal="center" wrapText="1"/>
    </xf>
    <xf numFmtId="167" fontId="7" fillId="3" borderId="8" xfId="1" applyNumberFormat="1" applyFont="1" applyFill="1" applyBorder="1" applyAlignment="1">
      <alignment horizontal="center" wrapText="1"/>
    </xf>
    <xf numFmtId="167" fontId="5" fillId="9" borderId="7" xfId="1" applyNumberFormat="1" applyFont="1" applyFill="1" applyBorder="1" applyAlignment="1">
      <alignment horizontal="center" wrapText="1"/>
    </xf>
    <xf numFmtId="167" fontId="5" fillId="9" borderId="1" xfId="1" applyNumberFormat="1" applyFont="1" applyFill="1" applyBorder="1" applyAlignment="1">
      <alignment horizontal="center" wrapText="1"/>
    </xf>
    <xf numFmtId="167" fontId="5" fillId="9" borderId="8" xfId="1" applyNumberFormat="1" applyFont="1" applyFill="1" applyBorder="1" applyAlignment="1">
      <alignment horizontal="center" wrapText="1"/>
    </xf>
    <xf numFmtId="168" fontId="5" fillId="8" borderId="10" xfId="1" applyNumberFormat="1" applyFont="1" applyFill="1" applyBorder="1" applyAlignment="1">
      <alignment horizontal="center" wrapText="1"/>
    </xf>
    <xf numFmtId="168" fontId="5" fillId="8" borderId="11" xfId="1" applyNumberFormat="1" applyFont="1" applyFill="1" applyBorder="1" applyAlignment="1">
      <alignment horizontal="center" wrapText="1"/>
    </xf>
    <xf numFmtId="168" fontId="5" fillId="8" borderId="12" xfId="1" applyNumberFormat="1" applyFont="1" applyFill="1" applyBorder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horizontal="justify" wrapText="1"/>
    </xf>
    <xf numFmtId="0" fontId="3" fillId="0" borderId="1" xfId="0" applyFont="1" applyBorder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166" fontId="8" fillId="0" borderId="0" xfId="1" applyNumberFormat="1" applyFont="1" applyAlignment="1"/>
    <xf numFmtId="0" fontId="5" fillId="0" borderId="0" xfId="0" applyFont="1" applyAlignment="1">
      <alignment vertical="center"/>
    </xf>
    <xf numFmtId="6" fontId="3" fillId="0" borderId="0" xfId="0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4" fontId="3" fillId="7" borderId="3" xfId="0" applyNumberFormat="1" applyFont="1" applyFill="1" applyBorder="1" applyAlignment="1">
      <alignment horizontal="left"/>
    </xf>
    <xf numFmtId="167" fontId="5" fillId="9" borderId="30" xfId="1" applyNumberFormat="1" applyFont="1" applyFill="1" applyBorder="1" applyAlignment="1">
      <alignment horizontal="center" wrapText="1"/>
    </xf>
    <xf numFmtId="167" fontId="5" fillId="4" borderId="31" xfId="1" applyNumberFormat="1" applyFont="1" applyFill="1" applyBorder="1" applyAlignment="1">
      <alignment horizontal="center" wrapText="1"/>
    </xf>
    <xf numFmtId="167" fontId="7" fillId="3" borderId="31" xfId="1" applyNumberFormat="1" applyFont="1" applyFill="1" applyBorder="1" applyAlignment="1">
      <alignment horizontal="center" wrapText="1"/>
    </xf>
    <xf numFmtId="167" fontId="5" fillId="9" borderId="31" xfId="1" applyNumberFormat="1" applyFont="1" applyFill="1" applyBorder="1" applyAlignment="1">
      <alignment horizontal="center" wrapText="1"/>
    </xf>
    <xf numFmtId="167" fontId="5" fillId="9" borderId="32" xfId="1" applyNumberFormat="1" applyFont="1" applyFill="1" applyBorder="1" applyAlignment="1">
      <alignment horizontal="center" wrapText="1"/>
    </xf>
    <xf numFmtId="167" fontId="5" fillId="9" borderId="27" xfId="1" applyNumberFormat="1" applyFont="1" applyFill="1" applyBorder="1" applyAlignment="1">
      <alignment horizontal="center" wrapText="1"/>
    </xf>
    <xf numFmtId="4" fontId="5" fillId="9" borderId="28" xfId="1" applyNumberFormat="1" applyFont="1" applyFill="1" applyBorder="1" applyAlignment="1">
      <alignment horizontal="center" wrapText="1"/>
    </xf>
    <xf numFmtId="4" fontId="5" fillId="9" borderId="29" xfId="1" applyNumberFormat="1" applyFont="1" applyFill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justify"/>
    </xf>
    <xf numFmtId="0" fontId="7" fillId="3" borderId="1" xfId="0" applyFont="1" applyFill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6" fontId="5" fillId="0" borderId="6" xfId="1" applyNumberFormat="1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/>
    <xf numFmtId="165" fontId="11" fillId="0" borderId="0" xfId="1" applyFont="1"/>
    <xf numFmtId="0" fontId="6" fillId="0" borderId="0" xfId="0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7" fontId="5" fillId="9" borderId="33" xfId="1" applyNumberFormat="1" applyFont="1" applyFill="1" applyBorder="1" applyAlignment="1">
      <alignment horizontal="center" wrapText="1"/>
    </xf>
    <xf numFmtId="167" fontId="5" fillId="4" borderId="34" xfId="1" applyNumberFormat="1" applyFont="1" applyFill="1" applyBorder="1" applyAlignment="1">
      <alignment horizontal="center" wrapText="1"/>
    </xf>
    <xf numFmtId="167" fontId="7" fillId="3" borderId="34" xfId="1" applyNumberFormat="1" applyFont="1" applyFill="1" applyBorder="1" applyAlignment="1">
      <alignment horizontal="center" wrapText="1"/>
    </xf>
    <xf numFmtId="167" fontId="5" fillId="9" borderId="34" xfId="1" applyNumberFormat="1" applyFont="1" applyFill="1" applyBorder="1" applyAlignment="1">
      <alignment horizontal="center" wrapText="1"/>
    </xf>
    <xf numFmtId="0" fontId="12" fillId="0" borderId="0" xfId="3" applyFont="1"/>
    <xf numFmtId="0" fontId="14" fillId="0" borderId="0" xfId="4" applyFont="1"/>
    <xf numFmtId="0" fontId="2" fillId="0" borderId="0" xfId="4"/>
    <xf numFmtId="0" fontId="12" fillId="0" borderId="20" xfId="4" applyFont="1" applyBorder="1" applyAlignment="1">
      <alignment horizontal="left" vertical="center"/>
    </xf>
    <xf numFmtId="0" fontId="12" fillId="0" borderId="0" xfId="4" applyFont="1" applyAlignment="1">
      <alignment vertical="center"/>
    </xf>
    <xf numFmtId="0" fontId="12" fillId="0" borderId="35" xfId="4" applyFont="1" applyBorder="1" applyAlignment="1">
      <alignment horizontal="left" vertical="center"/>
    </xf>
    <xf numFmtId="49" fontId="12" fillId="0" borderId="0" xfId="4" applyNumberFormat="1" applyFont="1" applyAlignment="1">
      <alignment vertical="center" wrapText="1"/>
    </xf>
    <xf numFmtId="0" fontId="12" fillId="0" borderId="0" xfId="4" applyFont="1" applyAlignment="1">
      <alignment vertical="center" wrapText="1"/>
    </xf>
    <xf numFmtId="166" fontId="15" fillId="0" borderId="0" xfId="5" applyNumberFormat="1" applyFont="1" applyBorder="1" applyAlignment="1">
      <alignment vertical="center" wrapText="1"/>
    </xf>
    <xf numFmtId="0" fontId="15" fillId="0" borderId="20" xfId="4" applyFont="1" applyBorder="1" applyAlignment="1">
      <alignment horizontal="left"/>
    </xf>
    <xf numFmtId="0" fontId="15" fillId="0" borderId="1" xfId="4" applyFont="1" applyBorder="1" applyAlignment="1">
      <alignment horizontal="left"/>
    </xf>
    <xf numFmtId="0" fontId="15" fillId="0" borderId="0" xfId="4" applyFont="1" applyProtection="1">
      <protection locked="0"/>
    </xf>
    <xf numFmtId="0" fontId="12" fillId="0" borderId="1" xfId="4" applyFont="1" applyBorder="1" applyAlignment="1">
      <alignment horizontal="left"/>
    </xf>
    <xf numFmtId="0" fontId="12" fillId="0" borderId="0" xfId="4" applyFont="1" applyAlignment="1" applyProtection="1">
      <alignment wrapText="1"/>
      <protection locked="0"/>
    </xf>
    <xf numFmtId="0" fontId="12" fillId="0" borderId="1" xfId="4" applyFont="1" applyBorder="1" applyAlignment="1">
      <alignment horizontal="left" vertical="top"/>
    </xf>
    <xf numFmtId="0" fontId="12" fillId="0" borderId="28" xfId="4" applyFont="1" applyBorder="1" applyAlignment="1">
      <alignment horizontal="left" wrapText="1"/>
    </xf>
    <xf numFmtId="0" fontId="12" fillId="0" borderId="0" xfId="4" applyFont="1" applyAlignment="1">
      <alignment wrapText="1"/>
    </xf>
    <xf numFmtId="0" fontId="12" fillId="0" borderId="0" xfId="4" applyFont="1" applyAlignment="1" applyProtection="1">
      <alignment horizontal="center" wrapText="1"/>
      <protection locked="0"/>
    </xf>
    <xf numFmtId="166" fontId="12" fillId="7" borderId="0" xfId="6" applyNumberFormat="1" applyFont="1" applyFill="1" applyBorder="1" applyAlignment="1">
      <alignment horizontal="center" vertical="center"/>
    </xf>
    <xf numFmtId="0" fontId="5" fillId="13" borderId="10" xfId="4" applyFont="1" applyFill="1" applyBorder="1" applyAlignment="1">
      <alignment horizontal="center" wrapText="1"/>
    </xf>
    <xf numFmtId="0" fontId="5" fillId="13" borderId="11" xfId="4" applyFont="1" applyFill="1" applyBorder="1" applyAlignment="1">
      <alignment horizontal="center" wrapText="1"/>
    </xf>
    <xf numFmtId="166" fontId="5" fillId="15" borderId="18" xfId="6" applyNumberFormat="1" applyFont="1" applyFill="1" applyBorder="1" applyAlignment="1">
      <alignment horizontal="center" wrapText="1"/>
    </xf>
    <xf numFmtId="0" fontId="3" fillId="15" borderId="11" xfId="4" applyFont="1" applyFill="1" applyBorder="1" applyAlignment="1">
      <alignment horizontal="center" wrapText="1"/>
    </xf>
    <xf numFmtId="3" fontId="5" fillId="13" borderId="18" xfId="4" applyNumberFormat="1" applyFont="1" applyFill="1" applyBorder="1" applyAlignment="1">
      <alignment horizontal="center" wrapText="1"/>
    </xf>
    <xf numFmtId="3" fontId="5" fillId="0" borderId="11" xfId="4" applyNumberFormat="1" applyFont="1" applyBorder="1" applyAlignment="1">
      <alignment horizontal="center" wrapText="1"/>
    </xf>
    <xf numFmtId="3" fontId="5" fillId="0" borderId="18" xfId="4" applyNumberFormat="1" applyFont="1" applyBorder="1" applyAlignment="1">
      <alignment horizontal="center" vertical="center" wrapText="1"/>
    </xf>
    <xf numFmtId="3" fontId="5" fillId="0" borderId="18" xfId="4" applyNumberFormat="1" applyFont="1" applyBorder="1" applyAlignment="1">
      <alignment horizontal="center" wrapText="1"/>
    </xf>
    <xf numFmtId="3" fontId="5" fillId="0" borderId="12" xfId="4" applyNumberFormat="1" applyFont="1" applyBorder="1" applyAlignment="1">
      <alignment horizontal="center" wrapText="1"/>
    </xf>
    <xf numFmtId="0" fontId="3" fillId="0" borderId="5" xfId="4" applyFont="1" applyBorder="1" applyAlignment="1">
      <alignment horizontal="center" vertical="center"/>
    </xf>
    <xf numFmtId="0" fontId="3" fillId="0" borderId="5" xfId="4" applyFont="1" applyBorder="1" applyAlignment="1">
      <alignment vertical="center" wrapText="1"/>
    </xf>
    <xf numFmtId="3" fontId="3" fillId="0" borderId="5" xfId="4" applyNumberFormat="1" applyFont="1" applyBorder="1" applyAlignment="1">
      <alignment vertical="center" wrapText="1"/>
    </xf>
    <xf numFmtId="0" fontId="3" fillId="0" borderId="5" xfId="6" applyNumberFormat="1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69" fontId="3" fillId="0" borderId="5" xfId="6" applyNumberFormat="1" applyFont="1" applyFill="1" applyBorder="1" applyAlignment="1">
      <alignment horizontal="center" vertical="center" wrapText="1"/>
    </xf>
    <xf numFmtId="170" fontId="3" fillId="0" borderId="5" xfId="4" applyNumberFormat="1" applyFont="1" applyBorder="1" applyAlignment="1" applyProtection="1">
      <alignment horizontal="right" vertical="center"/>
      <protection locked="0"/>
    </xf>
    <xf numFmtId="10" fontId="3" fillId="0" borderId="5" xfId="4" applyNumberFormat="1" applyFont="1" applyBorder="1" applyAlignment="1" applyProtection="1">
      <alignment horizontal="right" vertical="center"/>
      <protection locked="0"/>
    </xf>
    <xf numFmtId="171" fontId="3" fillId="0" borderId="5" xfId="4" applyNumberFormat="1" applyFont="1" applyBorder="1" applyAlignment="1" applyProtection="1">
      <alignment horizontal="right" vertical="center"/>
      <protection locked="0"/>
    </xf>
    <xf numFmtId="4" fontId="3" fillId="0" borderId="5" xfId="4" applyNumberFormat="1" applyFont="1" applyBorder="1" applyAlignment="1" applyProtection="1">
      <alignment horizontal="right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169" fontId="3" fillId="0" borderId="1" xfId="6" applyNumberFormat="1" applyFont="1" applyFill="1" applyBorder="1" applyAlignment="1">
      <alignment horizontal="center" vertical="center" wrapText="1"/>
    </xf>
    <xf numFmtId="170" fontId="3" fillId="0" borderId="1" xfId="4" applyNumberFormat="1" applyFont="1" applyBorder="1" applyAlignment="1" applyProtection="1">
      <alignment horizontal="right" vertical="center"/>
      <protection locked="0"/>
    </xf>
    <xf numFmtId="10" fontId="3" fillId="0" borderId="1" xfId="4" applyNumberFormat="1" applyFont="1" applyBorder="1" applyAlignment="1" applyProtection="1">
      <alignment horizontal="right" vertical="center"/>
      <protection locked="0"/>
    </xf>
    <xf numFmtId="4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0" xfId="4" applyFont="1"/>
    <xf numFmtId="0" fontId="16" fillId="0" borderId="0" xfId="4" applyFont="1" applyAlignment="1">
      <alignment horizontal="center"/>
    </xf>
    <xf numFmtId="165" fontId="3" fillId="0" borderId="0" xfId="6" applyFont="1" applyBorder="1" applyAlignment="1">
      <alignment horizontal="center" vertical="center" wrapText="1"/>
    </xf>
    <xf numFmtId="170" fontId="3" fillId="0" borderId="0" xfId="6" applyNumberFormat="1" applyFont="1" applyBorder="1" applyAlignment="1">
      <alignment horizontal="center" vertical="center" wrapText="1"/>
    </xf>
    <xf numFmtId="4" fontId="12" fillId="0" borderId="0" xfId="4" applyNumberFormat="1" applyFont="1"/>
    <xf numFmtId="10" fontId="12" fillId="0" borderId="0" xfId="4" applyNumberFormat="1" applyFont="1" applyAlignment="1" applyProtection="1">
      <alignment horizontal="right" vertical="center"/>
      <protection locked="0"/>
    </xf>
    <xf numFmtId="4" fontId="12" fillId="0" borderId="26" xfId="4" applyNumberFormat="1" applyFont="1" applyBorder="1" applyAlignment="1">
      <alignment horizontal="right" vertical="center"/>
    </xf>
    <xf numFmtId="9" fontId="3" fillId="0" borderId="0" xfId="7" applyFont="1" applyFill="1" applyBorder="1" applyAlignment="1" applyProtection="1">
      <alignment horizontal="right" vertical="center"/>
      <protection locked="0"/>
    </xf>
    <xf numFmtId="4" fontId="3" fillId="0" borderId="0" xfId="4" applyNumberFormat="1" applyFont="1" applyAlignment="1" applyProtection="1">
      <alignment horizontal="right" vertical="center"/>
      <protection locked="0"/>
    </xf>
    <xf numFmtId="0" fontId="1" fillId="0" borderId="0" xfId="4" applyFont="1"/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166" fontId="3" fillId="0" borderId="0" xfId="1" applyNumberFormat="1" applyFont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1" fontId="3" fillId="0" borderId="0" xfId="0" applyNumberFormat="1" applyFont="1" applyAlignment="1">
      <alignment horizontal="centerContinuous" wrapText="1"/>
    </xf>
    <xf numFmtId="1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7" fontId="3" fillId="0" borderId="31" xfId="1" applyNumberFormat="1" applyFont="1" applyFill="1" applyBorder="1" applyAlignment="1">
      <alignment horizontal="center" wrapText="1"/>
    </xf>
    <xf numFmtId="167" fontId="3" fillId="0" borderId="7" xfId="1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8" xfId="1" applyNumberFormat="1" applyFont="1" applyFill="1" applyBorder="1" applyAlignment="1">
      <alignment horizontal="center" wrapText="1"/>
    </xf>
    <xf numFmtId="167" fontId="3" fillId="0" borderId="1" xfId="1" applyNumberFormat="1" applyFont="1" applyFill="1" applyBorder="1" applyAlignment="1">
      <alignment horizontal="center" wrapText="1"/>
    </xf>
    <xf numFmtId="167" fontId="3" fillId="0" borderId="8" xfId="1" applyNumberFormat="1" applyFont="1" applyFill="1" applyBorder="1" applyAlignment="1">
      <alignment horizontal="center" wrapText="1"/>
    </xf>
    <xf numFmtId="165" fontId="3" fillId="0" borderId="0" xfId="1" applyFont="1"/>
    <xf numFmtId="0" fontId="3" fillId="6" borderId="0" xfId="0" applyFont="1" applyFill="1"/>
    <xf numFmtId="0" fontId="3" fillId="0" borderId="2" xfId="0" applyFont="1" applyBorder="1"/>
    <xf numFmtId="4" fontId="3" fillId="7" borderId="3" xfId="0" applyNumberFormat="1" applyFont="1" applyFill="1" applyBorder="1" applyAlignment="1">
      <alignment horizontal="center"/>
    </xf>
    <xf numFmtId="165" fontId="3" fillId="7" borderId="7" xfId="1" applyFont="1" applyFill="1" applyBorder="1" applyAlignment="1">
      <alignment horizontal="center" wrapText="1"/>
    </xf>
    <xf numFmtId="165" fontId="3" fillId="0" borderId="7" xfId="1" applyFont="1" applyFill="1" applyBorder="1" applyAlignment="1">
      <alignment horizontal="center" wrapText="1"/>
    </xf>
    <xf numFmtId="165" fontId="3" fillId="0" borderId="1" xfId="1" applyFont="1" applyFill="1" applyBorder="1" applyAlignment="1">
      <alignment horizontal="center" wrapText="1"/>
    </xf>
    <xf numFmtId="165" fontId="3" fillId="0" borderId="8" xfId="1" applyFont="1" applyFill="1" applyBorder="1" applyAlignment="1">
      <alignment horizontal="center" wrapText="1"/>
    </xf>
    <xf numFmtId="9" fontId="3" fillId="0" borderId="0" xfId="2" applyFont="1"/>
    <xf numFmtId="4" fontId="3" fillId="0" borderId="1" xfId="1" applyNumberFormat="1" applyFont="1" applyFill="1" applyBorder="1" applyAlignment="1">
      <alignment horizontal="center" wrapText="1"/>
    </xf>
    <xf numFmtId="165" fontId="3" fillId="0" borderId="0" xfId="0" applyNumberFormat="1" applyFont="1"/>
    <xf numFmtId="165" fontId="3" fillId="0" borderId="1" xfId="1" applyFont="1" applyBorder="1"/>
    <xf numFmtId="164" fontId="3" fillId="0" borderId="0" xfId="0" applyNumberFormat="1" applyFont="1"/>
    <xf numFmtId="164" fontId="3" fillId="6" borderId="15" xfId="0" applyNumberFormat="1" applyFont="1" applyFill="1" applyBorder="1"/>
    <xf numFmtId="0" fontId="3" fillId="6" borderId="15" xfId="0" applyFont="1" applyFill="1" applyBorder="1"/>
    <xf numFmtId="165" fontId="3" fillId="6" borderId="15" xfId="1" applyFont="1" applyFill="1" applyBorder="1"/>
    <xf numFmtId="165" fontId="3" fillId="6" borderId="16" xfId="1" applyFont="1" applyFill="1" applyBorder="1"/>
    <xf numFmtId="4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horizontal="center" wrapText="1"/>
    </xf>
    <xf numFmtId="4" fontId="3" fillId="0" borderId="13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169" fontId="3" fillId="6" borderId="5" xfId="6" applyNumberFormat="1" applyFont="1" applyFill="1" applyBorder="1" applyAlignment="1">
      <alignment horizontal="center" vertical="center" wrapText="1"/>
    </xf>
    <xf numFmtId="169" fontId="3" fillId="6" borderId="1" xfId="6" applyNumberFormat="1" applyFont="1" applyFill="1" applyBorder="1" applyAlignment="1">
      <alignment horizontal="center" vertical="center" wrapText="1"/>
    </xf>
    <xf numFmtId="167" fontId="5" fillId="12" borderId="7" xfId="1" applyNumberFormat="1" applyFont="1" applyFill="1" applyBorder="1" applyAlignment="1">
      <alignment horizontal="center" wrapText="1"/>
    </xf>
    <xf numFmtId="0" fontId="17" fillId="6" borderId="1" xfId="4" applyFont="1" applyFill="1" applyBorder="1"/>
    <xf numFmtId="4" fontId="3" fillId="0" borderId="38" xfId="0" applyNumberFormat="1" applyFont="1" applyBorder="1" applyAlignment="1">
      <alignment horizontal="center" wrapText="1"/>
    </xf>
    <xf numFmtId="4" fontId="5" fillId="3" borderId="39" xfId="1" applyNumberFormat="1" applyFont="1" applyFill="1" applyBorder="1" applyAlignment="1">
      <alignment horizontal="center" wrapText="1"/>
    </xf>
    <xf numFmtId="167" fontId="3" fillId="12" borderId="40" xfId="1" applyNumberFormat="1" applyFont="1" applyFill="1" applyBorder="1" applyAlignment="1">
      <alignment horizontal="center" wrapText="1"/>
    </xf>
    <xf numFmtId="167" fontId="3" fillId="12" borderId="31" xfId="1" applyNumberFormat="1" applyFont="1" applyFill="1" applyBorder="1" applyAlignment="1">
      <alignment horizontal="center" wrapText="1"/>
    </xf>
    <xf numFmtId="167" fontId="3" fillId="12" borderId="32" xfId="1" applyNumberFormat="1" applyFont="1" applyFill="1" applyBorder="1" applyAlignment="1">
      <alignment horizontal="center" wrapText="1"/>
    </xf>
    <xf numFmtId="4" fontId="5" fillId="3" borderId="41" xfId="1" applyNumberFormat="1" applyFont="1" applyFill="1" applyBorder="1" applyAlignment="1">
      <alignment horizontal="center" wrapText="1"/>
    </xf>
    <xf numFmtId="4" fontId="5" fillId="4" borderId="41" xfId="1" applyNumberFormat="1" applyFont="1" applyFill="1" applyBorder="1" applyAlignment="1">
      <alignment horizontal="center" wrapText="1"/>
    </xf>
    <xf numFmtId="167" fontId="5" fillId="9" borderId="41" xfId="1" applyNumberFormat="1" applyFont="1" applyFill="1" applyBorder="1" applyAlignment="1">
      <alignment horizontal="center" wrapText="1"/>
    </xf>
    <xf numFmtId="167" fontId="3" fillId="12" borderId="2" xfId="1" applyNumberFormat="1" applyFont="1" applyFill="1" applyBorder="1" applyAlignment="1">
      <alignment horizontal="center" wrapText="1"/>
    </xf>
    <xf numFmtId="4" fontId="5" fillId="9" borderId="37" xfId="1" applyNumberFormat="1" applyFont="1" applyFill="1" applyBorder="1" applyAlignment="1">
      <alignment horizontal="center" wrapText="1"/>
    </xf>
    <xf numFmtId="0" fontId="12" fillId="14" borderId="0" xfId="3" applyFont="1" applyFill="1" applyAlignment="1">
      <alignment horizontal="center" vertical="center"/>
    </xf>
    <xf numFmtId="0" fontId="15" fillId="0" borderId="7" xfId="4" applyFont="1" applyBorder="1" applyAlignment="1">
      <alignment horizontal="left"/>
    </xf>
    <xf numFmtId="0" fontId="15" fillId="0" borderId="1" xfId="4" applyFont="1" applyBorder="1" applyAlignment="1">
      <alignment horizontal="left"/>
    </xf>
    <xf numFmtId="0" fontId="14" fillId="0" borderId="1" xfId="4" applyFont="1" applyBorder="1" applyAlignment="1">
      <alignment horizontal="center"/>
    </xf>
    <xf numFmtId="0" fontId="14" fillId="0" borderId="8" xfId="4" applyFont="1" applyBorder="1" applyAlignment="1">
      <alignment horizontal="center"/>
    </xf>
    <xf numFmtId="0" fontId="12" fillId="0" borderId="7" xfId="4" applyFont="1" applyBorder="1" applyAlignment="1">
      <alignment horizontal="left" vertical="top"/>
    </xf>
    <xf numFmtId="0" fontId="12" fillId="0" borderId="1" xfId="4" applyFont="1" applyBorder="1" applyAlignment="1">
      <alignment horizontal="left" vertical="top"/>
    </xf>
    <xf numFmtId="0" fontId="12" fillId="0" borderId="27" xfId="4" applyFont="1" applyBorder="1" applyAlignment="1">
      <alignment horizontal="left" wrapText="1"/>
    </xf>
    <xf numFmtId="0" fontId="12" fillId="0" borderId="28" xfId="4" applyFont="1" applyBorder="1" applyAlignment="1">
      <alignment horizontal="left" wrapText="1"/>
    </xf>
    <xf numFmtId="0" fontId="14" fillId="0" borderId="28" xfId="4" applyFont="1" applyBorder="1" applyAlignment="1">
      <alignment horizontal="center"/>
    </xf>
    <xf numFmtId="0" fontId="14" fillId="0" borderId="29" xfId="4" applyFont="1" applyBorder="1" applyAlignment="1">
      <alignment horizontal="center"/>
    </xf>
    <xf numFmtId="0" fontId="12" fillId="0" borderId="7" xfId="4" applyFont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5" fillId="0" borderId="19" xfId="4" applyFont="1" applyBorder="1" applyAlignment="1">
      <alignment horizontal="left"/>
    </xf>
    <xf numFmtId="0" fontId="15" fillId="0" borderId="20" xfId="4" applyFont="1" applyBorder="1" applyAlignment="1">
      <alignment horizontal="left"/>
    </xf>
    <xf numFmtId="0" fontId="14" fillId="0" borderId="20" xfId="4" applyFont="1" applyBorder="1" applyAlignment="1">
      <alignment horizontal="center"/>
    </xf>
    <xf numFmtId="0" fontId="14" fillId="0" borderId="21" xfId="4" applyFont="1" applyBorder="1" applyAlignment="1">
      <alignment horizontal="center"/>
    </xf>
    <xf numFmtId="0" fontId="13" fillId="5" borderId="0" xfId="3" applyFont="1" applyFill="1" applyAlignment="1">
      <alignment horizontal="center"/>
    </xf>
    <xf numFmtId="0" fontId="12" fillId="0" borderId="19" xfId="4" applyFont="1" applyBorder="1" applyAlignment="1">
      <alignment horizontal="left" vertical="center"/>
    </xf>
    <xf numFmtId="0" fontId="12" fillId="0" borderId="20" xfId="4" applyFont="1" applyBorder="1" applyAlignment="1">
      <alignment horizontal="left" vertical="center"/>
    </xf>
    <xf numFmtId="0" fontId="12" fillId="0" borderId="20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12" fillId="0" borderId="27" xfId="4" applyFont="1" applyBorder="1" applyAlignment="1">
      <alignment horizontal="left" vertical="center"/>
    </xf>
    <xf numFmtId="0" fontId="12" fillId="0" borderId="28" xfId="4" applyFont="1" applyBorder="1" applyAlignment="1">
      <alignment horizontal="left" vertical="center"/>
    </xf>
    <xf numFmtId="0" fontId="12" fillId="0" borderId="35" xfId="4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/>
    </xf>
    <xf numFmtId="0" fontId="12" fillId="0" borderId="37" xfId="4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2" fillId="11" borderId="14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5" fontId="5" fillId="10" borderId="18" xfId="1" applyFont="1" applyFill="1" applyBorder="1" applyAlignment="1">
      <alignment horizontal="center" vertical="center" wrapText="1"/>
    </xf>
    <xf numFmtId="165" fontId="5" fillId="10" borderId="15" xfId="1" applyFont="1" applyFill="1" applyBorder="1" applyAlignment="1">
      <alignment horizontal="center" vertical="center" wrapText="1"/>
    </xf>
    <xf numFmtId="165" fontId="5" fillId="10" borderId="16" xfId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wrapText="1"/>
    </xf>
    <xf numFmtId="0" fontId="0" fillId="8" borderId="15" xfId="0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</cellXfs>
  <cellStyles count="8">
    <cellStyle name="Millares" xfId="1" builtinId="3"/>
    <cellStyle name="Millares 2" xfId="5" xr:uid="{00000000-0005-0000-0000-000001000000}"/>
    <cellStyle name="Millares 2 2" xfId="6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Porcentaje" xfId="2" builtinId="5"/>
    <cellStyle name="Porcentual 2" xfId="7" xr:uid="{00000000-0005-0000-0000-000007000000}"/>
  </cellStyles>
  <dxfs count="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74084</xdr:rowOff>
    </xdr:from>
    <xdr:to>
      <xdr:col>1</xdr:col>
      <xdr:colOff>1536910</xdr:colOff>
      <xdr:row>4</xdr:row>
      <xdr:rowOff>86874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03D0BC-A3D6-16AC-3617-DA372307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083" y="74084"/>
          <a:ext cx="1505160" cy="64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1</xdr:col>
      <xdr:colOff>857250</xdr:colOff>
      <xdr:row>5</xdr:row>
      <xdr:rowOff>28575</xdr:rowOff>
    </xdr:to>
    <xdr:pic>
      <xdr:nvPicPr>
        <xdr:cNvPr id="4150" name="Picture 1">
          <a:extLst>
            <a:ext uri="{FF2B5EF4-FFF2-40B4-BE49-F238E27FC236}">
              <a16:creationId xmlns:a16="http://schemas.microsoft.com/office/drawing/2014/main" id="{00000000-0008-0000-0200-00003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7650" y="190500"/>
          <a:ext cx="1028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1</xdr:col>
      <xdr:colOff>857250</xdr:colOff>
      <xdr:row>5</xdr:row>
      <xdr:rowOff>28575</xdr:rowOff>
    </xdr:to>
    <xdr:pic>
      <xdr:nvPicPr>
        <xdr:cNvPr id="5141" name="Picture 1">
          <a:extLst>
            <a:ext uri="{FF2B5EF4-FFF2-40B4-BE49-F238E27FC236}">
              <a16:creationId xmlns:a16="http://schemas.microsoft.com/office/drawing/2014/main" id="{00000000-0008-0000-0300-00001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7650" y="190500"/>
          <a:ext cx="1028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GINYER/VER&#210;NICA/CONCURSOS/17-0035%20-%20Missatgeria/CONCURS%20MISSATGERIA%20TOTALS%20ANU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GINYER/VER&#210;NICA/CONCURSOS/17-0035%20-%20Missatgeria/A9_PCAP_Concurs%20Missatgeria%20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NGINYER/VER&#210;NICA/CONCURSOS/15-0025%20-%20Missatgeria/ACO10_PCAP_Concurs%20Missatg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NGINYER/VER&#210;NICA/Tancaments/Provisions/2017/0317/GRAFICS%20%20i%20%20FITXERS%20DE%20SEGUIMENT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28">
          <cell r="B28">
            <v>5760</v>
          </cell>
          <cell r="C28">
            <v>9396</v>
          </cell>
          <cell r="D28">
            <v>149</v>
          </cell>
          <cell r="E28">
            <v>238</v>
          </cell>
          <cell r="F28">
            <v>242</v>
          </cell>
          <cell r="G28">
            <v>238</v>
          </cell>
          <cell r="H28">
            <v>32</v>
          </cell>
          <cell r="I28">
            <v>554</v>
          </cell>
          <cell r="J28">
            <v>84</v>
          </cell>
          <cell r="K28">
            <v>21</v>
          </cell>
          <cell r="L28">
            <v>589</v>
          </cell>
        </row>
        <row r="35">
          <cell r="C35">
            <v>11868</v>
          </cell>
        </row>
        <row r="36">
          <cell r="B36">
            <v>7276</v>
          </cell>
          <cell r="D36">
            <v>188</v>
          </cell>
          <cell r="E36">
            <v>300</v>
          </cell>
          <cell r="F36">
            <v>306</v>
          </cell>
          <cell r="G36">
            <v>300</v>
          </cell>
          <cell r="H36">
            <v>40</v>
          </cell>
          <cell r="I36">
            <v>700</v>
          </cell>
          <cell r="J36">
            <v>106</v>
          </cell>
          <cell r="K36">
            <v>26</v>
          </cell>
          <cell r="L36">
            <v>744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s complimentació"/>
      <sheetName val="descripcions DEFINITIVES"/>
      <sheetName val="descripcions"/>
    </sheetNames>
    <sheetDataSet>
      <sheetData sheetId="0"/>
      <sheetData sheetId="1">
        <row r="17">
          <cell r="J17">
            <v>13757.7</v>
          </cell>
        </row>
        <row r="18">
          <cell r="J18">
            <v>3590.3120000000004</v>
          </cell>
        </row>
        <row r="19">
          <cell r="J19">
            <v>17.133600000000001</v>
          </cell>
        </row>
        <row r="20">
          <cell r="J20">
            <v>500.45600000000002</v>
          </cell>
        </row>
        <row r="38">
          <cell r="J38">
            <v>41419.951707243243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S  COMPLIMENTACIÓ"/>
      <sheetName val="ANNEX OFERTA"/>
    </sheetNames>
    <sheetDataSet>
      <sheetData sheetId="0" refreshError="1"/>
      <sheetData sheetId="1" refreshError="1">
        <row r="26">
          <cell r="E26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-2016"/>
      <sheetName val="Grafics"/>
    </sheetNames>
    <sheetDataSet>
      <sheetData sheetId="0"/>
      <sheetData sheetId="1">
        <row r="14">
          <cell r="N14">
            <v>56818.419999999991</v>
          </cell>
        </row>
        <row r="15">
          <cell r="N15">
            <v>-12203.420000000002</v>
          </cell>
        </row>
        <row r="16">
          <cell r="N16">
            <v>6113.4199999999992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1"/>
  <sheetViews>
    <sheetView tabSelected="1" topLeftCell="C1" zoomScaleNormal="100" workbookViewId="0">
      <selection activeCell="J21" sqref="J21:J25"/>
    </sheetView>
  </sheetViews>
  <sheetFormatPr baseColWidth="10" defaultColWidth="11.42578125" defaultRowHeight="15" x14ac:dyDescent="0.25"/>
  <cols>
    <col min="1" max="1" width="11.42578125" style="127"/>
    <col min="2" max="2" width="7.140625" style="127" customWidth="1"/>
    <col min="3" max="3" width="48.5703125" style="127" customWidth="1"/>
    <col min="4" max="5" width="13.28515625" style="127" customWidth="1"/>
    <col min="6" max="6" width="12.42578125" style="127" customWidth="1"/>
    <col min="7" max="7" width="12.85546875" style="127" customWidth="1"/>
    <col min="8" max="8" width="14.85546875" style="127" customWidth="1"/>
    <col min="9" max="9" width="14.42578125" style="127" customWidth="1"/>
    <col min="10" max="10" width="13.42578125" style="127" customWidth="1"/>
    <col min="11" max="11" width="9.28515625" style="127" customWidth="1"/>
    <col min="12" max="12" width="14.85546875" style="127" customWidth="1"/>
    <col min="13" max="14" width="15.5703125" style="127" customWidth="1"/>
    <col min="15" max="15" width="16.140625" style="127" customWidth="1"/>
    <col min="16" max="16384" width="11.42578125" style="127"/>
  </cols>
  <sheetData>
    <row r="2" spans="2:19" ht="20.25" x14ac:dyDescent="0.3">
      <c r="B2" s="250" t="s">
        <v>118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25"/>
      <c r="Q2" s="126"/>
      <c r="R2" s="126"/>
      <c r="S2" s="126"/>
    </row>
    <row r="3" spans="2:19" ht="15.75" thickBot="1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2:19" x14ac:dyDescent="0.25">
      <c r="B4" s="251" t="s">
        <v>0</v>
      </c>
      <c r="C4" s="252"/>
      <c r="D4" s="128"/>
      <c r="E4" s="128"/>
      <c r="F4" s="253" t="s">
        <v>1</v>
      </c>
      <c r="G4" s="253"/>
      <c r="H4" s="253"/>
      <c r="I4" s="253"/>
      <c r="J4" s="253"/>
      <c r="K4" s="253"/>
      <c r="L4" s="253"/>
      <c r="M4" s="253"/>
      <c r="N4" s="253"/>
      <c r="O4" s="254"/>
      <c r="P4" s="129"/>
      <c r="Q4" s="129"/>
      <c r="R4" s="129"/>
      <c r="S4" s="129"/>
    </row>
    <row r="5" spans="2:19" ht="15.75" thickBot="1" x14ac:dyDescent="0.3">
      <c r="B5" s="255" t="s">
        <v>2</v>
      </c>
      <c r="C5" s="256"/>
      <c r="D5" s="130"/>
      <c r="E5" s="130"/>
      <c r="F5" s="257"/>
      <c r="G5" s="258"/>
      <c r="H5" s="258"/>
      <c r="I5" s="258"/>
      <c r="J5" s="258"/>
      <c r="K5" s="258"/>
      <c r="L5" s="258"/>
      <c r="M5" s="258"/>
      <c r="N5" s="258"/>
      <c r="O5" s="259"/>
      <c r="P5" s="131"/>
      <c r="Q5" s="131"/>
      <c r="R5" s="131"/>
      <c r="S5" s="131"/>
    </row>
    <row r="6" spans="2:19" ht="15.75" thickBot="1" x14ac:dyDescent="0.3">
      <c r="B6" s="132"/>
      <c r="C6" s="132"/>
      <c r="D6" s="132"/>
      <c r="E6" s="132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</row>
    <row r="7" spans="2:19" x14ac:dyDescent="0.25">
      <c r="B7" s="246" t="s">
        <v>3</v>
      </c>
      <c r="C7" s="247"/>
      <c r="D7" s="134"/>
      <c r="E7" s="134"/>
      <c r="F7" s="248"/>
      <c r="G7" s="248"/>
      <c r="H7" s="248"/>
      <c r="I7" s="248"/>
      <c r="J7" s="248"/>
      <c r="K7" s="248"/>
      <c r="L7" s="248"/>
      <c r="M7" s="248"/>
      <c r="N7" s="248"/>
      <c r="O7" s="249"/>
      <c r="P7" s="126"/>
      <c r="Q7" s="126"/>
      <c r="R7" s="126"/>
      <c r="S7" s="126"/>
    </row>
    <row r="8" spans="2:19" x14ac:dyDescent="0.25">
      <c r="B8" s="234" t="s">
        <v>4</v>
      </c>
      <c r="C8" s="235"/>
      <c r="D8" s="135"/>
      <c r="E8" s="135"/>
      <c r="F8" s="236"/>
      <c r="G8" s="236"/>
      <c r="H8" s="236"/>
      <c r="I8" s="236"/>
      <c r="J8" s="236"/>
      <c r="K8" s="236"/>
      <c r="L8" s="236"/>
      <c r="M8" s="236"/>
      <c r="N8" s="236"/>
      <c r="O8" s="237"/>
      <c r="P8" s="136"/>
      <c r="Q8" s="136"/>
      <c r="R8" s="136"/>
      <c r="S8" s="136"/>
    </row>
    <row r="9" spans="2:19" x14ac:dyDescent="0.25">
      <c r="B9" s="234" t="s">
        <v>5</v>
      </c>
      <c r="C9" s="235"/>
      <c r="D9" s="135"/>
      <c r="E9" s="135"/>
      <c r="F9" s="236"/>
      <c r="G9" s="236"/>
      <c r="H9" s="236"/>
      <c r="I9" s="236"/>
      <c r="J9" s="236"/>
      <c r="K9" s="236"/>
      <c r="L9" s="236"/>
      <c r="M9" s="236"/>
      <c r="N9" s="236"/>
      <c r="O9" s="237"/>
      <c r="P9" s="136"/>
      <c r="Q9" s="136"/>
      <c r="R9" s="136"/>
      <c r="S9" s="136"/>
    </row>
    <row r="10" spans="2:19" x14ac:dyDescent="0.25">
      <c r="B10" s="234" t="s">
        <v>6</v>
      </c>
      <c r="C10" s="235"/>
      <c r="D10" s="135"/>
      <c r="E10" s="135"/>
      <c r="F10" s="236"/>
      <c r="G10" s="236"/>
      <c r="H10" s="236"/>
      <c r="I10" s="236"/>
      <c r="J10" s="236"/>
      <c r="K10" s="236"/>
      <c r="L10" s="236"/>
      <c r="M10" s="236"/>
      <c r="N10" s="236"/>
      <c r="O10" s="237"/>
      <c r="P10" s="136"/>
      <c r="Q10" s="136"/>
      <c r="R10" s="136"/>
      <c r="S10" s="136"/>
    </row>
    <row r="11" spans="2:19" x14ac:dyDescent="0.25">
      <c r="B11" s="244" t="s">
        <v>7</v>
      </c>
      <c r="C11" s="245"/>
      <c r="D11" s="137"/>
      <c r="E11" s="137"/>
      <c r="F11" s="236"/>
      <c r="G11" s="236"/>
      <c r="H11" s="236"/>
      <c r="I11" s="236"/>
      <c r="J11" s="236"/>
      <c r="K11" s="236"/>
      <c r="L11" s="236"/>
      <c r="M11" s="236"/>
      <c r="N11" s="236"/>
      <c r="O11" s="237"/>
      <c r="P11" s="138"/>
      <c r="Q11" s="138"/>
      <c r="R11" s="138"/>
      <c r="S11" s="138"/>
    </row>
    <row r="12" spans="2:19" x14ac:dyDescent="0.25">
      <c r="B12" s="234" t="s">
        <v>8</v>
      </c>
      <c r="C12" s="235"/>
      <c r="D12" s="135"/>
      <c r="E12" s="135"/>
      <c r="F12" s="236"/>
      <c r="G12" s="236"/>
      <c r="H12" s="236"/>
      <c r="I12" s="236"/>
      <c r="J12" s="236"/>
      <c r="K12" s="236"/>
      <c r="L12" s="236"/>
      <c r="M12" s="236"/>
      <c r="N12" s="236"/>
      <c r="O12" s="237"/>
      <c r="P12" s="138"/>
      <c r="Q12" s="138"/>
      <c r="R12" s="138"/>
      <c r="S12" s="138"/>
    </row>
    <row r="13" spans="2:19" x14ac:dyDescent="0.25">
      <c r="B13" s="234" t="s">
        <v>9</v>
      </c>
      <c r="C13" s="235"/>
      <c r="D13" s="135"/>
      <c r="E13" s="135"/>
      <c r="F13" s="236"/>
      <c r="G13" s="236"/>
      <c r="H13" s="236"/>
      <c r="I13" s="236"/>
      <c r="J13" s="236"/>
      <c r="K13" s="236"/>
      <c r="L13" s="236"/>
      <c r="M13" s="236"/>
      <c r="N13" s="236"/>
      <c r="O13" s="237"/>
      <c r="P13" s="138"/>
      <c r="Q13" s="138"/>
      <c r="R13" s="138"/>
      <c r="S13" s="138"/>
    </row>
    <row r="14" spans="2:19" x14ac:dyDescent="0.25">
      <c r="B14" s="234" t="s">
        <v>10</v>
      </c>
      <c r="C14" s="235"/>
      <c r="D14" s="135"/>
      <c r="E14" s="135"/>
      <c r="F14" s="236"/>
      <c r="G14" s="236"/>
      <c r="H14" s="236"/>
      <c r="I14" s="236"/>
      <c r="J14" s="236"/>
      <c r="K14" s="236"/>
      <c r="L14" s="236"/>
      <c r="M14" s="236"/>
      <c r="N14" s="236"/>
      <c r="O14" s="237"/>
      <c r="P14" s="138"/>
      <c r="Q14" s="138"/>
      <c r="R14" s="138"/>
      <c r="S14" s="138"/>
    </row>
    <row r="15" spans="2:19" ht="40.5" customHeight="1" x14ac:dyDescent="0.25">
      <c r="B15" s="238" t="s">
        <v>11</v>
      </c>
      <c r="C15" s="239"/>
      <c r="D15" s="139"/>
      <c r="E15" s="139"/>
      <c r="F15" s="236"/>
      <c r="G15" s="236"/>
      <c r="H15" s="236"/>
      <c r="I15" s="236"/>
      <c r="J15" s="236"/>
      <c r="K15" s="236"/>
      <c r="L15" s="236"/>
      <c r="M15" s="236"/>
      <c r="N15" s="236"/>
      <c r="O15" s="237"/>
      <c r="P15" s="138"/>
      <c r="Q15" s="138"/>
      <c r="R15" s="138"/>
      <c r="S15" s="138"/>
    </row>
    <row r="16" spans="2:19" ht="15.75" thickBot="1" x14ac:dyDescent="0.3">
      <c r="B16" s="240" t="s">
        <v>12</v>
      </c>
      <c r="C16" s="241"/>
      <c r="D16" s="140"/>
      <c r="E16" s="140"/>
      <c r="F16" s="242"/>
      <c r="G16" s="242"/>
      <c r="H16" s="242"/>
      <c r="I16" s="242"/>
      <c r="J16" s="242"/>
      <c r="K16" s="242"/>
      <c r="L16" s="242"/>
      <c r="M16" s="242"/>
      <c r="N16" s="242"/>
      <c r="O16" s="243"/>
      <c r="P16" s="138"/>
      <c r="Q16" s="138"/>
      <c r="R16" s="138"/>
      <c r="S16" s="138"/>
    </row>
    <row r="17" spans="1:19" x14ac:dyDescent="0.25">
      <c r="B17" s="141"/>
      <c r="C17" s="142"/>
      <c r="D17" s="142"/>
      <c r="E17" s="142"/>
      <c r="F17" s="142"/>
      <c r="G17" s="142"/>
      <c r="H17" s="142"/>
      <c r="I17" s="142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ht="18.75" customHeight="1" x14ac:dyDescent="0.25">
      <c r="B18" s="233" t="s">
        <v>117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126"/>
      <c r="Q18" s="126"/>
      <c r="R18" s="126"/>
      <c r="S18" s="126"/>
    </row>
    <row r="19" spans="1:19" ht="15.75" customHeight="1" thickBot="1" x14ac:dyDescent="0.3">
      <c r="B19" s="143"/>
      <c r="C19" s="143"/>
      <c r="D19" s="143"/>
      <c r="E19" s="143"/>
      <c r="F19" s="143"/>
      <c r="G19" s="143"/>
      <c r="H19" s="143"/>
      <c r="I19" s="143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ht="54" customHeight="1" thickBot="1" x14ac:dyDescent="0.3">
      <c r="A20" s="144" t="s">
        <v>13</v>
      </c>
      <c r="B20" s="144" t="s">
        <v>14</v>
      </c>
      <c r="C20" s="145" t="s">
        <v>15</v>
      </c>
      <c r="D20" s="146" t="s">
        <v>16</v>
      </c>
      <c r="E20" s="146" t="s">
        <v>17</v>
      </c>
      <c r="F20" s="146" t="s">
        <v>18</v>
      </c>
      <c r="G20" s="147" t="s">
        <v>19</v>
      </c>
      <c r="H20" s="145" t="s">
        <v>20</v>
      </c>
      <c r="I20" s="148" t="s">
        <v>21</v>
      </c>
      <c r="J20" s="149" t="s">
        <v>22</v>
      </c>
      <c r="K20" s="150" t="s">
        <v>23</v>
      </c>
      <c r="L20" s="151" t="s">
        <v>24</v>
      </c>
      <c r="M20" s="151" t="s">
        <v>25</v>
      </c>
      <c r="N20" s="150" t="s">
        <v>26</v>
      </c>
      <c r="O20" s="152" t="s">
        <v>27</v>
      </c>
      <c r="P20" s="126"/>
      <c r="Q20" s="126"/>
      <c r="R20" s="126"/>
      <c r="S20" s="126"/>
    </row>
    <row r="21" spans="1:19" ht="18" customHeight="1" x14ac:dyDescent="0.25">
      <c r="A21" s="153">
        <v>1</v>
      </c>
      <c r="B21" s="153">
        <v>1</v>
      </c>
      <c r="C21" s="154" t="s">
        <v>28</v>
      </c>
      <c r="D21" s="155">
        <f>1310*1.04</f>
        <v>1362.4</v>
      </c>
      <c r="E21" s="154">
        <v>2</v>
      </c>
      <c r="F21" s="156">
        <f>D21*E21</f>
        <v>2724.8</v>
      </c>
      <c r="G21" s="157" t="s">
        <v>29</v>
      </c>
      <c r="H21" s="158">
        <f>209.44*1.05</f>
        <v>219.91200000000001</v>
      </c>
      <c r="I21" s="159">
        <f>H21*1.21</f>
        <v>266.09352000000001</v>
      </c>
      <c r="J21" s="219"/>
      <c r="K21" s="160">
        <v>0.21</v>
      </c>
      <c r="L21" s="161">
        <f>(J21*K21)+J21</f>
        <v>0</v>
      </c>
      <c r="M21" s="162">
        <f>J21*F21</f>
        <v>0</v>
      </c>
      <c r="N21" s="162">
        <f>O21-M21</f>
        <v>0</v>
      </c>
      <c r="O21" s="162">
        <f>(M21*K21)+M21</f>
        <v>0</v>
      </c>
      <c r="P21" s="126"/>
      <c r="Q21" s="126"/>
      <c r="R21" s="126"/>
      <c r="S21" s="126"/>
    </row>
    <row r="22" spans="1:19" ht="18" customHeight="1" x14ac:dyDescent="0.25">
      <c r="A22" s="163">
        <v>1</v>
      </c>
      <c r="B22" s="163">
        <v>2</v>
      </c>
      <c r="C22" s="164" t="s">
        <v>30</v>
      </c>
      <c r="D22" s="155">
        <f>1175*1.04</f>
        <v>1222</v>
      </c>
      <c r="E22" s="154">
        <v>2</v>
      </c>
      <c r="F22" s="156">
        <f t="shared" ref="F22:F25" si="0">D22*E22</f>
        <v>2444</v>
      </c>
      <c r="G22" s="165" t="s">
        <v>29</v>
      </c>
      <c r="H22" s="166">
        <v>109.98699999999999</v>
      </c>
      <c r="I22" s="167">
        <f>H22*1.21</f>
        <v>133.08427</v>
      </c>
      <c r="J22" s="220"/>
      <c r="K22" s="168">
        <v>0.21</v>
      </c>
      <c r="L22" s="161">
        <f t="shared" ref="L22:L25" si="1">(J22*K22)+J22</f>
        <v>0</v>
      </c>
      <c r="M22" s="169">
        <f>J22*F22</f>
        <v>0</v>
      </c>
      <c r="N22" s="169">
        <f t="shared" ref="N22:N25" si="2">O22-M22</f>
        <v>0</v>
      </c>
      <c r="O22" s="169">
        <f t="shared" ref="O22:O25" si="3">(M22*K22)+M22</f>
        <v>0</v>
      </c>
      <c r="P22" s="126"/>
      <c r="Q22" s="126"/>
      <c r="R22" s="126"/>
      <c r="S22" s="126"/>
    </row>
    <row r="23" spans="1:19" ht="18" customHeight="1" x14ac:dyDescent="0.25">
      <c r="A23" s="163">
        <v>1</v>
      </c>
      <c r="B23" s="163">
        <v>3</v>
      </c>
      <c r="C23" s="164" t="s">
        <v>31</v>
      </c>
      <c r="D23" s="155">
        <f>894*1.04</f>
        <v>929.76</v>
      </c>
      <c r="E23" s="154">
        <v>2</v>
      </c>
      <c r="F23" s="156">
        <f t="shared" si="0"/>
        <v>1859.52</v>
      </c>
      <c r="G23" s="165" t="s">
        <v>29</v>
      </c>
      <c r="H23" s="166">
        <f>70.68*1.05</f>
        <v>74.214000000000013</v>
      </c>
      <c r="I23" s="167">
        <f>H23*1.21</f>
        <v>89.798940000000016</v>
      </c>
      <c r="J23" s="220"/>
      <c r="K23" s="168">
        <v>0.21</v>
      </c>
      <c r="L23" s="161">
        <f t="shared" si="1"/>
        <v>0</v>
      </c>
      <c r="M23" s="169">
        <f>J23*F23</f>
        <v>0</v>
      </c>
      <c r="N23" s="169">
        <f t="shared" si="2"/>
        <v>0</v>
      </c>
      <c r="O23" s="169">
        <f t="shared" si="3"/>
        <v>0</v>
      </c>
      <c r="P23" s="126"/>
      <c r="Q23" s="126"/>
      <c r="R23" s="126"/>
      <c r="S23" s="126"/>
    </row>
    <row r="24" spans="1:19" ht="18" customHeight="1" x14ac:dyDescent="0.25">
      <c r="A24" s="163">
        <v>1</v>
      </c>
      <c r="B24" s="163">
        <v>4</v>
      </c>
      <c r="C24" s="164" t="s">
        <v>32</v>
      </c>
      <c r="D24" s="155">
        <v>1</v>
      </c>
      <c r="E24" s="154">
        <v>2</v>
      </c>
      <c r="F24" s="156">
        <f t="shared" si="0"/>
        <v>2</v>
      </c>
      <c r="G24" s="165" t="s">
        <v>29</v>
      </c>
      <c r="H24" s="166">
        <f>1300*1.05</f>
        <v>1365</v>
      </c>
      <c r="I24" s="167">
        <f>H24*1.21</f>
        <v>1651.6499999999999</v>
      </c>
      <c r="J24" s="220"/>
      <c r="K24" s="168">
        <v>0.21</v>
      </c>
      <c r="L24" s="161">
        <f t="shared" si="1"/>
        <v>0</v>
      </c>
      <c r="M24" s="169">
        <f>J24*F24</f>
        <v>0</v>
      </c>
      <c r="N24" s="169">
        <f t="shared" si="2"/>
        <v>0</v>
      </c>
      <c r="O24" s="169">
        <f t="shared" si="3"/>
        <v>0</v>
      </c>
      <c r="P24" s="126"/>
      <c r="Q24" s="126"/>
      <c r="R24" s="126"/>
      <c r="S24" s="126"/>
    </row>
    <row r="25" spans="1:19" ht="18" customHeight="1" x14ac:dyDescent="0.25">
      <c r="A25" s="163">
        <v>1</v>
      </c>
      <c r="B25" s="163">
        <v>5</v>
      </c>
      <c r="C25" s="164" t="s">
        <v>33</v>
      </c>
      <c r="D25" s="155">
        <v>1</v>
      </c>
      <c r="E25" s="154">
        <v>2</v>
      </c>
      <c r="F25" s="156">
        <f t="shared" si="0"/>
        <v>2</v>
      </c>
      <c r="G25" s="165" t="s">
        <v>29</v>
      </c>
      <c r="H25" s="166">
        <f>50000*1.05</f>
        <v>52500</v>
      </c>
      <c r="I25" s="167">
        <f>H25*1.21</f>
        <v>63525</v>
      </c>
      <c r="J25" s="220"/>
      <c r="K25" s="168">
        <v>0.21</v>
      </c>
      <c r="L25" s="161">
        <f t="shared" si="1"/>
        <v>0</v>
      </c>
      <c r="M25" s="169">
        <f>J25*F25</f>
        <v>0</v>
      </c>
      <c r="N25" s="169">
        <f t="shared" si="2"/>
        <v>0</v>
      </c>
      <c r="O25" s="169">
        <f t="shared" si="3"/>
        <v>0</v>
      </c>
      <c r="P25" s="126"/>
      <c r="Q25" s="126"/>
      <c r="R25" s="126"/>
      <c r="S25" s="126"/>
    </row>
    <row r="26" spans="1:19" ht="15.75" thickBot="1" x14ac:dyDescent="0.3">
      <c r="B26" s="170" t="s">
        <v>34</v>
      </c>
      <c r="C26" s="171"/>
      <c r="D26" s="171"/>
      <c r="E26" s="171"/>
      <c r="F26" s="172"/>
      <c r="G26" s="172"/>
      <c r="H26" s="172"/>
      <c r="I26" s="173"/>
      <c r="J26" s="174"/>
      <c r="K26" s="175"/>
      <c r="L26" s="174"/>
      <c r="M26" s="176">
        <f>SUM(M21:M25)</f>
        <v>0</v>
      </c>
      <c r="N26" s="176">
        <f t="shared" ref="N26:O26" si="4">SUM(N21:N25)</f>
        <v>0</v>
      </c>
      <c r="O26" s="176">
        <f t="shared" si="4"/>
        <v>0</v>
      </c>
      <c r="P26" s="126"/>
      <c r="Q26" s="126"/>
      <c r="R26" s="126"/>
      <c r="S26" s="126"/>
    </row>
    <row r="27" spans="1:19" x14ac:dyDescent="0.25">
      <c r="I27" s="177"/>
      <c r="M27" s="178">
        <f>M26/2</f>
        <v>0</v>
      </c>
      <c r="N27" s="178">
        <f t="shared" ref="N27:O27" si="5">N26/2</f>
        <v>0</v>
      </c>
      <c r="O27" s="178">
        <f t="shared" si="5"/>
        <v>0</v>
      </c>
    </row>
    <row r="28" spans="1:19" x14ac:dyDescent="0.25">
      <c r="C28" s="222" t="s">
        <v>114</v>
      </c>
    </row>
    <row r="31" spans="1:19" x14ac:dyDescent="0.25">
      <c r="D31" s="179"/>
    </row>
  </sheetData>
  <mergeCells count="26">
    <mergeCell ref="B7:C7"/>
    <mergeCell ref="F7:O7"/>
    <mergeCell ref="B2:O2"/>
    <mergeCell ref="B4:C4"/>
    <mergeCell ref="F4:O4"/>
    <mergeCell ref="B5:C5"/>
    <mergeCell ref="F5:O5"/>
    <mergeCell ref="B8:C8"/>
    <mergeCell ref="F8:O8"/>
    <mergeCell ref="B9:C9"/>
    <mergeCell ref="F9:O9"/>
    <mergeCell ref="B10:C10"/>
    <mergeCell ref="F10:O10"/>
    <mergeCell ref="B11:C11"/>
    <mergeCell ref="F11:O11"/>
    <mergeCell ref="B12:C12"/>
    <mergeCell ref="F12:O12"/>
    <mergeCell ref="B13:C13"/>
    <mergeCell ref="F13:O13"/>
    <mergeCell ref="B18:O18"/>
    <mergeCell ref="B14:C14"/>
    <mergeCell ref="F14:O14"/>
    <mergeCell ref="B15:C15"/>
    <mergeCell ref="F15:O15"/>
    <mergeCell ref="B16:C16"/>
    <mergeCell ref="F16:O16"/>
  </mergeCells>
  <conditionalFormatting sqref="A21:G25">
    <cfRule type="cellIs" dxfId="8" priority="2" stopIfTrue="1" operator="equal">
      <formula>0</formula>
    </cfRule>
  </conditionalFormatting>
  <conditionalFormatting sqref="I27 M26:O27 I21:I25 L21:O25">
    <cfRule type="cellIs" dxfId="7" priority="1" stopIfTrue="1" operator="equal">
      <formula>0</formula>
    </cfRule>
  </conditionalFormatting>
  <pageMargins left="0.70866141732283472" right="0.70866141732283472" top="0.47" bottom="0.33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>
    <tabColor rgb="FF00B050"/>
  </sheetPr>
  <dimension ref="A2:R46"/>
  <sheetViews>
    <sheetView topLeftCell="G8" zoomScaleNormal="100" zoomScaleSheetLayoutView="110" workbookViewId="0">
      <selection activeCell="N16" sqref="N16:N19"/>
    </sheetView>
  </sheetViews>
  <sheetFormatPr baseColWidth="10" defaultColWidth="11.42578125" defaultRowHeight="12.75" x14ac:dyDescent="0.2"/>
  <cols>
    <col min="1" max="1" width="6.28515625" style="3" bestFit="1" customWidth="1"/>
    <col min="2" max="2" width="60.85546875" style="3" customWidth="1"/>
    <col min="3" max="3" width="14.28515625" style="92" customWidth="1"/>
    <col min="4" max="4" width="11.7109375" style="3" bestFit="1" customWidth="1"/>
    <col min="5" max="5" width="10.85546875" style="5" customWidth="1"/>
    <col min="6" max="6" width="9.140625" style="3" bestFit="1" customWidth="1"/>
    <col min="7" max="7" width="10.140625" style="3" bestFit="1" customWidth="1"/>
    <col min="8" max="8" width="14.85546875" style="3" bestFit="1" customWidth="1"/>
    <col min="9" max="9" width="16" style="3" bestFit="1" customWidth="1"/>
    <col min="10" max="10" width="13.85546875" style="6" bestFit="1" customWidth="1"/>
    <col min="11" max="11" width="14.85546875" style="3" bestFit="1" customWidth="1"/>
    <col min="12" max="12" width="16" style="3" bestFit="1" customWidth="1"/>
    <col min="13" max="13" width="13.85546875" style="6" bestFit="1" customWidth="1"/>
    <col min="14" max="14" width="11.7109375" style="3" bestFit="1" customWidth="1"/>
    <col min="15" max="15" width="10.85546875" style="5" customWidth="1"/>
    <col min="16" max="16" width="14.85546875" style="3" bestFit="1" customWidth="1"/>
    <col min="17" max="17" width="16" style="3" bestFit="1" customWidth="1"/>
    <col min="18" max="18" width="13.85546875" style="6" bestFit="1" customWidth="1"/>
    <col min="19" max="16384" width="11.42578125" style="3"/>
  </cols>
  <sheetData>
    <row r="2" spans="1:18" x14ac:dyDescent="0.2">
      <c r="A2" s="62"/>
      <c r="B2" s="180"/>
      <c r="C2" s="90"/>
      <c r="D2" s="181"/>
      <c r="E2" s="182"/>
      <c r="F2" s="183"/>
      <c r="G2" s="182"/>
      <c r="H2" s="182"/>
      <c r="I2" s="182"/>
      <c r="J2" s="182"/>
      <c r="K2" s="182"/>
      <c r="L2" s="182"/>
      <c r="M2" s="182"/>
      <c r="N2" s="181"/>
      <c r="O2" s="182"/>
      <c r="P2" s="182"/>
      <c r="Q2" s="182"/>
      <c r="R2" s="182"/>
    </row>
    <row r="3" spans="1:18" x14ac:dyDescent="0.2">
      <c r="A3" s="62"/>
      <c r="B3" s="62"/>
      <c r="C3" s="91"/>
      <c r="D3" s="184"/>
      <c r="E3" s="185"/>
      <c r="F3" s="186"/>
      <c r="G3" s="185"/>
      <c r="H3" s="185"/>
      <c r="I3" s="185"/>
      <c r="J3" s="185"/>
      <c r="K3" s="185"/>
      <c r="L3" s="185"/>
      <c r="M3" s="185"/>
      <c r="N3" s="184"/>
      <c r="O3" s="185"/>
      <c r="P3" s="185"/>
      <c r="Q3" s="185"/>
      <c r="R3" s="185"/>
    </row>
    <row r="4" spans="1:18" x14ac:dyDescent="0.2">
      <c r="A4" s="62"/>
      <c r="B4" s="180"/>
      <c r="C4" s="87"/>
      <c r="D4" s="56"/>
      <c r="E4" s="62"/>
      <c r="F4" s="187"/>
      <c r="G4" s="62"/>
      <c r="H4" s="62"/>
      <c r="I4" s="62"/>
      <c r="J4" s="62"/>
      <c r="K4" s="62"/>
      <c r="L4" s="62"/>
      <c r="M4" s="62"/>
      <c r="N4" s="56"/>
      <c r="O4" s="62"/>
      <c r="P4" s="62"/>
      <c r="Q4" s="62"/>
      <c r="R4" s="62"/>
    </row>
    <row r="5" spans="1:18" x14ac:dyDescent="0.2">
      <c r="A5" s="62"/>
      <c r="B5" s="180"/>
      <c r="C5" s="87"/>
      <c r="D5" s="56"/>
      <c r="E5" s="62"/>
      <c r="F5" s="187"/>
      <c r="G5" s="62"/>
      <c r="H5" s="62"/>
      <c r="I5" s="62"/>
      <c r="J5" s="62"/>
      <c r="K5" s="62"/>
      <c r="L5" s="62"/>
      <c r="M5" s="62"/>
      <c r="N5" s="56"/>
      <c r="O5" s="62"/>
      <c r="P5" s="62"/>
      <c r="Q5" s="62"/>
      <c r="R5" s="62"/>
    </row>
    <row r="6" spans="1:18" x14ac:dyDescent="0.2">
      <c r="A6" s="62"/>
      <c r="B6" s="7" t="s">
        <v>35</v>
      </c>
      <c r="C6" s="218" t="s">
        <v>113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x14ac:dyDescent="0.2">
      <c r="A7" s="62"/>
      <c r="B7" s="7" t="s">
        <v>36</v>
      </c>
      <c r="C7" s="62">
        <v>24</v>
      </c>
      <c r="D7" s="56"/>
      <c r="E7" s="62"/>
      <c r="F7" s="187"/>
      <c r="G7" s="62"/>
      <c r="H7" s="62"/>
      <c r="I7" s="62"/>
      <c r="J7" s="62"/>
      <c r="K7" s="62"/>
      <c r="L7" s="62"/>
      <c r="M7" s="62"/>
      <c r="N7" s="56"/>
      <c r="O7" s="62"/>
      <c r="P7" s="62"/>
      <c r="Q7" s="62"/>
      <c r="R7" s="62"/>
    </row>
    <row r="8" spans="1:18" x14ac:dyDescent="0.2">
      <c r="A8" s="62"/>
      <c r="B8" s="62"/>
      <c r="C8" s="87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3.5" thickBot="1" x14ac:dyDescent="0.25">
      <c r="A9" s="2"/>
      <c r="B9" s="62"/>
      <c r="D9" s="62"/>
      <c r="E9" s="187"/>
      <c r="F9" s="62"/>
      <c r="G9" s="62"/>
      <c r="H9" s="62"/>
      <c r="I9" s="62"/>
      <c r="J9" s="188"/>
      <c r="K9" s="62"/>
      <c r="L9" s="62"/>
      <c r="M9" s="188"/>
      <c r="N9" s="62"/>
      <c r="O9" s="187"/>
      <c r="P9" s="62"/>
      <c r="Q9" s="62"/>
      <c r="R9" s="188"/>
    </row>
    <row r="10" spans="1:18" s="117" customFormat="1" ht="18" customHeight="1" thickBot="1" x14ac:dyDescent="0.25">
      <c r="A10" s="189"/>
      <c r="B10" s="190"/>
      <c r="C10" s="118"/>
      <c r="D10" s="269" t="s">
        <v>37</v>
      </c>
      <c r="E10" s="270"/>
      <c r="F10" s="270"/>
      <c r="G10" s="270"/>
      <c r="H10" s="270"/>
      <c r="I10" s="270"/>
      <c r="J10" s="270"/>
      <c r="K10" s="270"/>
      <c r="L10" s="270"/>
      <c r="M10" s="271"/>
      <c r="N10" s="263" t="s">
        <v>38</v>
      </c>
      <c r="O10" s="264"/>
      <c r="P10" s="264"/>
      <c r="Q10" s="264"/>
      <c r="R10" s="265"/>
    </row>
    <row r="11" spans="1:18" ht="13.5" customHeight="1" thickBot="1" x14ac:dyDescent="0.25">
      <c r="A11" s="62"/>
      <c r="B11" s="180"/>
      <c r="C11" s="115"/>
      <c r="D11" s="260" t="s">
        <v>39</v>
      </c>
      <c r="E11" s="261"/>
      <c r="F11" s="261"/>
      <c r="G11" s="262"/>
      <c r="H11" s="260" t="s">
        <v>40</v>
      </c>
      <c r="I11" s="261"/>
      <c r="J11" s="262"/>
      <c r="K11" s="260" t="s">
        <v>41</v>
      </c>
      <c r="L11" s="261"/>
      <c r="M11" s="262"/>
      <c r="N11" s="260" t="s">
        <v>39</v>
      </c>
      <c r="O11" s="261"/>
      <c r="P11" s="260" t="s">
        <v>41</v>
      </c>
      <c r="Q11" s="261"/>
      <c r="R11" s="262"/>
    </row>
    <row r="12" spans="1:18" s="93" customFormat="1" ht="51" x14ac:dyDescent="0.2">
      <c r="A12" s="15" t="s">
        <v>42</v>
      </c>
      <c r="B12" s="15" t="s">
        <v>43</v>
      </c>
      <c r="C12" s="113" t="s">
        <v>44</v>
      </c>
      <c r="D12" s="109" t="s">
        <v>45</v>
      </c>
      <c r="E12" s="110" t="s">
        <v>46</v>
      </c>
      <c r="F12" s="110" t="s">
        <v>47</v>
      </c>
      <c r="G12" s="114" t="s">
        <v>48</v>
      </c>
      <c r="H12" s="109" t="s">
        <v>45</v>
      </c>
      <c r="I12" s="110" t="s">
        <v>23</v>
      </c>
      <c r="J12" s="111" t="s">
        <v>49</v>
      </c>
      <c r="K12" s="109" t="s">
        <v>45</v>
      </c>
      <c r="L12" s="110" t="s">
        <v>23</v>
      </c>
      <c r="M12" s="111" t="s">
        <v>49</v>
      </c>
      <c r="N12" s="119" t="s">
        <v>45</v>
      </c>
      <c r="O12" s="120" t="s">
        <v>46</v>
      </c>
      <c r="P12" s="109" t="s">
        <v>45</v>
      </c>
      <c r="Q12" s="110" t="s">
        <v>23</v>
      </c>
      <c r="R12" s="111" t="s">
        <v>49</v>
      </c>
    </row>
    <row r="13" spans="1:18" s="2" customFormat="1" x14ac:dyDescent="0.2">
      <c r="A13" s="266" t="s">
        <v>50</v>
      </c>
      <c r="B13" s="48" t="s">
        <v>51</v>
      </c>
      <c r="C13" s="98">
        <f>+C14+C23+C31</f>
        <v>13410</v>
      </c>
      <c r="D13" s="50"/>
      <c r="E13" s="51"/>
      <c r="F13" s="51"/>
      <c r="G13" s="52"/>
      <c r="H13" s="72">
        <f>+H14+H23+H31</f>
        <v>37269.089999999997</v>
      </c>
      <c r="I13" s="73">
        <f>+I14+I23+I31</f>
        <v>7826.5088999999998</v>
      </c>
      <c r="J13" s="74">
        <f>(H13+I13)</f>
        <v>45095.598899999997</v>
      </c>
      <c r="K13" s="72">
        <f>+K14+K23+K31</f>
        <v>74538.179999999993</v>
      </c>
      <c r="L13" s="73">
        <f>ROUND(K13*21%,2)</f>
        <v>15653.02</v>
      </c>
      <c r="M13" s="74">
        <f>(K13+L13)</f>
        <v>90191.2</v>
      </c>
      <c r="N13" s="50"/>
      <c r="O13" s="52"/>
      <c r="P13" s="121">
        <f>+P14+P23+P31</f>
        <v>0</v>
      </c>
      <c r="Q13" s="82">
        <f>+Q14+Q23+Q31</f>
        <v>0</v>
      </c>
      <c r="R13" s="74">
        <f>(P13+Q13)</f>
        <v>0</v>
      </c>
    </row>
    <row r="14" spans="1:18" s="2" customFormat="1" x14ac:dyDescent="0.2">
      <c r="A14" s="267"/>
      <c r="B14" s="107" t="s">
        <v>52</v>
      </c>
      <c r="C14" s="99">
        <f>+C15+C20</f>
        <v>10714</v>
      </c>
      <c r="D14" s="26"/>
      <c r="E14" s="17"/>
      <c r="F14" s="17"/>
      <c r="G14" s="27"/>
      <c r="H14" s="75">
        <f>+H15+H20</f>
        <v>24299.239999999998</v>
      </c>
      <c r="I14" s="76">
        <f>+I15+I20</f>
        <v>5102.8404</v>
      </c>
      <c r="J14" s="77">
        <f>+J15+J20</f>
        <v>29402.080399999999</v>
      </c>
      <c r="K14" s="75">
        <f>+K15+K20</f>
        <v>48598.479999999996</v>
      </c>
      <c r="L14" s="76">
        <f t="shared" ref="L14:L37" si="0">ROUND(K14*21%,2)</f>
        <v>10205.68</v>
      </c>
      <c r="M14" s="77">
        <f>+M15+M20</f>
        <v>58804.160000000003</v>
      </c>
      <c r="N14" s="26"/>
      <c r="O14" s="27"/>
      <c r="P14" s="122">
        <f>+P15+P20</f>
        <v>0</v>
      </c>
      <c r="Q14" s="76">
        <f>+Q15+Q20</f>
        <v>0</v>
      </c>
      <c r="R14" s="77">
        <f>+R15+R20</f>
        <v>0</v>
      </c>
    </row>
    <row r="15" spans="1:18" s="10" customFormat="1" ht="13.5" thickBot="1" x14ac:dyDescent="0.25">
      <c r="A15" s="267"/>
      <c r="B15" s="108" t="s">
        <v>53</v>
      </c>
      <c r="C15" s="100">
        <f>+SUM(C16:C19)</f>
        <v>5349</v>
      </c>
      <c r="D15" s="106"/>
      <c r="E15" s="16"/>
      <c r="F15" s="16"/>
      <c r="G15" s="29"/>
      <c r="H15" s="78">
        <f>+SUM(H16:H19)</f>
        <v>6261.74</v>
      </c>
      <c r="I15" s="79">
        <f>+SUM(I16:I19)</f>
        <v>1314.9654</v>
      </c>
      <c r="J15" s="80">
        <f>+SUM(J16:J19)</f>
        <v>7576.7054000000007</v>
      </c>
      <c r="K15" s="78">
        <f>+SUM(K16:K19)</f>
        <v>12523.48</v>
      </c>
      <c r="L15" s="79">
        <f t="shared" si="0"/>
        <v>2629.93</v>
      </c>
      <c r="M15" s="80">
        <f>+SUM(M16:M19)</f>
        <v>15153.410000000002</v>
      </c>
      <c r="N15" s="224"/>
      <c r="O15" s="29"/>
      <c r="P15" s="123">
        <f>+SUM(P16:P19)</f>
        <v>0</v>
      </c>
      <c r="Q15" s="79">
        <f>+SUM(Q16:Q19)</f>
        <v>0</v>
      </c>
      <c r="R15" s="80">
        <f>+SUM(R16:R19)</f>
        <v>0</v>
      </c>
    </row>
    <row r="16" spans="1:18" x14ac:dyDescent="0.2">
      <c r="A16" s="267"/>
      <c r="B16" s="88" t="s">
        <v>54</v>
      </c>
      <c r="C16" s="191">
        <v>659</v>
      </c>
      <c r="D16" s="192">
        <f>4.5</f>
        <v>4.5</v>
      </c>
      <c r="E16" s="193">
        <v>21</v>
      </c>
      <c r="F16" s="12">
        <f>(D16*E16)/100</f>
        <v>0.94499999999999995</v>
      </c>
      <c r="G16" s="194">
        <f>+F16+D16</f>
        <v>5.4450000000000003</v>
      </c>
      <c r="H16" s="192">
        <f>D16*C16</f>
        <v>2965.5</v>
      </c>
      <c r="I16" s="195">
        <f>(H16*E16)/100</f>
        <v>622.755</v>
      </c>
      <c r="J16" s="196">
        <f>(H16+I16)</f>
        <v>3588.2550000000001</v>
      </c>
      <c r="K16" s="192">
        <f>ROUND(H16/12*$C$7,2)</f>
        <v>5931</v>
      </c>
      <c r="L16" s="195">
        <f t="shared" si="0"/>
        <v>1245.51</v>
      </c>
      <c r="M16" s="196">
        <f>(K16+L16)</f>
        <v>7176.51</v>
      </c>
      <c r="N16" s="225"/>
      <c r="O16" s="223">
        <v>21</v>
      </c>
      <c r="P16" s="192">
        <f>ROUND(C16*N16*2,2)</f>
        <v>0</v>
      </c>
      <c r="Q16" s="195">
        <f t="shared" ref="Q16:Q37" si="1">ROUND(P16*O16/100,2)</f>
        <v>0</v>
      </c>
      <c r="R16" s="196">
        <f>(P16+Q16)</f>
        <v>0</v>
      </c>
    </row>
    <row r="17" spans="1:18" x14ac:dyDescent="0.2">
      <c r="A17" s="267"/>
      <c r="B17" s="88" t="s">
        <v>55</v>
      </c>
      <c r="C17" s="191">
        <v>4136</v>
      </c>
      <c r="D17" s="192">
        <v>0.75</v>
      </c>
      <c r="E17" s="193">
        <v>21</v>
      </c>
      <c r="F17" s="12">
        <f>(D17*E17)/100</f>
        <v>0.1575</v>
      </c>
      <c r="G17" s="194">
        <f>+F17+D17</f>
        <v>0.90749999999999997</v>
      </c>
      <c r="H17" s="192">
        <f>D17*C17</f>
        <v>3102</v>
      </c>
      <c r="I17" s="195">
        <f>(H17*E17)/100</f>
        <v>651.41999999999996</v>
      </c>
      <c r="J17" s="196">
        <f>(H17+I17)</f>
        <v>3753.42</v>
      </c>
      <c r="K17" s="192">
        <f t="shared" ref="K17:K19" si="2">ROUND(H17/12*$C$7,2)</f>
        <v>6204</v>
      </c>
      <c r="L17" s="195">
        <f t="shared" si="0"/>
        <v>1302.8399999999999</v>
      </c>
      <c r="M17" s="196">
        <f>(K17+L17)</f>
        <v>7506.84</v>
      </c>
      <c r="N17" s="226"/>
      <c r="O17" s="223">
        <v>21</v>
      </c>
      <c r="P17" s="192">
        <f t="shared" ref="P17:P19" si="3">ROUND(C17*N17*2,2)</f>
        <v>0</v>
      </c>
      <c r="Q17" s="195">
        <f t="shared" si="1"/>
        <v>0</v>
      </c>
      <c r="R17" s="196">
        <f>(P17+Q17)</f>
        <v>0</v>
      </c>
    </row>
    <row r="18" spans="1:18" x14ac:dyDescent="0.2">
      <c r="A18" s="267"/>
      <c r="B18" s="88" t="s">
        <v>56</v>
      </c>
      <c r="C18" s="191">
        <v>520</v>
      </c>
      <c r="D18" s="192">
        <v>0.35</v>
      </c>
      <c r="E18" s="193">
        <v>21</v>
      </c>
      <c r="F18" s="12">
        <f>(D18*E18)/100</f>
        <v>7.3499999999999996E-2</v>
      </c>
      <c r="G18" s="194">
        <f>+F18+D18</f>
        <v>0.42349999999999999</v>
      </c>
      <c r="H18" s="192">
        <f>D18*C18</f>
        <v>182</v>
      </c>
      <c r="I18" s="195">
        <f>(H18*E18)/100</f>
        <v>38.22</v>
      </c>
      <c r="J18" s="196">
        <f>(H18+I18)</f>
        <v>220.22</v>
      </c>
      <c r="K18" s="192">
        <f t="shared" si="2"/>
        <v>364</v>
      </c>
      <c r="L18" s="195">
        <f t="shared" si="0"/>
        <v>76.44</v>
      </c>
      <c r="M18" s="196">
        <f>(K18+L18)</f>
        <v>440.44</v>
      </c>
      <c r="N18" s="226"/>
      <c r="O18" s="223">
        <v>21</v>
      </c>
      <c r="P18" s="192">
        <f t="shared" si="3"/>
        <v>0</v>
      </c>
      <c r="Q18" s="195">
        <f t="shared" si="1"/>
        <v>0</v>
      </c>
      <c r="R18" s="196">
        <f>(P18+Q18)</f>
        <v>0</v>
      </c>
    </row>
    <row r="19" spans="1:18" ht="13.5" thickBot="1" x14ac:dyDescent="0.25">
      <c r="A19" s="267"/>
      <c r="B19" s="88" t="s">
        <v>57</v>
      </c>
      <c r="C19" s="191">
        <v>34</v>
      </c>
      <c r="D19" s="192">
        <v>0.36</v>
      </c>
      <c r="E19" s="193">
        <v>21</v>
      </c>
      <c r="F19" s="12">
        <f>(D19*E19)/100</f>
        <v>7.5600000000000001E-2</v>
      </c>
      <c r="G19" s="194">
        <f>+F19+D19</f>
        <v>0.43559999999999999</v>
      </c>
      <c r="H19" s="192">
        <f>D19*C19</f>
        <v>12.24</v>
      </c>
      <c r="I19" s="195">
        <f>(H19*E19)/100</f>
        <v>2.5704000000000002</v>
      </c>
      <c r="J19" s="196">
        <f>(H19+I19)</f>
        <v>14.810400000000001</v>
      </c>
      <c r="K19" s="192">
        <f t="shared" si="2"/>
        <v>24.48</v>
      </c>
      <c r="L19" s="195">
        <f t="shared" si="0"/>
        <v>5.14</v>
      </c>
      <c r="M19" s="196">
        <f>(K19+L19)</f>
        <v>29.62</v>
      </c>
      <c r="N19" s="227"/>
      <c r="O19" s="223">
        <v>21</v>
      </c>
      <c r="P19" s="192">
        <f t="shared" si="3"/>
        <v>0</v>
      </c>
      <c r="Q19" s="195">
        <f t="shared" ref="Q19" si="4">ROUND(P19*O19/100,2)</f>
        <v>0</v>
      </c>
      <c r="R19" s="196">
        <f>(P19+Q19)</f>
        <v>0</v>
      </c>
    </row>
    <row r="20" spans="1:18" s="10" customFormat="1" ht="13.5" thickBot="1" x14ac:dyDescent="0.25">
      <c r="A20" s="267"/>
      <c r="B20" s="19" t="s">
        <v>58</v>
      </c>
      <c r="C20" s="100">
        <f>+SUM(C21:C22)</f>
        <v>5365</v>
      </c>
      <c r="D20" s="106"/>
      <c r="E20" s="16"/>
      <c r="F20" s="20"/>
      <c r="G20" s="30"/>
      <c r="H20" s="78">
        <f t="shared" ref="H20:J20" si="5">+SUM(H21:H22)</f>
        <v>18037.5</v>
      </c>
      <c r="I20" s="79">
        <f t="shared" si="5"/>
        <v>3787.875</v>
      </c>
      <c r="J20" s="80">
        <f t="shared" si="5"/>
        <v>21825.375</v>
      </c>
      <c r="K20" s="78">
        <f t="shared" ref="K20:M20" si="6">+SUM(K21:K22)</f>
        <v>36075</v>
      </c>
      <c r="L20" s="79">
        <f t="shared" si="0"/>
        <v>7575.75</v>
      </c>
      <c r="M20" s="80">
        <f t="shared" si="6"/>
        <v>43650.75</v>
      </c>
      <c r="N20" s="228"/>
      <c r="O20" s="29"/>
      <c r="P20" s="123">
        <f t="shared" ref="P20:Q20" si="7">+SUM(P21:P22)</f>
        <v>0</v>
      </c>
      <c r="Q20" s="79">
        <f t="shared" si="7"/>
        <v>0</v>
      </c>
      <c r="R20" s="80">
        <f t="shared" ref="R20" si="8">+SUM(R21:R22)</f>
        <v>0</v>
      </c>
    </row>
    <row r="21" spans="1:18" x14ac:dyDescent="0.2">
      <c r="A21" s="267"/>
      <c r="B21" s="88" t="s">
        <v>59</v>
      </c>
      <c r="C21" s="191">
        <v>740</v>
      </c>
      <c r="D21" s="192">
        <v>19.5</v>
      </c>
      <c r="E21" s="193">
        <v>21</v>
      </c>
      <c r="F21" s="12">
        <f>(D21*E21)/100</f>
        <v>4.0949999999999998</v>
      </c>
      <c r="G21" s="194">
        <f>+F21+D21</f>
        <v>23.594999999999999</v>
      </c>
      <c r="H21" s="192">
        <f>D21*C21</f>
        <v>14430</v>
      </c>
      <c r="I21" s="195">
        <f>(H21*E21)/100</f>
        <v>3030.3</v>
      </c>
      <c r="J21" s="196">
        <f>(H21+I21)</f>
        <v>17460.3</v>
      </c>
      <c r="K21" s="192">
        <f t="shared" ref="K21:K22" si="9">ROUND(H21/12*$C$7,2)</f>
        <v>28860</v>
      </c>
      <c r="L21" s="195">
        <f t="shared" si="0"/>
        <v>6060.6</v>
      </c>
      <c r="M21" s="196">
        <f>(K21+L21)</f>
        <v>34920.6</v>
      </c>
      <c r="N21" s="225"/>
      <c r="O21" s="223">
        <v>21</v>
      </c>
      <c r="P21" s="192">
        <f t="shared" ref="P21:P22" si="10">ROUND(C21*N21*2,2)</f>
        <v>0</v>
      </c>
      <c r="Q21" s="195">
        <f t="shared" si="1"/>
        <v>0</v>
      </c>
      <c r="R21" s="196">
        <f>(P21+Q21)</f>
        <v>0</v>
      </c>
    </row>
    <row r="22" spans="1:18" ht="13.5" thickBot="1" x14ac:dyDescent="0.25">
      <c r="A22" s="267"/>
      <c r="B22" s="88" t="s">
        <v>55</v>
      </c>
      <c r="C22" s="191">
        <v>4625</v>
      </c>
      <c r="D22" s="192">
        <v>0.78</v>
      </c>
      <c r="E22" s="193">
        <v>21</v>
      </c>
      <c r="F22" s="12">
        <f>(D22*E22)/100</f>
        <v>0.1638</v>
      </c>
      <c r="G22" s="194">
        <f>+F22+D22</f>
        <v>0.94379999999999997</v>
      </c>
      <c r="H22" s="192">
        <f>D22*C22</f>
        <v>3607.5</v>
      </c>
      <c r="I22" s="195">
        <f>(H22*E22)/100</f>
        <v>757.57500000000005</v>
      </c>
      <c r="J22" s="196">
        <f>(H22+I22)</f>
        <v>4365.0749999999998</v>
      </c>
      <c r="K22" s="192">
        <f t="shared" si="9"/>
        <v>7215</v>
      </c>
      <c r="L22" s="195">
        <f t="shared" si="0"/>
        <v>1515.15</v>
      </c>
      <c r="M22" s="196">
        <f>(K22+L22)</f>
        <v>8730.15</v>
      </c>
      <c r="N22" s="227"/>
      <c r="O22" s="223">
        <v>21</v>
      </c>
      <c r="P22" s="192">
        <f t="shared" si="10"/>
        <v>0</v>
      </c>
      <c r="Q22" s="195">
        <f t="shared" si="1"/>
        <v>0</v>
      </c>
      <c r="R22" s="196">
        <f>(P22+Q22)</f>
        <v>0</v>
      </c>
    </row>
    <row r="23" spans="1:18" s="2" customFormat="1" ht="13.5" thickBot="1" x14ac:dyDescent="0.25">
      <c r="A23" s="267"/>
      <c r="B23" s="18" t="s">
        <v>60</v>
      </c>
      <c r="C23" s="99">
        <f>+SUM(C24:C30)</f>
        <v>2630</v>
      </c>
      <c r="D23" s="26"/>
      <c r="E23" s="17"/>
      <c r="F23" s="17"/>
      <c r="G23" s="27"/>
      <c r="H23" s="75">
        <f>+SUM(H24:H30)</f>
        <v>11001.85</v>
      </c>
      <c r="I23" s="76">
        <f>+SUM(I24:I30)</f>
        <v>2310.3884999999996</v>
      </c>
      <c r="J23" s="77">
        <f>+SUM(J24:J30)</f>
        <v>13312.238499999999</v>
      </c>
      <c r="K23" s="75">
        <f>+SUM(K24:K30)</f>
        <v>22003.7</v>
      </c>
      <c r="L23" s="76">
        <f t="shared" si="0"/>
        <v>4620.78</v>
      </c>
      <c r="M23" s="77">
        <f>+SUM(M24:M30)</f>
        <v>26624.479999999996</v>
      </c>
      <c r="N23" s="229"/>
      <c r="O23" s="27"/>
      <c r="P23" s="122">
        <f>+SUM(P24:P30)</f>
        <v>0</v>
      </c>
      <c r="Q23" s="76">
        <f>+SUM(Q24:Q30)</f>
        <v>0</v>
      </c>
      <c r="R23" s="77">
        <f>+SUM(R24:R30)</f>
        <v>0</v>
      </c>
    </row>
    <row r="24" spans="1:18" x14ac:dyDescent="0.2">
      <c r="A24" s="267"/>
      <c r="B24" s="89" t="s">
        <v>61</v>
      </c>
      <c r="C24" s="191">
        <f>380+100</f>
        <v>480</v>
      </c>
      <c r="D24" s="192">
        <v>14.5</v>
      </c>
      <c r="E24" s="193">
        <v>21</v>
      </c>
      <c r="F24" s="12">
        <f t="shared" ref="F24:F30" si="11">(D24*E24)/100</f>
        <v>3.0449999999999999</v>
      </c>
      <c r="G24" s="194">
        <f t="shared" ref="G24:G30" si="12">+F24+D24</f>
        <v>17.545000000000002</v>
      </c>
      <c r="H24" s="192">
        <f t="shared" ref="H24:H30" si="13">D24*C24</f>
        <v>6960</v>
      </c>
      <c r="I24" s="195">
        <f t="shared" ref="I24:I30" si="14">(H24*E24)/100</f>
        <v>1461.6</v>
      </c>
      <c r="J24" s="196">
        <f t="shared" ref="J24:J30" si="15">(H24+I24)</f>
        <v>8421.6</v>
      </c>
      <c r="K24" s="192">
        <f t="shared" ref="K24:K30" si="16">ROUND(H24/12*$C$7,2)</f>
        <v>13920</v>
      </c>
      <c r="L24" s="195">
        <f t="shared" si="0"/>
        <v>2923.2</v>
      </c>
      <c r="M24" s="196">
        <f t="shared" ref="M24:M30" si="17">(K24+L24)</f>
        <v>16843.2</v>
      </c>
      <c r="N24" s="225"/>
      <c r="O24" s="223">
        <v>21</v>
      </c>
      <c r="P24" s="192">
        <f t="shared" ref="P24:P30" si="18">ROUND(C24*N24*2,2)</f>
        <v>0</v>
      </c>
      <c r="Q24" s="195">
        <f t="shared" si="1"/>
        <v>0</v>
      </c>
      <c r="R24" s="196">
        <f t="shared" ref="R24:R30" si="19">(P24+Q24)</f>
        <v>0</v>
      </c>
    </row>
    <row r="25" spans="1:18" x14ac:dyDescent="0.2">
      <c r="A25" s="267"/>
      <c r="B25" s="89" t="s">
        <v>62</v>
      </c>
      <c r="C25" s="191">
        <f>1369+300</f>
        <v>1669</v>
      </c>
      <c r="D25" s="192">
        <v>0.9</v>
      </c>
      <c r="E25" s="193">
        <v>21</v>
      </c>
      <c r="F25" s="12">
        <f t="shared" si="11"/>
        <v>0.18900000000000003</v>
      </c>
      <c r="G25" s="194">
        <f t="shared" si="12"/>
        <v>1.089</v>
      </c>
      <c r="H25" s="192">
        <f t="shared" si="13"/>
        <v>1502.1000000000001</v>
      </c>
      <c r="I25" s="195">
        <f t="shared" si="14"/>
        <v>315.44100000000003</v>
      </c>
      <c r="J25" s="196">
        <f t="shared" si="15"/>
        <v>1817.5410000000002</v>
      </c>
      <c r="K25" s="192">
        <f t="shared" si="16"/>
        <v>3004.2</v>
      </c>
      <c r="L25" s="195">
        <f t="shared" si="0"/>
        <v>630.88</v>
      </c>
      <c r="M25" s="196">
        <f t="shared" si="17"/>
        <v>3635.08</v>
      </c>
      <c r="N25" s="226"/>
      <c r="O25" s="223">
        <v>21</v>
      </c>
      <c r="P25" s="192">
        <f t="shared" si="18"/>
        <v>0</v>
      </c>
      <c r="Q25" s="195">
        <f t="shared" si="1"/>
        <v>0</v>
      </c>
      <c r="R25" s="196">
        <f t="shared" si="19"/>
        <v>0</v>
      </c>
    </row>
    <row r="26" spans="1:18" x14ac:dyDescent="0.2">
      <c r="A26" s="267"/>
      <c r="B26" s="89" t="s">
        <v>63</v>
      </c>
      <c r="C26" s="191">
        <v>235</v>
      </c>
      <c r="D26" s="192">
        <v>8.4700000000000006</v>
      </c>
      <c r="E26" s="193">
        <v>21</v>
      </c>
      <c r="F26" s="12">
        <f t="shared" si="11"/>
        <v>1.7786999999999999</v>
      </c>
      <c r="G26" s="194">
        <f t="shared" si="12"/>
        <v>10.248700000000001</v>
      </c>
      <c r="H26" s="192">
        <f t="shared" si="13"/>
        <v>1990.45</v>
      </c>
      <c r="I26" s="195">
        <f t="shared" si="14"/>
        <v>417.99450000000002</v>
      </c>
      <c r="J26" s="196">
        <f t="shared" si="15"/>
        <v>2408.4445000000001</v>
      </c>
      <c r="K26" s="192">
        <f t="shared" si="16"/>
        <v>3980.9</v>
      </c>
      <c r="L26" s="195">
        <f t="shared" si="0"/>
        <v>835.99</v>
      </c>
      <c r="M26" s="196">
        <f t="shared" si="17"/>
        <v>4816.8900000000003</v>
      </c>
      <c r="N26" s="226"/>
      <c r="O26" s="223">
        <v>21</v>
      </c>
      <c r="P26" s="192">
        <f t="shared" si="18"/>
        <v>0</v>
      </c>
      <c r="Q26" s="195">
        <f t="shared" si="1"/>
        <v>0</v>
      </c>
      <c r="R26" s="196">
        <f t="shared" si="19"/>
        <v>0</v>
      </c>
    </row>
    <row r="27" spans="1:18" x14ac:dyDescent="0.2">
      <c r="A27" s="267"/>
      <c r="B27" s="89" t="s">
        <v>64</v>
      </c>
      <c r="C27" s="191">
        <v>128</v>
      </c>
      <c r="D27" s="192">
        <v>0.75</v>
      </c>
      <c r="E27" s="193">
        <v>21</v>
      </c>
      <c r="F27" s="12">
        <f t="shared" si="11"/>
        <v>0.1575</v>
      </c>
      <c r="G27" s="194">
        <f t="shared" si="12"/>
        <v>0.90749999999999997</v>
      </c>
      <c r="H27" s="192">
        <f t="shared" si="13"/>
        <v>96</v>
      </c>
      <c r="I27" s="195">
        <f t="shared" si="14"/>
        <v>20.16</v>
      </c>
      <c r="J27" s="196">
        <f t="shared" si="15"/>
        <v>116.16</v>
      </c>
      <c r="K27" s="192">
        <f t="shared" si="16"/>
        <v>192</v>
      </c>
      <c r="L27" s="195">
        <f t="shared" si="0"/>
        <v>40.32</v>
      </c>
      <c r="M27" s="196">
        <f t="shared" si="17"/>
        <v>232.32</v>
      </c>
      <c r="N27" s="226"/>
      <c r="O27" s="223">
        <v>21</v>
      </c>
      <c r="P27" s="192">
        <f t="shared" si="18"/>
        <v>0</v>
      </c>
      <c r="Q27" s="195">
        <f t="shared" si="1"/>
        <v>0</v>
      </c>
      <c r="R27" s="196">
        <f t="shared" si="19"/>
        <v>0</v>
      </c>
    </row>
    <row r="28" spans="1:18" x14ac:dyDescent="0.2">
      <c r="A28" s="267"/>
      <c r="B28" s="89" t="s">
        <v>65</v>
      </c>
      <c r="C28" s="191">
        <v>2</v>
      </c>
      <c r="D28" s="192">
        <v>23.75</v>
      </c>
      <c r="E28" s="193">
        <v>21</v>
      </c>
      <c r="F28" s="12">
        <f t="shared" si="11"/>
        <v>4.9874999999999998</v>
      </c>
      <c r="G28" s="194">
        <f t="shared" si="12"/>
        <v>28.737500000000001</v>
      </c>
      <c r="H28" s="192">
        <f t="shared" si="13"/>
        <v>47.5</v>
      </c>
      <c r="I28" s="195">
        <f t="shared" si="14"/>
        <v>9.9749999999999996</v>
      </c>
      <c r="J28" s="196">
        <f t="shared" si="15"/>
        <v>57.475000000000001</v>
      </c>
      <c r="K28" s="192">
        <f t="shared" si="16"/>
        <v>95</v>
      </c>
      <c r="L28" s="195">
        <f t="shared" si="0"/>
        <v>19.95</v>
      </c>
      <c r="M28" s="196">
        <f t="shared" si="17"/>
        <v>114.95</v>
      </c>
      <c r="N28" s="226"/>
      <c r="O28" s="223">
        <v>21</v>
      </c>
      <c r="P28" s="192">
        <f t="shared" si="18"/>
        <v>0</v>
      </c>
      <c r="Q28" s="195">
        <f t="shared" si="1"/>
        <v>0</v>
      </c>
      <c r="R28" s="196">
        <f t="shared" si="19"/>
        <v>0</v>
      </c>
    </row>
    <row r="29" spans="1:18" x14ac:dyDescent="0.2">
      <c r="A29" s="267"/>
      <c r="B29" s="89" t="s">
        <v>66</v>
      </c>
      <c r="C29" s="191">
        <v>16</v>
      </c>
      <c r="D29" s="192">
        <v>2.8</v>
      </c>
      <c r="E29" s="193">
        <v>21</v>
      </c>
      <c r="F29" s="12">
        <f t="shared" si="11"/>
        <v>0.58799999999999997</v>
      </c>
      <c r="G29" s="194">
        <f t="shared" si="12"/>
        <v>3.3879999999999999</v>
      </c>
      <c r="H29" s="192">
        <f t="shared" si="13"/>
        <v>44.8</v>
      </c>
      <c r="I29" s="195">
        <f t="shared" si="14"/>
        <v>9.4079999999999995</v>
      </c>
      <c r="J29" s="196">
        <f t="shared" si="15"/>
        <v>54.207999999999998</v>
      </c>
      <c r="K29" s="192">
        <f t="shared" si="16"/>
        <v>89.6</v>
      </c>
      <c r="L29" s="195">
        <f t="shared" si="0"/>
        <v>18.82</v>
      </c>
      <c r="M29" s="196">
        <f t="shared" si="17"/>
        <v>108.41999999999999</v>
      </c>
      <c r="N29" s="226"/>
      <c r="O29" s="223">
        <v>21</v>
      </c>
      <c r="P29" s="192">
        <f t="shared" si="18"/>
        <v>0</v>
      </c>
      <c r="Q29" s="195">
        <f t="shared" si="1"/>
        <v>0</v>
      </c>
      <c r="R29" s="196">
        <f t="shared" si="19"/>
        <v>0</v>
      </c>
    </row>
    <row r="30" spans="1:18" ht="13.5" thickBot="1" x14ac:dyDescent="0.25">
      <c r="A30" s="267"/>
      <c r="B30" s="89" t="s">
        <v>67</v>
      </c>
      <c r="C30" s="191">
        <v>100</v>
      </c>
      <c r="D30" s="192">
        <v>3.61</v>
      </c>
      <c r="E30" s="193">
        <v>21</v>
      </c>
      <c r="F30" s="12">
        <f t="shared" si="11"/>
        <v>0.7581</v>
      </c>
      <c r="G30" s="194">
        <f t="shared" si="12"/>
        <v>4.3681000000000001</v>
      </c>
      <c r="H30" s="192">
        <f t="shared" si="13"/>
        <v>361</v>
      </c>
      <c r="I30" s="195">
        <f t="shared" si="14"/>
        <v>75.81</v>
      </c>
      <c r="J30" s="196">
        <f t="shared" si="15"/>
        <v>436.81</v>
      </c>
      <c r="K30" s="192">
        <f t="shared" si="16"/>
        <v>722</v>
      </c>
      <c r="L30" s="195">
        <f t="shared" si="0"/>
        <v>151.62</v>
      </c>
      <c r="M30" s="196">
        <f t="shared" si="17"/>
        <v>873.62</v>
      </c>
      <c r="N30" s="227"/>
      <c r="O30" s="223">
        <v>21</v>
      </c>
      <c r="P30" s="192">
        <f t="shared" si="18"/>
        <v>0</v>
      </c>
      <c r="Q30" s="195">
        <f t="shared" si="1"/>
        <v>0</v>
      </c>
      <c r="R30" s="196">
        <f t="shared" si="19"/>
        <v>0</v>
      </c>
    </row>
    <row r="31" spans="1:18" s="2" customFormat="1" ht="13.5" thickBot="1" x14ac:dyDescent="0.25">
      <c r="A31" s="267"/>
      <c r="B31" s="18" t="s">
        <v>68</v>
      </c>
      <c r="C31" s="99">
        <f>SUM(C32:C34)</f>
        <v>66</v>
      </c>
      <c r="D31" s="26"/>
      <c r="E31" s="17"/>
      <c r="F31" s="17"/>
      <c r="G31" s="27"/>
      <c r="H31" s="75">
        <f>SUM(H32:H34)</f>
        <v>1968</v>
      </c>
      <c r="I31" s="76">
        <f>SUM(I32:I34)</f>
        <v>413.28</v>
      </c>
      <c r="J31" s="77">
        <f>SUM(J32:J34)</f>
        <v>2381.2800000000002</v>
      </c>
      <c r="K31" s="75">
        <f>SUM(K32:K34)</f>
        <v>3936</v>
      </c>
      <c r="L31" s="76">
        <f t="shared" si="0"/>
        <v>826.56</v>
      </c>
      <c r="M31" s="77">
        <f>SUM(M32:M34)</f>
        <v>4762.5600000000004</v>
      </c>
      <c r="N31" s="229"/>
      <c r="O31" s="27"/>
      <c r="P31" s="122">
        <f>SUM(P32:P34)</f>
        <v>0</v>
      </c>
      <c r="Q31" s="76">
        <f>SUM(Q32:Q34)</f>
        <v>0</v>
      </c>
      <c r="R31" s="77">
        <f>SUM(R32:R34)</f>
        <v>0</v>
      </c>
    </row>
    <row r="32" spans="1:18" ht="25.5" x14ac:dyDescent="0.2">
      <c r="A32" s="267"/>
      <c r="B32" s="88" t="s">
        <v>69</v>
      </c>
      <c r="C32" s="191">
        <v>60</v>
      </c>
      <c r="D32" s="192">
        <v>25</v>
      </c>
      <c r="E32" s="193">
        <v>21</v>
      </c>
      <c r="F32" s="12">
        <f>(D32*E32)/100</f>
        <v>5.25</v>
      </c>
      <c r="G32" s="194">
        <f>+F32+D32</f>
        <v>30.25</v>
      </c>
      <c r="H32" s="192">
        <f>D32*C32</f>
        <v>1500</v>
      </c>
      <c r="I32" s="195">
        <f>(H32*E32)/100</f>
        <v>315</v>
      </c>
      <c r="J32" s="196">
        <f>(H32+I32)</f>
        <v>1815</v>
      </c>
      <c r="K32" s="192">
        <f t="shared" ref="K32:K34" si="20">ROUND(H32/12*$C$7,2)</f>
        <v>3000</v>
      </c>
      <c r="L32" s="195">
        <f t="shared" si="0"/>
        <v>630</v>
      </c>
      <c r="M32" s="196">
        <f>(K32+L32)</f>
        <v>3630</v>
      </c>
      <c r="N32" s="225"/>
      <c r="O32" s="223">
        <v>21</v>
      </c>
      <c r="P32" s="192">
        <f t="shared" ref="P32:P34" si="21">ROUND(C32*N32*2,2)</f>
        <v>0</v>
      </c>
      <c r="Q32" s="195">
        <f t="shared" si="1"/>
        <v>0</v>
      </c>
      <c r="R32" s="196">
        <f>(P32+Q32)</f>
        <v>0</v>
      </c>
    </row>
    <row r="33" spans="1:18" x14ac:dyDescent="0.2">
      <c r="A33" s="267"/>
      <c r="B33" s="97" t="s">
        <v>70</v>
      </c>
      <c r="C33" s="191">
        <v>3</v>
      </c>
      <c r="D33" s="192">
        <v>40</v>
      </c>
      <c r="E33" s="193">
        <v>21</v>
      </c>
      <c r="F33" s="12">
        <f>(D33*E33)/100</f>
        <v>8.4</v>
      </c>
      <c r="G33" s="194">
        <f>+F33+D33</f>
        <v>48.4</v>
      </c>
      <c r="H33" s="192">
        <f t="shared" ref="H33:H34" si="22">D33*C33</f>
        <v>120</v>
      </c>
      <c r="I33" s="195">
        <f t="shared" ref="I33:I34" si="23">(H33*E33)/100</f>
        <v>25.2</v>
      </c>
      <c r="J33" s="196">
        <f t="shared" ref="J33:J34" si="24">(H33+I33)</f>
        <v>145.19999999999999</v>
      </c>
      <c r="K33" s="192">
        <f t="shared" si="20"/>
        <v>240</v>
      </c>
      <c r="L33" s="195">
        <f t="shared" si="0"/>
        <v>50.4</v>
      </c>
      <c r="M33" s="196">
        <f t="shared" ref="M33:M34" si="25">(K33+L33)</f>
        <v>290.39999999999998</v>
      </c>
      <c r="N33" s="226"/>
      <c r="O33" s="223">
        <v>21</v>
      </c>
      <c r="P33" s="192">
        <f t="shared" si="21"/>
        <v>0</v>
      </c>
      <c r="Q33" s="195">
        <f t="shared" si="1"/>
        <v>0</v>
      </c>
      <c r="R33" s="196">
        <f t="shared" ref="R33:R34" si="26">(P33+Q33)</f>
        <v>0</v>
      </c>
    </row>
    <row r="34" spans="1:18" ht="13.5" thickBot="1" x14ac:dyDescent="0.25">
      <c r="A34" s="267"/>
      <c r="B34" s="88" t="s">
        <v>71</v>
      </c>
      <c r="C34" s="191">
        <v>3</v>
      </c>
      <c r="D34" s="192">
        <v>116</v>
      </c>
      <c r="E34" s="193">
        <v>21</v>
      </c>
      <c r="F34" s="12">
        <f>(D34*E34)/100</f>
        <v>24.36</v>
      </c>
      <c r="G34" s="194">
        <f>+F34+D34</f>
        <v>140.36000000000001</v>
      </c>
      <c r="H34" s="192">
        <f t="shared" si="22"/>
        <v>348</v>
      </c>
      <c r="I34" s="195">
        <f t="shared" si="23"/>
        <v>73.08</v>
      </c>
      <c r="J34" s="196">
        <f t="shared" si="24"/>
        <v>421.08</v>
      </c>
      <c r="K34" s="192">
        <f t="shared" si="20"/>
        <v>696</v>
      </c>
      <c r="L34" s="195">
        <f t="shared" si="0"/>
        <v>146.16</v>
      </c>
      <c r="M34" s="196">
        <f t="shared" si="25"/>
        <v>842.16</v>
      </c>
      <c r="N34" s="227"/>
      <c r="O34" s="223">
        <v>21</v>
      </c>
      <c r="P34" s="192">
        <f t="shared" si="21"/>
        <v>0</v>
      </c>
      <c r="Q34" s="195">
        <f t="shared" si="1"/>
        <v>0</v>
      </c>
      <c r="R34" s="196">
        <f t="shared" si="26"/>
        <v>0</v>
      </c>
    </row>
    <row r="35" spans="1:18" s="2" customFormat="1" ht="13.5" thickBot="1" x14ac:dyDescent="0.25">
      <c r="A35" s="267"/>
      <c r="B35" s="41" t="s">
        <v>72</v>
      </c>
      <c r="C35" s="101"/>
      <c r="D35" s="81"/>
      <c r="E35" s="44"/>
      <c r="F35" s="44"/>
      <c r="G35" s="45"/>
      <c r="H35" s="81">
        <f>+SUM(H36:H36)</f>
        <v>34848</v>
      </c>
      <c r="I35" s="82">
        <f>+SUM(I36:I36)</f>
        <v>7318.08</v>
      </c>
      <c r="J35" s="83">
        <f>+SUM(J36:J36)</f>
        <v>42166.080000000002</v>
      </c>
      <c r="K35" s="81">
        <f>+SUM(K36:K36)</f>
        <v>69696</v>
      </c>
      <c r="L35" s="82">
        <f t="shared" si="0"/>
        <v>14636.16</v>
      </c>
      <c r="M35" s="83">
        <f>+SUM(M36:M36)</f>
        <v>84332.160000000003</v>
      </c>
      <c r="N35" s="230"/>
      <c r="O35" s="45"/>
      <c r="P35" s="124">
        <f>+SUM(P36:P36)</f>
        <v>0</v>
      </c>
      <c r="Q35" s="82">
        <f>+SUM(Q36:Q36)</f>
        <v>0</v>
      </c>
      <c r="R35" s="83">
        <f>+SUM(R36:R36)</f>
        <v>0</v>
      </c>
    </row>
    <row r="36" spans="1:18" ht="13.5" thickBot="1" x14ac:dyDescent="0.25">
      <c r="A36" s="267"/>
      <c r="B36" s="88" t="s">
        <v>73</v>
      </c>
      <c r="C36" s="191"/>
      <c r="D36" s="192">
        <v>2904</v>
      </c>
      <c r="E36" s="193">
        <v>21</v>
      </c>
      <c r="F36" s="12">
        <f>(D36*E36)/100</f>
        <v>609.84</v>
      </c>
      <c r="G36" s="194">
        <f>+F36+D36</f>
        <v>3513.84</v>
      </c>
      <c r="H36" s="192">
        <f>D36*12</f>
        <v>34848</v>
      </c>
      <c r="I36" s="195">
        <f>(H36*E36)/100</f>
        <v>7318.08</v>
      </c>
      <c r="J36" s="196">
        <f>(H36+I36)</f>
        <v>42166.080000000002</v>
      </c>
      <c r="K36" s="192">
        <f>ROUND(H36/12*$C$7,2)</f>
        <v>69696</v>
      </c>
      <c r="L36" s="195">
        <f t="shared" si="0"/>
        <v>14636.16</v>
      </c>
      <c r="M36" s="196">
        <f>(K36+L36)</f>
        <v>84332.160000000003</v>
      </c>
      <c r="N36" s="231"/>
      <c r="O36" s="223">
        <v>21</v>
      </c>
      <c r="P36" s="192">
        <f>ROUND(12*N36*2,2)</f>
        <v>0</v>
      </c>
      <c r="Q36" s="195">
        <f t="shared" si="1"/>
        <v>0</v>
      </c>
      <c r="R36" s="196">
        <f>(P36+Q36)</f>
        <v>0</v>
      </c>
    </row>
    <row r="37" spans="1:18" ht="13.5" thickBot="1" x14ac:dyDescent="0.25">
      <c r="A37" s="267"/>
      <c r="B37" s="41" t="s">
        <v>74</v>
      </c>
      <c r="C37" s="102">
        <v>444</v>
      </c>
      <c r="D37" s="103">
        <v>19.5</v>
      </c>
      <c r="E37" s="104">
        <v>21</v>
      </c>
      <c r="F37" s="104">
        <f>(D37*E37)/100</f>
        <v>4.0949999999999998</v>
      </c>
      <c r="G37" s="105">
        <f>+F37+D37</f>
        <v>23.594999999999999</v>
      </c>
      <c r="H37" s="81">
        <f>D37*C37</f>
        <v>8658</v>
      </c>
      <c r="I37" s="82">
        <f>(H37*E37)/100</f>
        <v>1818.18</v>
      </c>
      <c r="J37" s="83">
        <f>(H37+I37)</f>
        <v>10476.18</v>
      </c>
      <c r="K37" s="81">
        <f>ROUND(H37/12*$C$7,2)</f>
        <v>17316</v>
      </c>
      <c r="L37" s="82">
        <f t="shared" si="0"/>
        <v>3636.36</v>
      </c>
      <c r="M37" s="83">
        <f>(K37+L37)</f>
        <v>20952.36</v>
      </c>
      <c r="N37" s="231"/>
      <c r="O37" s="232">
        <v>21</v>
      </c>
      <c r="P37" s="81">
        <f t="shared" ref="P37" si="27">ROUND(C37*N37*2,2)</f>
        <v>0</v>
      </c>
      <c r="Q37" s="82">
        <f t="shared" si="1"/>
        <v>0</v>
      </c>
      <c r="R37" s="83">
        <f>(P37+Q37)</f>
        <v>0</v>
      </c>
    </row>
    <row r="38" spans="1:18" s="2" customFormat="1" ht="13.5" thickBot="1" x14ac:dyDescent="0.25">
      <c r="A38" s="268"/>
      <c r="B38" s="112" t="s">
        <v>75</v>
      </c>
      <c r="C38" s="8"/>
      <c r="D38" s="8"/>
      <c r="E38" s="8"/>
      <c r="F38" s="8"/>
      <c r="G38" s="8"/>
      <c r="H38" s="84">
        <f t="shared" ref="H38:M38" si="28">+H13+H35+H37</f>
        <v>80775.09</v>
      </c>
      <c r="I38" s="85">
        <f t="shared" si="28"/>
        <v>16962.768899999999</v>
      </c>
      <c r="J38" s="86">
        <f t="shared" si="28"/>
        <v>97737.858899999992</v>
      </c>
      <c r="K38" s="84">
        <f t="shared" si="28"/>
        <v>161550.18</v>
      </c>
      <c r="L38" s="85">
        <f t="shared" si="28"/>
        <v>33925.54</v>
      </c>
      <c r="M38" s="86">
        <f t="shared" si="28"/>
        <v>195475.71999999997</v>
      </c>
      <c r="N38" s="8"/>
      <c r="O38" s="8"/>
      <c r="P38" s="84">
        <f>+P13+P35+P37</f>
        <v>0</v>
      </c>
      <c r="Q38" s="85">
        <f>+Q13+Q35+Q37</f>
        <v>0</v>
      </c>
      <c r="R38" s="86">
        <f>+R13+R35+R37</f>
        <v>0</v>
      </c>
    </row>
    <row r="39" spans="1:18" x14ac:dyDescent="0.2">
      <c r="A39" s="62"/>
      <c r="B39" s="62" t="s">
        <v>116</v>
      </c>
      <c r="D39" s="62"/>
      <c r="E39" s="187"/>
      <c r="F39" s="62"/>
      <c r="G39" s="62"/>
      <c r="H39" s="116"/>
      <c r="I39" s="116"/>
      <c r="J39" s="116"/>
      <c r="K39" s="197"/>
      <c r="L39" s="62"/>
      <c r="M39" s="188"/>
      <c r="N39" s="62"/>
      <c r="O39" s="187"/>
      <c r="P39" s="197"/>
      <c r="Q39" s="62"/>
      <c r="R39" s="188"/>
    </row>
    <row r="40" spans="1:18" ht="18" x14ac:dyDescent="0.25">
      <c r="A40" s="62"/>
      <c r="B40" s="1" t="s">
        <v>76</v>
      </c>
      <c r="D40" s="62"/>
      <c r="E40" s="187"/>
      <c r="F40" s="62"/>
      <c r="G40" s="62"/>
      <c r="H40" s="62"/>
      <c r="I40" s="62"/>
      <c r="J40" s="188"/>
      <c r="K40" s="62"/>
      <c r="L40" s="62"/>
      <c r="M40" s="188"/>
      <c r="N40" s="62"/>
      <c r="O40" s="187"/>
      <c r="P40" s="62"/>
      <c r="Q40" s="62"/>
      <c r="R40" s="188"/>
    </row>
    <row r="42" spans="1:18" x14ac:dyDescent="0.2">
      <c r="B42" s="221" t="s">
        <v>115</v>
      </c>
    </row>
    <row r="43" spans="1:18" x14ac:dyDescent="0.2">
      <c r="A43" s="62"/>
      <c r="B43" s="62"/>
      <c r="D43" s="95"/>
      <c r="E43" s="96"/>
      <c r="F43" s="62"/>
      <c r="G43" s="62"/>
      <c r="H43" s="62"/>
      <c r="I43" s="62"/>
      <c r="J43" s="188"/>
      <c r="K43" s="62"/>
      <c r="L43" s="62"/>
      <c r="M43" s="188"/>
      <c r="N43" s="95"/>
      <c r="O43" s="96"/>
      <c r="P43" s="62"/>
      <c r="Q43" s="62"/>
      <c r="R43" s="188"/>
    </row>
    <row r="44" spans="1:18" x14ac:dyDescent="0.2">
      <c r="A44" s="62"/>
      <c r="B44" s="62"/>
      <c r="D44" s="94"/>
      <c r="E44" s="94"/>
      <c r="F44" s="62"/>
      <c r="G44" s="62"/>
      <c r="H44" s="62"/>
      <c r="I44" s="62"/>
      <c r="J44" s="188"/>
      <c r="K44" s="62"/>
      <c r="L44" s="62"/>
      <c r="M44" s="188"/>
      <c r="N44" s="94"/>
      <c r="O44" s="94"/>
      <c r="P44" s="62"/>
      <c r="Q44" s="62"/>
      <c r="R44" s="188"/>
    </row>
    <row r="45" spans="1:18" x14ac:dyDescent="0.2">
      <c r="A45" s="62"/>
      <c r="B45" s="62"/>
      <c r="D45" s="94"/>
      <c r="E45" s="94"/>
      <c r="F45" s="62"/>
      <c r="G45" s="62"/>
      <c r="H45" s="62"/>
      <c r="I45" s="62"/>
      <c r="J45" s="188"/>
      <c r="K45" s="62"/>
      <c r="L45" s="62"/>
      <c r="M45" s="188"/>
      <c r="N45" s="94"/>
      <c r="O45" s="94"/>
      <c r="P45" s="62"/>
      <c r="Q45" s="62"/>
      <c r="R45" s="188"/>
    </row>
    <row r="46" spans="1:18" x14ac:dyDescent="0.2">
      <c r="A46" s="62"/>
      <c r="B46" s="62"/>
      <c r="D46" s="94"/>
      <c r="E46" s="187"/>
      <c r="F46" s="62"/>
      <c r="G46" s="62"/>
      <c r="H46" s="62"/>
      <c r="I46" s="62"/>
      <c r="J46" s="188"/>
      <c r="K46" s="62"/>
      <c r="L46" s="62"/>
      <c r="M46" s="188"/>
      <c r="N46" s="94"/>
      <c r="O46" s="187"/>
      <c r="P46" s="62"/>
      <c r="Q46" s="62"/>
      <c r="R46" s="188"/>
    </row>
  </sheetData>
  <mergeCells count="8">
    <mergeCell ref="P11:R11"/>
    <mergeCell ref="N11:O11"/>
    <mergeCell ref="N10:R10"/>
    <mergeCell ref="A13:A38"/>
    <mergeCell ref="D11:G11"/>
    <mergeCell ref="H11:J11"/>
    <mergeCell ref="K11:M11"/>
    <mergeCell ref="D10:M10"/>
  </mergeCells>
  <conditionalFormatting sqref="B38 E21:E22 G21:G22 B36 E36 B34 E16:E19 G16:G19 G32:G34 E32:E34 A13:B13 E24:E30 G24:G30 B16:B32 C20 C23 C14:C15 H20:M20 H23:M23 H14:M15 P14:R15 P20:R20 P23:R23">
    <cfRule type="cellIs" dxfId="6" priority="15" stopIfTrue="1" operator="equal">
      <formula>0</formula>
    </cfRule>
  </conditionalFormatting>
  <conditionalFormatting sqref="H31:M31 P31:R31">
    <cfRule type="cellIs" dxfId="5" priority="13" stopIfTrue="1" operator="equal">
      <formula>0</formula>
    </cfRule>
  </conditionalFormatting>
  <conditionalFormatting sqref="C31">
    <cfRule type="cellIs" dxfId="4" priority="8" stopIfTrue="1" operator="equal">
      <formula>0</formula>
    </cfRule>
  </conditionalFormatting>
  <conditionalFormatting sqref="B14:B15">
    <cfRule type="cellIs" dxfId="3" priority="7" stopIfTrue="1" operator="equal">
      <formula>0</formula>
    </cfRule>
  </conditionalFormatting>
  <conditionalFormatting sqref="O21:O22 O36 O16:O19 O32:O34 O24:O30">
    <cfRule type="cellIs" dxfId="2" priority="1" stopIfTrue="1" operator="equal">
      <formula>0</formula>
    </cfRule>
  </conditionalFormatting>
  <pageMargins left="0.23622047244094491" right="0.19685039370078741" top="0.59055118110236227" bottom="0.59055118110236227" header="0" footer="0"/>
  <pageSetup paperSize="9" scale="85" orientation="landscape" horizontalDpi="300" verticalDpi="300" r:id="rId1"/>
  <headerFooter alignWithMargins="0">
    <oddFooter>&amp;L&amp;P&amp;R&amp;F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</sheetPr>
  <dimension ref="A2:N62"/>
  <sheetViews>
    <sheetView view="pageBreakPreview" topLeftCell="A18" zoomScale="110" zoomScaleNormal="100" zoomScaleSheetLayoutView="110" workbookViewId="0">
      <selection activeCell="H38" sqref="H38"/>
    </sheetView>
  </sheetViews>
  <sheetFormatPr baseColWidth="10" defaultColWidth="11.42578125" defaultRowHeight="12.75" x14ac:dyDescent="0.2"/>
  <cols>
    <col min="1" max="1" width="6.28515625" style="3" bestFit="1" customWidth="1"/>
    <col min="2" max="2" width="47.5703125" style="3" customWidth="1"/>
    <col min="3" max="3" width="12.5703125" style="4" bestFit="1" customWidth="1"/>
    <col min="4" max="4" width="11" style="3" bestFit="1" customWidth="1"/>
    <col min="5" max="5" width="8.5703125" style="5" bestFit="1" customWidth="1"/>
    <col min="6" max="6" width="9" style="3" bestFit="1" customWidth="1"/>
    <col min="7" max="7" width="10" style="3" bestFit="1" customWidth="1"/>
    <col min="8" max="8" width="14.7109375" style="3" bestFit="1" customWidth="1"/>
    <col min="9" max="9" width="15.85546875" style="3" bestFit="1" customWidth="1"/>
    <col min="10" max="10" width="13.7109375" style="6" bestFit="1" customWidth="1"/>
    <col min="11" max="11" width="12.7109375" style="3" bestFit="1" customWidth="1"/>
    <col min="12" max="13" width="13.7109375" style="63" bestFit="1" customWidth="1"/>
    <col min="14" max="16384" width="11.42578125" style="3"/>
  </cols>
  <sheetData>
    <row r="2" spans="1:13" x14ac:dyDescent="0.2">
      <c r="A2" s="62"/>
      <c r="B2" s="180"/>
      <c r="C2" s="182"/>
      <c r="D2" s="181"/>
      <c r="E2" s="182"/>
      <c r="F2" s="183"/>
      <c r="G2" s="182"/>
      <c r="H2" s="182"/>
      <c r="I2" s="182"/>
      <c r="J2" s="182"/>
      <c r="K2" s="62"/>
      <c r="L2" s="197"/>
      <c r="M2" s="197"/>
    </row>
    <row r="3" spans="1:13" x14ac:dyDescent="0.2">
      <c r="A3" s="62"/>
      <c r="B3" s="62"/>
      <c r="C3" s="185"/>
      <c r="D3" s="184"/>
      <c r="E3" s="185"/>
      <c r="F3" s="186"/>
      <c r="G3" s="185"/>
      <c r="H3" s="185"/>
      <c r="I3" s="185"/>
      <c r="J3" s="185"/>
      <c r="K3" s="62"/>
      <c r="L3" s="197"/>
      <c r="M3" s="197"/>
    </row>
    <row r="4" spans="1:13" x14ac:dyDescent="0.2">
      <c r="A4" s="62"/>
      <c r="B4" s="180"/>
      <c r="C4" s="62"/>
      <c r="D4" s="56"/>
      <c r="E4" s="62"/>
      <c r="F4" s="187"/>
      <c r="G4" s="62"/>
      <c r="H4" s="62"/>
      <c r="I4" s="62"/>
      <c r="J4" s="62"/>
      <c r="K4" s="62"/>
      <c r="L4" s="197"/>
      <c r="M4" s="197"/>
    </row>
    <row r="5" spans="1:13" x14ac:dyDescent="0.2">
      <c r="A5" s="62"/>
      <c r="B5" s="180"/>
      <c r="C5" s="62"/>
      <c r="D5" s="56"/>
      <c r="E5" s="62"/>
      <c r="F5" s="187"/>
      <c r="G5" s="62"/>
      <c r="H5" s="62"/>
      <c r="I5" s="62"/>
      <c r="J5" s="62"/>
      <c r="K5" s="62"/>
      <c r="L5" s="197"/>
      <c r="M5" s="197"/>
    </row>
    <row r="6" spans="1:13" x14ac:dyDescent="0.2">
      <c r="A6" s="62"/>
      <c r="B6" s="180"/>
      <c r="C6" s="62"/>
      <c r="D6" s="56"/>
      <c r="E6" s="62"/>
      <c r="F6" s="187"/>
      <c r="G6" s="62"/>
      <c r="H6" s="62"/>
      <c r="I6" s="62"/>
      <c r="J6" s="62"/>
      <c r="K6" s="62"/>
      <c r="L6" s="197"/>
      <c r="M6" s="197"/>
    </row>
    <row r="7" spans="1:13" ht="13.5" thickBot="1" x14ac:dyDescent="0.25">
      <c r="A7" s="62"/>
      <c r="B7" s="7" t="s">
        <v>35</v>
      </c>
      <c r="C7" s="198" t="s">
        <v>77</v>
      </c>
      <c r="D7" s="62"/>
      <c r="E7" s="62"/>
      <c r="F7" s="62"/>
      <c r="G7" s="62"/>
      <c r="H7" s="62"/>
      <c r="I7" s="62"/>
      <c r="J7" s="62"/>
      <c r="K7" s="62"/>
      <c r="L7" s="197"/>
      <c r="M7" s="197"/>
    </row>
    <row r="8" spans="1:13" ht="13.5" thickBot="1" x14ac:dyDescent="0.25">
      <c r="A8" s="62"/>
      <c r="B8" s="7" t="s">
        <v>78</v>
      </c>
      <c r="C8" s="199">
        <v>24</v>
      </c>
      <c r="D8" s="56"/>
      <c r="E8" s="62"/>
      <c r="F8" s="187"/>
      <c r="G8" s="62"/>
      <c r="H8" s="62"/>
      <c r="I8" s="62"/>
      <c r="J8" s="62"/>
      <c r="K8" s="62"/>
      <c r="L8" s="197"/>
      <c r="M8" s="197"/>
    </row>
    <row r="9" spans="1:13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197"/>
      <c r="M9" s="197"/>
    </row>
    <row r="10" spans="1:13" x14ac:dyDescent="0.2">
      <c r="A10" s="2"/>
      <c r="B10" s="62"/>
      <c r="C10" s="56"/>
      <c r="D10" s="62"/>
      <c r="E10" s="187"/>
      <c r="F10" s="62"/>
      <c r="G10" s="62"/>
      <c r="H10" s="62"/>
      <c r="I10" s="62"/>
      <c r="J10" s="188"/>
      <c r="K10" s="62"/>
      <c r="L10" s="197"/>
      <c r="M10" s="197"/>
    </row>
    <row r="11" spans="1:13" ht="13.5" thickBot="1" x14ac:dyDescent="0.25">
      <c r="A11" s="2"/>
      <c r="B11" s="8"/>
      <c r="C11" s="62"/>
      <c r="D11" s="285" t="s">
        <v>79</v>
      </c>
      <c r="E11" s="285"/>
      <c r="F11" s="285"/>
      <c r="G11" s="285"/>
      <c r="H11" s="285"/>
      <c r="I11" s="285"/>
      <c r="J11" s="285"/>
      <c r="K11" s="62"/>
      <c r="L11" s="197"/>
      <c r="M11" s="197"/>
    </row>
    <row r="12" spans="1:13" ht="12.75" customHeight="1" x14ac:dyDescent="0.2">
      <c r="A12" s="62"/>
      <c r="B12" s="180"/>
      <c r="C12" s="62"/>
      <c r="D12" s="280" t="s">
        <v>39</v>
      </c>
      <c r="E12" s="281"/>
      <c r="F12" s="281"/>
      <c r="G12" s="282"/>
      <c r="H12" s="280" t="s">
        <v>80</v>
      </c>
      <c r="I12" s="281"/>
      <c r="J12" s="282"/>
      <c r="K12" s="62"/>
      <c r="L12" s="197"/>
      <c r="M12" s="197"/>
    </row>
    <row r="13" spans="1:13" s="2" customFormat="1" ht="51" x14ac:dyDescent="0.2">
      <c r="A13" s="15" t="s">
        <v>42</v>
      </c>
      <c r="B13" s="15" t="s">
        <v>43</v>
      </c>
      <c r="C13" s="14" t="s">
        <v>44</v>
      </c>
      <c r="D13" s="24" t="s">
        <v>45</v>
      </c>
      <c r="E13" s="9" t="s">
        <v>46</v>
      </c>
      <c r="F13" s="15" t="s">
        <v>47</v>
      </c>
      <c r="G13" s="25" t="s">
        <v>48</v>
      </c>
      <c r="H13" s="24" t="s">
        <v>45</v>
      </c>
      <c r="I13" s="15" t="s">
        <v>23</v>
      </c>
      <c r="J13" s="31" t="s">
        <v>49</v>
      </c>
      <c r="L13" s="64"/>
      <c r="M13" s="64"/>
    </row>
    <row r="14" spans="1:13" s="2" customFormat="1" x14ac:dyDescent="0.2">
      <c r="A14" s="272" t="s">
        <v>81</v>
      </c>
      <c r="B14" s="48" t="s">
        <v>51</v>
      </c>
      <c r="C14" s="49">
        <f>+C15+C24+C28</f>
        <v>21112</v>
      </c>
      <c r="D14" s="50"/>
      <c r="E14" s="51"/>
      <c r="F14" s="51"/>
      <c r="G14" s="52"/>
      <c r="H14" s="50">
        <f>+H15+H24+H28</f>
        <v>48776.596000000005</v>
      </c>
      <c r="I14" s="51">
        <f>+I15+I24+I28</f>
        <v>10039.65648</v>
      </c>
      <c r="J14" s="52">
        <f>(H14+I14)</f>
        <v>58816.252480000003</v>
      </c>
      <c r="L14" s="64"/>
      <c r="M14" s="64"/>
    </row>
    <row r="15" spans="1:13" s="2" customFormat="1" x14ac:dyDescent="0.2">
      <c r="A15" s="273"/>
      <c r="B15" s="18" t="s">
        <v>52</v>
      </c>
      <c r="C15" s="22">
        <f>+C16+C21</f>
        <v>20238</v>
      </c>
      <c r="D15" s="26"/>
      <c r="E15" s="17"/>
      <c r="F15" s="17"/>
      <c r="G15" s="27"/>
      <c r="H15" s="32">
        <f>+H16+H21</f>
        <v>31426.400000000001</v>
      </c>
      <c r="I15" s="33">
        <f>+I16+I21</f>
        <v>6599.5439999999999</v>
      </c>
      <c r="J15" s="34">
        <f>+J16+J21</f>
        <v>38025.944000000003</v>
      </c>
      <c r="L15" s="64"/>
      <c r="M15" s="64"/>
    </row>
    <row r="16" spans="1:13" s="10" customFormat="1" x14ac:dyDescent="0.2">
      <c r="A16" s="273"/>
      <c r="B16" s="19" t="s">
        <v>82</v>
      </c>
      <c r="C16" s="23">
        <f>+SUM(C17:C20)</f>
        <v>19632</v>
      </c>
      <c r="D16" s="28"/>
      <c r="E16" s="16"/>
      <c r="F16" s="16"/>
      <c r="G16" s="29"/>
      <c r="H16" s="35">
        <f>+SUM(H17:H20)</f>
        <v>27592.400000000001</v>
      </c>
      <c r="I16" s="36">
        <f>+SUM(I17:I20)</f>
        <v>5794.4039999999995</v>
      </c>
      <c r="J16" s="37">
        <f>+SUM(J17:J20)</f>
        <v>33386.804000000004</v>
      </c>
      <c r="L16" s="65"/>
      <c r="M16" s="65"/>
    </row>
    <row r="17" spans="1:14" x14ac:dyDescent="0.2">
      <c r="A17" s="273"/>
      <c r="B17" s="88" t="s">
        <v>83</v>
      </c>
      <c r="C17" s="200">
        <f>[1]Hoja1!$B$36</f>
        <v>7276</v>
      </c>
      <c r="D17" s="201">
        <v>2.95</v>
      </c>
      <c r="E17" s="193">
        <v>21</v>
      </c>
      <c r="F17" s="12">
        <f t="shared" ref="F17:F32" si="0">(D17*E17)/100</f>
        <v>0.61950000000000005</v>
      </c>
      <c r="G17" s="194">
        <f t="shared" ref="G17:G32" si="1">+F17+D17</f>
        <v>3.5695000000000001</v>
      </c>
      <c r="H17" s="202">
        <f>D17*C17</f>
        <v>21464.2</v>
      </c>
      <c r="I17" s="203">
        <f>(H17*E17)/100</f>
        <v>4507.482</v>
      </c>
      <c r="J17" s="204">
        <f>(H17+I17)</f>
        <v>25971.682000000001</v>
      </c>
      <c r="K17" s="62"/>
      <c r="L17" s="197">
        <f>+J17/24*15</f>
        <v>16232.301250000002</v>
      </c>
      <c r="M17" s="197">
        <f>+L17-'[2]descripcions DEFINITIVES'!J17</f>
        <v>2474.6012500000015</v>
      </c>
      <c r="N17" s="205">
        <f>+M17/L17</f>
        <v>0.15244919447265687</v>
      </c>
    </row>
    <row r="18" spans="1:14" x14ac:dyDescent="0.2">
      <c r="A18" s="273"/>
      <c r="B18" s="88" t="s">
        <v>55</v>
      </c>
      <c r="C18" s="200">
        <f>[1]Hoja1!$C$35</f>
        <v>11868</v>
      </c>
      <c r="D18" s="201">
        <v>0.45</v>
      </c>
      <c r="E18" s="193">
        <v>21</v>
      </c>
      <c r="F18" s="12">
        <f t="shared" si="0"/>
        <v>9.4500000000000015E-2</v>
      </c>
      <c r="G18" s="194">
        <f t="shared" si="1"/>
        <v>0.54449999999999998</v>
      </c>
      <c r="H18" s="202">
        <f>D18*C18</f>
        <v>5340.6</v>
      </c>
      <c r="I18" s="203">
        <f>(H18*E18)/100</f>
        <v>1121.5260000000001</v>
      </c>
      <c r="J18" s="204">
        <f>(H18+I18)</f>
        <v>6462.1260000000002</v>
      </c>
      <c r="K18" s="62"/>
      <c r="L18" s="197">
        <f t="shared" ref="L18:L20" si="2">+J18/24*15</f>
        <v>4038.8287499999997</v>
      </c>
      <c r="M18" s="197">
        <f>+L18-'[2]descripcions DEFINITIVES'!J18</f>
        <v>448.51674999999932</v>
      </c>
      <c r="N18" s="205">
        <f t="shared" ref="N18:N20" si="3">+M18/L18</f>
        <v>0.11105119274987812</v>
      </c>
    </row>
    <row r="19" spans="1:14" x14ac:dyDescent="0.2">
      <c r="A19" s="273"/>
      <c r="B19" s="88" t="s">
        <v>84</v>
      </c>
      <c r="C19" s="200">
        <f>[1]Hoja1!$D$36</f>
        <v>188</v>
      </c>
      <c r="D19" s="201">
        <v>0.2</v>
      </c>
      <c r="E19" s="193">
        <v>21</v>
      </c>
      <c r="F19" s="12">
        <f t="shared" si="0"/>
        <v>4.2000000000000003E-2</v>
      </c>
      <c r="G19" s="194">
        <f t="shared" si="1"/>
        <v>0.24200000000000002</v>
      </c>
      <c r="H19" s="202">
        <f>D19*C19</f>
        <v>37.6</v>
      </c>
      <c r="I19" s="203">
        <f>(H19*E19)/100</f>
        <v>7.8959999999999999</v>
      </c>
      <c r="J19" s="204">
        <f>(H19+I19)</f>
        <v>45.496000000000002</v>
      </c>
      <c r="K19" s="62">
        <f>+C19/24*15</f>
        <v>117.5</v>
      </c>
      <c r="L19" s="197">
        <f t="shared" si="2"/>
        <v>28.435000000000002</v>
      </c>
      <c r="M19" s="197">
        <f>+L19-'[2]descripcions DEFINITIVES'!J19</f>
        <v>11.301400000000001</v>
      </c>
      <c r="N19" s="205">
        <f t="shared" si="3"/>
        <v>0.39744680851063829</v>
      </c>
    </row>
    <row r="20" spans="1:14" x14ac:dyDescent="0.2">
      <c r="A20" s="273"/>
      <c r="B20" s="88" t="s">
        <v>85</v>
      </c>
      <c r="C20" s="200">
        <f>[1]Hoja1!$E$36</f>
        <v>300</v>
      </c>
      <c r="D20" s="201">
        <v>2.5</v>
      </c>
      <c r="E20" s="193">
        <v>21</v>
      </c>
      <c r="F20" s="12">
        <f t="shared" si="0"/>
        <v>0.52500000000000002</v>
      </c>
      <c r="G20" s="194">
        <f t="shared" si="1"/>
        <v>3.0249999999999999</v>
      </c>
      <c r="H20" s="202">
        <f>D20*C20</f>
        <v>750</v>
      </c>
      <c r="I20" s="203">
        <f>(H20*E20)/100</f>
        <v>157.5</v>
      </c>
      <c r="J20" s="204">
        <f>(H20+I20)</f>
        <v>907.5</v>
      </c>
      <c r="K20" s="62">
        <f>+C20/24*15</f>
        <v>187.5</v>
      </c>
      <c r="L20" s="197">
        <f t="shared" si="2"/>
        <v>567.1875</v>
      </c>
      <c r="M20" s="197">
        <f>+L20-'[2]descripcions DEFINITIVES'!J20</f>
        <v>66.731499999999983</v>
      </c>
      <c r="N20" s="205">
        <f t="shared" si="3"/>
        <v>0.1176533333333333</v>
      </c>
    </row>
    <row r="21" spans="1:14" s="10" customFormat="1" x14ac:dyDescent="0.2">
      <c r="A21" s="273"/>
      <c r="B21" s="19" t="s">
        <v>58</v>
      </c>
      <c r="C21" s="23">
        <f>+SUM(C22:C23)</f>
        <v>606</v>
      </c>
      <c r="D21" s="28"/>
      <c r="E21" s="16"/>
      <c r="F21" s="20">
        <f t="shared" si="0"/>
        <v>0</v>
      </c>
      <c r="G21" s="30">
        <f t="shared" si="1"/>
        <v>0</v>
      </c>
      <c r="H21" s="35">
        <f>+SUM(H22:H23)</f>
        <v>3834</v>
      </c>
      <c r="I21" s="36">
        <f>+SUM(I22:I23)</f>
        <v>805.14</v>
      </c>
      <c r="J21" s="37">
        <f>+SUM(J22:J23)</f>
        <v>4639.1400000000003</v>
      </c>
      <c r="L21" s="65"/>
      <c r="M21" s="65"/>
    </row>
    <row r="22" spans="1:14" x14ac:dyDescent="0.2">
      <c r="A22" s="273"/>
      <c r="B22" s="88" t="s">
        <v>86</v>
      </c>
      <c r="C22" s="200">
        <f>[1]Hoja1!$F$36</f>
        <v>306</v>
      </c>
      <c r="D22" s="201">
        <v>12</v>
      </c>
      <c r="E22" s="193">
        <v>21</v>
      </c>
      <c r="F22" s="12">
        <f t="shared" si="0"/>
        <v>2.52</v>
      </c>
      <c r="G22" s="194">
        <f t="shared" si="1"/>
        <v>14.52</v>
      </c>
      <c r="H22" s="202">
        <f>D22*C22</f>
        <v>3672</v>
      </c>
      <c r="I22" s="203">
        <f>(H22*E22)/100</f>
        <v>771.12</v>
      </c>
      <c r="J22" s="204">
        <f>(H22+I22)</f>
        <v>4443.12</v>
      </c>
      <c r="K22" s="62"/>
      <c r="L22" s="197"/>
      <c r="M22" s="197"/>
      <c r="N22" s="62"/>
    </row>
    <row r="23" spans="1:14" x14ac:dyDescent="0.2">
      <c r="A23" s="273"/>
      <c r="B23" s="88" t="s">
        <v>55</v>
      </c>
      <c r="C23" s="200">
        <f>[1]Hoja1!$G$36</f>
        <v>300</v>
      </c>
      <c r="D23" s="201">
        <v>0.54</v>
      </c>
      <c r="E23" s="193">
        <v>21</v>
      </c>
      <c r="F23" s="12">
        <f t="shared" si="0"/>
        <v>0.1134</v>
      </c>
      <c r="G23" s="194">
        <f t="shared" si="1"/>
        <v>0.65339999999999998</v>
      </c>
      <c r="H23" s="202">
        <f>D23*C23</f>
        <v>162</v>
      </c>
      <c r="I23" s="203">
        <f>(H23*E23)/100</f>
        <v>34.020000000000003</v>
      </c>
      <c r="J23" s="204">
        <f>(H23+I23)</f>
        <v>196.02</v>
      </c>
      <c r="K23" s="62"/>
      <c r="L23" s="197"/>
      <c r="M23" s="197"/>
      <c r="N23" s="62"/>
    </row>
    <row r="24" spans="1:14" s="2" customFormat="1" x14ac:dyDescent="0.2">
      <c r="A24" s="273"/>
      <c r="B24" s="18" t="s">
        <v>60</v>
      </c>
      <c r="C24" s="22">
        <f>+SUM(C25:C27)</f>
        <v>742</v>
      </c>
      <c r="D24" s="26"/>
      <c r="E24" s="17"/>
      <c r="F24" s="17">
        <f t="shared" si="0"/>
        <v>0</v>
      </c>
      <c r="G24" s="27">
        <f t="shared" si="1"/>
        <v>0</v>
      </c>
      <c r="H24" s="32">
        <f>+SUM(H25:H27)</f>
        <v>12942</v>
      </c>
      <c r="I24" s="33">
        <f>+SUM(I25:I27)</f>
        <v>2717.82</v>
      </c>
      <c r="J24" s="34">
        <f>+SUM(J25:J27)</f>
        <v>15659.82</v>
      </c>
      <c r="L24" s="64"/>
      <c r="M24" s="64"/>
    </row>
    <row r="25" spans="1:14" x14ac:dyDescent="0.2">
      <c r="A25" s="273"/>
      <c r="B25" s="88" t="s">
        <v>87</v>
      </c>
      <c r="C25" s="200">
        <f>[1]Hoja1!$H$36</f>
        <v>40</v>
      </c>
      <c r="D25" s="201">
        <v>7.8</v>
      </c>
      <c r="E25" s="193">
        <v>21</v>
      </c>
      <c r="F25" s="12">
        <f t="shared" si="0"/>
        <v>1.6379999999999999</v>
      </c>
      <c r="G25" s="194">
        <f t="shared" si="1"/>
        <v>9.4379999999999988</v>
      </c>
      <c r="H25" s="202">
        <f>D25*C25</f>
        <v>312</v>
      </c>
      <c r="I25" s="203">
        <f>(H25*E25)/100</f>
        <v>65.52</v>
      </c>
      <c r="J25" s="204">
        <f>(H25+I25)</f>
        <v>377.52</v>
      </c>
      <c r="K25" s="62"/>
      <c r="L25" s="197"/>
      <c r="M25" s="197"/>
      <c r="N25" s="62"/>
    </row>
    <row r="26" spans="1:14" x14ac:dyDescent="0.2">
      <c r="A26" s="273"/>
      <c r="B26" s="11" t="s">
        <v>88</v>
      </c>
      <c r="C26" s="200">
        <f>[1]Hoja1!$I$36</f>
        <v>700</v>
      </c>
      <c r="D26" s="201">
        <v>17.7</v>
      </c>
      <c r="E26" s="193">
        <v>21</v>
      </c>
      <c r="F26" s="12">
        <f>(D26*E26)/100</f>
        <v>3.7170000000000001</v>
      </c>
      <c r="G26" s="194">
        <f>+F26+D26</f>
        <v>21.416999999999998</v>
      </c>
      <c r="H26" s="202">
        <f>D26*C26</f>
        <v>12390</v>
      </c>
      <c r="I26" s="203">
        <f>(H26*E26)/100</f>
        <v>2601.9</v>
      </c>
      <c r="J26" s="204">
        <f>(H26+I26)</f>
        <v>14991.9</v>
      </c>
      <c r="K26" s="62"/>
      <c r="L26" s="197"/>
      <c r="M26" s="197"/>
      <c r="N26" s="62"/>
    </row>
    <row r="27" spans="1:14" x14ac:dyDescent="0.2">
      <c r="A27" s="273"/>
      <c r="B27" s="88" t="s">
        <v>89</v>
      </c>
      <c r="C27" s="200">
        <f>+'[3]ANNEX OFERTA'!$E$26</f>
        <v>2</v>
      </c>
      <c r="D27" s="201">
        <v>120</v>
      </c>
      <c r="E27" s="193">
        <v>21</v>
      </c>
      <c r="F27" s="12">
        <f t="shared" si="0"/>
        <v>25.2</v>
      </c>
      <c r="G27" s="194">
        <f t="shared" si="1"/>
        <v>145.19999999999999</v>
      </c>
      <c r="H27" s="202">
        <f>D27*C27</f>
        <v>240</v>
      </c>
      <c r="I27" s="203">
        <f>(H27*E27)/100</f>
        <v>50.4</v>
      </c>
      <c r="J27" s="204">
        <f>(H27+I27)</f>
        <v>290.39999999999998</v>
      </c>
      <c r="K27" s="62"/>
      <c r="L27" s="197"/>
      <c r="M27" s="197"/>
      <c r="N27" s="62"/>
    </row>
    <row r="28" spans="1:14" s="2" customFormat="1" x14ac:dyDescent="0.2">
      <c r="A28" s="273"/>
      <c r="B28" s="18" t="s">
        <v>68</v>
      </c>
      <c r="C28" s="22">
        <f>+C29+C30</f>
        <v>132</v>
      </c>
      <c r="D28" s="26"/>
      <c r="E28" s="17"/>
      <c r="F28" s="17">
        <f t="shared" si="0"/>
        <v>0</v>
      </c>
      <c r="G28" s="27">
        <f t="shared" si="1"/>
        <v>0</v>
      </c>
      <c r="H28" s="32">
        <f>+H29+H30</f>
        <v>4408.1959999999999</v>
      </c>
      <c r="I28" s="33">
        <f>+I29+I30</f>
        <v>722.29247999999995</v>
      </c>
      <c r="J28" s="34">
        <f>+J29+J30</f>
        <v>5130.48848</v>
      </c>
      <c r="L28" s="64"/>
      <c r="M28" s="64"/>
    </row>
    <row r="29" spans="1:14" x14ac:dyDescent="0.2">
      <c r="A29" s="273"/>
      <c r="B29" s="88" t="s">
        <v>90</v>
      </c>
      <c r="C29" s="200">
        <f>[1]Hoja1!$J$36</f>
        <v>106</v>
      </c>
      <c r="D29" s="66">
        <f>24.96*1.3</f>
        <v>32.448</v>
      </c>
      <c r="E29" s="193">
        <v>21</v>
      </c>
      <c r="F29" s="12">
        <f t="shared" si="0"/>
        <v>6.8140800000000006</v>
      </c>
      <c r="G29" s="194">
        <f t="shared" si="1"/>
        <v>39.262079999999997</v>
      </c>
      <c r="H29" s="202">
        <f>D29*C29</f>
        <v>3439.4879999999998</v>
      </c>
      <c r="I29" s="203">
        <f>(H29*E29)/100</f>
        <v>722.29247999999995</v>
      </c>
      <c r="J29" s="204">
        <f>(H29+I29)</f>
        <v>4161.7804799999994</v>
      </c>
      <c r="K29" s="62"/>
      <c r="L29" s="197"/>
      <c r="M29" s="197"/>
      <c r="N29" s="62"/>
    </row>
    <row r="30" spans="1:14" ht="12.75" customHeight="1" x14ac:dyDescent="0.2">
      <c r="A30" s="273"/>
      <c r="B30" s="88" t="s">
        <v>91</v>
      </c>
      <c r="C30" s="200">
        <f>[1]Hoja1!$K$36</f>
        <v>26</v>
      </c>
      <c r="D30" s="66">
        <f>28.66*1.3</f>
        <v>37.258000000000003</v>
      </c>
      <c r="E30" s="206">
        <v>0</v>
      </c>
      <c r="F30" s="12">
        <f t="shared" si="0"/>
        <v>0</v>
      </c>
      <c r="G30" s="194">
        <f t="shared" si="1"/>
        <v>37.258000000000003</v>
      </c>
      <c r="H30" s="202">
        <f>D30*C30</f>
        <v>968.70800000000008</v>
      </c>
      <c r="I30" s="203">
        <f>(H30*E30)/100</f>
        <v>0</v>
      </c>
      <c r="J30" s="204">
        <f>(H30+I30)</f>
        <v>968.70800000000008</v>
      </c>
      <c r="K30" s="62"/>
      <c r="L30" s="197"/>
      <c r="M30" s="197"/>
      <c r="N30" s="62"/>
    </row>
    <row r="31" spans="1:14" s="2" customFormat="1" x14ac:dyDescent="0.2">
      <c r="A31" s="273"/>
      <c r="B31" s="41" t="s">
        <v>72</v>
      </c>
      <c r="C31" s="42"/>
      <c r="D31" s="43"/>
      <c r="E31" s="44"/>
      <c r="F31" s="44">
        <f t="shared" si="0"/>
        <v>0</v>
      </c>
      <c r="G31" s="45">
        <f t="shared" si="1"/>
        <v>0</v>
      </c>
      <c r="H31" s="46">
        <f>+SUM(H32:H32)</f>
        <v>22816.864864864867</v>
      </c>
      <c r="I31" s="41">
        <f>+SUM(I32:I32)</f>
        <v>4791.5416216216217</v>
      </c>
      <c r="J31" s="47">
        <f>(H31+I31)</f>
        <v>27608.406486486489</v>
      </c>
      <c r="L31" s="64"/>
      <c r="M31" s="64"/>
    </row>
    <row r="32" spans="1:14" x14ac:dyDescent="0.2">
      <c r="A32" s="273"/>
      <c r="B32" s="88" t="s">
        <v>92</v>
      </c>
      <c r="C32" s="200">
        <v>24</v>
      </c>
      <c r="D32" s="201">
        <f>17588/18.5</f>
        <v>950.70270270270271</v>
      </c>
      <c r="E32" s="193">
        <v>21</v>
      </c>
      <c r="F32" s="12">
        <f t="shared" si="0"/>
        <v>199.64756756756756</v>
      </c>
      <c r="G32" s="194">
        <f t="shared" si="1"/>
        <v>1150.3502702702704</v>
      </c>
      <c r="H32" s="202">
        <f>+D32*C32</f>
        <v>22816.864864864867</v>
      </c>
      <c r="I32" s="203">
        <f>(H32*E32)/100</f>
        <v>4791.5416216216217</v>
      </c>
      <c r="J32" s="204">
        <f>(H32+I32)</f>
        <v>27608.406486486489</v>
      </c>
      <c r="K32" s="62"/>
      <c r="L32" s="197"/>
      <c r="M32" s="197"/>
      <c r="N32" s="62"/>
    </row>
    <row r="33" spans="1:13" ht="13.5" thickBot="1" x14ac:dyDescent="0.25">
      <c r="A33" s="273"/>
      <c r="B33" s="41" t="s">
        <v>74</v>
      </c>
      <c r="C33" s="42">
        <f>[1]Hoja1!$L$36</f>
        <v>744</v>
      </c>
      <c r="D33" s="43">
        <v>14.5</v>
      </c>
      <c r="E33" s="44">
        <v>21</v>
      </c>
      <c r="F33" s="44">
        <f>(D33*E33)/100</f>
        <v>3.0449999999999999</v>
      </c>
      <c r="G33" s="45">
        <f>+F33+D33</f>
        <v>17.545000000000002</v>
      </c>
      <c r="H33" s="46">
        <f>D33*C33</f>
        <v>10788</v>
      </c>
      <c r="I33" s="41">
        <f>(H33*E33)/100</f>
        <v>2265.48</v>
      </c>
      <c r="J33" s="47">
        <f>(H33+I33)</f>
        <v>13053.48</v>
      </c>
      <c r="K33" s="62"/>
      <c r="L33" s="197"/>
      <c r="M33" s="197"/>
    </row>
    <row r="34" spans="1:13" s="2" customFormat="1" ht="13.5" thickBot="1" x14ac:dyDescent="0.25">
      <c r="A34" s="274"/>
      <c r="B34" s="278" t="s">
        <v>93</v>
      </c>
      <c r="C34" s="279"/>
      <c r="D34" s="279"/>
      <c r="E34" s="279"/>
      <c r="F34" s="279"/>
      <c r="G34" s="279"/>
      <c r="H34" s="38">
        <f>+H14+H31+H33</f>
        <v>82381.460864864872</v>
      </c>
      <c r="I34" s="39">
        <f>+I14+I31+I33</f>
        <v>17096.678101621623</v>
      </c>
      <c r="J34" s="40">
        <f>+J14+J31+J33</f>
        <v>99478.138966486484</v>
      </c>
      <c r="L34" s="197"/>
      <c r="M34" s="64"/>
    </row>
    <row r="35" spans="1:13" x14ac:dyDescent="0.2">
      <c r="A35" s="62"/>
      <c r="B35" s="62"/>
      <c r="C35" s="56"/>
      <c r="D35" s="62"/>
      <c r="E35" s="187"/>
      <c r="F35" s="62"/>
      <c r="G35" s="62"/>
      <c r="H35" s="197"/>
      <c r="I35" s="62"/>
      <c r="J35" s="188"/>
      <c r="K35" s="62"/>
      <c r="L35" s="197"/>
      <c r="M35" s="197"/>
    </row>
    <row r="36" spans="1:13" ht="18" x14ac:dyDescent="0.25">
      <c r="A36" s="62"/>
      <c r="B36" s="1" t="s">
        <v>94</v>
      </c>
      <c r="C36" s="56"/>
      <c r="D36" s="62"/>
      <c r="E36" s="187"/>
      <c r="F36" s="62"/>
      <c r="G36" s="62"/>
      <c r="H36" s="62"/>
      <c r="I36" s="62"/>
      <c r="J36" s="188"/>
      <c r="K36" s="62"/>
      <c r="L36" s="197"/>
      <c r="M36" s="197"/>
    </row>
    <row r="37" spans="1:13" ht="13.5" thickBot="1" x14ac:dyDescent="0.25">
      <c r="A37" s="62"/>
      <c r="B37" s="62"/>
      <c r="C37" s="56"/>
      <c r="D37" s="62"/>
      <c r="E37" s="187"/>
      <c r="F37" s="62"/>
      <c r="G37" s="62"/>
      <c r="H37" s="62"/>
      <c r="I37" s="62"/>
      <c r="J37" s="188"/>
      <c r="K37" s="62"/>
      <c r="L37" s="197"/>
      <c r="M37" s="197"/>
    </row>
    <row r="38" spans="1:13" ht="20.25" customHeight="1" thickBot="1" x14ac:dyDescent="0.25">
      <c r="A38" s="62"/>
      <c r="B38" s="62"/>
      <c r="C38" s="56"/>
      <c r="D38" s="62"/>
      <c r="E38" s="275" t="s">
        <v>95</v>
      </c>
      <c r="F38" s="276"/>
      <c r="G38" s="277"/>
      <c r="H38" s="54">
        <f>+H34/24*12</f>
        <v>41190.730432432436</v>
      </c>
      <c r="I38" s="54">
        <f>+I34/24*12</f>
        <v>8548.3390508108114</v>
      </c>
      <c r="J38" s="54">
        <f>+J34/24*12</f>
        <v>49739.069483243249</v>
      </c>
      <c r="K38" s="207">
        <f>+J38-'[2]descripcions DEFINITIVES'!$J$38</f>
        <v>8319.1177760000064</v>
      </c>
      <c r="L38" s="197">
        <f>+J38-J44</f>
        <v>1889.5694832432491</v>
      </c>
      <c r="M38" s="205">
        <f>+L38/J44</f>
        <v>3.948984802857395E-2</v>
      </c>
    </row>
    <row r="39" spans="1:13" ht="13.5" hidden="1" thickBot="1" x14ac:dyDescent="0.25">
      <c r="A39" s="62"/>
      <c r="B39" s="62"/>
      <c r="C39" s="56"/>
      <c r="D39" s="62"/>
      <c r="E39" s="53"/>
      <c r="F39" s="53"/>
      <c r="G39" s="53"/>
      <c r="H39" s="62"/>
      <c r="I39" s="62"/>
      <c r="J39" s="188"/>
      <c r="K39" s="62"/>
      <c r="L39" s="197"/>
      <c r="M39" s="197"/>
    </row>
    <row r="40" spans="1:13" ht="13.5" hidden="1" thickBot="1" x14ac:dyDescent="0.25">
      <c r="A40" s="62"/>
      <c r="B40" s="62"/>
      <c r="C40" s="56"/>
      <c r="D40" s="62"/>
      <c r="E40" s="53"/>
      <c r="F40" s="53"/>
      <c r="G40" s="53"/>
      <c r="H40" s="208"/>
      <c r="I40" s="208">
        <v>0</v>
      </c>
      <c r="J40" s="208">
        <f>+I40+H40</f>
        <v>0</v>
      </c>
      <c r="K40" s="62"/>
      <c r="L40" s="197"/>
      <c r="M40" s="197"/>
    </row>
    <row r="41" spans="1:13" ht="13.5" hidden="1" thickBot="1" x14ac:dyDescent="0.25">
      <c r="A41" s="62"/>
      <c r="B41" s="62"/>
      <c r="C41" s="56"/>
      <c r="D41" s="62"/>
      <c r="E41" s="53"/>
      <c r="F41" s="53"/>
      <c r="G41" s="53"/>
      <c r="H41" s="208"/>
      <c r="I41" s="208">
        <f>+H41*0.21</f>
        <v>0</v>
      </c>
      <c r="J41" s="208">
        <f>+I41+H41</f>
        <v>0</v>
      </c>
      <c r="K41" s="62"/>
      <c r="L41" s="197"/>
      <c r="M41" s="197"/>
    </row>
    <row r="42" spans="1:13" ht="13.5" hidden="1" thickBot="1" x14ac:dyDescent="0.25">
      <c r="A42" s="62"/>
      <c r="B42" s="62"/>
      <c r="C42" s="56"/>
      <c r="D42" s="62"/>
      <c r="E42" s="53"/>
      <c r="F42" s="53"/>
      <c r="G42" s="53"/>
      <c r="H42" s="21"/>
      <c r="I42" s="21">
        <f>+I41+I40</f>
        <v>0</v>
      </c>
      <c r="J42" s="21">
        <f>+J41+J40</f>
        <v>0</v>
      </c>
      <c r="K42" s="62"/>
      <c r="L42" s="197"/>
      <c r="M42" s="197"/>
    </row>
    <row r="43" spans="1:13" ht="13.5" thickBot="1" x14ac:dyDescent="0.25">
      <c r="A43" s="62"/>
      <c r="B43" s="62"/>
      <c r="C43" s="56"/>
      <c r="D43" s="62"/>
      <c r="E43" s="187"/>
      <c r="F43" s="62"/>
      <c r="G43" s="62"/>
      <c r="H43" s="62"/>
      <c r="I43" s="62"/>
      <c r="J43" s="188"/>
      <c r="K43" s="62"/>
      <c r="L43" s="197"/>
      <c r="M43" s="197"/>
    </row>
    <row r="44" spans="1:13" ht="13.5" customHeight="1" thickBot="1" x14ac:dyDescent="0.25">
      <c r="A44" s="62"/>
      <c r="B44" s="209"/>
      <c r="C44" s="56"/>
      <c r="D44" s="62"/>
      <c r="E44" s="275" t="s">
        <v>96</v>
      </c>
      <c r="F44" s="276" t="s">
        <v>96</v>
      </c>
      <c r="G44" s="277"/>
      <c r="H44" s="54"/>
      <c r="I44" s="54"/>
      <c r="J44" s="54">
        <v>47849.5</v>
      </c>
      <c r="K44" s="62"/>
      <c r="L44" s="197"/>
      <c r="M44" s="197"/>
    </row>
    <row r="46" spans="1:13" x14ac:dyDescent="0.2">
      <c r="A46" s="62"/>
      <c r="B46" s="58">
        <f>29581.42/15</f>
        <v>1972.0946666666666</v>
      </c>
      <c r="C46" s="55" t="s">
        <v>97</v>
      </c>
      <c r="D46" s="62"/>
      <c r="E46" s="187"/>
      <c r="F46" s="62"/>
      <c r="G46" s="62"/>
      <c r="H46" s="62"/>
      <c r="I46" s="62"/>
      <c r="J46" s="188"/>
      <c r="K46" s="62"/>
      <c r="L46" s="197"/>
      <c r="M46" s="197"/>
    </row>
    <row r="47" spans="1:13" ht="13.5" thickBot="1" x14ac:dyDescent="0.25">
      <c r="A47" s="62"/>
      <c r="B47" s="57">
        <f>H14/24</f>
        <v>2032.3581666666669</v>
      </c>
      <c r="C47" s="55"/>
      <c r="D47" s="62"/>
      <c r="E47" s="187"/>
      <c r="F47" s="62"/>
      <c r="G47" s="62"/>
      <c r="H47" s="62" t="s">
        <v>98</v>
      </c>
      <c r="I47" s="62"/>
      <c r="J47" s="188"/>
      <c r="K47" s="62"/>
      <c r="L47" s="197"/>
      <c r="M47" s="197"/>
    </row>
    <row r="48" spans="1:13" ht="13.5" thickBot="1" x14ac:dyDescent="0.25">
      <c r="A48" s="62"/>
      <c r="B48" s="58"/>
      <c r="C48" s="56"/>
      <c r="D48" s="62"/>
      <c r="E48" s="187"/>
      <c r="F48" s="62"/>
      <c r="G48" s="62"/>
      <c r="H48" s="59" t="s">
        <v>99</v>
      </c>
      <c r="I48" s="210">
        <f>40467.57-H38</f>
        <v>-723.16043243243621</v>
      </c>
      <c r="J48" s="60" t="s">
        <v>100</v>
      </c>
      <c r="K48" s="211"/>
      <c r="L48" s="212"/>
      <c r="M48" s="213"/>
    </row>
    <row r="49" spans="2:11" x14ac:dyDescent="0.2">
      <c r="B49" s="214">
        <f>8187.6/15</f>
        <v>545.84</v>
      </c>
      <c r="C49" s="56" t="s">
        <v>101</v>
      </c>
      <c r="D49" s="62"/>
      <c r="E49" s="58"/>
      <c r="F49" s="62"/>
      <c r="G49" s="62"/>
      <c r="H49" s="62"/>
      <c r="I49" s="62"/>
      <c r="J49" s="188"/>
      <c r="K49" s="62"/>
    </row>
    <row r="50" spans="2:11" x14ac:dyDescent="0.2">
      <c r="B50" s="57">
        <f>H24/24</f>
        <v>539.25</v>
      </c>
      <c r="C50" s="56"/>
      <c r="D50" s="62"/>
      <c r="E50" s="58"/>
      <c r="F50" s="62"/>
      <c r="G50" s="62"/>
      <c r="H50" s="62"/>
      <c r="I50" s="62"/>
      <c r="J50" s="188"/>
      <c r="K50" s="62"/>
    </row>
    <row r="51" spans="2:11" x14ac:dyDescent="0.2">
      <c r="B51" s="58"/>
      <c r="C51" s="56"/>
      <c r="D51" s="62"/>
      <c r="E51" s="187"/>
      <c r="F51" s="62"/>
      <c r="G51" s="62"/>
      <c r="H51" s="61">
        <f>40500-H38</f>
        <v>-690.73043243243592</v>
      </c>
      <c r="I51" s="62" t="s">
        <v>102</v>
      </c>
      <c r="J51" s="188"/>
      <c r="K51" s="62"/>
    </row>
    <row r="52" spans="2:11" x14ac:dyDescent="0.2">
      <c r="B52" s="58">
        <f>1752/15</f>
        <v>116.8</v>
      </c>
      <c r="C52" s="56" t="s">
        <v>103</v>
      </c>
      <c r="D52" s="62"/>
      <c r="E52" s="187"/>
      <c r="F52" s="62"/>
      <c r="G52" s="62"/>
      <c r="H52" s="209"/>
      <c r="I52" s="62"/>
      <c r="J52" s="188"/>
      <c r="K52" s="62"/>
    </row>
    <row r="53" spans="2:11" x14ac:dyDescent="0.2">
      <c r="B53" s="58">
        <f>H28/24</f>
        <v>183.67483333333334</v>
      </c>
      <c r="C53" s="56"/>
      <c r="D53" s="62"/>
      <c r="E53" s="187"/>
      <c r="F53" s="62"/>
      <c r="G53" s="62"/>
      <c r="H53" s="62"/>
      <c r="I53" s="62"/>
      <c r="J53" s="188"/>
      <c r="K53" s="62"/>
    </row>
    <row r="54" spans="2:11" x14ac:dyDescent="0.2">
      <c r="B54" s="58"/>
      <c r="C54" s="56"/>
      <c r="D54" s="62"/>
      <c r="E54" s="187"/>
      <c r="F54" s="62"/>
      <c r="G54" s="62"/>
      <c r="H54" s="209">
        <f>48893.18-J38</f>
        <v>-845.88948324324883</v>
      </c>
      <c r="I54" s="62"/>
      <c r="J54" s="188"/>
      <c r="K54" s="62"/>
    </row>
    <row r="55" spans="2:11" x14ac:dyDescent="0.2">
      <c r="B55" s="58">
        <f>14260.54/15</f>
        <v>950.70266666666669</v>
      </c>
      <c r="C55" s="56" t="s">
        <v>104</v>
      </c>
      <c r="D55" s="62"/>
      <c r="E55" s="187"/>
      <c r="F55" s="62"/>
      <c r="G55" s="62"/>
      <c r="H55" s="62"/>
      <c r="I55" s="62"/>
      <c r="J55" s="188"/>
      <c r="K55" s="62"/>
    </row>
    <row r="56" spans="2:11" x14ac:dyDescent="0.2">
      <c r="B56" s="58">
        <f>H31/24</f>
        <v>950.70270270270282</v>
      </c>
      <c r="C56" s="56"/>
      <c r="D56" s="62"/>
      <c r="E56" s="187"/>
      <c r="F56" s="62"/>
      <c r="G56" s="62"/>
      <c r="H56" s="62"/>
      <c r="I56" s="62"/>
      <c r="J56" s="188"/>
      <c r="K56" s="62"/>
    </row>
    <row r="57" spans="2:11" ht="13.5" thickBot="1" x14ac:dyDescent="0.25">
      <c r="B57" s="58"/>
      <c r="C57" s="56"/>
      <c r="D57" s="62"/>
      <c r="E57" s="187"/>
      <c r="F57" s="62"/>
      <c r="G57" s="62"/>
      <c r="H57" s="62"/>
      <c r="I57" s="62"/>
      <c r="J57" s="188"/>
      <c r="K57" s="62"/>
    </row>
    <row r="58" spans="2:11" x14ac:dyDescent="0.2">
      <c r="B58" s="58">
        <f>6742.5/15</f>
        <v>449.5</v>
      </c>
      <c r="C58" s="56" t="s">
        <v>105</v>
      </c>
      <c r="D58" s="62"/>
      <c r="E58" s="187"/>
      <c r="F58" s="62"/>
      <c r="G58" s="67"/>
      <c r="H58" s="283" t="s">
        <v>106</v>
      </c>
      <c r="I58" s="283" t="s">
        <v>107</v>
      </c>
      <c r="J58" s="283" t="s">
        <v>108</v>
      </c>
      <c r="K58" s="283" t="s">
        <v>109</v>
      </c>
    </row>
    <row r="59" spans="2:11" ht="13.5" thickBot="1" x14ac:dyDescent="0.25">
      <c r="B59" s="58">
        <f>H33/24</f>
        <v>449.5</v>
      </c>
      <c r="C59" s="56"/>
      <c r="D59" s="62"/>
      <c r="E59" s="187"/>
      <c r="F59" s="62"/>
      <c r="G59" s="68" t="s">
        <v>110</v>
      </c>
      <c r="H59" s="284"/>
      <c r="I59" s="284"/>
      <c r="J59" s="284"/>
      <c r="K59" s="284"/>
    </row>
    <row r="60" spans="2:11" ht="13.5" thickBot="1" x14ac:dyDescent="0.25">
      <c r="B60" s="62"/>
      <c r="C60" s="56"/>
      <c r="D60" s="62"/>
      <c r="E60" s="187"/>
      <c r="F60" s="62"/>
      <c r="G60" s="69">
        <v>2017</v>
      </c>
      <c r="H60" s="70">
        <v>3</v>
      </c>
      <c r="I60" s="71">
        <f>+$H$34/24*H60</f>
        <v>10297.682608108109</v>
      </c>
      <c r="J60" s="71">
        <f>+$I$34/24*H60</f>
        <v>2137.0847627027028</v>
      </c>
      <c r="K60" s="71">
        <f>+J60+I60</f>
        <v>12434.767370810812</v>
      </c>
    </row>
    <row r="61" spans="2:11" ht="13.5" thickBot="1" x14ac:dyDescent="0.25">
      <c r="B61" s="62"/>
      <c r="C61" s="56"/>
      <c r="D61" s="62"/>
      <c r="E61" s="187"/>
      <c r="F61" s="62"/>
      <c r="G61" s="69">
        <v>2018</v>
      </c>
      <c r="H61" s="70">
        <v>12</v>
      </c>
      <c r="I61" s="71">
        <f>+$H$34/24*H61</f>
        <v>41190.730432432436</v>
      </c>
      <c r="J61" s="71">
        <f t="shared" ref="J61:J62" si="4">+$I$34/24*H61</f>
        <v>8548.3390508108114</v>
      </c>
      <c r="K61" s="71">
        <f t="shared" ref="K61:K62" si="5">+J61+I61</f>
        <v>49739.069483243249</v>
      </c>
    </row>
    <row r="62" spans="2:11" ht="13.5" thickBot="1" x14ac:dyDescent="0.25">
      <c r="B62" s="62"/>
      <c r="C62" s="56"/>
      <c r="D62" s="62"/>
      <c r="E62" s="187"/>
      <c r="F62" s="62"/>
      <c r="G62" s="69">
        <v>2019</v>
      </c>
      <c r="H62" s="70">
        <v>9</v>
      </c>
      <c r="I62" s="71">
        <f>+$H$34/24*H62</f>
        <v>30893.047824324327</v>
      </c>
      <c r="J62" s="71">
        <f t="shared" si="4"/>
        <v>6411.254288108109</v>
      </c>
      <c r="K62" s="71">
        <f t="shared" si="5"/>
        <v>37304.302112432437</v>
      </c>
    </row>
  </sheetData>
  <mergeCells count="11">
    <mergeCell ref="H58:H59"/>
    <mergeCell ref="I58:I59"/>
    <mergeCell ref="J58:J59"/>
    <mergeCell ref="K58:K59"/>
    <mergeCell ref="D11:J11"/>
    <mergeCell ref="D12:G12"/>
    <mergeCell ref="A14:A34"/>
    <mergeCell ref="E38:G38"/>
    <mergeCell ref="E44:G44"/>
    <mergeCell ref="B34:G34"/>
    <mergeCell ref="H12:J12"/>
  </mergeCells>
  <phoneticPr fontId="0" type="noConversion"/>
  <conditionalFormatting sqref="B34 H21:J21 H24:J24 H15:J16 H28:J28 E32 G29:G30 E29 E17:E20 E22:E23 A14 B14:B30 G17:G20 G22:G23 B26:C26 G25:G27 E25:E27 B28:C28 C15:C30 B32:C32">
    <cfRule type="cellIs" dxfId="1" priority="6" stopIfTrue="1" operator="equal">
      <formula>0</formula>
    </cfRule>
  </conditionalFormatting>
  <pageMargins left="0.23622047244094491" right="0.19685039370078741" top="0.59055118110236227" bottom="0.59055118110236227" header="0" footer="0"/>
  <pageSetup paperSize="9" scale="85" orientation="landscape" horizontalDpi="4294967295" r:id="rId1"/>
  <headerFooter alignWithMargins="0">
    <oddFooter>&amp;L&amp;P&amp;R&amp;F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</sheetPr>
  <dimension ref="A2:L47"/>
  <sheetViews>
    <sheetView topLeftCell="A10" zoomScaleNormal="100" zoomScaleSheetLayoutView="100" workbookViewId="0">
      <selection activeCell="H38" sqref="H38"/>
    </sheetView>
  </sheetViews>
  <sheetFormatPr baseColWidth="10" defaultColWidth="11.42578125" defaultRowHeight="12.75" x14ac:dyDescent="0.2"/>
  <cols>
    <col min="1" max="1" width="6.28515625" style="3" bestFit="1" customWidth="1"/>
    <col min="2" max="2" width="47.5703125" style="3" customWidth="1"/>
    <col min="3" max="3" width="12.5703125" style="4" bestFit="1" customWidth="1"/>
    <col min="4" max="4" width="11" style="3" bestFit="1" customWidth="1"/>
    <col min="5" max="5" width="8.5703125" style="5" bestFit="1" customWidth="1"/>
    <col min="6" max="6" width="9" style="3" bestFit="1" customWidth="1"/>
    <col min="7" max="7" width="10" style="3" bestFit="1" customWidth="1"/>
    <col min="8" max="8" width="13.7109375" style="3" bestFit="1" customWidth="1"/>
    <col min="9" max="9" width="15.85546875" style="3" bestFit="1" customWidth="1"/>
    <col min="10" max="10" width="13.7109375" style="6" bestFit="1" customWidth="1"/>
    <col min="11" max="11" width="13.7109375" style="3" bestFit="1" customWidth="1"/>
    <col min="12" max="16384" width="11.42578125" style="3"/>
  </cols>
  <sheetData>
    <row r="2" spans="1:10" x14ac:dyDescent="0.2">
      <c r="A2" s="62"/>
      <c r="B2" s="180"/>
      <c r="C2" s="182"/>
      <c r="D2" s="181"/>
      <c r="E2" s="182"/>
      <c r="F2" s="183"/>
      <c r="G2" s="182"/>
      <c r="H2" s="182"/>
      <c r="I2" s="182"/>
      <c r="J2" s="182"/>
    </row>
    <row r="3" spans="1:10" x14ac:dyDescent="0.2">
      <c r="A3" s="62"/>
      <c r="B3" s="62"/>
      <c r="C3" s="185"/>
      <c r="D3" s="184"/>
      <c r="E3" s="185"/>
      <c r="F3" s="186"/>
      <c r="G3" s="185"/>
      <c r="H3" s="185"/>
      <c r="I3" s="185"/>
      <c r="J3" s="185"/>
    </row>
    <row r="4" spans="1:10" x14ac:dyDescent="0.2">
      <c r="A4" s="62"/>
      <c r="B4" s="180"/>
      <c r="C4" s="62"/>
      <c r="D4" s="56"/>
      <c r="E4" s="62"/>
      <c r="F4" s="187"/>
      <c r="G4" s="62"/>
      <c r="H4" s="62"/>
      <c r="I4" s="62"/>
      <c r="J4" s="62"/>
    </row>
    <row r="5" spans="1:10" x14ac:dyDescent="0.2">
      <c r="A5" s="62"/>
      <c r="B5" s="180"/>
      <c r="C5" s="62"/>
      <c r="D5" s="56"/>
      <c r="E5" s="62"/>
      <c r="F5" s="187"/>
      <c r="G5" s="62"/>
      <c r="H5" s="62"/>
      <c r="I5" s="62"/>
      <c r="J5" s="62"/>
    </row>
    <row r="6" spans="1:10" x14ac:dyDescent="0.2">
      <c r="A6" s="62"/>
      <c r="B6" s="180"/>
      <c r="C6" s="62"/>
      <c r="D6" s="56"/>
      <c r="E6" s="62"/>
      <c r="F6" s="187"/>
      <c r="G6" s="62"/>
      <c r="H6" s="62"/>
      <c r="I6" s="62"/>
      <c r="J6" s="62"/>
    </row>
    <row r="7" spans="1:10" ht="13.5" thickBot="1" x14ac:dyDescent="0.25">
      <c r="A7" s="62"/>
      <c r="B7" s="7" t="s">
        <v>35</v>
      </c>
      <c r="C7" s="198" t="s">
        <v>77</v>
      </c>
      <c r="D7" s="62"/>
      <c r="E7" s="62"/>
      <c r="F7" s="62"/>
      <c r="G7" s="62"/>
      <c r="H7" s="62"/>
      <c r="I7" s="62"/>
      <c r="J7" s="62"/>
    </row>
    <row r="8" spans="1:10" ht="13.5" thickBot="1" x14ac:dyDescent="0.25">
      <c r="A8" s="62"/>
      <c r="B8" s="7" t="s">
        <v>78</v>
      </c>
      <c r="C8" s="199">
        <v>19</v>
      </c>
      <c r="D8" s="56"/>
      <c r="E8" s="62"/>
      <c r="F8" s="187"/>
      <c r="G8" s="62"/>
      <c r="H8" s="62"/>
      <c r="I8" s="62"/>
      <c r="J8" s="62"/>
    </row>
    <row r="9" spans="1:10" x14ac:dyDescent="0.2">
      <c r="A9" s="62"/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2">
      <c r="A10" s="2"/>
      <c r="B10" s="62"/>
      <c r="C10" s="56"/>
      <c r="D10" s="62"/>
      <c r="E10" s="187"/>
      <c r="F10" s="62"/>
      <c r="G10" s="62"/>
      <c r="H10" s="62"/>
      <c r="I10" s="62"/>
      <c r="J10" s="188"/>
    </row>
    <row r="11" spans="1:10" ht="13.5" thickBot="1" x14ac:dyDescent="0.25">
      <c r="A11" s="2"/>
      <c r="B11" s="8"/>
      <c r="C11" s="62"/>
      <c r="D11" s="285" t="s">
        <v>79</v>
      </c>
      <c r="E11" s="285"/>
      <c r="F11" s="285"/>
      <c r="G11" s="285"/>
      <c r="H11" s="285"/>
      <c r="I11" s="285"/>
      <c r="J11" s="285"/>
    </row>
    <row r="12" spans="1:10" ht="12.75" customHeight="1" x14ac:dyDescent="0.2">
      <c r="A12" s="62"/>
      <c r="B12" s="180"/>
      <c r="C12" s="62"/>
      <c r="D12" s="280" t="s">
        <v>39</v>
      </c>
      <c r="E12" s="281"/>
      <c r="F12" s="281"/>
      <c r="G12" s="282"/>
      <c r="H12" s="280" t="s">
        <v>80</v>
      </c>
      <c r="I12" s="281"/>
      <c r="J12" s="282"/>
    </row>
    <row r="13" spans="1:10" s="2" customFormat="1" ht="51" x14ac:dyDescent="0.2">
      <c r="A13" s="15" t="s">
        <v>42</v>
      </c>
      <c r="B13" s="15" t="s">
        <v>43</v>
      </c>
      <c r="C13" s="14" t="s">
        <v>44</v>
      </c>
      <c r="D13" s="24" t="s">
        <v>45</v>
      </c>
      <c r="E13" s="9" t="s">
        <v>46</v>
      </c>
      <c r="F13" s="15" t="s">
        <v>47</v>
      </c>
      <c r="G13" s="25" t="s">
        <v>48</v>
      </c>
      <c r="H13" s="24" t="s">
        <v>45</v>
      </c>
      <c r="I13" s="15" t="s">
        <v>23</v>
      </c>
      <c r="J13" s="31" t="s">
        <v>49</v>
      </c>
    </row>
    <row r="14" spans="1:10" s="2" customFormat="1" x14ac:dyDescent="0.2">
      <c r="A14" s="272" t="s">
        <v>81</v>
      </c>
      <c r="B14" s="48" t="s">
        <v>51</v>
      </c>
      <c r="C14" s="49">
        <f>+C15+C24+C28</f>
        <v>16716</v>
      </c>
      <c r="D14" s="50"/>
      <c r="E14" s="51"/>
      <c r="F14" s="51"/>
      <c r="G14" s="52"/>
      <c r="H14" s="50">
        <f>+H15+H24+H28</f>
        <v>28565.560000000005</v>
      </c>
      <c r="I14" s="51">
        <f>+I15+I24+I28</f>
        <v>5872.3770000000004</v>
      </c>
      <c r="J14" s="52">
        <f>(H14+I14)</f>
        <v>34437.937000000005</v>
      </c>
    </row>
    <row r="15" spans="1:10" s="2" customFormat="1" x14ac:dyDescent="0.2">
      <c r="A15" s="273"/>
      <c r="B15" s="18" t="s">
        <v>52</v>
      </c>
      <c r="C15" s="22">
        <f>+C16+C21</f>
        <v>16023</v>
      </c>
      <c r="D15" s="26"/>
      <c r="E15" s="17"/>
      <c r="F15" s="17"/>
      <c r="G15" s="27"/>
      <c r="H15" s="32">
        <f>+H16+H21</f>
        <v>21234.120000000003</v>
      </c>
      <c r="I15" s="33">
        <f>+I16+I21</f>
        <v>4459.1652000000004</v>
      </c>
      <c r="J15" s="34">
        <f>+J16+J21</f>
        <v>25693.285200000002</v>
      </c>
    </row>
    <row r="16" spans="1:10" s="10" customFormat="1" x14ac:dyDescent="0.2">
      <c r="A16" s="273"/>
      <c r="B16" s="19" t="s">
        <v>82</v>
      </c>
      <c r="C16" s="23">
        <f>+SUM(C17:C20)</f>
        <v>15543</v>
      </c>
      <c r="D16" s="28"/>
      <c r="E16" s="16"/>
      <c r="F16" s="16"/>
      <c r="G16" s="29"/>
      <c r="H16" s="35">
        <f>+SUM(H17:H20)</f>
        <v>18699.88</v>
      </c>
      <c r="I16" s="36">
        <f>+SUM(I17:I20)</f>
        <v>3926.9748000000004</v>
      </c>
      <c r="J16" s="37">
        <f>+SUM(J17:J20)</f>
        <v>22626.854800000001</v>
      </c>
    </row>
    <row r="17" spans="1:10" x14ac:dyDescent="0.2">
      <c r="A17" s="273"/>
      <c r="B17" s="88" t="s">
        <v>83</v>
      </c>
      <c r="C17" s="200">
        <f>+[1]Hoja1!$B$28</f>
        <v>5760</v>
      </c>
      <c r="D17" s="201">
        <v>2.5</v>
      </c>
      <c r="E17" s="193">
        <v>21</v>
      </c>
      <c r="F17" s="12">
        <f t="shared" ref="F17:F33" si="0">(D17*E17)/100</f>
        <v>0.52500000000000002</v>
      </c>
      <c r="G17" s="194">
        <f t="shared" ref="G17:G33" si="1">+F17+D17</f>
        <v>3.0249999999999999</v>
      </c>
      <c r="H17" s="202">
        <f>D17*C17</f>
        <v>14400</v>
      </c>
      <c r="I17" s="203">
        <f>(H17*E17)/100</f>
        <v>3024</v>
      </c>
      <c r="J17" s="204">
        <f>(H17+I17)</f>
        <v>17424</v>
      </c>
    </row>
    <row r="18" spans="1:10" x14ac:dyDescent="0.2">
      <c r="A18" s="273"/>
      <c r="B18" s="88" t="s">
        <v>55</v>
      </c>
      <c r="C18" s="200">
        <f>+[1]Hoja1!$C$28</f>
        <v>9396</v>
      </c>
      <c r="D18" s="201">
        <v>0.4</v>
      </c>
      <c r="E18" s="193">
        <v>21</v>
      </c>
      <c r="F18" s="12">
        <f t="shared" si="0"/>
        <v>8.4000000000000005E-2</v>
      </c>
      <c r="G18" s="194">
        <f t="shared" si="1"/>
        <v>0.48400000000000004</v>
      </c>
      <c r="H18" s="202">
        <f>D18*C18</f>
        <v>3758.4</v>
      </c>
      <c r="I18" s="203">
        <f>(H18*E18)/100</f>
        <v>789.26400000000012</v>
      </c>
      <c r="J18" s="204">
        <f>(H18+I18)</f>
        <v>4547.6640000000007</v>
      </c>
    </row>
    <row r="19" spans="1:10" x14ac:dyDescent="0.2">
      <c r="A19" s="273"/>
      <c r="B19" s="88" t="s">
        <v>84</v>
      </c>
      <c r="C19" s="200">
        <f>+[1]Hoja1!$D$28</f>
        <v>149</v>
      </c>
      <c r="D19" s="201">
        <v>0.12</v>
      </c>
      <c r="E19" s="193">
        <v>21</v>
      </c>
      <c r="F19" s="12">
        <f t="shared" si="0"/>
        <v>2.52E-2</v>
      </c>
      <c r="G19" s="194">
        <f t="shared" si="1"/>
        <v>0.1452</v>
      </c>
      <c r="H19" s="202">
        <f>D19*C19</f>
        <v>17.88</v>
      </c>
      <c r="I19" s="203">
        <f>(H19*E19)/100</f>
        <v>3.7547999999999995</v>
      </c>
      <c r="J19" s="204">
        <f>(H19+I19)</f>
        <v>21.634799999999998</v>
      </c>
    </row>
    <row r="20" spans="1:10" x14ac:dyDescent="0.2">
      <c r="A20" s="273"/>
      <c r="B20" s="88" t="s">
        <v>85</v>
      </c>
      <c r="C20" s="200">
        <f>+[1]Hoja1!$E$28</f>
        <v>238</v>
      </c>
      <c r="D20" s="201">
        <v>2.2000000000000002</v>
      </c>
      <c r="E20" s="193">
        <v>21</v>
      </c>
      <c r="F20" s="12">
        <f t="shared" si="0"/>
        <v>0.46200000000000002</v>
      </c>
      <c r="G20" s="194">
        <f t="shared" si="1"/>
        <v>2.6620000000000004</v>
      </c>
      <c r="H20" s="202">
        <f>D20*C20</f>
        <v>523.6</v>
      </c>
      <c r="I20" s="203">
        <f>(H20*E20)/100</f>
        <v>109.956</v>
      </c>
      <c r="J20" s="204">
        <f>(H20+I20)</f>
        <v>633.55600000000004</v>
      </c>
    </row>
    <row r="21" spans="1:10" s="10" customFormat="1" x14ac:dyDescent="0.2">
      <c r="A21" s="273"/>
      <c r="B21" s="19" t="s">
        <v>58</v>
      </c>
      <c r="C21" s="23">
        <f>+SUM(C22:C23)</f>
        <v>480</v>
      </c>
      <c r="D21" s="28"/>
      <c r="E21" s="16"/>
      <c r="F21" s="20">
        <f t="shared" si="0"/>
        <v>0</v>
      </c>
      <c r="G21" s="30">
        <f t="shared" si="1"/>
        <v>0</v>
      </c>
      <c r="H21" s="35">
        <f>+SUM(H22:H23)</f>
        <v>2534.2399999999998</v>
      </c>
      <c r="I21" s="36">
        <f>+SUM(I22:I23)</f>
        <v>532.19039999999995</v>
      </c>
      <c r="J21" s="37">
        <f>+SUM(J22:J23)</f>
        <v>3066.4303999999997</v>
      </c>
    </row>
    <row r="22" spans="1:10" x14ac:dyDescent="0.2">
      <c r="A22" s="273"/>
      <c r="B22" s="88" t="s">
        <v>86</v>
      </c>
      <c r="C22" s="200">
        <f>+[1]Hoja1!$F$28</f>
        <v>242</v>
      </c>
      <c r="D22" s="201">
        <v>10</v>
      </c>
      <c r="E22" s="193">
        <v>21</v>
      </c>
      <c r="F22" s="12">
        <f t="shared" si="0"/>
        <v>2.1</v>
      </c>
      <c r="G22" s="194">
        <f t="shared" si="1"/>
        <v>12.1</v>
      </c>
      <c r="H22" s="202">
        <f>D22*C22</f>
        <v>2420</v>
      </c>
      <c r="I22" s="203">
        <f>(H22*E22)/100</f>
        <v>508.2</v>
      </c>
      <c r="J22" s="204">
        <f>(H22+I22)</f>
        <v>2928.2</v>
      </c>
    </row>
    <row r="23" spans="1:10" x14ac:dyDescent="0.2">
      <c r="A23" s="273"/>
      <c r="B23" s="88" t="s">
        <v>55</v>
      </c>
      <c r="C23" s="200">
        <f>+[1]Hoja1!$G$28</f>
        <v>238</v>
      </c>
      <c r="D23" s="201">
        <v>0.48</v>
      </c>
      <c r="E23" s="193">
        <v>21</v>
      </c>
      <c r="F23" s="12">
        <f t="shared" si="0"/>
        <v>0.1008</v>
      </c>
      <c r="G23" s="194">
        <f t="shared" si="1"/>
        <v>0.58079999999999998</v>
      </c>
      <c r="H23" s="202">
        <f>D23*C23</f>
        <v>114.24</v>
      </c>
      <c r="I23" s="203">
        <f>(H23*E23)/100</f>
        <v>23.990400000000001</v>
      </c>
      <c r="J23" s="204">
        <f>(H23+I23)</f>
        <v>138.2304</v>
      </c>
    </row>
    <row r="24" spans="1:10" s="2" customFormat="1" x14ac:dyDescent="0.2">
      <c r="A24" s="273"/>
      <c r="B24" s="18" t="s">
        <v>60</v>
      </c>
      <c r="C24" s="22">
        <f>+SUM(C25:C27)</f>
        <v>588</v>
      </c>
      <c r="D24" s="26"/>
      <c r="E24" s="17"/>
      <c r="F24" s="17">
        <f t="shared" si="0"/>
        <v>0</v>
      </c>
      <c r="G24" s="27">
        <f t="shared" si="1"/>
        <v>0</v>
      </c>
      <c r="H24" s="32">
        <f>+SUM(H25:H27)</f>
        <v>4632.9400000000005</v>
      </c>
      <c r="I24" s="33">
        <f>+SUM(I25:I27)</f>
        <v>972.91739999999993</v>
      </c>
      <c r="J24" s="34">
        <f>+SUM(J25:J27)</f>
        <v>5605.8573999999999</v>
      </c>
    </row>
    <row r="25" spans="1:10" x14ac:dyDescent="0.2">
      <c r="A25" s="273"/>
      <c r="B25" s="88" t="s">
        <v>87</v>
      </c>
      <c r="C25" s="200">
        <f>+[1]Hoja1!$H$28</f>
        <v>32</v>
      </c>
      <c r="D25" s="201">
        <v>3.8</v>
      </c>
      <c r="E25" s="193">
        <v>21</v>
      </c>
      <c r="F25" s="12">
        <f t="shared" si="0"/>
        <v>0.79799999999999993</v>
      </c>
      <c r="G25" s="194">
        <f t="shared" si="1"/>
        <v>4.5979999999999999</v>
      </c>
      <c r="H25" s="202">
        <f>D25*C25</f>
        <v>121.6</v>
      </c>
      <c r="I25" s="203">
        <f>(H25*E25)/100</f>
        <v>25.535999999999998</v>
      </c>
      <c r="J25" s="204">
        <f>(H25+I25)</f>
        <v>147.136</v>
      </c>
    </row>
    <row r="26" spans="1:10" x14ac:dyDescent="0.2">
      <c r="A26" s="273"/>
      <c r="B26" s="11" t="s">
        <v>88</v>
      </c>
      <c r="C26" s="200">
        <f>+[1]Hoja1!$I$28</f>
        <v>554</v>
      </c>
      <c r="D26" s="201">
        <v>7.71</v>
      </c>
      <c r="E26" s="193">
        <v>21</v>
      </c>
      <c r="F26" s="12">
        <f>(D26*E26)/100</f>
        <v>1.6191</v>
      </c>
      <c r="G26" s="194">
        <f>+F26+D26</f>
        <v>9.3291000000000004</v>
      </c>
      <c r="H26" s="202">
        <f>D26*C26</f>
        <v>4271.34</v>
      </c>
      <c r="I26" s="203">
        <f>(H26*E26)/100</f>
        <v>896.98140000000001</v>
      </c>
      <c r="J26" s="204">
        <f>(H26+I26)</f>
        <v>5168.3213999999998</v>
      </c>
    </row>
    <row r="27" spans="1:10" x14ac:dyDescent="0.2">
      <c r="A27" s="273"/>
      <c r="B27" s="88" t="s">
        <v>89</v>
      </c>
      <c r="C27" s="200">
        <f>+'[3]ANNEX OFERTA'!$E$26</f>
        <v>2</v>
      </c>
      <c r="D27" s="201">
        <v>120</v>
      </c>
      <c r="E27" s="193">
        <v>21</v>
      </c>
      <c r="F27" s="12">
        <f t="shared" si="0"/>
        <v>25.2</v>
      </c>
      <c r="G27" s="194">
        <f t="shared" si="1"/>
        <v>145.19999999999999</v>
      </c>
      <c r="H27" s="202">
        <f>D27*C27</f>
        <v>240</v>
      </c>
      <c r="I27" s="203">
        <f>(H27*E27)/100</f>
        <v>50.4</v>
      </c>
      <c r="J27" s="204">
        <f>(H27+I27)</f>
        <v>290.39999999999998</v>
      </c>
    </row>
    <row r="28" spans="1:10" s="2" customFormat="1" x14ac:dyDescent="0.2">
      <c r="A28" s="273"/>
      <c r="B28" s="18" t="s">
        <v>68</v>
      </c>
      <c r="C28" s="22">
        <f>+C29+C30</f>
        <v>105</v>
      </c>
      <c r="D28" s="26"/>
      <c r="E28" s="17"/>
      <c r="F28" s="17">
        <f t="shared" si="0"/>
        <v>0</v>
      </c>
      <c r="G28" s="27">
        <f t="shared" si="1"/>
        <v>0</v>
      </c>
      <c r="H28" s="32">
        <f>+H29+H30</f>
        <v>2698.5</v>
      </c>
      <c r="I28" s="33">
        <f>+I29+I30</f>
        <v>440.29439999999994</v>
      </c>
      <c r="J28" s="34">
        <f>+J29+J30</f>
        <v>3138.7943999999998</v>
      </c>
    </row>
    <row r="29" spans="1:10" x14ac:dyDescent="0.2">
      <c r="A29" s="273"/>
      <c r="B29" s="88" t="s">
        <v>90</v>
      </c>
      <c r="C29" s="200">
        <f>+[1]Hoja1!$J$28</f>
        <v>84</v>
      </c>
      <c r="D29" s="201">
        <v>24.96</v>
      </c>
      <c r="E29" s="193">
        <v>21</v>
      </c>
      <c r="F29" s="12">
        <f t="shared" si="0"/>
        <v>5.2416</v>
      </c>
      <c r="G29" s="194">
        <f t="shared" si="1"/>
        <v>30.201599999999999</v>
      </c>
      <c r="H29" s="202">
        <f>D29*C29</f>
        <v>2096.64</v>
      </c>
      <c r="I29" s="203">
        <f>(H29*E29)/100</f>
        <v>440.29439999999994</v>
      </c>
      <c r="J29" s="204">
        <f t="shared" ref="J29:J34" si="2">(H29+I29)</f>
        <v>2536.9343999999996</v>
      </c>
    </row>
    <row r="30" spans="1:10" ht="12.75" customHeight="1" x14ac:dyDescent="0.2">
      <c r="A30" s="273"/>
      <c r="B30" s="88" t="s">
        <v>91</v>
      </c>
      <c r="C30" s="200">
        <f>+[1]Hoja1!$K$28</f>
        <v>21</v>
      </c>
      <c r="D30" s="201">
        <v>28.66</v>
      </c>
      <c r="E30" s="206">
        <v>0</v>
      </c>
      <c r="F30" s="12">
        <f t="shared" si="0"/>
        <v>0</v>
      </c>
      <c r="G30" s="194">
        <f t="shared" si="1"/>
        <v>28.66</v>
      </c>
      <c r="H30" s="202">
        <f>D30*C30</f>
        <v>601.86</v>
      </c>
      <c r="I30" s="203">
        <f>(H30*E30)/100</f>
        <v>0</v>
      </c>
      <c r="J30" s="204">
        <f t="shared" si="2"/>
        <v>601.86</v>
      </c>
    </row>
    <row r="31" spans="1:10" s="2" customFormat="1" x14ac:dyDescent="0.2">
      <c r="A31" s="273"/>
      <c r="B31" s="41" t="s">
        <v>72</v>
      </c>
      <c r="C31" s="42"/>
      <c r="D31" s="43"/>
      <c r="E31" s="44"/>
      <c r="F31" s="44">
        <f t="shared" si="0"/>
        <v>0</v>
      </c>
      <c r="G31" s="45">
        <f t="shared" si="1"/>
        <v>0</v>
      </c>
      <c r="H31" s="46">
        <f>+SUM(H32:H33)</f>
        <v>30707.697297297294</v>
      </c>
      <c r="I31" s="41">
        <f>+SUM(I32:I33)</f>
        <v>6448.6164324324327</v>
      </c>
      <c r="J31" s="47">
        <f t="shared" si="2"/>
        <v>37156.313729729729</v>
      </c>
    </row>
    <row r="32" spans="1:10" x14ac:dyDescent="0.2">
      <c r="A32" s="273"/>
      <c r="B32" s="88" t="s">
        <v>92</v>
      </c>
      <c r="C32" s="200">
        <v>19</v>
      </c>
      <c r="D32" s="201">
        <f>17588/18.5</f>
        <v>950.70270270270271</v>
      </c>
      <c r="E32" s="193">
        <v>21</v>
      </c>
      <c r="F32" s="12">
        <f t="shared" si="0"/>
        <v>199.64756756756756</v>
      </c>
      <c r="G32" s="194">
        <f t="shared" si="1"/>
        <v>1150.3502702702704</v>
      </c>
      <c r="H32" s="202">
        <f>+D32*C32</f>
        <v>18063.35135135135</v>
      </c>
      <c r="I32" s="203">
        <f>(H32*E32)/100</f>
        <v>3793.3037837837833</v>
      </c>
      <c r="J32" s="204">
        <f t="shared" si="2"/>
        <v>21856.655135135134</v>
      </c>
    </row>
    <row r="33" spans="1:12" ht="15" customHeight="1" x14ac:dyDescent="0.2">
      <c r="A33" s="273"/>
      <c r="B33" s="215" t="s">
        <v>111</v>
      </c>
      <c r="C33" s="200">
        <v>19</v>
      </c>
      <c r="D33" s="201">
        <f>+D32/5*3.5</f>
        <v>665.4918918918919</v>
      </c>
      <c r="E33" s="216">
        <v>21</v>
      </c>
      <c r="F33" s="13">
        <f t="shared" si="0"/>
        <v>139.75329729729731</v>
      </c>
      <c r="G33" s="217">
        <f t="shared" si="1"/>
        <v>805.2451891891892</v>
      </c>
      <c r="H33" s="202">
        <f>+D33*C33</f>
        <v>12644.345945945946</v>
      </c>
      <c r="I33" s="203">
        <f>(H33*E33)/100</f>
        <v>2655.312648648649</v>
      </c>
      <c r="J33" s="204">
        <f>(H33+I33)</f>
        <v>15299.658594594595</v>
      </c>
      <c r="K33" s="62"/>
      <c r="L33" s="62"/>
    </row>
    <row r="34" spans="1:12" ht="13.5" thickBot="1" x14ac:dyDescent="0.25">
      <c r="A34" s="273"/>
      <c r="B34" s="41" t="s">
        <v>74</v>
      </c>
      <c r="C34" s="42">
        <f>+[1]Hoja1!$L$28</f>
        <v>589</v>
      </c>
      <c r="D34" s="43">
        <v>11.65</v>
      </c>
      <c r="E34" s="44">
        <v>21</v>
      </c>
      <c r="F34" s="44">
        <f>(D34*E34)/100</f>
        <v>2.4464999999999999</v>
      </c>
      <c r="G34" s="45">
        <f>+F34+D34</f>
        <v>14.096500000000001</v>
      </c>
      <c r="H34" s="46">
        <f>D34*C34</f>
        <v>6861.85</v>
      </c>
      <c r="I34" s="41">
        <f>(H34*E34)/100</f>
        <v>1440.9885000000002</v>
      </c>
      <c r="J34" s="47">
        <f t="shared" si="2"/>
        <v>8302.8384999999998</v>
      </c>
      <c r="K34" s="62"/>
      <c r="L34" s="62"/>
    </row>
    <row r="35" spans="1:12" s="2" customFormat="1" ht="13.5" thickBot="1" x14ac:dyDescent="0.25">
      <c r="A35" s="274"/>
      <c r="B35" s="278" t="s">
        <v>93</v>
      </c>
      <c r="C35" s="279"/>
      <c r="D35" s="279"/>
      <c r="E35" s="279"/>
      <c r="F35" s="279"/>
      <c r="G35" s="279"/>
      <c r="H35" s="38">
        <f>+H14+H31+H34</f>
        <v>66135.107297297305</v>
      </c>
      <c r="I35" s="39">
        <f>+I14+I31+I34</f>
        <v>13761.981932432433</v>
      </c>
      <c r="J35" s="40">
        <f>+J14+J31+J34</f>
        <v>79897.08922972974</v>
      </c>
      <c r="L35" s="62"/>
    </row>
    <row r="36" spans="1:12" x14ac:dyDescent="0.2">
      <c r="A36" s="62"/>
      <c r="B36" s="62"/>
      <c r="C36" s="56"/>
      <c r="D36" s="62"/>
      <c r="E36" s="187"/>
      <c r="F36" s="62"/>
      <c r="G36" s="62"/>
      <c r="H36" s="62"/>
      <c r="I36" s="62"/>
      <c r="J36" s="188"/>
      <c r="K36" s="207"/>
      <c r="L36" s="62"/>
    </row>
    <row r="37" spans="1:12" ht="18" x14ac:dyDescent="0.25">
      <c r="A37" s="62"/>
      <c r="B37" s="1" t="s">
        <v>112</v>
      </c>
      <c r="C37" s="56"/>
      <c r="D37" s="62"/>
      <c r="E37" s="187"/>
      <c r="F37" s="62"/>
      <c r="G37" s="62"/>
      <c r="H37" s="62"/>
      <c r="I37" s="62"/>
      <c r="J37" s="188"/>
      <c r="K37" s="62"/>
      <c r="L37" s="62"/>
    </row>
    <row r="38" spans="1:12" ht="13.5" thickBot="1" x14ac:dyDescent="0.25">
      <c r="A38" s="62"/>
      <c r="B38" s="62"/>
      <c r="C38" s="56"/>
      <c r="D38" s="62"/>
      <c r="E38" s="187"/>
      <c r="F38" s="62"/>
      <c r="G38" s="62"/>
      <c r="H38" s="62"/>
      <c r="I38" s="62"/>
      <c r="J38" s="188"/>
      <c r="K38" s="62"/>
      <c r="L38" s="62"/>
    </row>
    <row r="39" spans="1:12" ht="20.25" customHeight="1" thickBot="1" x14ac:dyDescent="0.25">
      <c r="A39" s="62"/>
      <c r="B39" s="62"/>
      <c r="C39" s="56"/>
      <c r="D39" s="62"/>
      <c r="E39" s="275" t="s">
        <v>95</v>
      </c>
      <c r="F39" s="276"/>
      <c r="G39" s="277"/>
      <c r="H39" s="54">
        <f>+H35/19*12</f>
        <v>41769.541450924611</v>
      </c>
      <c r="I39" s="54">
        <f>+I35/19*12</f>
        <v>8691.7780625889045</v>
      </c>
      <c r="J39" s="54">
        <f>+J35/19*12</f>
        <v>50461.319513513517</v>
      </c>
      <c r="K39" s="62">
        <f>K36/19*12</f>
        <v>0</v>
      </c>
      <c r="L39" s="62"/>
    </row>
    <row r="40" spans="1:12" ht="13.5" hidden="1" thickBot="1" x14ac:dyDescent="0.25">
      <c r="A40" s="62"/>
      <c r="B40" s="62"/>
      <c r="C40" s="56"/>
      <c r="D40" s="62"/>
      <c r="E40" s="53"/>
      <c r="F40" s="53"/>
      <c r="G40" s="53"/>
      <c r="H40" s="62"/>
      <c r="I40" s="62"/>
      <c r="J40" s="188"/>
      <c r="K40" s="62"/>
      <c r="L40" s="62"/>
    </row>
    <row r="41" spans="1:12" ht="13.5" hidden="1" thickBot="1" x14ac:dyDescent="0.25">
      <c r="A41" s="62"/>
      <c r="B41" s="62"/>
      <c r="C41" s="56"/>
      <c r="D41" s="62"/>
      <c r="E41" s="53"/>
      <c r="F41" s="53"/>
      <c r="G41" s="53"/>
      <c r="H41" s="208"/>
      <c r="I41" s="208">
        <v>0</v>
      </c>
      <c r="J41" s="208">
        <f>+I41+H41</f>
        <v>0</v>
      </c>
      <c r="K41" s="62"/>
      <c r="L41" s="62"/>
    </row>
    <row r="42" spans="1:12" ht="13.5" hidden="1" thickBot="1" x14ac:dyDescent="0.25">
      <c r="A42" s="62"/>
      <c r="B42" s="62"/>
      <c r="C42" s="56"/>
      <c r="D42" s="62"/>
      <c r="E42" s="53"/>
      <c r="F42" s="53"/>
      <c r="G42" s="53"/>
      <c r="H42" s="208"/>
      <c r="I42" s="208">
        <f>+H42*0.21</f>
        <v>0</v>
      </c>
      <c r="J42" s="208">
        <f>+I42+H42</f>
        <v>0</v>
      </c>
      <c r="K42" s="62"/>
      <c r="L42" s="62"/>
    </row>
    <row r="43" spans="1:12" ht="13.5" hidden="1" thickBot="1" x14ac:dyDescent="0.25">
      <c r="A43" s="62"/>
      <c r="B43" s="62"/>
      <c r="C43" s="56"/>
      <c r="D43" s="62"/>
      <c r="E43" s="53"/>
      <c r="F43" s="53"/>
      <c r="G43" s="53"/>
      <c r="H43" s="21"/>
      <c r="I43" s="21">
        <f>+I42+I41</f>
        <v>0</v>
      </c>
      <c r="J43" s="21">
        <f>+J42+J41</f>
        <v>0</v>
      </c>
      <c r="K43" s="62"/>
      <c r="L43" s="62"/>
    </row>
    <row r="44" spans="1:12" ht="13.5" thickBot="1" x14ac:dyDescent="0.25">
      <c r="A44" s="62"/>
      <c r="B44" s="62"/>
      <c r="C44" s="56"/>
      <c r="D44" s="62"/>
      <c r="E44" s="187"/>
      <c r="F44" s="62"/>
      <c r="G44" s="62"/>
      <c r="H44" s="62"/>
      <c r="I44" s="62"/>
      <c r="J44" s="188"/>
      <c r="K44" s="62">
        <f>K39*1.21</f>
        <v>0</v>
      </c>
      <c r="L44" s="62"/>
    </row>
    <row r="45" spans="1:12" ht="13.5" customHeight="1" thickBot="1" x14ac:dyDescent="0.25">
      <c r="A45" s="62"/>
      <c r="B45" s="62"/>
      <c r="C45" s="56"/>
      <c r="D45" s="62"/>
      <c r="E45" s="275" t="s">
        <v>96</v>
      </c>
      <c r="F45" s="276" t="s">
        <v>96</v>
      </c>
      <c r="G45" s="277"/>
      <c r="H45" s="54"/>
      <c r="I45" s="54"/>
      <c r="J45" s="54">
        <f>+[4]Grafics!$N$14+[4]Grafics!$N$15+[4]Grafics!$N$16</f>
        <v>50728.419999999984</v>
      </c>
      <c r="K45" s="62"/>
      <c r="L45" s="62"/>
    </row>
    <row r="47" spans="1:12" x14ac:dyDescent="0.2">
      <c r="A47" s="62"/>
      <c r="B47" s="62"/>
      <c r="C47" s="56"/>
      <c r="D47" s="62"/>
      <c r="E47" s="187">
        <f>H35/19*12</f>
        <v>41769.541450924611</v>
      </c>
      <c r="F47" s="62"/>
      <c r="G47" s="62"/>
      <c r="H47" s="62"/>
      <c r="I47" s="62"/>
      <c r="J47" s="188"/>
      <c r="K47" s="62"/>
      <c r="L47" s="62"/>
    </row>
  </sheetData>
  <mergeCells count="7">
    <mergeCell ref="E45:G45"/>
    <mergeCell ref="D11:J11"/>
    <mergeCell ref="D12:G12"/>
    <mergeCell ref="H12:J12"/>
    <mergeCell ref="A14:A35"/>
    <mergeCell ref="B35:G35"/>
    <mergeCell ref="E39:G39"/>
  </mergeCells>
  <conditionalFormatting sqref="H21:J21 H24:J24 H15:J16 H28:J28 E32:E33 G29:G30 E29 E17:E20 E22:E23 A14 B14:B30 G17:G20 G22:G23 G25:G27 E25:E27 C15:C30 B32:C33 B35">
    <cfRule type="cellIs" dxfId="0" priority="1" stopIfTrue="1" operator="equal">
      <formula>0</formula>
    </cfRule>
  </conditionalFormatting>
  <pageMargins left="0.25" right="0.2" top="0.59055118110236227" bottom="0.59055118110236227" header="0" footer="0"/>
  <pageSetup paperSize="9" scale="90" orientation="landscape" horizontalDpi="4294967295" r:id="rId1"/>
  <headerFooter alignWithMargins="0">
    <oddFooter>&amp;L&amp;P&amp;R&amp;F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LOT 1</vt:lpstr>
      <vt:lpstr>LOT 2</vt:lpstr>
      <vt:lpstr>descripcions DEFINITIVES</vt:lpstr>
      <vt:lpstr>descripcions</vt:lpstr>
      <vt:lpstr>'descripcions DEFINITIVES'!Área_de_impresión</vt:lpstr>
      <vt:lpstr>'LOT 1'!Área_de_impresión</vt:lpstr>
      <vt:lpstr>'LOT 2'!Área_de_impresión</vt:lpstr>
      <vt:lpstr>descripcions!Títulos_a_imprimir</vt:lpstr>
      <vt:lpstr>'descripcions DEFINITIVES'!Títulos_a_imprimir</vt:lpstr>
      <vt:lpstr>'LOT 2'!Títulos_a_imprimir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LORENZO, JOSE MANUEL (UC-DIR.ECON.)</cp:lastModifiedBy>
  <cp:revision/>
  <dcterms:created xsi:type="dcterms:W3CDTF">2005-12-15T16:43:39Z</dcterms:created>
  <dcterms:modified xsi:type="dcterms:W3CDTF">2026-02-12T12:22:40Z</dcterms:modified>
  <cp:category/>
  <cp:contentStatus/>
</cp:coreProperties>
</file>