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ègim Intern\Compres\CONTRACTACIÓ\C. CONTRACTES 2025\C-11-2025 Servei Casal d'Estiu municipal (G3295)\DOUE i PC\"/>
    </mc:Choice>
  </mc:AlternateContent>
  <xr:revisionPtr revIDLastSave="0" documentId="8_{E03BB786-709C-44C7-A8A5-CD69A3944ADF}" xr6:coauthVersionLast="47" xr6:coauthVersionMax="47" xr10:uidLastSave="{00000000-0000-0000-0000-000000000000}"/>
  <bookViews>
    <workbookView xWindow="3405" yWindow="2925" windowWidth="21600" windowHeight="11295" xr2:uid="{8085CFFB-D4FF-4B28-B67F-7D3EC01C8E2A}"/>
  </bookViews>
  <sheets>
    <sheet name="Casal infantil (5 setmanes)" sheetId="1" r:id="rId1"/>
    <sheet name="Casal infantil (6 setmanes)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4" i="3" l="1"/>
  <c r="N46" i="3"/>
  <c r="M38" i="3"/>
  <c r="M34" i="3"/>
  <c r="M36" i="1"/>
  <c r="M32" i="1"/>
  <c r="F37" i="3"/>
  <c r="C56" i="3"/>
  <c r="D54" i="3"/>
  <c r="C28" i="3" l="1"/>
  <c r="C53" i="1"/>
  <c r="C55" i="3"/>
  <c r="G15" i="3"/>
  <c r="G14" i="3"/>
  <c r="G13" i="3"/>
  <c r="G9" i="3"/>
  <c r="G8" i="3"/>
  <c r="G7" i="3"/>
  <c r="C53" i="3"/>
  <c r="C43" i="3"/>
  <c r="C44" i="3" s="1"/>
  <c r="D40" i="3"/>
  <c r="D39" i="3"/>
  <c r="D41" i="3" s="1"/>
  <c r="M39" i="3"/>
  <c r="F30" i="3"/>
  <c r="E24" i="3"/>
  <c r="D31" i="3" s="1"/>
  <c r="F20" i="3"/>
  <c r="F19" i="3"/>
  <c r="D15" i="3"/>
  <c r="F15" i="3" s="1"/>
  <c r="C15" i="3"/>
  <c r="C14" i="3"/>
  <c r="D14" i="3" s="1"/>
  <c r="F14" i="3" s="1"/>
  <c r="C13" i="3"/>
  <c r="D13" i="3" s="1"/>
  <c r="F13" i="3" s="1"/>
  <c r="D9" i="3"/>
  <c r="F9" i="3" s="1"/>
  <c r="D8" i="3"/>
  <c r="F8" i="3" s="1"/>
  <c r="D7" i="3"/>
  <c r="F7" i="3" s="1"/>
  <c r="D29" i="1"/>
  <c r="F29" i="1" s="1"/>
  <c r="F26" i="1"/>
  <c r="F27" i="1"/>
  <c r="F28" i="1"/>
  <c r="F25" i="1"/>
  <c r="F35" i="1"/>
  <c r="D37" i="1"/>
  <c r="E37" i="1" s="1"/>
  <c r="P32" i="1" s="1"/>
  <c r="D38" i="1"/>
  <c r="E22" i="1"/>
  <c r="C29" i="1" s="1"/>
  <c r="C13" i="1"/>
  <c r="D13" i="1" s="1"/>
  <c r="F13" i="1" s="1"/>
  <c r="G13" i="1" s="1"/>
  <c r="C12" i="1"/>
  <c r="D12" i="1" s="1"/>
  <c r="F12" i="1" s="1"/>
  <c r="G12" i="1" s="1"/>
  <c r="C11" i="1"/>
  <c r="D11" i="1" s="1"/>
  <c r="F11" i="1" s="1"/>
  <c r="G11" i="1" s="1"/>
  <c r="D52" i="1"/>
  <c r="M37" i="1"/>
  <c r="C41" i="1"/>
  <c r="C42" i="1" s="1"/>
  <c r="D7" i="1"/>
  <c r="F7" i="1" s="1"/>
  <c r="G7" i="1" s="1"/>
  <c r="D6" i="1"/>
  <c r="F6" i="1" s="1"/>
  <c r="G6" i="1" s="1"/>
  <c r="D5" i="1"/>
  <c r="F5" i="1" s="1"/>
  <c r="G5" i="1" s="1"/>
  <c r="F18" i="1"/>
  <c r="F17" i="1"/>
  <c r="M42" i="3" l="1"/>
  <c r="M46" i="3" s="1"/>
  <c r="D42" i="3"/>
  <c r="D44" i="3" s="1"/>
  <c r="D43" i="3" s="1"/>
  <c r="F21" i="3"/>
  <c r="D29" i="3" s="1"/>
  <c r="C31" i="3"/>
  <c r="E39" i="3"/>
  <c r="H15" i="3"/>
  <c r="I15" i="3" s="1"/>
  <c r="H7" i="3"/>
  <c r="I7" i="3" s="1"/>
  <c r="G10" i="3"/>
  <c r="H13" i="3"/>
  <c r="I13" i="3" s="1"/>
  <c r="G16" i="3"/>
  <c r="H8" i="3"/>
  <c r="I8" i="3" s="1"/>
  <c r="F31" i="3"/>
  <c r="H9" i="3"/>
  <c r="I9" i="3" s="1"/>
  <c r="H14" i="3"/>
  <c r="I14" i="3" s="1"/>
  <c r="M35" i="3"/>
  <c r="C51" i="1"/>
  <c r="C54" i="1" s="1"/>
  <c r="M40" i="1"/>
  <c r="M44" i="1" s="1"/>
  <c r="M33" i="1"/>
  <c r="D39" i="1"/>
  <c r="F19" i="1"/>
  <c r="D27" i="1" s="1"/>
  <c r="H5" i="1"/>
  <c r="I5" i="1" s="1"/>
  <c r="G8" i="1"/>
  <c r="H6" i="1"/>
  <c r="I6" i="1" s="1"/>
  <c r="H7" i="1"/>
  <c r="I7" i="1" s="1"/>
  <c r="G14" i="1"/>
  <c r="H11" i="1"/>
  <c r="I11" i="1" s="1"/>
  <c r="H12" i="1"/>
  <c r="I12" i="1" s="1"/>
  <c r="H13" i="1"/>
  <c r="I13" i="1" s="1"/>
  <c r="D40" i="1" l="1"/>
  <c r="D42" i="1" s="1"/>
  <c r="D41" i="1" s="1"/>
  <c r="N44" i="1"/>
  <c r="O42" i="3"/>
  <c r="N47" i="3"/>
  <c r="N45" i="1"/>
  <c r="C29" i="3"/>
  <c r="D27" i="3"/>
  <c r="D28" i="3"/>
  <c r="D32" i="3" s="1"/>
  <c r="D33" i="3" s="1"/>
  <c r="D34" i="3" s="1"/>
  <c r="C27" i="3"/>
  <c r="F29" i="3"/>
  <c r="H16" i="3"/>
  <c r="I16" i="3" s="1"/>
  <c r="N35" i="3"/>
  <c r="M43" i="3"/>
  <c r="H10" i="3"/>
  <c r="I10" i="3" s="1"/>
  <c r="M41" i="1"/>
  <c r="M45" i="1" s="1"/>
  <c r="N33" i="1"/>
  <c r="O40" i="1"/>
  <c r="O44" i="1"/>
  <c r="C27" i="1"/>
  <c r="H14" i="1"/>
  <c r="I14" i="1" s="1"/>
  <c r="H8" i="1"/>
  <c r="I8" i="1" s="1"/>
  <c r="O46" i="3" l="1"/>
  <c r="F28" i="3"/>
  <c r="F27" i="3"/>
  <c r="O43" i="3"/>
  <c r="P43" i="3" s="1"/>
  <c r="N43" i="3"/>
  <c r="M47" i="3"/>
  <c r="O47" i="3" s="1"/>
  <c r="O41" i="1"/>
  <c r="P41" i="1" s="1"/>
  <c r="N41" i="1"/>
  <c r="O45" i="1"/>
  <c r="D25" i="1"/>
  <c r="C25" i="1"/>
  <c r="C32" i="3" l="1"/>
  <c r="D26" i="1"/>
  <c r="D30" i="1" s="1"/>
  <c r="C26" i="1"/>
  <c r="C30" i="1" s="1"/>
  <c r="C31" i="1" s="1"/>
  <c r="C32" i="1" s="1"/>
  <c r="C33" i="3" l="1"/>
  <c r="F32" i="3"/>
  <c r="D31" i="1"/>
  <c r="F30" i="1"/>
  <c r="C34" i="3" l="1"/>
  <c r="F33" i="3"/>
  <c r="D32" i="1"/>
  <c r="F31" i="1"/>
  <c r="F34" i="3" l="1"/>
  <c r="E34" i="3"/>
  <c r="F32" i="1"/>
  <c r="E32" i="1"/>
</calcChain>
</file>

<file path=xl/sharedStrings.xml><?xml version="1.0" encoding="utf-8"?>
<sst xmlns="http://schemas.openxmlformats.org/spreadsheetml/2006/main" count="155" uniqueCount="53">
  <si>
    <t>Conveni col·lectiu del sector del lleure educatiu i sociocultural de Catalunya</t>
  </si>
  <si>
    <t>Anual jornada complerta</t>
  </si>
  <si>
    <t>jornada prevista</t>
  </si>
  <si>
    <t>Mensual (12) jornada complerta</t>
  </si>
  <si>
    <t>TOTAL</t>
  </si>
  <si>
    <t>Seguretat Social</t>
  </si>
  <si>
    <t>Total Cost</t>
  </si>
  <si>
    <t>Cost Personal</t>
  </si>
  <si>
    <t>Despeses estructura</t>
  </si>
  <si>
    <t>Altres despeses</t>
  </si>
  <si>
    <t>Benefici industrial (6%)</t>
  </si>
  <si>
    <t>SUBTOTAL</t>
  </si>
  <si>
    <t>Mensual jornada parcial</t>
  </si>
  <si>
    <t>Coordinació</t>
  </si>
  <si>
    <t>Direcció</t>
  </si>
  <si>
    <t>5 setmanes Jornada Parcial</t>
  </si>
  <si>
    <t>Monitor/a</t>
  </si>
  <si>
    <t xml:space="preserve">Sortides </t>
  </si>
  <si>
    <t>Cost Bus</t>
  </si>
  <si>
    <t>Total</t>
  </si>
  <si>
    <t>Subtotal</t>
  </si>
  <si>
    <t>Cost Transport</t>
  </si>
  <si>
    <t>Entrada</t>
  </si>
  <si>
    <t>nº unitats</t>
  </si>
  <si>
    <t>nº sortides</t>
  </si>
  <si>
    <t>Material</t>
  </si>
  <si>
    <t>Anys de contracte</t>
  </si>
  <si>
    <t>Pròrrogues</t>
  </si>
  <si>
    <t>Modificacions</t>
  </si>
  <si>
    <t>Preu anual</t>
  </si>
  <si>
    <t>IVA anual</t>
  </si>
  <si>
    <t>Vetlladors/es</t>
  </si>
  <si>
    <t>Servei Casal</t>
  </si>
  <si>
    <t>partida joventut</t>
  </si>
  <si>
    <t>partida serveis socials</t>
  </si>
  <si>
    <t>PARTIDES DE JOVENTUT</t>
  </si>
  <si>
    <t>COST TOTAL SENSE IVA</t>
  </si>
  <si>
    <t>COST TOTAL AMB IVA</t>
  </si>
  <si>
    <t>PARTIDES DE SERVEIS SOCIALS</t>
  </si>
  <si>
    <t>COST TOTAL CASALS ESTIU</t>
  </si>
  <si>
    <t>COST ANUAL</t>
  </si>
  <si>
    <t>no iva</t>
  </si>
  <si>
    <t>iva inclos</t>
  </si>
  <si>
    <t>modific 20%</t>
  </si>
  <si>
    <t>2 anys</t>
  </si>
  <si>
    <t>preu usuari/setmana</t>
  </si>
  <si>
    <t>Cost Material</t>
  </si>
  <si>
    <t>nº infants</t>
  </si>
  <si>
    <t>cost per infant</t>
  </si>
  <si>
    <t>import 3 anys</t>
  </si>
  <si>
    <t>6 setmanes Jornada Parcial</t>
  </si>
  <si>
    <t>CASAL INFANTIL 6 SETMANES</t>
  </si>
  <si>
    <t>CASAL INFANTIL 5 SETMANES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</si>
</sst>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_€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/>
    <xf numFmtId="164" fontId="0" fillId="2" borderId="1" xfId="0" applyNumberFormat="1" applyFill="1" applyBorder="1"/>
    <xf numFmtId="164" fontId="0" fillId="3" borderId="1" xfId="0" applyNumberFormat="1" applyFill="1" applyBorder="1"/>
    <xf numFmtId="0" fontId="0" fillId="0" borderId="1" xfId="0" applyBorder="1" applyAlignment="1">
      <alignment horizontal="right"/>
    </xf>
    <xf numFmtId="164" fontId="1" fillId="4" borderId="0" xfId="0" applyNumberFormat="1" applyFont="1" applyFill="1"/>
    <xf numFmtId="0" fontId="1" fillId="5" borderId="1" xfId="0" applyFont="1" applyFill="1" applyBorder="1" applyAlignment="1">
      <alignment horizontal="right"/>
    </xf>
    <xf numFmtId="164" fontId="1" fillId="5" borderId="1" xfId="0" applyNumberFormat="1" applyFont="1" applyFill="1" applyBorder="1"/>
    <xf numFmtId="164" fontId="0" fillId="0" borderId="0" xfId="0" applyNumberFormat="1" applyAlignment="1">
      <alignment horizontal="right"/>
    </xf>
    <xf numFmtId="164" fontId="0" fillId="0" borderId="0" xfId="0" applyNumberFormat="1"/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10" fontId="0" fillId="0" borderId="0" xfId="0" applyNumberFormat="1" applyAlignment="1">
      <alignment horizontal="center" vertical="center"/>
    </xf>
    <xf numFmtId="164" fontId="0" fillId="0" borderId="6" xfId="0" applyNumberFormat="1" applyBorder="1"/>
    <xf numFmtId="0" fontId="0" fillId="0" borderId="0" xfId="0" applyAlignment="1">
      <alignment horizontal="center"/>
    </xf>
    <xf numFmtId="164" fontId="0" fillId="0" borderId="2" xfId="0" applyNumberFormat="1" applyBorder="1"/>
    <xf numFmtId="10" fontId="0" fillId="0" borderId="0" xfId="0" applyNumberFormat="1"/>
    <xf numFmtId="0" fontId="0" fillId="0" borderId="3" xfId="0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0" xfId="0" applyAlignment="1">
      <alignment horizontal="center"/>
    </xf>
    <xf numFmtId="164" fontId="0" fillId="2" borderId="1" xfId="0" applyNumberFormat="1" applyFill="1" applyBorder="1" applyAlignment="1">
      <alignment horizontal="right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64" fontId="0" fillId="3" borderId="1" xfId="0" applyNumberFormat="1" applyFill="1" applyBorder="1" applyAlignment="1">
      <alignment horizontal="right"/>
    </xf>
    <xf numFmtId="164" fontId="0" fillId="0" borderId="0" xfId="0" applyNumberFormat="1" applyAlignment="1">
      <alignment horizontal="center"/>
    </xf>
    <xf numFmtId="0" fontId="1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276225</xdr:colOff>
      <xdr:row>3</xdr:row>
      <xdr:rowOff>672423</xdr:rowOff>
    </xdr:from>
    <xdr:to>
      <xdr:col>18</xdr:col>
      <xdr:colOff>22860</xdr:colOff>
      <xdr:row>13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8AB6193-F804-43D1-0DED-EC9B50AD4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24775" y="1243923"/>
          <a:ext cx="6572250" cy="2537502"/>
        </a:xfrm>
        <a:prstGeom prst="rect">
          <a:avLst/>
        </a:prstGeom>
      </xdr:spPr>
    </xdr:pic>
    <xdr:clientData/>
  </xdr:twoCellAnchor>
  <xdr:twoCellAnchor editAs="oneCell">
    <xdr:from>
      <xdr:col>9</xdr:col>
      <xdr:colOff>295274</xdr:colOff>
      <xdr:row>2</xdr:row>
      <xdr:rowOff>19050</xdr:rowOff>
    </xdr:from>
    <xdr:to>
      <xdr:col>17</xdr:col>
      <xdr:colOff>716822</xdr:colOff>
      <xdr:row>3</xdr:row>
      <xdr:rowOff>651468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9CD98DB-9CDC-E63B-2B7A-90972CEC4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43824" y="400050"/>
          <a:ext cx="6401343" cy="8248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390525</xdr:colOff>
      <xdr:row>5</xdr:row>
      <xdr:rowOff>405480</xdr:rowOff>
    </xdr:from>
    <xdr:to>
      <xdr:col>18</xdr:col>
      <xdr:colOff>118110</xdr:colOff>
      <xdr:row>17</xdr:row>
      <xdr:rowOff>158115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B88249C-C4E9-43F7-A381-C5BCB55EC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4325" y="1357980"/>
          <a:ext cx="6557010" cy="3194970"/>
        </a:xfrm>
        <a:prstGeom prst="rect">
          <a:avLst/>
        </a:prstGeom>
      </xdr:spPr>
    </xdr:pic>
    <xdr:clientData/>
  </xdr:twoCellAnchor>
  <xdr:twoCellAnchor editAs="oneCell">
    <xdr:from>
      <xdr:col>9</xdr:col>
      <xdr:colOff>400049</xdr:colOff>
      <xdr:row>2</xdr:row>
      <xdr:rowOff>123826</xdr:rowOff>
    </xdr:from>
    <xdr:to>
      <xdr:col>17</xdr:col>
      <xdr:colOff>827312</xdr:colOff>
      <xdr:row>5</xdr:row>
      <xdr:rowOff>424816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33C3530-398A-4496-9D95-40D228DBE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43849" y="504826"/>
          <a:ext cx="6403248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F6B31-698D-455B-A245-EFBB75468EEB}">
  <sheetPr>
    <pageSetUpPr fitToPage="1"/>
  </sheetPr>
  <dimension ref="A1:R54"/>
  <sheetViews>
    <sheetView tabSelected="1" zoomScaleNormal="100" workbookViewId="0">
      <selection activeCell="M45" sqref="M45"/>
    </sheetView>
  </sheetViews>
  <sheetFormatPr defaultColWidth="9.140625" defaultRowHeight="15" x14ac:dyDescent="0.25"/>
  <cols>
    <col min="2" max="2" width="20.42578125" customWidth="1"/>
    <col min="3" max="3" width="13.5703125" customWidth="1"/>
    <col min="4" max="5" width="12" customWidth="1"/>
    <col min="6" max="6" width="11.85546875" customWidth="1"/>
    <col min="7" max="8" width="10.85546875" customWidth="1"/>
    <col min="9" max="9" width="12.42578125" customWidth="1"/>
    <col min="10" max="10" width="6" customWidth="1"/>
    <col min="11" max="11" width="10" customWidth="1"/>
    <col min="13" max="13" width="11.7109375" customWidth="1"/>
    <col min="14" max="14" width="11.85546875" customWidth="1"/>
    <col min="15" max="15" width="15.28515625" customWidth="1"/>
    <col min="16" max="16" width="13.85546875" customWidth="1"/>
    <col min="17" max="17" width="11.85546875" bestFit="1" customWidth="1"/>
    <col min="18" max="18" width="12.7109375" customWidth="1"/>
    <col min="19" max="19" width="10.5703125" customWidth="1"/>
  </cols>
  <sheetData>
    <row r="1" spans="2:13" x14ac:dyDescent="0.25">
      <c r="B1" t="s">
        <v>52</v>
      </c>
      <c r="K1" s="1" t="s">
        <v>0</v>
      </c>
    </row>
    <row r="2" spans="2:13" x14ac:dyDescent="0.25">
      <c r="B2" s="1"/>
    </row>
    <row r="3" spans="2:13" x14ac:dyDescent="0.25">
      <c r="C3" s="30">
        <v>2026</v>
      </c>
      <c r="D3" s="31"/>
      <c r="E3" s="31"/>
      <c r="F3" s="31"/>
      <c r="G3" s="31"/>
      <c r="H3" s="31"/>
      <c r="I3" s="32"/>
      <c r="J3" s="21"/>
    </row>
    <row r="4" spans="2:13" ht="61.9" customHeight="1" x14ac:dyDescent="0.25">
      <c r="C4" s="5" t="s">
        <v>1</v>
      </c>
      <c r="D4" s="5" t="s">
        <v>3</v>
      </c>
      <c r="E4" s="5" t="s">
        <v>2</v>
      </c>
      <c r="F4" s="5" t="s">
        <v>12</v>
      </c>
      <c r="G4" s="5" t="s">
        <v>15</v>
      </c>
      <c r="H4" s="5" t="s">
        <v>5</v>
      </c>
      <c r="I4" s="4" t="s">
        <v>6</v>
      </c>
      <c r="J4" s="17"/>
    </row>
    <row r="5" spans="2:13" x14ac:dyDescent="0.25">
      <c r="B5" s="6" t="s">
        <v>16</v>
      </c>
      <c r="C5" s="3">
        <v>18574.93</v>
      </c>
      <c r="D5" s="3">
        <f>(C5/52)</f>
        <v>357.2101923076923</v>
      </c>
      <c r="E5" s="4">
        <v>22</v>
      </c>
      <c r="F5" s="3">
        <f>(D5*E5)/37.5</f>
        <v>209.56331282051281</v>
      </c>
      <c r="G5" s="3">
        <f>F5*5</f>
        <v>1047.8165641025639</v>
      </c>
      <c r="H5" s="3">
        <f>G5*0.3</f>
        <v>314.34496923076915</v>
      </c>
      <c r="I5" s="3">
        <f>G5+H5</f>
        <v>1362.161533333333</v>
      </c>
      <c r="J5" s="22"/>
      <c r="K5" s="33"/>
      <c r="L5" s="33"/>
      <c r="M5" s="33"/>
    </row>
    <row r="6" spans="2:13" x14ac:dyDescent="0.25">
      <c r="B6" s="6" t="s">
        <v>13</v>
      </c>
      <c r="C6" s="3">
        <v>24647.48</v>
      </c>
      <c r="D6" s="3">
        <f t="shared" ref="D6:D7" si="0">(C6/52)</f>
        <v>473.99</v>
      </c>
      <c r="E6" s="4">
        <v>22</v>
      </c>
      <c r="F6" s="3">
        <f t="shared" ref="F6:F7" si="1">(D6*E6)/37.5</f>
        <v>278.07413333333335</v>
      </c>
      <c r="G6" s="3">
        <f t="shared" ref="G6:G7" si="2">F6*5</f>
        <v>1390.3706666666667</v>
      </c>
      <c r="H6" s="3">
        <f t="shared" ref="H6:H8" si="3">G6*0.3</f>
        <v>417.1112</v>
      </c>
      <c r="I6" s="3">
        <f t="shared" ref="I6:I8" si="4">G6+H6</f>
        <v>1807.4818666666667</v>
      </c>
      <c r="J6" s="14"/>
      <c r="L6" s="23"/>
    </row>
    <row r="7" spans="2:13" x14ac:dyDescent="0.25">
      <c r="B7" s="6" t="s">
        <v>14</v>
      </c>
      <c r="C7" s="3">
        <v>25139.040000000001</v>
      </c>
      <c r="D7" s="3">
        <f t="shared" si="0"/>
        <v>483.44307692307694</v>
      </c>
      <c r="E7" s="4">
        <v>35</v>
      </c>
      <c r="F7" s="3">
        <f t="shared" si="1"/>
        <v>451.21353846153846</v>
      </c>
      <c r="G7" s="3">
        <f t="shared" si="2"/>
        <v>2256.0676923076921</v>
      </c>
      <c r="H7" s="3">
        <f t="shared" si="3"/>
        <v>676.82030769230767</v>
      </c>
      <c r="I7" s="3">
        <f t="shared" si="4"/>
        <v>2932.8879999999999</v>
      </c>
      <c r="J7" s="14"/>
      <c r="L7" s="23"/>
    </row>
    <row r="8" spans="2:13" x14ac:dyDescent="0.25">
      <c r="C8" s="34" t="s">
        <v>4</v>
      </c>
      <c r="D8" s="34"/>
      <c r="E8" s="34"/>
      <c r="F8" s="34"/>
      <c r="G8" s="7">
        <f>SUM(G5:G7)</f>
        <v>4694.2549230769228</v>
      </c>
      <c r="H8" s="7">
        <f t="shared" si="3"/>
        <v>1408.2764769230769</v>
      </c>
      <c r="I8" s="7">
        <f t="shared" si="4"/>
        <v>6102.5313999999998</v>
      </c>
      <c r="J8" s="14"/>
      <c r="L8" s="23"/>
    </row>
    <row r="9" spans="2:13" x14ac:dyDescent="0.25">
      <c r="C9" s="35">
        <v>2027</v>
      </c>
      <c r="D9" s="36"/>
      <c r="E9" s="36"/>
      <c r="F9" s="36"/>
      <c r="G9" s="36"/>
      <c r="H9" s="36"/>
      <c r="I9" s="37"/>
      <c r="J9" s="21"/>
      <c r="L9" s="23"/>
    </row>
    <row r="10" spans="2:13" ht="59.45" customHeight="1" x14ac:dyDescent="0.25">
      <c r="C10" s="5" t="s">
        <v>1</v>
      </c>
      <c r="D10" s="5" t="s">
        <v>3</v>
      </c>
      <c r="E10" s="5" t="s">
        <v>2</v>
      </c>
      <c r="F10" s="5" t="s">
        <v>12</v>
      </c>
      <c r="G10" s="5" t="s">
        <v>15</v>
      </c>
      <c r="H10" s="5" t="s">
        <v>5</v>
      </c>
      <c r="I10" s="4" t="s">
        <v>6</v>
      </c>
      <c r="J10" s="17"/>
    </row>
    <row r="11" spans="2:13" x14ac:dyDescent="0.25">
      <c r="B11" s="6" t="s">
        <v>16</v>
      </c>
      <c r="C11" s="3">
        <f>C5*1.0425</f>
        <v>19364.364525000001</v>
      </c>
      <c r="D11" s="3">
        <f>(C11/52)</f>
        <v>372.39162548076922</v>
      </c>
      <c r="E11" s="4">
        <v>22</v>
      </c>
      <c r="F11" s="3">
        <f>(D11*E11)/37.5</f>
        <v>218.4697536153846</v>
      </c>
      <c r="G11" s="3">
        <f>F11*5</f>
        <v>1092.3487680769231</v>
      </c>
      <c r="H11" s="3">
        <f>G11*0.3</f>
        <v>327.70463042307694</v>
      </c>
      <c r="I11" s="3">
        <f>G11+H11</f>
        <v>1420.0533985</v>
      </c>
      <c r="J11" s="14"/>
    </row>
    <row r="12" spans="2:13" x14ac:dyDescent="0.25">
      <c r="B12" s="6" t="s">
        <v>13</v>
      </c>
      <c r="C12" s="3">
        <f>C6*1.0425</f>
        <v>25694.997899999998</v>
      </c>
      <c r="D12" s="3">
        <f t="shared" ref="D12:D13" si="5">(C12/52)</f>
        <v>494.13457499999998</v>
      </c>
      <c r="E12" s="4">
        <v>22</v>
      </c>
      <c r="F12" s="3">
        <f t="shared" ref="F12:F13" si="6">(D12*E12)/37.5</f>
        <v>289.89228399999996</v>
      </c>
      <c r="G12" s="3">
        <f>F12*5</f>
        <v>1449.4614199999999</v>
      </c>
      <c r="H12" s="3">
        <f t="shared" ref="H12:H14" si="7">G12*0.3</f>
        <v>434.83842599999997</v>
      </c>
      <c r="I12" s="3">
        <f t="shared" ref="I12:I14" si="8">G12+H12</f>
        <v>1884.2998459999999</v>
      </c>
      <c r="J12" s="14"/>
    </row>
    <row r="13" spans="2:13" x14ac:dyDescent="0.25">
      <c r="B13" s="6" t="s">
        <v>14</v>
      </c>
      <c r="C13" s="3">
        <f>C7*1.0425</f>
        <v>26207.449199999999</v>
      </c>
      <c r="D13" s="3">
        <f t="shared" si="5"/>
        <v>503.98940769230768</v>
      </c>
      <c r="E13" s="4">
        <v>35</v>
      </c>
      <c r="F13" s="3">
        <f t="shared" si="6"/>
        <v>470.39011384615384</v>
      </c>
      <c r="G13" s="3">
        <f>F13*5</f>
        <v>2351.9505692307694</v>
      </c>
      <c r="H13" s="3">
        <f t="shared" si="7"/>
        <v>705.58517076923079</v>
      </c>
      <c r="I13" s="3">
        <f t="shared" si="8"/>
        <v>3057.5357400000003</v>
      </c>
      <c r="J13" s="14"/>
    </row>
    <row r="14" spans="2:13" x14ac:dyDescent="0.25">
      <c r="C14" s="38" t="s">
        <v>4</v>
      </c>
      <c r="D14" s="38"/>
      <c r="E14" s="38"/>
      <c r="F14" s="38"/>
      <c r="G14" s="8">
        <f>SUM(G11:G13)</f>
        <v>4893.7607573076921</v>
      </c>
      <c r="H14" s="8">
        <f t="shared" si="7"/>
        <v>1468.1282271923076</v>
      </c>
      <c r="I14" s="8">
        <f t="shared" si="8"/>
        <v>6361.8889844999994</v>
      </c>
      <c r="J14" s="14"/>
    </row>
    <row r="15" spans="2:13" x14ac:dyDescent="0.25">
      <c r="C15" s="13"/>
      <c r="D15" s="13"/>
      <c r="E15" s="13"/>
      <c r="F15" s="13"/>
      <c r="G15" s="14"/>
      <c r="H15" s="14"/>
      <c r="I15" s="14"/>
      <c r="J15" s="14"/>
    </row>
    <row r="16" spans="2:13" x14ac:dyDescent="0.25">
      <c r="C16" s="15" t="s">
        <v>18</v>
      </c>
      <c r="D16" s="15" t="s">
        <v>23</v>
      </c>
      <c r="E16" t="s">
        <v>24</v>
      </c>
      <c r="F16" s="17" t="s">
        <v>20</v>
      </c>
      <c r="G16" s="18"/>
      <c r="H16" s="18"/>
      <c r="I16" s="14"/>
      <c r="J16" s="14"/>
    </row>
    <row r="17" spans="2:16" x14ac:dyDescent="0.25">
      <c r="B17" t="s">
        <v>21</v>
      </c>
      <c r="C17" s="16">
        <v>450</v>
      </c>
      <c r="D17" s="17">
        <v>6</v>
      </c>
      <c r="E17" s="17">
        <v>3</v>
      </c>
      <c r="F17" s="16">
        <f>C17*D17*E17</f>
        <v>8100</v>
      </c>
      <c r="G17" s="19"/>
      <c r="H17" s="14"/>
      <c r="I17" s="14"/>
      <c r="J17" s="14"/>
    </row>
    <row r="18" spans="2:16" x14ac:dyDescent="0.25">
      <c r="B18" t="s">
        <v>22</v>
      </c>
      <c r="C18" s="16">
        <v>6</v>
      </c>
      <c r="D18" s="17">
        <v>300</v>
      </c>
      <c r="E18" s="17">
        <v>2</v>
      </c>
      <c r="F18" s="16">
        <f>C18*D18*E18</f>
        <v>3600</v>
      </c>
      <c r="G18" s="19"/>
      <c r="H18" s="14"/>
      <c r="I18" s="14"/>
      <c r="J18" s="14"/>
    </row>
    <row r="19" spans="2:16" x14ac:dyDescent="0.25">
      <c r="C19" s="13"/>
      <c r="D19" s="39" t="s">
        <v>19</v>
      </c>
      <c r="E19" s="39"/>
      <c r="F19" s="13">
        <f>F18+F17</f>
        <v>11700</v>
      </c>
      <c r="G19" s="14"/>
      <c r="H19" s="14"/>
      <c r="I19" s="14"/>
      <c r="J19" s="14"/>
    </row>
    <row r="20" spans="2:16" x14ac:dyDescent="0.25">
      <c r="H20" s="14"/>
    </row>
    <row r="21" spans="2:16" x14ac:dyDescent="0.25">
      <c r="C21" t="s">
        <v>48</v>
      </c>
      <c r="D21" t="s">
        <v>47</v>
      </c>
      <c r="E21" t="s">
        <v>20</v>
      </c>
      <c r="H21" s="14"/>
    </row>
    <row r="22" spans="2:16" x14ac:dyDescent="0.25">
      <c r="B22" t="s">
        <v>46</v>
      </c>
      <c r="C22" s="16">
        <v>15</v>
      </c>
      <c r="D22" s="17">
        <v>300</v>
      </c>
      <c r="E22" s="16">
        <f>D22*C22</f>
        <v>4500</v>
      </c>
      <c r="H22" s="14"/>
    </row>
    <row r="24" spans="2:16" x14ac:dyDescent="0.25">
      <c r="C24" s="4">
        <v>2026</v>
      </c>
      <c r="D24" s="4">
        <v>2027</v>
      </c>
      <c r="E24" s="40" t="s">
        <v>4</v>
      </c>
    </row>
    <row r="25" spans="2:16" x14ac:dyDescent="0.25">
      <c r="B25" s="2" t="s">
        <v>7</v>
      </c>
      <c r="C25" s="3">
        <f>(I5*28)+(2*I6)+I7</f>
        <v>44688.374666666656</v>
      </c>
      <c r="D25" s="3">
        <f>(I11*28)+(2*I12)+I13</f>
        <v>46587.630589999993</v>
      </c>
      <c r="E25" s="40"/>
      <c r="F25" s="14">
        <f>(C25+D25)/2</f>
        <v>45638.002628333328</v>
      </c>
    </row>
    <row r="26" spans="2:16" x14ac:dyDescent="0.25">
      <c r="B26" s="2" t="s">
        <v>8</v>
      </c>
      <c r="C26" s="3">
        <f t="shared" ref="C26:D26" si="9">C25*0.08</f>
        <v>3575.0699733333327</v>
      </c>
      <c r="D26" s="3">
        <f t="shared" si="9"/>
        <v>3727.0104471999994</v>
      </c>
      <c r="E26" s="40"/>
      <c r="F26" s="14">
        <f t="shared" ref="F26:F32" si="10">(C26+D26)/2</f>
        <v>3651.0402102666658</v>
      </c>
    </row>
    <row r="27" spans="2:16" x14ac:dyDescent="0.25">
      <c r="B27" s="2" t="s">
        <v>17</v>
      </c>
      <c r="C27" s="3">
        <f>F19</f>
        <v>11700</v>
      </c>
      <c r="D27" s="3">
        <f>F19</f>
        <v>11700</v>
      </c>
      <c r="E27" s="40"/>
      <c r="F27" s="14">
        <f t="shared" si="10"/>
        <v>11700</v>
      </c>
    </row>
    <row r="28" spans="2:16" x14ac:dyDescent="0.25">
      <c r="B28" s="2" t="s">
        <v>9</v>
      </c>
      <c r="C28" s="3">
        <v>3000</v>
      </c>
      <c r="D28" s="3">
        <v>3000</v>
      </c>
      <c r="E28" s="40"/>
      <c r="F28" s="14">
        <f t="shared" si="10"/>
        <v>3000</v>
      </c>
    </row>
    <row r="29" spans="2:16" x14ac:dyDescent="0.25">
      <c r="B29" s="2" t="s">
        <v>25</v>
      </c>
      <c r="C29" s="3">
        <f>E22</f>
        <v>4500</v>
      </c>
      <c r="D29" s="3">
        <f>E22*1.05</f>
        <v>4725</v>
      </c>
      <c r="E29" s="40"/>
      <c r="F29" s="14">
        <f t="shared" si="10"/>
        <v>4612.5</v>
      </c>
    </row>
    <row r="30" spans="2:16" x14ac:dyDescent="0.25">
      <c r="B30" s="9" t="s">
        <v>11</v>
      </c>
      <c r="C30" s="3">
        <f>SUM(C25:C29)</f>
        <v>67463.444639999987</v>
      </c>
      <c r="D30" s="3">
        <f>SUM(D25:D29)</f>
        <v>69739.641037199995</v>
      </c>
      <c r="E30" s="40"/>
      <c r="F30" s="14">
        <f t="shared" si="10"/>
        <v>68601.542838599999</v>
      </c>
    </row>
    <row r="31" spans="2:16" x14ac:dyDescent="0.25">
      <c r="B31" s="2" t="s">
        <v>10</v>
      </c>
      <c r="C31" s="3">
        <f>C30*0.06</f>
        <v>4047.8066783999989</v>
      </c>
      <c r="D31" s="3">
        <f>D30*0.06</f>
        <v>4184.3784622319999</v>
      </c>
      <c r="E31" s="40"/>
      <c r="F31" s="14">
        <f t="shared" si="10"/>
        <v>4116.0925703159992</v>
      </c>
      <c r="I31" s="29" t="s">
        <v>35</v>
      </c>
      <c r="J31" s="29"/>
      <c r="K31" s="29"/>
      <c r="L31" s="29"/>
      <c r="M31" s="29"/>
    </row>
    <row r="32" spans="2:16" x14ac:dyDescent="0.25">
      <c r="B32" s="11" t="s">
        <v>4</v>
      </c>
      <c r="C32" s="12">
        <f t="shared" ref="C32:D32" si="11">C31+C30</f>
        <v>71511.251318399984</v>
      </c>
      <c r="D32" s="12">
        <f t="shared" si="11"/>
        <v>73924.01949943199</v>
      </c>
      <c r="E32" s="10">
        <f>SUM(C32:D32)</f>
        <v>145435.27081783197</v>
      </c>
      <c r="F32" s="14">
        <f t="shared" si="10"/>
        <v>72717.635408915987</v>
      </c>
      <c r="I32" s="29" t="s">
        <v>36</v>
      </c>
      <c r="J32" s="29"/>
      <c r="K32" s="29"/>
      <c r="L32" s="29"/>
      <c r="M32" s="3">
        <f>C35</f>
        <v>73000</v>
      </c>
      <c r="P32" s="14">
        <f>E37</f>
        <v>85727.27</v>
      </c>
    </row>
    <row r="33" spans="1:18" x14ac:dyDescent="0.25">
      <c r="I33" s="29" t="s">
        <v>37</v>
      </c>
      <c r="J33" s="29"/>
      <c r="K33" s="29"/>
      <c r="L33" s="29"/>
      <c r="M33" s="3">
        <f>M32*1.1</f>
        <v>80300</v>
      </c>
      <c r="N33" s="14">
        <f>M33-3300</f>
        <v>77000</v>
      </c>
    </row>
    <row r="34" spans="1:18" x14ac:dyDescent="0.25">
      <c r="C34" t="s">
        <v>40</v>
      </c>
    </row>
    <row r="35" spans="1:18" x14ac:dyDescent="0.25">
      <c r="A35" s="28" t="s">
        <v>29</v>
      </c>
      <c r="B35" s="2" t="s">
        <v>32</v>
      </c>
      <c r="C35" s="3">
        <v>73000</v>
      </c>
      <c r="D35" t="s">
        <v>33</v>
      </c>
      <c r="F35" s="14">
        <f>C35*2</f>
        <v>146000</v>
      </c>
      <c r="I35" s="29" t="s">
        <v>38</v>
      </c>
      <c r="J35" s="29"/>
      <c r="K35" s="29"/>
      <c r="L35" s="29"/>
      <c r="M35" s="29"/>
    </row>
    <row r="36" spans="1:18" x14ac:dyDescent="0.25">
      <c r="A36" s="28"/>
      <c r="B36" s="2" t="s">
        <v>31</v>
      </c>
      <c r="C36" s="3">
        <v>12727.27</v>
      </c>
      <c r="D36" t="s">
        <v>34</v>
      </c>
      <c r="I36" s="29" t="s">
        <v>36</v>
      </c>
      <c r="J36" s="29"/>
      <c r="K36" s="29"/>
      <c r="L36" s="29"/>
      <c r="M36" s="3">
        <f>C36</f>
        <v>12727.27</v>
      </c>
    </row>
    <row r="37" spans="1:18" x14ac:dyDescent="0.25">
      <c r="B37" s="2" t="s">
        <v>26</v>
      </c>
      <c r="C37" s="24">
        <v>2</v>
      </c>
      <c r="D37" s="3">
        <f>(C36+C35)*C37</f>
        <v>171454.54</v>
      </c>
      <c r="E37" s="3">
        <f>D37/2</f>
        <v>85727.27</v>
      </c>
      <c r="I37" s="29" t="s">
        <v>37</v>
      </c>
      <c r="J37" s="29"/>
      <c r="K37" s="29"/>
      <c r="L37" s="29"/>
      <c r="M37" s="3">
        <f>M36*1.1</f>
        <v>13999.997000000001</v>
      </c>
    </row>
    <row r="38" spans="1:18" x14ac:dyDescent="0.25">
      <c r="B38" s="2" t="s">
        <v>27</v>
      </c>
      <c r="C38" s="24">
        <v>1</v>
      </c>
      <c r="D38" s="3">
        <f>(C35+C36)*C38</f>
        <v>85727.27</v>
      </c>
    </row>
    <row r="39" spans="1:18" x14ac:dyDescent="0.25">
      <c r="B39" s="2" t="s">
        <v>28</v>
      </c>
      <c r="C39" s="25">
        <v>0.2</v>
      </c>
      <c r="D39" s="3">
        <f>D37*C39</f>
        <v>34290.908000000003</v>
      </c>
      <c r="I39" s="29" t="s">
        <v>39</v>
      </c>
      <c r="J39" s="29"/>
      <c r="K39" s="29"/>
      <c r="L39" s="29"/>
      <c r="M39" s="29"/>
      <c r="O39" s="17" t="s">
        <v>44</v>
      </c>
    </row>
    <row r="40" spans="1:18" x14ac:dyDescent="0.25">
      <c r="D40" s="3">
        <f>SUM(D37:D39)</f>
        <v>291472.71799999999</v>
      </c>
      <c r="I40" s="29" t="s">
        <v>36</v>
      </c>
      <c r="J40" s="29"/>
      <c r="K40" s="29"/>
      <c r="L40" s="29"/>
      <c r="M40" s="3">
        <f>M32+M36</f>
        <v>85727.27</v>
      </c>
      <c r="N40" s="17"/>
      <c r="O40" s="16">
        <f>M40*2</f>
        <v>171454.54</v>
      </c>
      <c r="P40" s="17"/>
      <c r="Q40" s="14"/>
      <c r="R40" s="14"/>
    </row>
    <row r="41" spans="1:18" x14ac:dyDescent="0.25">
      <c r="B41" s="2" t="s">
        <v>30</v>
      </c>
      <c r="C41" s="20">
        <f>(C35+C36)*0.1</f>
        <v>8572.7270000000008</v>
      </c>
      <c r="D41" s="14">
        <f>D42-D40</f>
        <v>29147.271800000046</v>
      </c>
      <c r="I41" s="29" t="s">
        <v>37</v>
      </c>
      <c r="J41" s="29"/>
      <c r="K41" s="29"/>
      <c r="L41" s="29"/>
      <c r="M41" s="3">
        <f>M33+M37</f>
        <v>94299.997000000003</v>
      </c>
      <c r="N41" s="16">
        <f>M41-M40</f>
        <v>8572.726999999999</v>
      </c>
      <c r="O41" s="16">
        <f>M41*2</f>
        <v>188599.99400000001</v>
      </c>
      <c r="P41" s="16">
        <f>O41-O40</f>
        <v>17145.453999999998</v>
      </c>
    </row>
    <row r="42" spans="1:18" x14ac:dyDescent="0.25">
      <c r="C42" s="3">
        <f>C41+C35+C36</f>
        <v>94299.997000000003</v>
      </c>
      <c r="D42" s="3">
        <f>D40*1.1</f>
        <v>320619.98980000004</v>
      </c>
    </row>
    <row r="43" spans="1:18" ht="30" x14ac:dyDescent="0.25">
      <c r="L43" s="26"/>
      <c r="M43" s="26" t="s">
        <v>49</v>
      </c>
      <c r="N43" s="26" t="s">
        <v>43</v>
      </c>
      <c r="O43" s="26"/>
    </row>
    <row r="44" spans="1:18" x14ac:dyDescent="0.25">
      <c r="L44" s="26" t="s">
        <v>41</v>
      </c>
      <c r="M44" s="15">
        <f>M40*3</f>
        <v>257181.81</v>
      </c>
      <c r="N44" s="15">
        <f>D39</f>
        <v>34290.908000000003</v>
      </c>
      <c r="O44" s="15">
        <f>N44+M44</f>
        <v>291472.71799999999</v>
      </c>
    </row>
    <row r="45" spans="1:18" x14ac:dyDescent="0.25">
      <c r="C45" s="4">
        <v>2026</v>
      </c>
      <c r="L45" s="26" t="s">
        <v>42</v>
      </c>
      <c r="M45" s="15">
        <f>M41*3</f>
        <v>282899.99100000004</v>
      </c>
      <c r="N45" s="15">
        <f>N44*1.1</f>
        <v>37719.998800000008</v>
      </c>
      <c r="O45" s="15">
        <f>N45+M45</f>
        <v>320619.98980000004</v>
      </c>
    </row>
    <row r="46" spans="1:18" x14ac:dyDescent="0.25">
      <c r="B46" s="2" t="s">
        <v>7</v>
      </c>
      <c r="C46" s="3">
        <v>46000</v>
      </c>
    </row>
    <row r="47" spans="1:18" x14ac:dyDescent="0.25">
      <c r="B47" s="2" t="s">
        <v>8</v>
      </c>
      <c r="C47" s="3">
        <v>3650</v>
      </c>
    </row>
    <row r="48" spans="1:18" x14ac:dyDescent="0.25">
      <c r="B48" s="2" t="s">
        <v>17</v>
      </c>
      <c r="C48" s="3">
        <v>11700</v>
      </c>
    </row>
    <row r="49" spans="2:5" x14ac:dyDescent="0.25">
      <c r="B49" s="2" t="s">
        <v>9</v>
      </c>
      <c r="C49" s="3">
        <v>3000</v>
      </c>
    </row>
    <row r="50" spans="2:5" x14ac:dyDescent="0.25">
      <c r="B50" s="2" t="s">
        <v>25</v>
      </c>
      <c r="C50" s="3">
        <v>4600</v>
      </c>
    </row>
    <row r="51" spans="2:5" x14ac:dyDescent="0.25">
      <c r="B51" s="9" t="s">
        <v>11</v>
      </c>
      <c r="C51" s="3">
        <f>SUM(C46:C50)</f>
        <v>68950</v>
      </c>
    </row>
    <row r="52" spans="2:5" x14ac:dyDescent="0.25">
      <c r="B52" s="2" t="s">
        <v>10</v>
      </c>
      <c r="C52" s="3">
        <v>4050</v>
      </c>
      <c r="D52" s="14">
        <f>(C35/5)/300</f>
        <v>48.666666666666664</v>
      </c>
      <c r="E52" t="s">
        <v>45</v>
      </c>
    </row>
    <row r="53" spans="2:5" x14ac:dyDescent="0.25">
      <c r="B53" s="2"/>
      <c r="C53" s="3">
        <f>C36</f>
        <v>12727.27</v>
      </c>
    </row>
    <row r="54" spans="2:5" x14ac:dyDescent="0.25">
      <c r="B54" s="11" t="s">
        <v>4</v>
      </c>
      <c r="C54" s="12">
        <f>C52+C51+C53</f>
        <v>85727.27</v>
      </c>
    </row>
  </sheetData>
  <mergeCells count="17">
    <mergeCell ref="C14:F14"/>
    <mergeCell ref="C3:I3"/>
    <mergeCell ref="C9:I9"/>
    <mergeCell ref="E24:E31"/>
    <mergeCell ref="C8:F8"/>
    <mergeCell ref="D19:E19"/>
    <mergeCell ref="I31:M31"/>
    <mergeCell ref="K5:M5"/>
    <mergeCell ref="I39:M39"/>
    <mergeCell ref="I40:L40"/>
    <mergeCell ref="I41:L41"/>
    <mergeCell ref="A35:A36"/>
    <mergeCell ref="I32:L32"/>
    <mergeCell ref="I33:L33"/>
    <mergeCell ref="I35:M35"/>
    <mergeCell ref="I36:L36"/>
    <mergeCell ref="I37:L37"/>
  </mergeCells>
  <pageMargins left="0.25" right="0.25" top="0.75" bottom="0.75" header="0.3" footer="0.3"/>
  <pageSetup paperSize="9" scale="54" orientation="landscape" r:id="rId1"/>
  <ignoredErrors>
    <ignoredError sqref="O4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77663-C77D-4B4D-871C-7DB65FCE53D4}">
  <sheetPr>
    <pageSetUpPr fitToPage="1"/>
  </sheetPr>
  <dimension ref="A1:R56"/>
  <sheetViews>
    <sheetView topLeftCell="A24" workbookViewId="0">
      <selection activeCell="M43" sqref="M43"/>
    </sheetView>
  </sheetViews>
  <sheetFormatPr defaultColWidth="9.140625" defaultRowHeight="15" x14ac:dyDescent="0.25"/>
  <cols>
    <col min="2" max="2" width="20.42578125" customWidth="1"/>
    <col min="3" max="3" width="13.5703125" customWidth="1"/>
    <col min="4" max="5" width="12" customWidth="1"/>
    <col min="6" max="6" width="11.85546875" customWidth="1"/>
    <col min="7" max="8" width="10.85546875" customWidth="1"/>
    <col min="9" max="9" width="12.42578125" customWidth="1"/>
    <col min="10" max="10" width="6" customWidth="1"/>
    <col min="11" max="11" width="10" customWidth="1"/>
    <col min="13" max="13" width="11.7109375" customWidth="1"/>
    <col min="14" max="14" width="11.85546875" customWidth="1"/>
    <col min="15" max="15" width="15.28515625" customWidth="1"/>
    <col min="16" max="16" width="13.85546875" customWidth="1"/>
    <col min="17" max="17" width="11.85546875" bestFit="1" customWidth="1"/>
    <col min="18" max="18" width="12.7109375" customWidth="1"/>
    <col min="19" max="19" width="10.5703125" customWidth="1"/>
  </cols>
  <sheetData>
    <row r="1" spans="2:13" x14ac:dyDescent="0.25">
      <c r="B1" t="s">
        <v>51</v>
      </c>
      <c r="K1" s="1" t="s">
        <v>0</v>
      </c>
    </row>
    <row r="2" spans="2:13" x14ac:dyDescent="0.25">
      <c r="B2" s="1"/>
    </row>
    <row r="3" spans="2:13" x14ac:dyDescent="0.25">
      <c r="B3" s="1"/>
    </row>
    <row r="4" spans="2:13" x14ac:dyDescent="0.25">
      <c r="B4" s="1"/>
    </row>
    <row r="5" spans="2:13" x14ac:dyDescent="0.25">
      <c r="C5" s="30">
        <v>2026</v>
      </c>
      <c r="D5" s="31"/>
      <c r="E5" s="31"/>
      <c r="F5" s="31"/>
      <c r="G5" s="31"/>
      <c r="H5" s="31"/>
      <c r="I5" s="32"/>
      <c r="J5" s="21"/>
    </row>
    <row r="6" spans="2:13" ht="61.9" customHeight="1" x14ac:dyDescent="0.25">
      <c r="C6" s="5" t="s">
        <v>1</v>
      </c>
      <c r="D6" s="5" t="s">
        <v>3</v>
      </c>
      <c r="E6" s="5" t="s">
        <v>2</v>
      </c>
      <c r="F6" s="5" t="s">
        <v>12</v>
      </c>
      <c r="G6" s="5" t="s">
        <v>50</v>
      </c>
      <c r="H6" s="5" t="s">
        <v>5</v>
      </c>
      <c r="I6" s="4" t="s">
        <v>6</v>
      </c>
      <c r="J6" s="17"/>
    </row>
    <row r="7" spans="2:13" x14ac:dyDescent="0.25">
      <c r="B7" s="6" t="s">
        <v>16</v>
      </c>
      <c r="C7" s="3">
        <v>18574.93</v>
      </c>
      <c r="D7" s="3">
        <f>(C7/52)</f>
        <v>357.2101923076923</v>
      </c>
      <c r="E7" s="4">
        <v>22</v>
      </c>
      <c r="F7" s="3">
        <f>(D7*E7)/37.5</f>
        <v>209.56331282051281</v>
      </c>
      <c r="G7" s="3">
        <f>F7*6</f>
        <v>1257.3798769230768</v>
      </c>
      <c r="H7" s="3">
        <f>G7*0.3</f>
        <v>377.21396307692305</v>
      </c>
      <c r="I7" s="3">
        <f>G7+H7</f>
        <v>1634.59384</v>
      </c>
      <c r="J7" s="22"/>
      <c r="K7" s="33"/>
      <c r="L7" s="33"/>
      <c r="M7" s="33"/>
    </row>
    <row r="8" spans="2:13" x14ac:dyDescent="0.25">
      <c r="B8" s="6" t="s">
        <v>13</v>
      </c>
      <c r="C8" s="3">
        <v>24647.48</v>
      </c>
      <c r="D8" s="3">
        <f t="shared" ref="D8:D9" si="0">(C8/52)</f>
        <v>473.99</v>
      </c>
      <c r="E8" s="4">
        <v>22</v>
      </c>
      <c r="F8" s="3">
        <f t="shared" ref="F8:F9" si="1">(D8*E8)/37.5</f>
        <v>278.07413333333335</v>
      </c>
      <c r="G8" s="3">
        <f>F8*6</f>
        <v>1668.4448000000002</v>
      </c>
      <c r="H8" s="3">
        <f t="shared" ref="H8:H10" si="2">G8*0.3</f>
        <v>500.53344000000004</v>
      </c>
      <c r="I8" s="3">
        <f t="shared" ref="I8:I10" si="3">G8+H8</f>
        <v>2168.9782400000004</v>
      </c>
      <c r="J8" s="14"/>
      <c r="L8" s="23"/>
    </row>
    <row r="9" spans="2:13" x14ac:dyDescent="0.25">
      <c r="B9" s="6" t="s">
        <v>14</v>
      </c>
      <c r="C9" s="3">
        <v>25139.040000000001</v>
      </c>
      <c r="D9" s="3">
        <f t="shared" si="0"/>
        <v>483.44307692307694</v>
      </c>
      <c r="E9" s="4">
        <v>35</v>
      </c>
      <c r="F9" s="3">
        <f t="shared" si="1"/>
        <v>451.21353846153846</v>
      </c>
      <c r="G9" s="3">
        <f>F9*6</f>
        <v>2707.2812307692307</v>
      </c>
      <c r="H9" s="3">
        <f t="shared" si="2"/>
        <v>812.18436923076922</v>
      </c>
      <c r="I9" s="3">
        <f t="shared" si="3"/>
        <v>3519.4656</v>
      </c>
      <c r="J9" s="14"/>
      <c r="L9" s="23"/>
    </row>
    <row r="10" spans="2:13" x14ac:dyDescent="0.25">
      <c r="C10" s="34" t="s">
        <v>4</v>
      </c>
      <c r="D10" s="34"/>
      <c r="E10" s="34"/>
      <c r="F10" s="34"/>
      <c r="G10" s="7">
        <f>SUM(G7:G9)</f>
        <v>5633.1059076923084</v>
      </c>
      <c r="H10" s="7">
        <f t="shared" si="2"/>
        <v>1689.9317723076924</v>
      </c>
      <c r="I10" s="7">
        <f t="shared" si="3"/>
        <v>7323.0376800000013</v>
      </c>
      <c r="J10" s="14"/>
      <c r="L10" s="23"/>
    </row>
    <row r="11" spans="2:13" x14ac:dyDescent="0.25">
      <c r="C11" s="35">
        <v>2027</v>
      </c>
      <c r="D11" s="36"/>
      <c r="E11" s="36"/>
      <c r="F11" s="36"/>
      <c r="G11" s="36"/>
      <c r="H11" s="36"/>
      <c r="I11" s="37"/>
      <c r="J11" s="21"/>
      <c r="L11" s="23"/>
    </row>
    <row r="12" spans="2:13" ht="59.45" customHeight="1" x14ac:dyDescent="0.25">
      <c r="C12" s="5" t="s">
        <v>1</v>
      </c>
      <c r="D12" s="5" t="s">
        <v>3</v>
      </c>
      <c r="E12" s="5" t="s">
        <v>2</v>
      </c>
      <c r="F12" s="5" t="s">
        <v>12</v>
      </c>
      <c r="G12" s="5" t="s">
        <v>50</v>
      </c>
      <c r="H12" s="5" t="s">
        <v>5</v>
      </c>
      <c r="I12" s="4" t="s">
        <v>6</v>
      </c>
      <c r="J12" s="17"/>
    </row>
    <row r="13" spans="2:13" x14ac:dyDescent="0.25">
      <c r="B13" s="6" t="s">
        <v>16</v>
      </c>
      <c r="C13" s="3">
        <f>C7*1.0425</f>
        <v>19364.364525000001</v>
      </c>
      <c r="D13" s="3">
        <f>(C13/52)</f>
        <v>372.39162548076922</v>
      </c>
      <c r="E13" s="4">
        <v>22</v>
      </c>
      <c r="F13" s="3">
        <f>(D13*E13)/37.5</f>
        <v>218.4697536153846</v>
      </c>
      <c r="G13" s="3">
        <f>F13*6</f>
        <v>1310.8185216923075</v>
      </c>
      <c r="H13" s="3">
        <f>G13*0.3</f>
        <v>393.24555650769224</v>
      </c>
      <c r="I13" s="3">
        <f>G13+H13</f>
        <v>1704.0640781999998</v>
      </c>
      <c r="J13" s="14"/>
    </row>
    <row r="14" spans="2:13" x14ac:dyDescent="0.25">
      <c r="B14" s="6" t="s">
        <v>13</v>
      </c>
      <c r="C14" s="3">
        <f>C8*1.0425</f>
        <v>25694.997899999998</v>
      </c>
      <c r="D14" s="3">
        <f t="shared" ref="D14:D15" si="4">(C14/52)</f>
        <v>494.13457499999998</v>
      </c>
      <c r="E14" s="4">
        <v>22</v>
      </c>
      <c r="F14" s="3">
        <f t="shared" ref="F14:F15" si="5">(D14*E14)/37.5</f>
        <v>289.89228399999996</v>
      </c>
      <c r="G14" s="3">
        <f>F14*6</f>
        <v>1739.3537039999997</v>
      </c>
      <c r="H14" s="3">
        <f t="shared" ref="H14:H16" si="6">G14*0.3</f>
        <v>521.80611119999992</v>
      </c>
      <c r="I14" s="3">
        <f t="shared" ref="I14:I16" si="7">G14+H14</f>
        <v>2261.1598151999997</v>
      </c>
      <c r="J14" s="14"/>
    </row>
    <row r="15" spans="2:13" x14ac:dyDescent="0.25">
      <c r="B15" s="6" t="s">
        <v>14</v>
      </c>
      <c r="C15" s="3">
        <f>C9*1.0425</f>
        <v>26207.449199999999</v>
      </c>
      <c r="D15" s="3">
        <f t="shared" si="4"/>
        <v>503.98940769230768</v>
      </c>
      <c r="E15" s="4">
        <v>35</v>
      </c>
      <c r="F15" s="3">
        <f t="shared" si="5"/>
        <v>470.39011384615384</v>
      </c>
      <c r="G15" s="3">
        <f>F15*6</f>
        <v>2822.3406830769231</v>
      </c>
      <c r="H15" s="3">
        <f t="shared" si="6"/>
        <v>846.70220492307692</v>
      </c>
      <c r="I15" s="3">
        <f t="shared" si="7"/>
        <v>3669.0428879999999</v>
      </c>
      <c r="J15" s="14"/>
    </row>
    <row r="16" spans="2:13" x14ac:dyDescent="0.25">
      <c r="C16" s="38" t="s">
        <v>4</v>
      </c>
      <c r="D16" s="38"/>
      <c r="E16" s="38"/>
      <c r="F16" s="38"/>
      <c r="G16" s="8">
        <f>SUM(G13:G15)</f>
        <v>5872.5129087692303</v>
      </c>
      <c r="H16" s="8">
        <f t="shared" si="6"/>
        <v>1761.7538726307691</v>
      </c>
      <c r="I16" s="8">
        <f t="shared" si="7"/>
        <v>7634.2667813999997</v>
      </c>
      <c r="J16" s="14"/>
    </row>
    <row r="17" spans="2:10" x14ac:dyDescent="0.25">
      <c r="C17" s="13"/>
      <c r="D17" s="13"/>
      <c r="E17" s="13"/>
      <c r="F17" s="13"/>
      <c r="G17" s="14"/>
      <c r="H17" s="14"/>
      <c r="I17" s="14"/>
      <c r="J17" s="14"/>
    </row>
    <row r="18" spans="2:10" x14ac:dyDescent="0.25">
      <c r="C18" s="15" t="s">
        <v>18</v>
      </c>
      <c r="D18" s="15" t="s">
        <v>23</v>
      </c>
      <c r="E18" t="s">
        <v>24</v>
      </c>
      <c r="F18" s="17" t="s">
        <v>20</v>
      </c>
      <c r="G18" s="18"/>
      <c r="H18" s="18"/>
      <c r="I18" s="14"/>
      <c r="J18" s="14"/>
    </row>
    <row r="19" spans="2:10" x14ac:dyDescent="0.25">
      <c r="B19" t="s">
        <v>21</v>
      </c>
      <c r="C19" s="16">
        <v>450</v>
      </c>
      <c r="D19" s="17">
        <v>6</v>
      </c>
      <c r="E19" s="17">
        <v>3</v>
      </c>
      <c r="F19" s="16">
        <f>C19*D19*E19</f>
        <v>8100</v>
      </c>
      <c r="G19" s="19"/>
      <c r="H19" s="14"/>
      <c r="I19" s="14"/>
      <c r="J19" s="14"/>
    </row>
    <row r="20" spans="2:10" x14ac:dyDescent="0.25">
      <c r="B20" t="s">
        <v>22</v>
      </c>
      <c r="C20" s="16">
        <v>6</v>
      </c>
      <c r="D20" s="17">
        <v>300</v>
      </c>
      <c r="E20" s="17">
        <v>2</v>
      </c>
      <c r="F20" s="16">
        <f>C20*D20*E20</f>
        <v>3600</v>
      </c>
      <c r="G20" s="19"/>
      <c r="H20" s="14"/>
      <c r="I20" s="14"/>
      <c r="J20" s="14"/>
    </row>
    <row r="21" spans="2:10" x14ac:dyDescent="0.25">
      <c r="C21" s="13"/>
      <c r="D21" s="39" t="s">
        <v>19</v>
      </c>
      <c r="E21" s="39"/>
      <c r="F21" s="13">
        <f>F20+F19</f>
        <v>11700</v>
      </c>
      <c r="G21" s="14"/>
      <c r="H21" s="14"/>
      <c r="I21" s="14"/>
      <c r="J21" s="14"/>
    </row>
    <row r="22" spans="2:10" x14ac:dyDescent="0.25">
      <c r="H22" s="14"/>
    </row>
    <row r="23" spans="2:10" x14ac:dyDescent="0.25">
      <c r="C23" t="s">
        <v>48</v>
      </c>
      <c r="D23" t="s">
        <v>47</v>
      </c>
      <c r="E23" t="s">
        <v>20</v>
      </c>
      <c r="H23" s="14"/>
    </row>
    <row r="24" spans="2:10" x14ac:dyDescent="0.25">
      <c r="B24" t="s">
        <v>46</v>
      </c>
      <c r="C24" s="16">
        <v>18</v>
      </c>
      <c r="D24" s="17">
        <v>300</v>
      </c>
      <c r="E24" s="16">
        <f>D24*C24</f>
        <v>5400</v>
      </c>
      <c r="H24" s="14"/>
    </row>
    <row r="26" spans="2:10" x14ac:dyDescent="0.25">
      <c r="C26" s="4">
        <v>2026</v>
      </c>
      <c r="D26" s="4">
        <v>2027</v>
      </c>
      <c r="E26" s="40" t="s">
        <v>4</v>
      </c>
    </row>
    <row r="27" spans="2:10" x14ac:dyDescent="0.25">
      <c r="B27" s="2" t="s">
        <v>7</v>
      </c>
      <c r="C27" s="3">
        <f>(I7*28)+(2*I8)+I9</f>
        <v>53626.049600000006</v>
      </c>
      <c r="D27" s="3">
        <f>(I13*28)+(2*I14)+I15</f>
        <v>55905.156707999995</v>
      </c>
      <c r="E27" s="40"/>
      <c r="F27" s="14">
        <f>(C27+D27)/2</f>
        <v>54765.603153999997</v>
      </c>
    </row>
    <row r="28" spans="2:10" x14ac:dyDescent="0.25">
      <c r="B28" s="2" t="s">
        <v>8</v>
      </c>
      <c r="C28" s="3">
        <f t="shared" ref="C28:D28" si="8">C27*0.08</f>
        <v>4290.0839680000008</v>
      </c>
      <c r="D28" s="3">
        <f t="shared" si="8"/>
        <v>4472.4125366399994</v>
      </c>
      <c r="E28" s="40"/>
      <c r="F28" s="14">
        <f t="shared" ref="F28:F34" si="9">(C28+D28)/2</f>
        <v>4381.2482523199997</v>
      </c>
    </row>
    <row r="29" spans="2:10" x14ac:dyDescent="0.25">
      <c r="B29" s="2" t="s">
        <v>17</v>
      </c>
      <c r="C29" s="3">
        <f>F21</f>
        <v>11700</v>
      </c>
      <c r="D29" s="3">
        <f>F21</f>
        <v>11700</v>
      </c>
      <c r="E29" s="40"/>
      <c r="F29" s="14">
        <f t="shared" si="9"/>
        <v>11700</v>
      </c>
    </row>
    <row r="30" spans="2:10" x14ac:dyDescent="0.25">
      <c r="B30" s="2" t="s">
        <v>9</v>
      </c>
      <c r="C30" s="3">
        <v>3000</v>
      </c>
      <c r="D30" s="3">
        <v>3000</v>
      </c>
      <c r="E30" s="40"/>
      <c r="F30" s="14">
        <f t="shared" si="9"/>
        <v>3000</v>
      </c>
    </row>
    <row r="31" spans="2:10" x14ac:dyDescent="0.25">
      <c r="B31" s="2" t="s">
        <v>25</v>
      </c>
      <c r="C31" s="3">
        <f>E24</f>
        <v>5400</v>
      </c>
      <c r="D31" s="3">
        <f>E24*1.05</f>
        <v>5670</v>
      </c>
      <c r="E31" s="40"/>
      <c r="F31" s="14">
        <f t="shared" si="9"/>
        <v>5535</v>
      </c>
    </row>
    <row r="32" spans="2:10" x14ac:dyDescent="0.25">
      <c r="B32" s="9" t="s">
        <v>11</v>
      </c>
      <c r="C32" s="3">
        <f>SUM(C27:C31)</f>
        <v>78016.133568000005</v>
      </c>
      <c r="D32" s="3">
        <f>SUM(D27:D31)</f>
        <v>80747.569244639992</v>
      </c>
      <c r="E32" s="40"/>
      <c r="F32" s="14">
        <f t="shared" si="9"/>
        <v>79381.851406319998</v>
      </c>
    </row>
    <row r="33" spans="1:18" x14ac:dyDescent="0.25">
      <c r="B33" s="2" t="s">
        <v>10</v>
      </c>
      <c r="C33" s="3">
        <f>C32*0.06</f>
        <v>4680.9680140800001</v>
      </c>
      <c r="D33" s="3">
        <f>D32*0.06</f>
        <v>4844.854154678399</v>
      </c>
      <c r="E33" s="40"/>
      <c r="F33" s="14">
        <f t="shared" si="9"/>
        <v>4762.9110843791996</v>
      </c>
      <c r="I33" s="29" t="s">
        <v>35</v>
      </c>
      <c r="J33" s="29"/>
      <c r="K33" s="29"/>
      <c r="L33" s="29"/>
      <c r="M33" s="29"/>
    </row>
    <row r="34" spans="1:18" x14ac:dyDescent="0.25">
      <c r="B34" s="11" t="s">
        <v>4</v>
      </c>
      <c r="C34" s="12">
        <f t="shared" ref="C34:D34" si="10">C33+C32</f>
        <v>82697.101582080009</v>
      </c>
      <c r="D34" s="12">
        <f t="shared" si="10"/>
        <v>85592.423399318388</v>
      </c>
      <c r="E34" s="10">
        <f>SUM(C34:D34)</f>
        <v>168289.5249813984</v>
      </c>
      <c r="F34" s="14">
        <f t="shared" si="9"/>
        <v>84144.762490699199</v>
      </c>
      <c r="I34" s="29" t="s">
        <v>36</v>
      </c>
      <c r="J34" s="29"/>
      <c r="K34" s="29"/>
      <c r="L34" s="29"/>
      <c r="M34" s="3">
        <f>C37</f>
        <v>84200</v>
      </c>
      <c r="P34" s="14">
        <f>E39</f>
        <v>96927.27</v>
      </c>
    </row>
    <row r="35" spans="1:18" x14ac:dyDescent="0.25">
      <c r="I35" s="29" t="s">
        <v>37</v>
      </c>
      <c r="J35" s="29"/>
      <c r="K35" s="29"/>
      <c r="L35" s="29"/>
      <c r="M35" s="3">
        <f>M34*1.1</f>
        <v>92620.000000000015</v>
      </c>
      <c r="N35" s="14">
        <f>M35-3300</f>
        <v>89320.000000000015</v>
      </c>
    </row>
    <row r="36" spans="1:18" x14ac:dyDescent="0.25">
      <c r="C36" t="s">
        <v>40</v>
      </c>
    </row>
    <row r="37" spans="1:18" x14ac:dyDescent="0.25">
      <c r="A37" s="28" t="s">
        <v>29</v>
      </c>
      <c r="B37" s="2" t="s">
        <v>32</v>
      </c>
      <c r="C37" s="3">
        <v>84200</v>
      </c>
      <c r="D37" t="s">
        <v>33</v>
      </c>
      <c r="F37" s="14">
        <f>(C37*1.1)*2</f>
        <v>185240.00000000003</v>
      </c>
      <c r="I37" s="29" t="s">
        <v>38</v>
      </c>
      <c r="J37" s="29"/>
      <c r="K37" s="29"/>
      <c r="L37" s="29"/>
      <c r="M37" s="29"/>
    </row>
    <row r="38" spans="1:18" x14ac:dyDescent="0.25">
      <c r="A38" s="28"/>
      <c r="B38" s="2" t="s">
        <v>31</v>
      </c>
      <c r="C38" s="3">
        <v>12727.27</v>
      </c>
      <c r="D38" t="s">
        <v>34</v>
      </c>
      <c r="I38" s="29" t="s">
        <v>36</v>
      </c>
      <c r="J38" s="29"/>
      <c r="K38" s="29"/>
      <c r="L38" s="29"/>
      <c r="M38" s="3">
        <f>C38</f>
        <v>12727.27</v>
      </c>
    </row>
    <row r="39" spans="1:18" x14ac:dyDescent="0.25">
      <c r="B39" s="2" t="s">
        <v>26</v>
      </c>
      <c r="C39" s="24">
        <v>2</v>
      </c>
      <c r="D39" s="3">
        <f>(C38+C37)*C39</f>
        <v>193854.54</v>
      </c>
      <c r="E39" s="3">
        <f>D39/2</f>
        <v>96927.27</v>
      </c>
      <c r="I39" s="29" t="s">
        <v>37</v>
      </c>
      <c r="J39" s="29"/>
      <c r="K39" s="29"/>
      <c r="L39" s="29"/>
      <c r="M39" s="3">
        <f>M38*1.1</f>
        <v>13999.997000000001</v>
      </c>
    </row>
    <row r="40" spans="1:18" x14ac:dyDescent="0.25">
      <c r="B40" s="2" t="s">
        <v>27</v>
      </c>
      <c r="C40" s="24">
        <v>1</v>
      </c>
      <c r="D40" s="3">
        <f>(C37+C38)*C40</f>
        <v>96927.27</v>
      </c>
    </row>
    <row r="41" spans="1:18" x14ac:dyDescent="0.25">
      <c r="B41" s="2" t="s">
        <v>28</v>
      </c>
      <c r="C41" s="25">
        <v>0.2</v>
      </c>
      <c r="D41" s="3">
        <f>D39*C41</f>
        <v>38770.908000000003</v>
      </c>
      <c r="I41" s="29" t="s">
        <v>39</v>
      </c>
      <c r="J41" s="29"/>
      <c r="K41" s="29"/>
      <c r="L41" s="29"/>
      <c r="M41" s="29"/>
      <c r="O41" s="17" t="s">
        <v>44</v>
      </c>
    </row>
    <row r="42" spans="1:18" x14ac:dyDescent="0.25">
      <c r="D42" s="3">
        <f>SUM(D39:D41)</f>
        <v>329552.71799999999</v>
      </c>
      <c r="I42" s="29" t="s">
        <v>36</v>
      </c>
      <c r="J42" s="29"/>
      <c r="K42" s="29"/>
      <c r="L42" s="29"/>
      <c r="M42" s="3">
        <f>M34+M38</f>
        <v>96927.27</v>
      </c>
      <c r="N42" s="17"/>
      <c r="O42" s="16">
        <f>M42*2</f>
        <v>193854.54</v>
      </c>
      <c r="P42" s="17"/>
      <c r="Q42" s="14"/>
      <c r="R42" s="14"/>
    </row>
    <row r="43" spans="1:18" x14ac:dyDescent="0.25">
      <c r="B43" s="2" t="s">
        <v>30</v>
      </c>
      <c r="C43" s="20">
        <f>(C37+C38)*0.1</f>
        <v>9692.7270000000008</v>
      </c>
      <c r="D43" s="14">
        <f>D44-D42</f>
        <v>32955.271800000046</v>
      </c>
      <c r="I43" s="29" t="s">
        <v>37</v>
      </c>
      <c r="J43" s="29"/>
      <c r="K43" s="29"/>
      <c r="L43" s="29"/>
      <c r="M43" s="3">
        <f>M35+M39</f>
        <v>106619.99700000002</v>
      </c>
      <c r="N43" s="16">
        <f>M43-M42</f>
        <v>9692.7270000000135</v>
      </c>
      <c r="O43" s="16">
        <f>M43*2</f>
        <v>213239.99400000004</v>
      </c>
      <c r="P43" s="16">
        <f>O43-O42</f>
        <v>19385.454000000027</v>
      </c>
    </row>
    <row r="44" spans="1:18" x14ac:dyDescent="0.25">
      <c r="C44" s="3">
        <f>C43+C37+C38</f>
        <v>106619.997</v>
      </c>
      <c r="D44" s="3">
        <f>D42*1.1</f>
        <v>362507.98980000004</v>
      </c>
    </row>
    <row r="45" spans="1:18" ht="30" x14ac:dyDescent="0.25">
      <c r="L45" s="26"/>
      <c r="M45" s="26" t="s">
        <v>49</v>
      </c>
      <c r="N45" s="26" t="s">
        <v>43</v>
      </c>
      <c r="O45" s="26"/>
    </row>
    <row r="46" spans="1:18" x14ac:dyDescent="0.25">
      <c r="L46" s="26" t="s">
        <v>41</v>
      </c>
      <c r="M46" s="15">
        <f>M42*3</f>
        <v>290781.81</v>
      </c>
      <c r="N46" s="27">
        <f>D41</f>
        <v>38770.908000000003</v>
      </c>
      <c r="O46" s="15">
        <f>N46+M46</f>
        <v>329552.71799999999</v>
      </c>
    </row>
    <row r="47" spans="1:18" x14ac:dyDescent="0.25">
      <c r="C47" s="4">
        <v>2026</v>
      </c>
      <c r="L47" s="26" t="s">
        <v>42</v>
      </c>
      <c r="M47" s="15">
        <f>M43*3</f>
        <v>319859.99100000004</v>
      </c>
      <c r="N47" s="27">
        <f>N46*1.1</f>
        <v>42647.998800000008</v>
      </c>
      <c r="O47" s="15">
        <f>N47+M47</f>
        <v>362507.98980000004</v>
      </c>
    </row>
    <row r="48" spans="1:18" x14ac:dyDescent="0.25">
      <c r="B48" s="2" t="s">
        <v>7</v>
      </c>
      <c r="C48" s="3">
        <v>54800</v>
      </c>
    </row>
    <row r="49" spans="2:5" x14ac:dyDescent="0.25">
      <c r="B49" s="2" t="s">
        <v>8</v>
      </c>
      <c r="C49" s="3">
        <v>4400</v>
      </c>
    </row>
    <row r="50" spans="2:5" x14ac:dyDescent="0.25">
      <c r="B50" s="2" t="s">
        <v>17</v>
      </c>
      <c r="C50" s="3">
        <v>11700</v>
      </c>
    </row>
    <row r="51" spans="2:5" x14ac:dyDescent="0.25">
      <c r="B51" s="2" t="s">
        <v>9</v>
      </c>
      <c r="C51" s="3">
        <v>3000</v>
      </c>
    </row>
    <row r="52" spans="2:5" x14ac:dyDescent="0.25">
      <c r="B52" s="2" t="s">
        <v>25</v>
      </c>
      <c r="C52" s="3">
        <v>5535</v>
      </c>
    </row>
    <row r="53" spans="2:5" x14ac:dyDescent="0.25">
      <c r="B53" s="9" t="s">
        <v>11</v>
      </c>
      <c r="C53" s="3">
        <f>SUM(C48:C52)</f>
        <v>79435</v>
      </c>
    </row>
    <row r="54" spans="2:5" x14ac:dyDescent="0.25">
      <c r="B54" s="2" t="s">
        <v>10</v>
      </c>
      <c r="C54" s="3">
        <v>4765</v>
      </c>
      <c r="D54" s="14">
        <f>(C37/6)/300</f>
        <v>46.777777777777779</v>
      </c>
      <c r="E54" t="s">
        <v>45</v>
      </c>
    </row>
    <row r="55" spans="2:5" x14ac:dyDescent="0.25">
      <c r="B55" s="2" t="s">
        <v>31</v>
      </c>
      <c r="C55" s="3">
        <f>C38</f>
        <v>12727.27</v>
      </c>
    </row>
    <row r="56" spans="2:5" x14ac:dyDescent="0.25">
      <c r="B56" s="11" t="s">
        <v>4</v>
      </c>
      <c r="C56" s="12">
        <f>C54+C53+C55</f>
        <v>96927.27</v>
      </c>
    </row>
  </sheetData>
  <mergeCells count="17">
    <mergeCell ref="I39:L39"/>
    <mergeCell ref="I41:M41"/>
    <mergeCell ref="I42:L42"/>
    <mergeCell ref="I43:L43"/>
    <mergeCell ref="E26:E33"/>
    <mergeCell ref="I33:M33"/>
    <mergeCell ref="I34:L34"/>
    <mergeCell ref="I35:L35"/>
    <mergeCell ref="A37:A38"/>
    <mergeCell ref="I37:M37"/>
    <mergeCell ref="I38:L38"/>
    <mergeCell ref="C5:I5"/>
    <mergeCell ref="K7:M7"/>
    <mergeCell ref="C10:F10"/>
    <mergeCell ref="C11:I11"/>
    <mergeCell ref="C16:F16"/>
    <mergeCell ref="D21:E21"/>
  </mergeCells>
  <pageMargins left="0.7" right="0.7" top="0.75" bottom="0.75" header="0.3" footer="0.3"/>
  <pageSetup paperSize="9" scale="53" orientation="landscape" r:id="rId1"/>
  <ignoredErrors>
    <ignoredError sqref="C5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Casal infantil (5 setmanes)</vt:lpstr>
      <vt:lpstr>Casal infantil (6 setmanes)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Aguilar</dc:creator>
  <cp:lastModifiedBy>Ana Hernandez Lizandra</cp:lastModifiedBy>
  <cp:lastPrinted>2025-09-10T11:33:48Z</cp:lastPrinted>
  <dcterms:created xsi:type="dcterms:W3CDTF">2022-09-15T13:37:35Z</dcterms:created>
  <dcterms:modified xsi:type="dcterms:W3CDTF">2026-02-27T12:24:27Z</dcterms:modified>
</cp:coreProperties>
</file>