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ntractació\CONT\C SERVEIS\Contractes Serveis 2026\COBS2026-012 ABALISAMENT\"/>
    </mc:Choice>
  </mc:AlternateContent>
  <bookViews>
    <workbookView xWindow="0" yWindow="0" windowWidth="2955" windowHeight="0" tabRatio="759" activeTab="1"/>
  </bookViews>
  <sheets>
    <sheet name="01 MATERIALS I COST" sheetId="1" r:id="rId1"/>
    <sheet name="02 SISTEMES COL·LOCACIÓ" sheetId="2" r:id="rId2"/>
    <sheet name="03 COSTOS DE PERSONAL 2026" sheetId="6" r:id="rId3"/>
    <sheet name="03 EMBARCACIÓ GRAN" sheetId="3" r:id="rId4"/>
    <sheet name="04 EMBARCACIÓ" sheetId="4" r:id="rId5"/>
    <sheet name="05 EQUIP SUBMARINISTES" sheetId="5" r:id="rId6"/>
    <sheet name="06 MANTENIMENT" sheetId="8" r:id="rId7"/>
    <sheet name="TOTAL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7" l="1"/>
  <c r="H19" i="7"/>
  <c r="H8" i="7"/>
  <c r="F19" i="7"/>
  <c r="E19" i="7"/>
  <c r="O31" i="1"/>
  <c r="O29" i="1"/>
  <c r="O26" i="1"/>
  <c r="N31" i="1"/>
  <c r="N30" i="1"/>
  <c r="N29" i="1"/>
  <c r="N28" i="1"/>
  <c r="N27" i="1"/>
  <c r="D19" i="7"/>
  <c r="N26" i="1"/>
  <c r="F16" i="7" l="1"/>
  <c r="E16" i="7"/>
  <c r="D16" i="7"/>
  <c r="C114" i="8"/>
  <c r="E114" i="8" s="1"/>
  <c r="E110" i="8"/>
  <c r="E109" i="8"/>
  <c r="E108" i="8"/>
  <c r="E107" i="8"/>
  <c r="E106" i="8"/>
  <c r="F91" i="8"/>
  <c r="F90" i="8"/>
  <c r="F89" i="8"/>
  <c r="F88" i="8"/>
  <c r="D93" i="8"/>
  <c r="F93" i="8" s="1"/>
  <c r="D65" i="8"/>
  <c r="D69" i="8" s="1"/>
  <c r="F69" i="8" s="1"/>
  <c r="D28" i="8"/>
  <c r="F30" i="8" s="1"/>
  <c r="K33" i="6"/>
  <c r="J33" i="6"/>
  <c r="K29" i="6"/>
  <c r="J29" i="6"/>
  <c r="K25" i="6"/>
  <c r="J25" i="6"/>
  <c r="K21" i="6"/>
  <c r="J21" i="6"/>
  <c r="K17" i="6"/>
  <c r="J17" i="6"/>
  <c r="K11" i="6"/>
  <c r="J11" i="6"/>
  <c r="J32" i="6"/>
  <c r="K32" i="6" s="1"/>
  <c r="J31" i="6"/>
  <c r="K31" i="6" s="1"/>
  <c r="J28" i="6"/>
  <c r="K28" i="6" s="1"/>
  <c r="J27" i="6"/>
  <c r="K27" i="6" s="1"/>
  <c r="J24" i="6"/>
  <c r="K24" i="6" s="1"/>
  <c r="J23" i="6"/>
  <c r="K23" i="6" s="1"/>
  <c r="J20" i="6"/>
  <c r="K20" i="6" s="1"/>
  <c r="J19" i="6"/>
  <c r="K19" i="6" s="1"/>
  <c r="J16" i="6"/>
  <c r="K16" i="6" s="1"/>
  <c r="J15" i="6"/>
  <c r="K15" i="6" s="1"/>
  <c r="J14" i="6"/>
  <c r="K14" i="6" s="1"/>
  <c r="J13" i="6"/>
  <c r="K13" i="6" s="1"/>
  <c r="J10" i="6"/>
  <c r="K10" i="6" s="1"/>
  <c r="J9" i="6"/>
  <c r="K9" i="6" s="1"/>
  <c r="J8" i="6"/>
  <c r="K8" i="6" s="1"/>
  <c r="K7" i="6"/>
  <c r="J7" i="6"/>
  <c r="O12" i="1"/>
  <c r="O11" i="1"/>
  <c r="O10" i="1"/>
  <c r="O9" i="1"/>
  <c r="O8" i="1"/>
  <c r="O7" i="1"/>
  <c r="O6" i="1"/>
  <c r="O5" i="1"/>
  <c r="O4" i="1"/>
  <c r="O3" i="1"/>
  <c r="M4" i="1"/>
  <c r="M5" i="1"/>
  <c r="N19" i="1"/>
  <c r="N18" i="1"/>
  <c r="N17" i="1"/>
  <c r="N16" i="1"/>
  <c r="N15" i="1"/>
  <c r="N14" i="1"/>
  <c r="N12" i="1"/>
  <c r="N11" i="1"/>
  <c r="N10" i="1"/>
  <c r="N9" i="1"/>
  <c r="N8" i="1"/>
  <c r="N7" i="1"/>
  <c r="N5" i="1"/>
  <c r="N4" i="1"/>
  <c r="N3" i="1"/>
  <c r="N6" i="1"/>
  <c r="D47" i="8"/>
  <c r="F49" i="8" s="1"/>
  <c r="H22" i="5"/>
  <c r="H8" i="5"/>
  <c r="G22" i="3"/>
  <c r="G10" i="3"/>
  <c r="G21" i="4"/>
  <c r="G9" i="4"/>
  <c r="D33" i="8"/>
  <c r="F33" i="8" s="1"/>
  <c r="D7" i="8"/>
  <c r="F9" i="8" s="1"/>
  <c r="J31" i="5"/>
  <c r="J27" i="5"/>
  <c r="J26" i="5"/>
  <c r="J25" i="5"/>
  <c r="J24" i="5"/>
  <c r="J23" i="5"/>
  <c r="J17" i="5"/>
  <c r="J13" i="5"/>
  <c r="J12" i="5"/>
  <c r="J11" i="5"/>
  <c r="J10" i="5"/>
  <c r="J9" i="5"/>
  <c r="F22" i="5"/>
  <c r="F48" i="8" l="1"/>
  <c r="E115" i="8"/>
  <c r="E117" i="8" s="1"/>
  <c r="E120" i="8" s="1"/>
  <c r="F66" i="8"/>
  <c r="F29" i="8"/>
  <c r="F34" i="8" s="1"/>
  <c r="D12" i="7" s="1"/>
  <c r="F67" i="8"/>
  <c r="F94" i="8"/>
  <c r="F71" i="8"/>
  <c r="F73" i="8" s="1"/>
  <c r="O21" i="1"/>
  <c r="N21" i="1"/>
  <c r="D51" i="8"/>
  <c r="F51" i="8" s="1"/>
  <c r="F53" i="8" s="1"/>
  <c r="D13" i="8"/>
  <c r="F8" i="8"/>
  <c r="F10" i="8"/>
  <c r="J3" i="5"/>
  <c r="E119" i="8" l="1"/>
  <c r="E121" i="8" s="1"/>
  <c r="E122" i="8" s="1"/>
  <c r="E123" i="8" s="1"/>
  <c r="F74" i="8"/>
  <c r="F75" i="8" s="1"/>
  <c r="E14" i="7" s="1"/>
  <c r="D14" i="7"/>
  <c r="D15" i="7"/>
  <c r="F97" i="8"/>
  <c r="F96" i="8"/>
  <c r="F98" i="8" s="1"/>
  <c r="D13" i="7"/>
  <c r="F55" i="8"/>
  <c r="F56" i="8"/>
  <c r="F14" i="8"/>
  <c r="F13" i="8"/>
  <c r="F37" i="8"/>
  <c r="F36" i="8"/>
  <c r="E15" i="7" l="1"/>
  <c r="F99" i="8"/>
  <c r="F100" i="8" s="1"/>
  <c r="F15" i="7" s="1"/>
  <c r="F15" i="8"/>
  <c r="D11" i="7" s="1"/>
  <c r="F76" i="8"/>
  <c r="F77" i="8" s="1"/>
  <c r="F14" i="7" s="1"/>
  <c r="F57" i="8"/>
  <c r="E13" i="7" s="1"/>
  <c r="F38" i="8"/>
  <c r="E12" i="7" s="1"/>
  <c r="F58" i="8"/>
  <c r="F59" i="8" s="1"/>
  <c r="F13" i="7" s="1"/>
  <c r="F18" i="8"/>
  <c r="F39" i="8"/>
  <c r="F40" i="8" s="1"/>
  <c r="F12" i="7" s="1"/>
  <c r="F17" i="8" l="1"/>
  <c r="F19" i="8" s="1"/>
  <c r="F20" i="8" s="1"/>
  <c r="F21" i="8" s="1"/>
  <c r="F11" i="7" s="1"/>
  <c r="H16" i="7" s="1"/>
  <c r="E11" i="7" l="1"/>
  <c r="F8" i="5"/>
  <c r="G22" i="5" s="1"/>
  <c r="G8" i="5"/>
  <c r="I3" i="4"/>
  <c r="F9" i="4"/>
  <c r="F22" i="3"/>
  <c r="I32" i="6"/>
  <c r="I31" i="6"/>
  <c r="I28" i="6"/>
  <c r="I27" i="6"/>
  <c r="I24" i="6"/>
  <c r="I23" i="6"/>
  <c r="I20" i="6"/>
  <c r="I19" i="6"/>
  <c r="I16" i="6"/>
  <c r="I15" i="6"/>
  <c r="I14" i="6"/>
  <c r="I13" i="6"/>
  <c r="I10" i="6"/>
  <c r="I9" i="6"/>
  <c r="I8" i="6"/>
  <c r="I7" i="6"/>
  <c r="I90" i="6"/>
  <c r="J90" i="6" s="1"/>
  <c r="H90" i="6"/>
  <c r="G87" i="6"/>
  <c r="G86" i="6"/>
  <c r="E82" i="6"/>
  <c r="F82" i="6" s="1"/>
  <c r="H82" i="6" s="1"/>
  <c r="F68" i="6"/>
  <c r="F67" i="6"/>
  <c r="F66" i="6"/>
  <c r="F65" i="6"/>
  <c r="F87" i="6" s="1"/>
  <c r="H87" i="6" s="1"/>
  <c r="F60" i="6"/>
  <c r="F59" i="6"/>
  <c r="F58" i="6"/>
  <c r="F57" i="6"/>
  <c r="F86" i="6" s="1"/>
  <c r="H86" i="6" s="1"/>
  <c r="C52" i="6"/>
  <c r="E52" i="6" s="1"/>
  <c r="F52" i="6" s="1"/>
  <c r="E51" i="6"/>
  <c r="F51" i="6" s="1"/>
  <c r="F50" i="6"/>
  <c r="E50" i="6"/>
  <c r="E49" i="6"/>
  <c r="F49" i="6" s="1"/>
  <c r="F48" i="6"/>
  <c r="E48" i="6"/>
  <c r="F47" i="6"/>
  <c r="E47" i="6"/>
  <c r="C43" i="6"/>
  <c r="E43" i="6" s="1"/>
  <c r="F43" i="6" s="1"/>
  <c r="F42" i="6"/>
  <c r="E42" i="6"/>
  <c r="F41" i="6"/>
  <c r="E41" i="6"/>
  <c r="E40" i="6"/>
  <c r="F40" i="6" s="1"/>
  <c r="E39" i="6"/>
  <c r="F39" i="6" s="1"/>
  <c r="E38" i="6"/>
  <c r="F38" i="6" s="1"/>
  <c r="F32" i="6"/>
  <c r="G32" i="6" s="1"/>
  <c r="H32" i="6" s="1"/>
  <c r="H31" i="6"/>
  <c r="G31" i="6"/>
  <c r="F31" i="6"/>
  <c r="F28" i="6"/>
  <c r="G28" i="6" s="1"/>
  <c r="H28" i="6" s="1"/>
  <c r="G27" i="6"/>
  <c r="H27" i="6" s="1"/>
  <c r="F27" i="6"/>
  <c r="F24" i="6"/>
  <c r="G24" i="6" s="1"/>
  <c r="H24" i="6" s="1"/>
  <c r="G23" i="6"/>
  <c r="H23" i="6" s="1"/>
  <c r="I25" i="6" s="1"/>
  <c r="F23" i="6"/>
  <c r="H20" i="6"/>
  <c r="G20" i="6"/>
  <c r="F20" i="6"/>
  <c r="F19" i="6"/>
  <c r="G19" i="6" s="1"/>
  <c r="H19" i="6" s="1"/>
  <c r="F16" i="6"/>
  <c r="G16" i="6" s="1"/>
  <c r="H16" i="6" s="1"/>
  <c r="H15" i="6"/>
  <c r="G15" i="6"/>
  <c r="F15" i="6"/>
  <c r="F14" i="6"/>
  <c r="G14" i="6" s="1"/>
  <c r="H14" i="6" s="1"/>
  <c r="F13" i="6"/>
  <c r="G13" i="6" s="1"/>
  <c r="H13" i="6" s="1"/>
  <c r="F10" i="6"/>
  <c r="G10" i="6" s="1"/>
  <c r="H10" i="6" s="1"/>
  <c r="F9" i="6"/>
  <c r="G9" i="6" s="1"/>
  <c r="H9" i="6" s="1"/>
  <c r="F8" i="6"/>
  <c r="G8" i="6" s="1"/>
  <c r="H8" i="6" s="1"/>
  <c r="F7" i="6"/>
  <c r="G7" i="6" s="1"/>
  <c r="H7" i="6" s="1"/>
  <c r="G15" i="4" l="1"/>
  <c r="I15" i="4" s="1"/>
  <c r="I29" i="6"/>
  <c r="G52" i="6" s="1"/>
  <c r="H52" i="6" s="1"/>
  <c r="I21" i="6"/>
  <c r="G57" i="6" s="1"/>
  <c r="H57" i="6" s="1"/>
  <c r="I17" i="6"/>
  <c r="G40" i="6" s="1"/>
  <c r="H40" i="6" s="1"/>
  <c r="I11" i="6"/>
  <c r="G48" i="6" s="1"/>
  <c r="H48" i="6" s="1"/>
  <c r="I86" i="6"/>
  <c r="J86" i="6" s="1"/>
  <c r="J87" i="6"/>
  <c r="K87" i="6" s="1"/>
  <c r="I87" i="6"/>
  <c r="I33" i="6"/>
  <c r="F80" i="6"/>
  <c r="H80" i="6" s="1"/>
  <c r="J91" i="6"/>
  <c r="K90" i="6"/>
  <c r="K91" i="6" s="1"/>
  <c r="G59" i="6"/>
  <c r="H59" i="6" s="1"/>
  <c r="G66" i="6"/>
  <c r="H66" i="6" s="1"/>
  <c r="G65" i="6"/>
  <c r="H65" i="6" s="1"/>
  <c r="F75" i="6"/>
  <c r="H75" i="6" s="1"/>
  <c r="F81" i="6"/>
  <c r="H81" i="6" s="1"/>
  <c r="I82" i="6"/>
  <c r="J82" i="6" s="1"/>
  <c r="K82" i="6" s="1"/>
  <c r="F74" i="6"/>
  <c r="H74" i="6" s="1"/>
  <c r="F76" i="6"/>
  <c r="H76" i="6" s="1"/>
  <c r="I11" i="4" l="1"/>
  <c r="I10" i="4"/>
  <c r="I12" i="4"/>
  <c r="I24" i="4"/>
  <c r="I23" i="4"/>
  <c r="I22" i="4"/>
  <c r="G27" i="4"/>
  <c r="I27" i="4" s="1"/>
  <c r="J18" i="5"/>
  <c r="J32" i="5"/>
  <c r="G43" i="6"/>
  <c r="H43" i="6" s="1"/>
  <c r="G67" i="6"/>
  <c r="H67" i="6" s="1"/>
  <c r="I67" i="6" s="1"/>
  <c r="J67" i="6" s="1"/>
  <c r="K67" i="6" s="1"/>
  <c r="G51" i="6"/>
  <c r="H51" i="6" s="1"/>
  <c r="G58" i="6"/>
  <c r="H58" i="6" s="1"/>
  <c r="G42" i="6"/>
  <c r="H42" i="6" s="1"/>
  <c r="I42" i="6" s="1"/>
  <c r="J42" i="6" s="1"/>
  <c r="K42" i="6" s="1"/>
  <c r="G68" i="6"/>
  <c r="H68" i="6" s="1"/>
  <c r="I68" i="6" s="1"/>
  <c r="J68" i="6" s="1"/>
  <c r="K68" i="6" s="1"/>
  <c r="G49" i="6"/>
  <c r="H49" i="6" s="1"/>
  <c r="I49" i="6" s="1"/>
  <c r="J49" i="6" s="1"/>
  <c r="K49" i="6" s="1"/>
  <c r="G39" i="6"/>
  <c r="H39" i="6" s="1"/>
  <c r="G38" i="6"/>
  <c r="H38" i="6" s="1"/>
  <c r="I38" i="6" s="1"/>
  <c r="J38" i="6" s="1"/>
  <c r="G60" i="6"/>
  <c r="H60" i="6" s="1"/>
  <c r="I60" i="6" s="1"/>
  <c r="J60" i="6" s="1"/>
  <c r="K60" i="6" s="1"/>
  <c r="G47" i="6"/>
  <c r="H47" i="6" s="1"/>
  <c r="I47" i="6" s="1"/>
  <c r="J47" i="6" s="1"/>
  <c r="I51" i="6"/>
  <c r="J51" i="6" s="1"/>
  <c r="K51" i="6" s="1"/>
  <c r="I40" i="6"/>
  <c r="J40" i="6" s="1"/>
  <c r="K40" i="6" s="1"/>
  <c r="K86" i="6"/>
  <c r="K88" i="6" s="1"/>
  <c r="J88" i="6"/>
  <c r="I58" i="6"/>
  <c r="J58" i="6" s="1"/>
  <c r="K58" i="6" s="1"/>
  <c r="I75" i="6"/>
  <c r="J75" i="6" s="1"/>
  <c r="K75" i="6" s="1"/>
  <c r="I59" i="6"/>
  <c r="J59" i="6" s="1"/>
  <c r="K59" i="6" s="1"/>
  <c r="I81" i="6"/>
  <c r="J81" i="6" s="1"/>
  <c r="K81" i="6" s="1"/>
  <c r="I52" i="6"/>
  <c r="J52" i="6" s="1"/>
  <c r="K52" i="6" s="1"/>
  <c r="I66" i="6"/>
  <c r="J66" i="6" s="1"/>
  <c r="K66" i="6" s="1"/>
  <c r="I39" i="6"/>
  <c r="J39" i="6" s="1"/>
  <c r="K39" i="6" s="1"/>
  <c r="I57" i="6"/>
  <c r="J57" i="6" s="1"/>
  <c r="I76" i="6"/>
  <c r="J76" i="6" s="1"/>
  <c r="K76" i="6" s="1"/>
  <c r="I43" i="6"/>
  <c r="J43" i="6" s="1"/>
  <c r="K43" i="6" s="1"/>
  <c r="I65" i="6"/>
  <c r="J65" i="6" s="1"/>
  <c r="I80" i="6"/>
  <c r="J80" i="6"/>
  <c r="I74" i="6"/>
  <c r="J74" i="6" s="1"/>
  <c r="I48" i="6"/>
  <c r="J48" i="6" s="1"/>
  <c r="K48" i="6" s="1"/>
  <c r="G50" i="6"/>
  <c r="H50" i="6" s="1"/>
  <c r="G41" i="6"/>
  <c r="H41" i="6" s="1"/>
  <c r="I28" i="4" l="1"/>
  <c r="I16" i="4"/>
  <c r="J34" i="5"/>
  <c r="K47" i="6"/>
  <c r="K74" i="6"/>
  <c r="K77" i="6" s="1"/>
  <c r="J77" i="6"/>
  <c r="J62" i="6"/>
  <c r="K57" i="6"/>
  <c r="K62" i="6" s="1"/>
  <c r="K80" i="6"/>
  <c r="K83" i="6" s="1"/>
  <c r="J83" i="6"/>
  <c r="J84" i="6" s="1"/>
  <c r="J92" i="6" s="1"/>
  <c r="K65" i="6"/>
  <c r="J70" i="6"/>
  <c r="K70" i="6" s="1"/>
  <c r="K38" i="6"/>
  <c r="I41" i="6"/>
  <c r="J41" i="6" s="1"/>
  <c r="I50" i="6"/>
  <c r="J50" i="6" s="1"/>
  <c r="I31" i="4" l="1"/>
  <c r="D7" i="7" s="1"/>
  <c r="I34" i="4"/>
  <c r="I33" i="4"/>
  <c r="D8" i="7"/>
  <c r="J37" i="5"/>
  <c r="J36" i="5"/>
  <c r="K41" i="6"/>
  <c r="J44" i="6"/>
  <c r="K50" i="6"/>
  <c r="K53" i="6" s="1"/>
  <c r="J53" i="6"/>
  <c r="K84" i="6"/>
  <c r="K92" i="6" s="1"/>
  <c r="I35" i="4" l="1"/>
  <c r="I36" i="4"/>
  <c r="I37" i="4" s="1"/>
  <c r="F7" i="7" s="1"/>
  <c r="E7" i="7"/>
  <c r="J38" i="5"/>
  <c r="J39" i="5" s="1"/>
  <c r="J40" i="5" s="1"/>
  <c r="F8" i="7" s="1"/>
  <c r="E8" i="7"/>
  <c r="K44" i="6"/>
  <c r="K54" i="6" s="1"/>
  <c r="K71" i="6" s="1"/>
  <c r="J54" i="6"/>
  <c r="J71" i="6" s="1"/>
  <c r="F10" i="3" l="1"/>
  <c r="I4" i="3"/>
  <c r="M7" i="2"/>
  <c r="M5" i="2"/>
  <c r="M4" i="2"/>
  <c r="M3" i="2"/>
  <c r="G28" i="3" l="1"/>
  <c r="I28" i="3" s="1"/>
  <c r="I25" i="3" l="1"/>
  <c r="I24" i="3"/>
  <c r="I29" i="3" s="1"/>
  <c r="I23" i="3"/>
  <c r="I26" i="3"/>
  <c r="G16" i="3"/>
  <c r="I16" i="3" s="1"/>
  <c r="I14" i="3"/>
  <c r="I13" i="3"/>
  <c r="I12" i="3"/>
  <c r="I11" i="3"/>
  <c r="I17" i="3" l="1"/>
  <c r="I31" i="3" s="1"/>
  <c r="D6" i="7" s="1"/>
  <c r="D23" i="7" s="1"/>
  <c r="I34" i="3" l="1"/>
  <c r="I33" i="3"/>
  <c r="K17" i="1"/>
  <c r="K15" i="1"/>
  <c r="K13" i="1"/>
  <c r="K12" i="1"/>
  <c r="K5" i="1"/>
  <c r="K4" i="1"/>
  <c r="K11" i="1"/>
  <c r="K6" i="1"/>
  <c r="K10" i="1"/>
  <c r="K7" i="1"/>
  <c r="K3" i="1"/>
  <c r="K21" i="1" l="1"/>
  <c r="N13" i="1"/>
  <c r="I35" i="3"/>
  <c r="I36" i="3" l="1"/>
  <c r="I37" i="3" s="1"/>
  <c r="E6" i="7"/>
  <c r="E23" i="7" s="1"/>
  <c r="F6" i="7" l="1"/>
  <c r="F23" i="7" s="1"/>
  <c r="I8" i="7" l="1"/>
  <c r="I16" i="7"/>
  <c r="G23" i="7"/>
</calcChain>
</file>

<file path=xl/sharedStrings.xml><?xml version="1.0" encoding="utf-8"?>
<sst xmlns="http://schemas.openxmlformats.org/spreadsheetml/2006/main" count="697" uniqueCount="208">
  <si>
    <t>ZRB . Zones reservades per al bany, inclou canals</t>
  </si>
  <si>
    <t>platja de Sant Pol</t>
  </si>
  <si>
    <t>bicòniques</t>
  </si>
  <si>
    <t>grogues</t>
  </si>
  <si>
    <t>esfèriques</t>
  </si>
  <si>
    <t>groga</t>
  </si>
  <si>
    <t>platja de Sant Feliu</t>
  </si>
  <si>
    <t>cilíndrica</t>
  </si>
  <si>
    <t>vermella</t>
  </si>
  <si>
    <t>llum</t>
  </si>
  <si>
    <t>platja dels Canyerets</t>
  </si>
  <si>
    <t>ZEB. Zones especials de bany</t>
  </si>
  <si>
    <t>Cala Maset</t>
  </si>
  <si>
    <t>Cala Port Salvi</t>
  </si>
  <si>
    <t>Cala del Vigatà</t>
  </si>
  <si>
    <t>esferiques</t>
  </si>
  <si>
    <t>ZEE. Zones especials d'exclusió</t>
  </si>
  <si>
    <t>Cala Ametller</t>
  </si>
  <si>
    <t>cilíndriques</t>
  </si>
  <si>
    <t>Badia de Sant Feliu</t>
  </si>
  <si>
    <t>ZEP. Zones especials de protecció</t>
  </si>
  <si>
    <t>Centre badia Sant Pol</t>
  </si>
  <si>
    <t>Cap de Mort</t>
  </si>
  <si>
    <t>cilíndrigues</t>
  </si>
  <si>
    <t>ZEN. Zones especials de natació</t>
  </si>
  <si>
    <t>Ponent badia Sant Pol</t>
  </si>
  <si>
    <t>Ponent badia Sant Feliu</t>
  </si>
  <si>
    <t>Plataformes lúdiques</t>
  </si>
  <si>
    <t>Badia de Sant Pol</t>
  </si>
  <si>
    <t>Baranes d'accés a l'aigua i Línies de vida</t>
  </si>
  <si>
    <t>Platja de Sant Pol</t>
  </si>
  <si>
    <t>Platja de Sant Feliu</t>
  </si>
  <si>
    <t>Boies d'amarratge per a centres d'immersió</t>
  </si>
  <si>
    <t>Les Balelles</t>
  </si>
  <si>
    <t>vermelles</t>
  </si>
  <si>
    <t>Cala del Molí i els Secaïns</t>
  </si>
  <si>
    <t>Les Sofreres</t>
  </si>
  <si>
    <t>La Llosa</t>
  </si>
  <si>
    <t>Les Planetes</t>
  </si>
  <si>
    <t>Port Salvi-Túnels</t>
  </si>
  <si>
    <t>Port Salvi-S'Adolitx</t>
  </si>
  <si>
    <t>Boies d'amarratge - camps municipals lliures</t>
  </si>
  <si>
    <t>Zona de llevant de la badia de Sant Pol (tardor, hivern i primavera)</t>
  </si>
  <si>
    <t>blanques</t>
  </si>
  <si>
    <t>centre Badia de Sant Pol</t>
  </si>
  <si>
    <t>Cap de Mort-Cala de N'Oliu-Cala dels Mussols</t>
  </si>
  <si>
    <t>Boies d'amarratge - vaixells turístics</t>
  </si>
  <si>
    <t>Zona del cap de Mort</t>
  </si>
  <si>
    <t>taronja</t>
  </si>
  <si>
    <t>ELEMENTS DEL SISTEMA D'ABALISAMENT EN SUPERFÍCIE 2026</t>
  </si>
  <si>
    <t>bicòniques 80 grogues</t>
  </si>
  <si>
    <t>esfèriques 60 grogues</t>
  </si>
  <si>
    <t>esfèriques 40 grogues</t>
  </si>
  <si>
    <t>cilíndrica 80 vermella llum</t>
  </si>
  <si>
    <t>cilíndrica 100 grogues llum</t>
  </si>
  <si>
    <t>cilíndrica 40 grogues</t>
  </si>
  <si>
    <t>bicòniques 60 vermelles</t>
  </si>
  <si>
    <t>Total</t>
  </si>
  <si>
    <t>Boies</t>
  </si>
  <si>
    <t>Baranes i línies de vida</t>
  </si>
  <si>
    <t>amarratge</t>
  </si>
  <si>
    <t>Barana de fusta de delimitació</t>
  </si>
  <si>
    <t>Tanca de fusta de delimitació</t>
  </si>
  <si>
    <t>embarcació</t>
  </si>
  <si>
    <t>embarcació gran</t>
  </si>
  <si>
    <t>submarinistes</t>
  </si>
  <si>
    <t>equip submarinistes</t>
  </si>
  <si>
    <t>boies/hora</t>
  </si>
  <si>
    <t>jornades</t>
  </si>
  <si>
    <t>IVA 21%</t>
  </si>
  <si>
    <t>Càlcul econòmic cost treball des d'embarcació gran</t>
  </si>
  <si>
    <t>Equip format per 3 treballadors</t>
  </si>
  <si>
    <t xml:space="preserve">Trens de boies de delimitació </t>
  </si>
  <si>
    <t>unitats</t>
  </si>
  <si>
    <t>Jornades de treball</t>
  </si>
  <si>
    <t>hores/jornada</t>
  </si>
  <si>
    <t>boies/jornada</t>
  </si>
  <si>
    <t>n jornades</t>
  </si>
  <si>
    <t>Eur/ jornada</t>
  </si>
  <si>
    <t>Embarcació gran</t>
  </si>
  <si>
    <t>Eur/jornada</t>
  </si>
  <si>
    <t>Muntatge</t>
  </si>
  <si>
    <t>DG</t>
  </si>
  <si>
    <t>BI</t>
  </si>
  <si>
    <t>Desmuntatge</t>
  </si>
  <si>
    <t>Resolución de 17 de noviembre de 2023, de la Dirección General de Trabajo, por la que se registra y publica la modificación del II Convenio colectivo de buceo profesional y medios hiperbáricos.</t>
  </si>
  <si>
    <t>Mà d'obra  d'acord amb el Conveni Col·lectiu</t>
  </si>
  <si>
    <t>Total cost laboral per jornada</t>
  </si>
  <si>
    <t>n operaris</t>
  </si>
  <si>
    <t>Conveni anterior</t>
  </si>
  <si>
    <t>Conveni 2023</t>
  </si>
  <si>
    <t>Increment 2024 3%</t>
  </si>
  <si>
    <t>Increment previst 2025 2%</t>
  </si>
  <si>
    <t>revisió prevista 2025 1%</t>
  </si>
  <si>
    <t>Equip muntatges i desmuntatges (per categoria laboral)</t>
  </si>
  <si>
    <t>Cap de bussejadors (nivell C)</t>
  </si>
  <si>
    <t>Bussejador expert (Nivell D)</t>
  </si>
  <si>
    <t>Bussejador expert (Nivell E)</t>
  </si>
  <si>
    <t>Patró d'embarcacions (Nivell H)</t>
  </si>
  <si>
    <t>Equip de treball des d'embarcació</t>
  </si>
  <si>
    <t>Mariner, ajudant de bussejador, peó (Nivell G)</t>
  </si>
  <si>
    <t>Equip incidències revisions i incidències</t>
  </si>
  <si>
    <t>Patró embarcació (Nivell H)</t>
  </si>
  <si>
    <t>Equip reparacions</t>
  </si>
  <si>
    <t>Bussejador ajudant (Nivell F)</t>
  </si>
  <si>
    <t>Equip preparació muntatge i hivernada</t>
  </si>
  <si>
    <t>Linies de vida</t>
  </si>
  <si>
    <t>Càlcul tasques</t>
  </si>
  <si>
    <t>PERSONAL INSTAL·LACIÓ: MUNTATGE I DESMUNTATGE</t>
  </si>
  <si>
    <t>MUNTATGE</t>
  </si>
  <si>
    <t>n</t>
  </si>
  <si>
    <t>rendiment</t>
  </si>
  <si>
    <t>hores eqp.</t>
  </si>
  <si>
    <t>cost jornada</t>
  </si>
  <si>
    <t>cost</t>
  </si>
  <si>
    <t>DG i BI - 19</t>
  </si>
  <si>
    <t>treball submarinisme poca fondària muntatge</t>
  </si>
  <si>
    <t>treball submarinisme elevada fondària muntatge</t>
  </si>
  <si>
    <t>Treballs des d'embarcació muntatge</t>
  </si>
  <si>
    <t>Muntatge linies de vida</t>
  </si>
  <si>
    <t>Muntatge baranes cala Vigatà</t>
  </si>
  <si>
    <t>Preparació material</t>
  </si>
  <si>
    <t>Subtotal muntatge boies</t>
  </si>
  <si>
    <t>DESMUNTATGE</t>
  </si>
  <si>
    <t>Subtotal desmuntatge boies</t>
  </si>
  <si>
    <t>Subtotal  instal·lació boies</t>
  </si>
  <si>
    <t>PERSONAL MANTENIMENT</t>
  </si>
  <si>
    <t>boies</t>
  </si>
  <si>
    <t>Inspeccions periòdiques</t>
  </si>
  <si>
    <t>Inspeccions extraordinàries</t>
  </si>
  <si>
    <t>Reparacions del sistema d'abalisament poca fondària</t>
  </si>
  <si>
    <t>Reparacions del sistema d'abalisament a gran fondària</t>
  </si>
  <si>
    <t xml:space="preserve"> </t>
  </si>
  <si>
    <t>Subtotal manteniment boies</t>
  </si>
  <si>
    <t>altres</t>
  </si>
  <si>
    <t>Baranes entrada a l'aigua</t>
  </si>
  <si>
    <t xml:space="preserve">Línies de vida </t>
  </si>
  <si>
    <t>Plataformes</t>
  </si>
  <si>
    <t>Tanques de fusta de Cala del Vigatà</t>
  </si>
  <si>
    <t>Subtotal altres tasques manteniment</t>
  </si>
  <si>
    <t>Total personal</t>
  </si>
  <si>
    <t>MITJANS TÈCNICS INSTAL·LACIÓ: MUNTATGE I DESMUNTATGE</t>
  </si>
  <si>
    <t>embarcació per muntatge</t>
  </si>
  <si>
    <t>embarcació suport als submarinistes i altres equips muntatge</t>
  </si>
  <si>
    <t>maquina giratòria per instal·lació de baranes d'accés a l'aigua</t>
  </si>
  <si>
    <t>embarcació per desmuntatge</t>
  </si>
  <si>
    <t>embarcació suport als submarinistes i altres equips desmuntatge</t>
  </si>
  <si>
    <t>equip aigua a pressió per enretirada de baranes d'accés a l'aigua</t>
  </si>
  <si>
    <t>Subtotal mitjan tècnics muntatge  i desm.</t>
  </si>
  <si>
    <t>MITJANS TÈCNICS MANTENIMENT</t>
  </si>
  <si>
    <t>embarcació suport als submarinistes i altres equips manteniment</t>
  </si>
  <si>
    <t>maquina giratòria per instal·lació de baranes d'accés a l'aigua. Manteniment</t>
  </si>
  <si>
    <t>Subtotal mitjans tècncics manteniment.</t>
  </si>
  <si>
    <t>TRANSPORT DE MATERIALS</t>
  </si>
  <si>
    <t>vehicles de transport de materials</t>
  </si>
  <si>
    <t>Subtotal mitjans tècnics transport</t>
  </si>
  <si>
    <t>Total Mitjans tècnics</t>
  </si>
  <si>
    <t>cost personal per jornada 2026 IPC -2.6%</t>
  </si>
  <si>
    <t>Subtotal</t>
  </si>
  <si>
    <t>Total muntatge</t>
  </si>
  <si>
    <t>Total desmuntatge</t>
  </si>
  <si>
    <t>percentatge</t>
  </si>
  <si>
    <t>IVA</t>
  </si>
  <si>
    <t>TOTAL SENSE IVA</t>
  </si>
  <si>
    <t>TOTAL AMB IVA</t>
  </si>
  <si>
    <t>Càlcul econòmic cost treball des d'embarcació petita</t>
  </si>
  <si>
    <t>unitats/hora</t>
  </si>
  <si>
    <t>unitats/jornada</t>
  </si>
  <si>
    <t>Equip format per 5 treballadors</t>
  </si>
  <si>
    <t>Bussejador expert (nivell D)</t>
  </si>
  <si>
    <t>Bussejador expert (nivell E)</t>
  </si>
  <si>
    <t>Patró embarcacions (nivell H)</t>
  </si>
  <si>
    <t>Embarcació</t>
  </si>
  <si>
    <t>Equip submarinistes</t>
  </si>
  <si>
    <t>jornades totals</t>
  </si>
  <si>
    <t>TOTAL</t>
  </si>
  <si>
    <t>Jornades</t>
  </si>
  <si>
    <t>Jornades / any</t>
  </si>
  <si>
    <t>%</t>
  </si>
  <si>
    <t>-Embarcació-</t>
  </si>
  <si>
    <t>MANTENIMENT</t>
  </si>
  <si>
    <t>TOTAL IVA INCLÒS</t>
  </si>
  <si>
    <t>Treballs de manteniment</t>
  </si>
  <si>
    <t>-Sense Embarcació-</t>
  </si>
  <si>
    <t>Vehicle terrestre</t>
  </si>
  <si>
    <t>línies de vida -sense embarcació-</t>
  </si>
  <si>
    <t>Baranes /línies de vida d'accés al mar -embarcació-</t>
  </si>
  <si>
    <t>n jornades*</t>
  </si>
  <si>
    <t>Actuacions/ any</t>
  </si>
  <si>
    <t>Material a subministrar</t>
  </si>
  <si>
    <t>preu boia</t>
  </si>
  <si>
    <t>castillete amb marca</t>
  </si>
  <si>
    <t>bicòniques 60 amarratge</t>
  </si>
  <si>
    <t>esfèriques 40 blanques amarratge</t>
  </si>
  <si>
    <t>cadena galvanitzada</t>
  </si>
  <si>
    <t>cost personal per jornada 2027 IPC -2.6%</t>
  </si>
  <si>
    <t xml:space="preserve"> Inspeccions  i manteniment del sistema d'abalisament -programades-</t>
  </si>
  <si>
    <t xml:space="preserve"> Inspeccions  i manteniment del sistema d'abalisament -no programades-</t>
  </si>
  <si>
    <t>Inspeccions programades</t>
  </si>
  <si>
    <t>Inspeccions no programades</t>
  </si>
  <si>
    <t>Treballs d'instal·lació i desinstal·lació</t>
  </si>
  <si>
    <t>Manteniment de Línies de vida</t>
  </si>
  <si>
    <t>Manteniment de les baranes d'accés a l'aigua i línies de vida i tanca de fusta a la cala del Vigatà</t>
  </si>
  <si>
    <t>Manteniment amb utilització d'embarcació gran</t>
  </si>
  <si>
    <t>Manteniment 1 jornada embarcació gran</t>
  </si>
  <si>
    <t>Manteniment 1 jornada equip de submarinistes</t>
  </si>
  <si>
    <t>No cal que sigui nou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</si>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</sst>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vertical="top"/>
    </xf>
    <xf numFmtId="0" fontId="3" fillId="0" borderId="6" xfId="0" applyFont="1" applyFill="1" applyBorder="1" applyAlignment="1">
      <alignment horizontal="right"/>
    </xf>
    <xf numFmtId="0" fontId="0" fillId="0" borderId="0" xfId="0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1" fillId="0" borderId="9" xfId="0" applyFont="1" applyBorder="1"/>
    <xf numFmtId="0" fontId="1" fillId="0" borderId="15" xfId="0" applyFont="1" applyBorder="1"/>
    <xf numFmtId="0" fontId="0" fillId="0" borderId="18" xfId="0" applyBorder="1"/>
    <xf numFmtId="0" fontId="3" fillId="0" borderId="8" xfId="0" applyFont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3" fillId="0" borderId="11" xfId="0" applyFont="1" applyFill="1" applyBorder="1"/>
    <xf numFmtId="0" fontId="3" fillId="0" borderId="12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19" xfId="0" applyBorder="1"/>
    <xf numFmtId="0" fontId="5" fillId="2" borderId="16" xfId="0" applyFont="1" applyFill="1" applyBorder="1"/>
    <xf numFmtId="0" fontId="0" fillId="2" borderId="19" xfId="0" applyFill="1" applyBorder="1"/>
    <xf numFmtId="0" fontId="0" fillId="2" borderId="17" xfId="0" applyFill="1" applyBorder="1"/>
    <xf numFmtId="0" fontId="0" fillId="0" borderId="20" xfId="0" applyBorder="1"/>
    <xf numFmtId="0" fontId="0" fillId="0" borderId="14" xfId="0" applyBorder="1"/>
    <xf numFmtId="0" fontId="0" fillId="0" borderId="1" xfId="0" applyBorder="1"/>
    <xf numFmtId="0" fontId="0" fillId="0" borderId="3" xfId="0" applyBorder="1"/>
    <xf numFmtId="0" fontId="5" fillId="2" borderId="1" xfId="0" applyFont="1" applyFill="1" applyBorder="1" applyAlignment="1">
      <alignment horizontal="left"/>
    </xf>
    <xf numFmtId="0" fontId="0" fillId="0" borderId="9" xfId="0" applyBorder="1"/>
    <xf numFmtId="0" fontId="6" fillId="0" borderId="0" xfId="0" applyFont="1" applyAlignment="1">
      <alignment vertical="center"/>
    </xf>
    <xf numFmtId="4" fontId="0" fillId="0" borderId="0" xfId="0" applyNumberFormat="1"/>
    <xf numFmtId="0" fontId="0" fillId="0" borderId="5" xfId="0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3" borderId="5" xfId="0" applyFill="1" applyBorder="1"/>
    <xf numFmtId="4" fontId="0" fillId="0" borderId="5" xfId="0" applyNumberFormat="1" applyBorder="1"/>
    <xf numFmtId="4" fontId="1" fillId="0" borderId="5" xfId="0" applyNumberFormat="1" applyFont="1" applyBorder="1"/>
    <xf numFmtId="0" fontId="0" fillId="0" borderId="11" xfId="0" applyBorder="1"/>
    <xf numFmtId="4" fontId="0" fillId="0" borderId="11" xfId="0" applyNumberFormat="1" applyBorder="1"/>
    <xf numFmtId="4" fontId="0" fillId="0" borderId="19" xfId="0" applyNumberFormat="1" applyBorder="1"/>
    <xf numFmtId="4" fontId="1" fillId="0" borderId="19" xfId="0" applyNumberFormat="1" applyFont="1" applyBorder="1"/>
    <xf numFmtId="0" fontId="1" fillId="2" borderId="4" xfId="0" applyFont="1" applyFill="1" applyBorder="1"/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Border="1"/>
    <xf numFmtId="4" fontId="0" fillId="0" borderId="6" xfId="0" applyNumberFormat="1" applyBorder="1"/>
    <xf numFmtId="0" fontId="0" fillId="0" borderId="4" xfId="0" applyBorder="1" applyAlignment="1">
      <alignment horizontal="right"/>
    </xf>
    <xf numFmtId="4" fontId="1" fillId="0" borderId="6" xfId="0" applyNumberFormat="1" applyFont="1" applyBorder="1"/>
    <xf numFmtId="0" fontId="0" fillId="2" borderId="5" xfId="0" applyFill="1" applyBorder="1"/>
    <xf numFmtId="4" fontId="0" fillId="2" borderId="5" xfId="0" applyNumberFormat="1" applyFill="1" applyBorder="1"/>
    <xf numFmtId="4" fontId="4" fillId="2" borderId="5" xfId="0" applyNumberFormat="1" applyFont="1" applyFill="1" applyBorder="1"/>
    <xf numFmtId="4" fontId="4" fillId="2" borderId="6" xfId="0" applyNumberFormat="1" applyFont="1" applyFill="1" applyBorder="1"/>
    <xf numFmtId="0" fontId="1" fillId="0" borderId="4" xfId="0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0" fontId="1" fillId="4" borderId="8" xfId="0" applyFont="1" applyFill="1" applyBorder="1"/>
    <xf numFmtId="4" fontId="0" fillId="4" borderId="8" xfId="0" applyNumberFormat="1" applyFill="1" applyBorder="1"/>
    <xf numFmtId="0" fontId="0" fillId="4" borderId="8" xfId="0" applyFill="1" applyBorder="1"/>
    <xf numFmtId="4" fontId="4" fillId="4" borderId="8" xfId="0" applyNumberFormat="1" applyFont="1" applyFill="1" applyBorder="1"/>
    <xf numFmtId="4" fontId="4" fillId="4" borderId="9" xfId="0" applyNumberFormat="1" applyFont="1" applyFill="1" applyBorder="1"/>
    <xf numFmtId="0" fontId="1" fillId="2" borderId="16" xfId="0" applyFont="1" applyFill="1" applyBorder="1"/>
    <xf numFmtId="0" fontId="0" fillId="0" borderId="4" xfId="0" applyFont="1" applyBorder="1"/>
    <xf numFmtId="2" fontId="0" fillId="2" borderId="5" xfId="0" applyNumberFormat="1" applyFill="1" applyBorder="1"/>
    <xf numFmtId="4" fontId="1" fillId="4" borderId="8" xfId="0" applyNumberFormat="1" applyFont="1" applyFill="1" applyBorder="1"/>
    <xf numFmtId="4" fontId="2" fillId="0" borderId="5" xfId="0" applyNumberFormat="1" applyFont="1" applyBorder="1"/>
    <xf numFmtId="4" fontId="7" fillId="0" borderId="5" xfId="0" applyNumberFormat="1" applyFont="1" applyBorder="1"/>
    <xf numFmtId="4" fontId="7" fillId="0" borderId="11" xfId="0" applyNumberFormat="1" applyFont="1" applyBorder="1"/>
    <xf numFmtId="0" fontId="1" fillId="0" borderId="16" xfId="0" applyFont="1" applyBorder="1"/>
    <xf numFmtId="0" fontId="4" fillId="0" borderId="6" xfId="0" applyFont="1" applyBorder="1"/>
    <xf numFmtId="0" fontId="0" fillId="2" borderId="4" xfId="0" applyFill="1" applyBorder="1"/>
    <xf numFmtId="0" fontId="0" fillId="2" borderId="6" xfId="0" applyFill="1" applyBorder="1"/>
    <xf numFmtId="2" fontId="2" fillId="0" borderId="5" xfId="0" applyNumberFormat="1" applyFont="1" applyBorder="1"/>
    <xf numFmtId="4" fontId="0" fillId="2" borderId="6" xfId="0" applyNumberFormat="1" applyFill="1" applyBorder="1"/>
    <xf numFmtId="0" fontId="0" fillId="0" borderId="5" xfId="0" applyBorder="1" applyAlignment="1">
      <alignment horizontal="left"/>
    </xf>
    <xf numFmtId="2" fontId="0" fillId="0" borderId="6" xfId="0" applyNumberFormat="1" applyBorder="1"/>
    <xf numFmtId="4" fontId="1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4" fontId="1" fillId="2" borderId="9" xfId="0" applyNumberFormat="1" applyFont="1" applyFill="1" applyBorder="1"/>
    <xf numFmtId="0" fontId="0" fillId="0" borderId="0" xfId="0" applyBorder="1"/>
    <xf numFmtId="4" fontId="2" fillId="0" borderId="6" xfId="0" applyNumberFormat="1" applyFont="1" applyBorder="1"/>
    <xf numFmtId="0" fontId="2" fillId="0" borderId="4" xfId="0" applyFont="1" applyBorder="1" applyAlignment="1">
      <alignment horizontal="right"/>
    </xf>
    <xf numFmtId="4" fontId="7" fillId="2" borderId="6" xfId="0" applyNumberFormat="1" applyFont="1" applyFill="1" applyBorder="1"/>
    <xf numFmtId="4" fontId="7" fillId="0" borderId="6" xfId="0" applyNumberFormat="1" applyFont="1" applyBorder="1"/>
    <xf numFmtId="2" fontId="8" fillId="0" borderId="5" xfId="0" applyNumberFormat="1" applyFont="1" applyBorder="1"/>
    <xf numFmtId="0" fontId="2" fillId="0" borderId="5" xfId="0" applyFont="1" applyBorder="1" applyAlignment="1">
      <alignment horizontal="right"/>
    </xf>
    <xf numFmtId="164" fontId="0" fillId="0" borderId="0" xfId="0" applyNumberFormat="1"/>
    <xf numFmtId="0" fontId="2" fillId="0" borderId="4" xfId="0" applyFont="1" applyBorder="1"/>
    <xf numFmtId="0" fontId="1" fillId="0" borderId="0" xfId="0" applyFont="1"/>
    <xf numFmtId="0" fontId="0" fillId="0" borderId="4" xfId="0" applyFill="1" applyBorder="1"/>
    <xf numFmtId="0" fontId="0" fillId="0" borderId="5" xfId="0" applyFill="1" applyBorder="1"/>
    <xf numFmtId="4" fontId="7" fillId="0" borderId="6" xfId="0" applyNumberFormat="1" applyFont="1" applyFill="1" applyBorder="1"/>
    <xf numFmtId="2" fontId="0" fillId="0" borderId="0" xfId="0" applyNumberFormat="1"/>
    <xf numFmtId="4" fontId="0" fillId="0" borderId="1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quotePrefix="1" applyBorder="1"/>
    <xf numFmtId="0" fontId="0" fillId="0" borderId="25" xfId="0" applyBorder="1"/>
    <xf numFmtId="0" fontId="0" fillId="0" borderId="24" xfId="0" applyBorder="1"/>
    <xf numFmtId="0" fontId="4" fillId="0" borderId="25" xfId="0" applyFont="1" applyBorder="1"/>
    <xf numFmtId="0" fontId="0" fillId="0" borderId="0" xfId="0" applyFill="1" applyBorder="1"/>
    <xf numFmtId="4" fontId="1" fillId="0" borderId="0" xfId="0" applyNumberFormat="1" applyFont="1" applyFill="1" applyBorder="1"/>
    <xf numFmtId="0" fontId="0" fillId="0" borderId="0" xfId="0" applyFont="1"/>
    <xf numFmtId="0" fontId="0" fillId="0" borderId="24" xfId="0" quotePrefix="1" applyFont="1" applyBorder="1"/>
    <xf numFmtId="0" fontId="1" fillId="0" borderId="24" xfId="0" applyFont="1" applyBorder="1"/>
    <xf numFmtId="4" fontId="0" fillId="0" borderId="0" xfId="0" applyNumberFormat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0" fontId="0" fillId="5" borderId="26" xfId="0" applyFill="1" applyBorder="1"/>
    <xf numFmtId="0" fontId="0" fillId="5" borderId="5" xfId="0" applyFill="1" applyBorder="1"/>
    <xf numFmtId="0" fontId="0" fillId="0" borderId="4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2" fontId="0" fillId="0" borderId="12" xfId="0" applyNumberFormat="1" applyBorder="1"/>
    <xf numFmtId="9" fontId="0" fillId="0" borderId="0" xfId="0" applyNumberFormat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="75" zoomScaleNormal="175" workbookViewId="0">
      <selection activeCell="Q42" sqref="Q42"/>
    </sheetView>
  </sheetViews>
  <sheetFormatPr baseColWidth="10" defaultRowHeight="15" x14ac:dyDescent="0.25"/>
  <cols>
    <col min="1" max="1" width="4.85546875" customWidth="1"/>
    <col min="2" max="2" width="27.28515625" customWidth="1"/>
    <col min="8" max="8" width="4.85546875" customWidth="1"/>
    <col min="9" max="9" width="3.85546875" customWidth="1"/>
    <col min="10" max="10" width="31.140625" customWidth="1"/>
    <col min="12" max="12" width="5.28515625" customWidth="1"/>
    <col min="13" max="13" width="10.140625" customWidth="1"/>
    <col min="15" max="15" width="18.28515625" customWidth="1"/>
  </cols>
  <sheetData>
    <row r="1" spans="1:15" ht="24" customHeight="1" thickBot="1" x14ac:dyDescent="0.3">
      <c r="B1" s="26" t="s">
        <v>49</v>
      </c>
      <c r="L1" s="53"/>
      <c r="M1" s="53"/>
      <c r="N1" s="53"/>
      <c r="O1" s="53"/>
    </row>
    <row r="2" spans="1:15" x14ac:dyDescent="0.25">
      <c r="A2" s="7"/>
      <c r="B2" s="140" t="s">
        <v>0</v>
      </c>
      <c r="C2" s="141"/>
      <c r="D2" s="141"/>
      <c r="E2" s="141"/>
      <c r="F2" s="141"/>
      <c r="G2" s="142"/>
      <c r="J2" s="48" t="s">
        <v>58</v>
      </c>
      <c r="K2" s="49"/>
      <c r="L2" s="53"/>
      <c r="M2" s="131" t="s">
        <v>190</v>
      </c>
      <c r="N2" s="53"/>
      <c r="O2" s="53" t="s">
        <v>194</v>
      </c>
    </row>
    <row r="3" spans="1:15" x14ac:dyDescent="0.25">
      <c r="A3" s="7"/>
      <c r="B3" s="8" t="s">
        <v>1</v>
      </c>
      <c r="C3" s="19" t="s">
        <v>2</v>
      </c>
      <c r="D3" s="19">
        <v>80</v>
      </c>
      <c r="E3" s="19" t="s">
        <v>3</v>
      </c>
      <c r="F3" s="19"/>
      <c r="G3" s="27">
        <v>5</v>
      </c>
      <c r="J3" s="46" t="s">
        <v>50</v>
      </c>
      <c r="K3" s="47">
        <f>G3+G6</f>
        <v>7</v>
      </c>
      <c r="L3" s="53"/>
      <c r="M3" s="53">
        <v>200</v>
      </c>
      <c r="N3" s="53">
        <f t="shared" ref="N3:N5" si="0">K3*M3</f>
        <v>1400</v>
      </c>
      <c r="O3" s="53">
        <f>K3*10*1</f>
        <v>70</v>
      </c>
    </row>
    <row r="4" spans="1:15" x14ac:dyDescent="0.25">
      <c r="A4" s="7"/>
      <c r="B4" s="8"/>
      <c r="C4" s="19" t="s">
        <v>4</v>
      </c>
      <c r="D4" s="19">
        <v>60</v>
      </c>
      <c r="E4" s="19" t="s">
        <v>3</v>
      </c>
      <c r="F4" s="19"/>
      <c r="G4" s="27">
        <v>7</v>
      </c>
      <c r="J4" s="1" t="s">
        <v>56</v>
      </c>
      <c r="K4" s="33">
        <f>G41+G42+G43+G44+G45+G46+G47</f>
        <v>12</v>
      </c>
      <c r="L4" s="53"/>
      <c r="M4" s="53">
        <f>80</f>
        <v>80</v>
      </c>
      <c r="N4" s="53">
        <f t="shared" si="0"/>
        <v>960</v>
      </c>
      <c r="O4" s="53">
        <f t="shared" ref="O4:O12" si="1">K4*10*1</f>
        <v>120</v>
      </c>
    </row>
    <row r="5" spans="1:15" x14ac:dyDescent="0.25">
      <c r="A5" s="7"/>
      <c r="B5" s="8"/>
      <c r="C5" s="19" t="s">
        <v>4</v>
      </c>
      <c r="D5" s="19">
        <v>40</v>
      </c>
      <c r="E5" s="19" t="s">
        <v>5</v>
      </c>
      <c r="F5" s="19"/>
      <c r="G5" s="27">
        <v>21</v>
      </c>
      <c r="J5" s="1" t="s">
        <v>192</v>
      </c>
      <c r="K5" s="33">
        <f>G57+G58+G59</f>
        <v>3</v>
      </c>
      <c r="L5" s="53"/>
      <c r="M5" s="53">
        <f>80</f>
        <v>80</v>
      </c>
      <c r="N5" s="53">
        <f t="shared" si="0"/>
        <v>240</v>
      </c>
      <c r="O5" s="53">
        <f t="shared" si="1"/>
        <v>30</v>
      </c>
    </row>
    <row r="6" spans="1:15" x14ac:dyDescent="0.25">
      <c r="A6" s="7"/>
      <c r="B6" s="8" t="s">
        <v>6</v>
      </c>
      <c r="C6" s="19" t="s">
        <v>2</v>
      </c>
      <c r="D6" s="19">
        <v>80</v>
      </c>
      <c r="E6" s="19" t="s">
        <v>3</v>
      </c>
      <c r="F6" s="19"/>
      <c r="G6" s="27">
        <v>2</v>
      </c>
      <c r="J6" s="1" t="s">
        <v>51</v>
      </c>
      <c r="K6" s="33">
        <f>G4+G7+G10+G13+G14+G15</f>
        <v>28</v>
      </c>
      <c r="L6" s="53"/>
      <c r="M6" s="53">
        <v>80</v>
      </c>
      <c r="N6" s="53">
        <f>K6*M6</f>
        <v>2240</v>
      </c>
      <c r="O6" s="53">
        <f t="shared" si="1"/>
        <v>280</v>
      </c>
    </row>
    <row r="7" spans="1:15" x14ac:dyDescent="0.25">
      <c r="A7" s="7"/>
      <c r="B7" s="8"/>
      <c r="C7" s="19" t="s">
        <v>4</v>
      </c>
      <c r="D7" s="19">
        <v>60</v>
      </c>
      <c r="E7" s="19" t="s">
        <v>3</v>
      </c>
      <c r="F7" s="19"/>
      <c r="G7" s="27">
        <v>9</v>
      </c>
      <c r="J7" s="1" t="s">
        <v>52</v>
      </c>
      <c r="K7" s="33">
        <f>G5+G9</f>
        <v>35</v>
      </c>
      <c r="L7" s="53"/>
      <c r="M7" s="53">
        <v>50</v>
      </c>
      <c r="N7" s="53">
        <f t="shared" ref="N7:N19" si="2">K7*M7</f>
        <v>1750</v>
      </c>
      <c r="O7" s="53">
        <f t="shared" si="1"/>
        <v>350</v>
      </c>
    </row>
    <row r="8" spans="1:15" x14ac:dyDescent="0.25">
      <c r="A8" s="7"/>
      <c r="B8" s="8"/>
      <c r="C8" s="19" t="s">
        <v>7</v>
      </c>
      <c r="D8" s="19">
        <v>80</v>
      </c>
      <c r="E8" s="19" t="s">
        <v>8</v>
      </c>
      <c r="F8" s="19" t="s">
        <v>9</v>
      </c>
      <c r="G8" s="27">
        <v>1</v>
      </c>
      <c r="J8" s="132" t="s">
        <v>54</v>
      </c>
      <c r="K8" s="133">
        <v>18</v>
      </c>
      <c r="L8" s="53"/>
      <c r="M8" s="53">
        <v>400</v>
      </c>
      <c r="N8" s="53">
        <f t="shared" si="2"/>
        <v>7200</v>
      </c>
      <c r="O8" s="53">
        <f t="shared" si="1"/>
        <v>180</v>
      </c>
    </row>
    <row r="9" spans="1:15" x14ac:dyDescent="0.25">
      <c r="A9" s="7"/>
      <c r="B9" s="8"/>
      <c r="C9" s="19" t="s">
        <v>4</v>
      </c>
      <c r="D9" s="19">
        <v>40</v>
      </c>
      <c r="E9" s="19" t="s">
        <v>5</v>
      </c>
      <c r="F9" s="19"/>
      <c r="G9" s="27">
        <v>14</v>
      </c>
      <c r="J9" s="134" t="s">
        <v>191</v>
      </c>
      <c r="K9" s="135">
        <v>1</v>
      </c>
      <c r="M9" s="53">
        <v>2000</v>
      </c>
      <c r="N9" s="53">
        <f t="shared" si="2"/>
        <v>2000</v>
      </c>
      <c r="O9" s="53">
        <f t="shared" si="1"/>
        <v>10</v>
      </c>
    </row>
    <row r="10" spans="1:15" ht="15.75" thickBot="1" x14ac:dyDescent="0.3">
      <c r="A10" s="7"/>
      <c r="B10" s="11" t="s">
        <v>10</v>
      </c>
      <c r="C10" s="16" t="s">
        <v>4</v>
      </c>
      <c r="D10" s="16">
        <v>60</v>
      </c>
      <c r="E10" s="16" t="s">
        <v>3</v>
      </c>
      <c r="F10" s="16"/>
      <c r="G10" s="38">
        <v>4</v>
      </c>
      <c r="J10" s="1" t="s">
        <v>53</v>
      </c>
      <c r="K10" s="33">
        <f>G8</f>
        <v>1</v>
      </c>
      <c r="L10" s="53"/>
      <c r="M10" s="53">
        <v>300</v>
      </c>
      <c r="N10" s="53">
        <f t="shared" si="2"/>
        <v>300</v>
      </c>
      <c r="O10" s="53">
        <f t="shared" si="1"/>
        <v>10</v>
      </c>
    </row>
    <row r="11" spans="1:15" ht="15.75" thickBot="1" x14ac:dyDescent="0.3">
      <c r="A11" s="7"/>
      <c r="B11" s="7"/>
      <c r="C11" s="7"/>
      <c r="D11" s="7"/>
      <c r="E11" s="7"/>
      <c r="F11" s="7"/>
      <c r="G11" s="7"/>
      <c r="I11" s="28"/>
      <c r="J11" s="1" t="s">
        <v>55</v>
      </c>
      <c r="K11" s="33">
        <f>G29+G30</f>
        <v>12</v>
      </c>
      <c r="L11" s="53"/>
      <c r="M11" s="53">
        <v>50</v>
      </c>
      <c r="N11" s="53">
        <f t="shared" si="2"/>
        <v>600</v>
      </c>
      <c r="O11" s="53">
        <f t="shared" si="1"/>
        <v>120</v>
      </c>
    </row>
    <row r="12" spans="1:15" x14ac:dyDescent="0.25">
      <c r="A12" s="7"/>
      <c r="B12" s="140" t="s">
        <v>11</v>
      </c>
      <c r="C12" s="141"/>
      <c r="D12" s="141"/>
      <c r="E12" s="141"/>
      <c r="F12" s="141"/>
      <c r="G12" s="142"/>
      <c r="J12" s="1" t="s">
        <v>193</v>
      </c>
      <c r="K12" s="33">
        <f>G50+G51+G52+G53+G54</f>
        <v>72</v>
      </c>
      <c r="L12" s="53"/>
      <c r="M12" s="53">
        <v>120</v>
      </c>
      <c r="N12" s="53">
        <f t="shared" si="2"/>
        <v>8640</v>
      </c>
      <c r="O12" s="53">
        <f t="shared" si="1"/>
        <v>720</v>
      </c>
    </row>
    <row r="13" spans="1:15" ht="15.75" thickBot="1" x14ac:dyDescent="0.3">
      <c r="A13" s="7"/>
      <c r="B13" s="8" t="s">
        <v>12</v>
      </c>
      <c r="C13" s="19" t="s">
        <v>4</v>
      </c>
      <c r="D13" s="19">
        <v>60</v>
      </c>
      <c r="E13" s="19" t="s">
        <v>3</v>
      </c>
      <c r="F13" s="19"/>
      <c r="G13" s="20">
        <v>2</v>
      </c>
      <c r="J13" s="4" t="s">
        <v>57</v>
      </c>
      <c r="K13" s="34">
        <f>SUM(K3:K12)</f>
        <v>189</v>
      </c>
      <c r="L13" s="53"/>
      <c r="M13" s="53"/>
      <c r="N13" s="53">
        <f t="shared" si="2"/>
        <v>0</v>
      </c>
      <c r="O13" s="53"/>
    </row>
    <row r="14" spans="1:15" ht="15.75" thickBot="1" x14ac:dyDescent="0.3">
      <c r="A14" s="7"/>
      <c r="B14" s="8" t="s">
        <v>13</v>
      </c>
      <c r="C14" s="19" t="s">
        <v>4</v>
      </c>
      <c r="D14" s="19">
        <v>60</v>
      </c>
      <c r="E14" s="19" t="s">
        <v>3</v>
      </c>
      <c r="F14" s="19"/>
      <c r="G14" s="20">
        <v>2</v>
      </c>
      <c r="L14" s="53"/>
      <c r="M14" s="53"/>
      <c r="N14" s="53">
        <f t="shared" si="2"/>
        <v>0</v>
      </c>
      <c r="O14" s="53"/>
    </row>
    <row r="15" spans="1:15" ht="15.75" thickBot="1" x14ac:dyDescent="0.3">
      <c r="A15" s="7"/>
      <c r="B15" s="11" t="s">
        <v>14</v>
      </c>
      <c r="C15" s="16" t="s">
        <v>15</v>
      </c>
      <c r="D15" s="16">
        <v>60</v>
      </c>
      <c r="E15" s="16" t="s">
        <v>3</v>
      </c>
      <c r="F15" s="16"/>
      <c r="G15" s="17">
        <v>4</v>
      </c>
      <c r="J15" s="36" t="s">
        <v>27</v>
      </c>
      <c r="K15" s="35">
        <f>G33+G34</f>
        <v>2</v>
      </c>
      <c r="L15" s="53"/>
      <c r="M15" s="53"/>
      <c r="N15" s="53">
        <f t="shared" si="2"/>
        <v>0</v>
      </c>
      <c r="O15" s="53"/>
    </row>
    <row r="16" spans="1:15" ht="15.75" thickBot="1" x14ac:dyDescent="0.3">
      <c r="A16" s="7"/>
      <c r="B16" s="7"/>
      <c r="C16" s="7"/>
      <c r="D16" s="7"/>
      <c r="E16" s="7"/>
      <c r="F16" s="7"/>
      <c r="G16" s="7"/>
      <c r="L16" s="53"/>
      <c r="M16" s="53"/>
      <c r="N16" s="53">
        <f t="shared" si="2"/>
        <v>0</v>
      </c>
      <c r="O16" s="53"/>
    </row>
    <row r="17" spans="1:15" ht="15.75" thickBot="1" x14ac:dyDescent="0.3">
      <c r="A17" s="7"/>
      <c r="B17" s="140" t="s">
        <v>16</v>
      </c>
      <c r="C17" s="141"/>
      <c r="D17" s="141"/>
      <c r="E17" s="141"/>
      <c r="F17" s="141"/>
      <c r="G17" s="142"/>
      <c r="J17" s="36" t="s">
        <v>59</v>
      </c>
      <c r="K17" s="35">
        <f>G37+G38</f>
        <v>11</v>
      </c>
      <c r="L17" s="53"/>
      <c r="M17" s="53"/>
      <c r="N17" s="53">
        <f t="shared" si="2"/>
        <v>0</v>
      </c>
      <c r="O17" s="53"/>
    </row>
    <row r="18" spans="1:15" ht="15.75" thickBot="1" x14ac:dyDescent="0.3">
      <c r="A18" s="7"/>
      <c r="B18" s="8" t="s">
        <v>17</v>
      </c>
      <c r="C18" s="19" t="s">
        <v>18</v>
      </c>
      <c r="D18" s="19">
        <v>100</v>
      </c>
      <c r="E18" s="19" t="s">
        <v>3</v>
      </c>
      <c r="F18" s="19" t="s">
        <v>9</v>
      </c>
      <c r="G18" s="20">
        <v>2</v>
      </c>
      <c r="L18" s="53"/>
      <c r="M18" s="53"/>
      <c r="N18" s="53">
        <f t="shared" si="2"/>
        <v>0</v>
      </c>
      <c r="O18" s="53"/>
    </row>
    <row r="19" spans="1:15" ht="15.75" thickBot="1" x14ac:dyDescent="0.3">
      <c r="A19" s="7"/>
      <c r="B19" s="11" t="s">
        <v>19</v>
      </c>
      <c r="C19" s="16" t="s">
        <v>18</v>
      </c>
      <c r="D19" s="16">
        <v>100</v>
      </c>
      <c r="E19" s="16" t="s">
        <v>3</v>
      </c>
      <c r="F19" s="16" t="s">
        <v>9</v>
      </c>
      <c r="G19" s="17">
        <v>2</v>
      </c>
      <c r="J19" s="36" t="s">
        <v>62</v>
      </c>
      <c r="K19" s="35">
        <v>1</v>
      </c>
      <c r="L19" s="53"/>
      <c r="M19" s="53"/>
      <c r="N19" s="53">
        <f t="shared" si="2"/>
        <v>0</v>
      </c>
      <c r="O19" s="53"/>
    </row>
    <row r="20" spans="1:15" ht="15.75" thickBot="1" x14ac:dyDescent="0.3">
      <c r="A20" s="7"/>
      <c r="B20" s="7"/>
      <c r="C20" s="7"/>
      <c r="D20" s="7"/>
      <c r="E20" s="7"/>
      <c r="F20" s="7"/>
      <c r="G20" s="7"/>
      <c r="L20" s="53"/>
      <c r="M20" s="53"/>
      <c r="N20" s="53"/>
      <c r="O20" s="53"/>
    </row>
    <row r="21" spans="1:15" x14ac:dyDescent="0.25">
      <c r="A21" s="7"/>
      <c r="B21" s="140" t="s">
        <v>20</v>
      </c>
      <c r="C21" s="141"/>
      <c r="D21" s="141"/>
      <c r="E21" s="141"/>
      <c r="F21" s="141"/>
      <c r="G21" s="142"/>
      <c r="K21">
        <f>K13+K15+K17+K19</f>
        <v>203</v>
      </c>
      <c r="L21" s="53"/>
      <c r="M21" s="53"/>
      <c r="N21" s="53">
        <f>SUM(N3:N12)</f>
        <v>25330</v>
      </c>
      <c r="O21" s="53">
        <f>SUM(O3:O12)</f>
        <v>1890</v>
      </c>
    </row>
    <row r="22" spans="1:15" x14ac:dyDescent="0.25">
      <c r="A22" s="7"/>
      <c r="B22" s="8" t="s">
        <v>21</v>
      </c>
      <c r="C22" s="19" t="s">
        <v>18</v>
      </c>
      <c r="D22" s="19">
        <v>100</v>
      </c>
      <c r="E22" s="19" t="s">
        <v>3</v>
      </c>
      <c r="F22" s="19" t="s">
        <v>9</v>
      </c>
      <c r="G22" s="20">
        <v>4</v>
      </c>
      <c r="O22" s="53"/>
    </row>
    <row r="23" spans="1:15" x14ac:dyDescent="0.25">
      <c r="A23" s="7"/>
      <c r="B23" s="8" t="s">
        <v>22</v>
      </c>
      <c r="C23" s="19" t="s">
        <v>18</v>
      </c>
      <c r="D23" s="19">
        <v>100</v>
      </c>
      <c r="E23" s="19" t="s">
        <v>3</v>
      </c>
      <c r="F23" s="19" t="s">
        <v>9</v>
      </c>
      <c r="G23" s="20">
        <v>3</v>
      </c>
      <c r="O23" s="53"/>
    </row>
    <row r="24" spans="1:15" x14ac:dyDescent="0.25">
      <c r="A24" s="7"/>
      <c r="B24" s="8" t="s">
        <v>17</v>
      </c>
      <c r="C24" s="19" t="s">
        <v>18</v>
      </c>
      <c r="D24" s="19">
        <v>100</v>
      </c>
      <c r="E24" s="19" t="s">
        <v>3</v>
      </c>
      <c r="F24" s="19" t="s">
        <v>9</v>
      </c>
      <c r="G24" s="20">
        <v>3</v>
      </c>
      <c r="L24" s="53"/>
      <c r="M24" s="53"/>
      <c r="N24" s="53"/>
      <c r="O24" s="53"/>
    </row>
    <row r="25" spans="1:15" x14ac:dyDescent="0.25">
      <c r="A25" s="7"/>
      <c r="B25" s="14" t="s">
        <v>19</v>
      </c>
      <c r="C25" s="39" t="s">
        <v>23</v>
      </c>
      <c r="D25" s="39">
        <v>100</v>
      </c>
      <c r="E25" s="39" t="s">
        <v>3</v>
      </c>
      <c r="F25" s="39" t="s">
        <v>9</v>
      </c>
      <c r="G25" s="40">
        <v>1</v>
      </c>
      <c r="L25" s="53"/>
      <c r="M25" s="53"/>
      <c r="N25" s="53"/>
      <c r="O25" s="53"/>
    </row>
    <row r="26" spans="1:15" ht="15.75" thickBot="1" x14ac:dyDescent="0.3">
      <c r="A26" s="7"/>
      <c r="B26" s="15" t="s">
        <v>14</v>
      </c>
      <c r="C26" s="16" t="s">
        <v>18</v>
      </c>
      <c r="D26" s="16">
        <v>100</v>
      </c>
      <c r="E26" s="16" t="s">
        <v>3</v>
      </c>
      <c r="F26" s="16" t="s">
        <v>9</v>
      </c>
      <c r="G26" s="17">
        <v>4</v>
      </c>
      <c r="L26" s="53"/>
      <c r="M26" s="53"/>
      <c r="N26" s="53">
        <f>N21+O21</f>
        <v>27220</v>
      </c>
      <c r="O26" s="53">
        <f>N26/3</f>
        <v>9073.3333333333339</v>
      </c>
    </row>
    <row r="27" spans="1:15" ht="15.75" thickBot="1" x14ac:dyDescent="0.3">
      <c r="A27" s="7"/>
      <c r="B27" s="7"/>
      <c r="C27" s="7"/>
      <c r="D27" s="7"/>
      <c r="E27" s="7"/>
      <c r="F27" s="7"/>
      <c r="G27" s="7"/>
      <c r="M27">
        <v>13</v>
      </c>
      <c r="N27" s="53">
        <f>N26*13/100</f>
        <v>3538.6</v>
      </c>
    </row>
    <row r="28" spans="1:15" x14ac:dyDescent="0.25">
      <c r="A28" s="7"/>
      <c r="B28" s="41" t="s">
        <v>24</v>
      </c>
      <c r="C28" s="29"/>
      <c r="D28" s="29"/>
      <c r="E28" s="29"/>
      <c r="F28" s="29"/>
      <c r="G28" s="30"/>
      <c r="M28">
        <v>6</v>
      </c>
      <c r="N28" s="53">
        <f>N26*6/100</f>
        <v>1633.2</v>
      </c>
    </row>
    <row r="29" spans="1:15" x14ac:dyDescent="0.25">
      <c r="A29" s="7"/>
      <c r="B29" s="18" t="s">
        <v>25</v>
      </c>
      <c r="C29" s="19" t="s">
        <v>18</v>
      </c>
      <c r="D29" s="19">
        <v>40</v>
      </c>
      <c r="E29" s="19" t="s">
        <v>3</v>
      </c>
      <c r="F29" s="19"/>
      <c r="G29" s="20">
        <v>4</v>
      </c>
      <c r="M29" t="s">
        <v>207</v>
      </c>
      <c r="N29" s="53">
        <f>N26+N27+N28</f>
        <v>32391.8</v>
      </c>
      <c r="O29" s="115">
        <f>N29/3</f>
        <v>10797.266666666666</v>
      </c>
    </row>
    <row r="30" spans="1:15" ht="15.75" thickBot="1" x14ac:dyDescent="0.3">
      <c r="A30" s="7"/>
      <c r="B30" s="15" t="s">
        <v>26</v>
      </c>
      <c r="C30" s="16" t="s">
        <v>18</v>
      </c>
      <c r="D30" s="16">
        <v>40</v>
      </c>
      <c r="E30" s="16" t="s">
        <v>3</v>
      </c>
      <c r="F30" s="16"/>
      <c r="G30" s="17">
        <v>8</v>
      </c>
      <c r="M30" s="139">
        <v>0.21</v>
      </c>
      <c r="N30" s="53">
        <f>N29*21/100</f>
        <v>6802.2779999999993</v>
      </c>
    </row>
    <row r="31" spans="1:15" ht="15.75" thickBot="1" x14ac:dyDescent="0.3">
      <c r="A31" s="7"/>
      <c r="B31" s="7"/>
      <c r="C31" s="7"/>
      <c r="D31" s="7"/>
      <c r="E31" s="7"/>
      <c r="F31" s="7"/>
      <c r="G31" s="7"/>
      <c r="N31" s="53">
        <f>N29+N30</f>
        <v>39194.078000000001</v>
      </c>
      <c r="O31" s="115">
        <f>N31/3</f>
        <v>13064.692666666668</v>
      </c>
    </row>
    <row r="32" spans="1:15" x14ac:dyDescent="0.25">
      <c r="A32" s="7"/>
      <c r="B32" s="140" t="s">
        <v>27</v>
      </c>
      <c r="C32" s="141"/>
      <c r="D32" s="141"/>
      <c r="E32" s="141"/>
      <c r="F32" s="141"/>
      <c r="G32" s="142"/>
      <c r="N32" s="53"/>
    </row>
    <row r="33" spans="1:14" x14ac:dyDescent="0.25">
      <c r="A33" s="7"/>
      <c r="B33" s="8" t="s">
        <v>28</v>
      </c>
      <c r="C33" s="9"/>
      <c r="D33" s="9"/>
      <c r="E33" s="9"/>
      <c r="F33" s="9"/>
      <c r="G33" s="10">
        <v>1</v>
      </c>
      <c r="N33" s="53"/>
    </row>
    <row r="34" spans="1:14" ht="15.75" thickBot="1" x14ac:dyDescent="0.3">
      <c r="A34" s="7"/>
      <c r="B34" s="11" t="s">
        <v>19</v>
      </c>
      <c r="C34" s="12"/>
      <c r="D34" s="12"/>
      <c r="E34" s="12"/>
      <c r="F34" s="12"/>
      <c r="G34" s="13">
        <v>1</v>
      </c>
      <c r="N34" s="53"/>
    </row>
    <row r="35" spans="1:14" ht="15.75" thickBot="1" x14ac:dyDescent="0.3">
      <c r="A35" s="7"/>
      <c r="B35" s="7"/>
      <c r="C35" s="7"/>
      <c r="D35" s="7"/>
      <c r="E35" s="7"/>
      <c r="F35" s="7"/>
      <c r="G35" s="7"/>
      <c r="N35" s="53"/>
    </row>
    <row r="36" spans="1:14" x14ac:dyDescent="0.25">
      <c r="A36" s="7"/>
      <c r="B36" s="140" t="s">
        <v>29</v>
      </c>
      <c r="C36" s="141"/>
      <c r="D36" s="141"/>
      <c r="E36" s="141"/>
      <c r="F36" s="141"/>
      <c r="G36" s="142"/>
    </row>
    <row r="37" spans="1:14" x14ac:dyDescent="0.25">
      <c r="A37" s="7"/>
      <c r="B37" s="8" t="s">
        <v>30</v>
      </c>
      <c r="C37" s="9"/>
      <c r="D37" s="9"/>
      <c r="E37" s="9"/>
      <c r="F37" s="9"/>
      <c r="G37" s="10">
        <v>5</v>
      </c>
    </row>
    <row r="38" spans="1:14" ht="15.75" thickBot="1" x14ac:dyDescent="0.3">
      <c r="A38" s="7"/>
      <c r="B38" s="11" t="s">
        <v>31</v>
      </c>
      <c r="C38" s="12"/>
      <c r="D38" s="12"/>
      <c r="E38" s="12"/>
      <c r="F38" s="12"/>
      <c r="G38" s="13">
        <v>6</v>
      </c>
    </row>
    <row r="39" spans="1:14" ht="15.75" thickBot="1" x14ac:dyDescent="0.3">
      <c r="A39" s="7"/>
      <c r="B39" s="7"/>
      <c r="C39" s="7"/>
      <c r="D39" s="7"/>
      <c r="E39" s="7"/>
      <c r="F39" s="7"/>
      <c r="G39" s="7"/>
    </row>
    <row r="40" spans="1:14" x14ac:dyDescent="0.25">
      <c r="A40" s="7"/>
      <c r="B40" s="140" t="s">
        <v>32</v>
      </c>
      <c r="C40" s="141"/>
      <c r="D40" s="141"/>
      <c r="E40" s="141"/>
      <c r="F40" s="141"/>
      <c r="G40" s="142"/>
    </row>
    <row r="41" spans="1:14" x14ac:dyDescent="0.25">
      <c r="A41" s="7"/>
      <c r="B41" s="8" t="s">
        <v>33</v>
      </c>
      <c r="C41" s="19" t="s">
        <v>2</v>
      </c>
      <c r="D41" s="19">
        <v>60</v>
      </c>
      <c r="E41" s="19" t="s">
        <v>34</v>
      </c>
      <c r="F41" s="19"/>
      <c r="G41" s="27">
        <v>1</v>
      </c>
    </row>
    <row r="42" spans="1:14" x14ac:dyDescent="0.25">
      <c r="A42" s="7"/>
      <c r="B42" s="8" t="s">
        <v>35</v>
      </c>
      <c r="C42" s="19" t="s">
        <v>2</v>
      </c>
      <c r="D42" s="19">
        <v>60</v>
      </c>
      <c r="E42" s="19" t="s">
        <v>34</v>
      </c>
      <c r="F42" s="19"/>
      <c r="G42" s="27">
        <v>3</v>
      </c>
    </row>
    <row r="43" spans="1:14" x14ac:dyDescent="0.25">
      <c r="A43" s="7"/>
      <c r="B43" s="8" t="s">
        <v>36</v>
      </c>
      <c r="C43" s="19" t="s">
        <v>2</v>
      </c>
      <c r="D43" s="19">
        <v>60</v>
      </c>
      <c r="E43" s="19" t="s">
        <v>34</v>
      </c>
      <c r="F43" s="19"/>
      <c r="G43" s="27">
        <v>3</v>
      </c>
    </row>
    <row r="44" spans="1:14" x14ac:dyDescent="0.25">
      <c r="A44" s="7"/>
      <c r="B44" s="8" t="s">
        <v>37</v>
      </c>
      <c r="C44" s="19" t="s">
        <v>2</v>
      </c>
      <c r="D44" s="19">
        <v>60</v>
      </c>
      <c r="E44" s="19" t="s">
        <v>34</v>
      </c>
      <c r="F44" s="19"/>
      <c r="G44" s="27">
        <v>1</v>
      </c>
    </row>
    <row r="45" spans="1:14" x14ac:dyDescent="0.25">
      <c r="A45" s="7"/>
      <c r="B45" s="8" t="s">
        <v>38</v>
      </c>
      <c r="C45" s="19" t="s">
        <v>2</v>
      </c>
      <c r="D45" s="19">
        <v>60</v>
      </c>
      <c r="E45" s="19" t="s">
        <v>34</v>
      </c>
      <c r="F45" s="19"/>
      <c r="G45" s="27">
        <v>1</v>
      </c>
    </row>
    <row r="46" spans="1:14" x14ac:dyDescent="0.25">
      <c r="A46" s="7"/>
      <c r="B46" s="8" t="s">
        <v>39</v>
      </c>
      <c r="C46" s="19" t="s">
        <v>2</v>
      </c>
      <c r="D46" s="19">
        <v>60</v>
      </c>
      <c r="E46" s="19" t="s">
        <v>34</v>
      </c>
      <c r="F46" s="19"/>
      <c r="G46" s="27">
        <v>2</v>
      </c>
    </row>
    <row r="47" spans="1:14" ht="15.75" thickBot="1" x14ac:dyDescent="0.3">
      <c r="A47" s="7"/>
      <c r="B47" s="11" t="s">
        <v>40</v>
      </c>
      <c r="C47" s="16" t="s">
        <v>2</v>
      </c>
      <c r="D47" s="16">
        <v>60</v>
      </c>
      <c r="E47" s="16" t="s">
        <v>34</v>
      </c>
      <c r="F47" s="16"/>
      <c r="G47" s="38">
        <v>1</v>
      </c>
    </row>
    <row r="48" spans="1:14" ht="15.75" thickBot="1" x14ac:dyDescent="0.3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140" t="s">
        <v>41</v>
      </c>
      <c r="C49" s="141"/>
      <c r="D49" s="141"/>
      <c r="E49" s="141"/>
      <c r="F49" s="141"/>
      <c r="G49" s="142"/>
    </row>
    <row r="50" spans="1:7" ht="45" x14ac:dyDescent="0.25">
      <c r="A50" s="7"/>
      <c r="B50" s="21" t="s">
        <v>42</v>
      </c>
      <c r="C50" s="9" t="s">
        <v>4</v>
      </c>
      <c r="D50" s="9">
        <v>40</v>
      </c>
      <c r="E50" s="9" t="s">
        <v>43</v>
      </c>
      <c r="F50" s="22" t="s">
        <v>60</v>
      </c>
      <c r="G50" s="23">
        <v>5</v>
      </c>
    </row>
    <row r="51" spans="1:7" x14ac:dyDescent="0.25">
      <c r="A51" s="7"/>
      <c r="B51" s="24" t="s">
        <v>44</v>
      </c>
      <c r="C51" s="9" t="s">
        <v>4</v>
      </c>
      <c r="D51" s="9">
        <v>40</v>
      </c>
      <c r="E51" s="9" t="s">
        <v>43</v>
      </c>
      <c r="F51" s="22" t="s">
        <v>60</v>
      </c>
      <c r="G51" s="10">
        <v>4</v>
      </c>
    </row>
    <row r="52" spans="1:7" ht="30" x14ac:dyDescent="0.25">
      <c r="A52" s="7"/>
      <c r="B52" s="25" t="s">
        <v>45</v>
      </c>
      <c r="C52" s="9" t="s">
        <v>4</v>
      </c>
      <c r="D52" s="9">
        <v>40</v>
      </c>
      <c r="E52" s="9" t="s">
        <v>43</v>
      </c>
      <c r="F52" s="22" t="s">
        <v>60</v>
      </c>
      <c r="G52" s="10">
        <v>21</v>
      </c>
    </row>
    <row r="53" spans="1:7" x14ac:dyDescent="0.25">
      <c r="A53" s="7"/>
      <c r="B53" s="8" t="s">
        <v>17</v>
      </c>
      <c r="C53" s="9" t="s">
        <v>4</v>
      </c>
      <c r="D53" s="9">
        <v>40</v>
      </c>
      <c r="E53" s="9" t="s">
        <v>43</v>
      </c>
      <c r="F53" s="22" t="s">
        <v>60</v>
      </c>
      <c r="G53" s="10">
        <v>11</v>
      </c>
    </row>
    <row r="54" spans="1:7" ht="15.75" thickBot="1" x14ac:dyDescent="0.3">
      <c r="A54" s="7"/>
      <c r="B54" s="11" t="s">
        <v>14</v>
      </c>
      <c r="C54" s="12" t="s">
        <v>4</v>
      </c>
      <c r="D54" s="12">
        <v>40</v>
      </c>
      <c r="E54" s="12" t="s">
        <v>43</v>
      </c>
      <c r="F54" s="37" t="s">
        <v>60</v>
      </c>
      <c r="G54" s="13">
        <v>31</v>
      </c>
    </row>
    <row r="55" spans="1:7" ht="15.75" thickBot="1" x14ac:dyDescent="0.3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140" t="s">
        <v>46</v>
      </c>
      <c r="C56" s="141"/>
      <c r="D56" s="141"/>
      <c r="E56" s="141"/>
      <c r="F56" s="141"/>
      <c r="G56" s="142"/>
    </row>
    <row r="57" spans="1:7" x14ac:dyDescent="0.25">
      <c r="A57" s="7"/>
      <c r="B57" s="8" t="s">
        <v>47</v>
      </c>
      <c r="C57" s="19" t="s">
        <v>2</v>
      </c>
      <c r="D57" s="19">
        <v>60</v>
      </c>
      <c r="E57" s="19" t="s">
        <v>48</v>
      </c>
      <c r="F57" s="19"/>
      <c r="G57" s="27">
        <v>1</v>
      </c>
    </row>
    <row r="58" spans="1:7" x14ac:dyDescent="0.25">
      <c r="A58" s="7"/>
      <c r="B58" s="8" t="s">
        <v>17</v>
      </c>
      <c r="C58" s="19" t="s">
        <v>2</v>
      </c>
      <c r="D58" s="19">
        <v>60</v>
      </c>
      <c r="E58" s="19" t="s">
        <v>48</v>
      </c>
      <c r="F58" s="19"/>
      <c r="G58" s="27">
        <v>1</v>
      </c>
    </row>
    <row r="59" spans="1:7" ht="15.75" thickBot="1" x14ac:dyDescent="0.3">
      <c r="A59" s="7"/>
      <c r="B59" s="11" t="s">
        <v>14</v>
      </c>
      <c r="C59" s="16" t="s">
        <v>2</v>
      </c>
      <c r="D59" s="16">
        <v>60</v>
      </c>
      <c r="E59" s="16" t="s">
        <v>48</v>
      </c>
      <c r="F59" s="16"/>
      <c r="G59" s="38">
        <v>1</v>
      </c>
    </row>
    <row r="60" spans="1:7" ht="15.75" thickBot="1" x14ac:dyDescent="0.3">
      <c r="A60" s="7"/>
    </row>
    <row r="61" spans="1:7" x14ac:dyDescent="0.25">
      <c r="B61" s="43" t="s">
        <v>61</v>
      </c>
      <c r="C61" s="44"/>
      <c r="D61" s="44"/>
      <c r="E61" s="44"/>
      <c r="F61" s="44"/>
      <c r="G61" s="45"/>
    </row>
    <row r="62" spans="1:7" ht="15.75" thickBot="1" x14ac:dyDescent="0.3">
      <c r="B62" s="15" t="s">
        <v>17</v>
      </c>
      <c r="C62" s="5"/>
      <c r="D62" s="5"/>
      <c r="E62" s="5"/>
      <c r="F62" s="5"/>
      <c r="G62" s="38">
        <v>1</v>
      </c>
    </row>
  </sheetData>
  <mergeCells count="9">
    <mergeCell ref="B2:G2"/>
    <mergeCell ref="B49:G49"/>
    <mergeCell ref="B56:G56"/>
    <mergeCell ref="B12:G12"/>
    <mergeCell ref="B17:G17"/>
    <mergeCell ref="B21:G21"/>
    <mergeCell ref="B32:G32"/>
    <mergeCell ref="B36:G36"/>
    <mergeCell ref="B40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tabSelected="1" workbookViewId="0">
      <selection activeCell="L15" sqref="L15"/>
    </sheetView>
  </sheetViews>
  <sheetFormatPr baseColWidth="10" defaultRowHeight="15" x14ac:dyDescent="0.25"/>
  <cols>
    <col min="1" max="1" width="6.28515625" customWidth="1"/>
    <col min="2" max="2" width="41.28515625" customWidth="1"/>
    <col min="8" max="8" width="7.28515625" customWidth="1"/>
    <col min="9" max="9" width="16" customWidth="1"/>
    <col min="12" max="12" width="18.42578125" customWidth="1"/>
    <col min="13" max="13" width="6.28515625" customWidth="1"/>
  </cols>
  <sheetData>
    <row r="1" spans="2:13" ht="19.5" thickBot="1" x14ac:dyDescent="0.3">
      <c r="B1" s="26" t="s">
        <v>49</v>
      </c>
    </row>
    <row r="2" spans="2:13" x14ac:dyDescent="0.25">
      <c r="B2" s="140" t="s">
        <v>0</v>
      </c>
      <c r="C2" s="141"/>
      <c r="D2" s="141"/>
      <c r="E2" s="141"/>
      <c r="F2" s="141"/>
      <c r="G2" s="142"/>
      <c r="L2" s="42"/>
      <c r="M2" s="32"/>
    </row>
    <row r="3" spans="2:13" x14ac:dyDescent="0.25">
      <c r="B3" s="8" t="s">
        <v>1</v>
      </c>
      <c r="C3" s="19" t="s">
        <v>2</v>
      </c>
      <c r="D3" s="19">
        <v>80</v>
      </c>
      <c r="E3" s="19" t="s">
        <v>3</v>
      </c>
      <c r="F3" s="19"/>
      <c r="G3" s="27">
        <v>5</v>
      </c>
      <c r="I3" s="28" t="s">
        <v>64</v>
      </c>
      <c r="L3" s="3" t="s">
        <v>64</v>
      </c>
      <c r="M3" s="33">
        <f>G3+G4+G5+G6+G7+G8+G9+G10+G14+G19+G25+G30+G33+G34+G57+G58+G59</f>
        <v>81</v>
      </c>
    </row>
    <row r="4" spans="2:13" x14ac:dyDescent="0.25">
      <c r="B4" s="8"/>
      <c r="C4" s="19" t="s">
        <v>4</v>
      </c>
      <c r="D4" s="19">
        <v>60</v>
      </c>
      <c r="E4" s="19" t="s">
        <v>3</v>
      </c>
      <c r="F4" s="19"/>
      <c r="G4" s="27">
        <v>7</v>
      </c>
      <c r="I4" s="28" t="s">
        <v>64</v>
      </c>
      <c r="L4" s="3" t="s">
        <v>63</v>
      </c>
      <c r="M4" s="33">
        <f>G37+G38+G62</f>
        <v>12</v>
      </c>
    </row>
    <row r="5" spans="2:13" x14ac:dyDescent="0.25">
      <c r="B5" s="8"/>
      <c r="C5" s="19" t="s">
        <v>4</v>
      </c>
      <c r="D5" s="19">
        <v>40</v>
      </c>
      <c r="E5" s="19" t="s">
        <v>5</v>
      </c>
      <c r="F5" s="19"/>
      <c r="G5" s="27">
        <v>21</v>
      </c>
      <c r="I5" s="28" t="s">
        <v>64</v>
      </c>
      <c r="L5" s="3" t="s">
        <v>66</v>
      </c>
      <c r="M5" s="33">
        <f>G13+G15+G18+G22+G23+G24+G26+G29+G41+G42+G43+G44+G45+G46+G47+G50+G51+G52+G53+G54</f>
        <v>110</v>
      </c>
    </row>
    <row r="6" spans="2:13" x14ac:dyDescent="0.25">
      <c r="B6" s="8" t="s">
        <v>6</v>
      </c>
      <c r="C6" s="19" t="s">
        <v>2</v>
      </c>
      <c r="D6" s="19">
        <v>80</v>
      </c>
      <c r="E6" s="19" t="s">
        <v>3</v>
      </c>
      <c r="F6" s="19"/>
      <c r="G6" s="27">
        <v>2</v>
      </c>
      <c r="I6" s="28" t="s">
        <v>64</v>
      </c>
      <c r="L6" s="3"/>
      <c r="M6" s="33"/>
    </row>
    <row r="7" spans="2:13" x14ac:dyDescent="0.25">
      <c r="B7" s="8"/>
      <c r="C7" s="19" t="s">
        <v>4</v>
      </c>
      <c r="D7" s="19">
        <v>60</v>
      </c>
      <c r="E7" s="19" t="s">
        <v>3</v>
      </c>
      <c r="F7" s="19"/>
      <c r="G7" s="27">
        <v>9</v>
      </c>
      <c r="I7" s="28" t="s">
        <v>64</v>
      </c>
      <c r="L7" s="3" t="s">
        <v>57</v>
      </c>
      <c r="M7" s="33">
        <f>SUM(M3:M5)</f>
        <v>203</v>
      </c>
    </row>
    <row r="8" spans="2:13" ht="15.75" thickBot="1" x14ac:dyDescent="0.3">
      <c r="B8" s="8"/>
      <c r="C8" s="19" t="s">
        <v>7</v>
      </c>
      <c r="D8" s="19">
        <v>80</v>
      </c>
      <c r="E8" s="19" t="s">
        <v>8</v>
      </c>
      <c r="F8" s="19" t="s">
        <v>9</v>
      </c>
      <c r="G8" s="27">
        <v>1</v>
      </c>
      <c r="I8" s="28" t="s">
        <v>64</v>
      </c>
      <c r="L8" s="5"/>
      <c r="M8" s="51"/>
    </row>
    <row r="9" spans="2:13" x14ac:dyDescent="0.25">
      <c r="B9" s="8"/>
      <c r="C9" s="19" t="s">
        <v>4</v>
      </c>
      <c r="D9" s="19">
        <v>40</v>
      </c>
      <c r="E9" s="19" t="s">
        <v>5</v>
      </c>
      <c r="F9" s="19"/>
      <c r="G9" s="27">
        <v>14</v>
      </c>
      <c r="I9" s="28" t="s">
        <v>64</v>
      </c>
    </row>
    <row r="10" spans="2:13" ht="15.75" thickBot="1" x14ac:dyDescent="0.3">
      <c r="B10" s="11" t="s">
        <v>10</v>
      </c>
      <c r="C10" s="16" t="s">
        <v>4</v>
      </c>
      <c r="D10" s="16">
        <v>60</v>
      </c>
      <c r="E10" s="16" t="s">
        <v>3</v>
      </c>
      <c r="F10" s="16"/>
      <c r="G10" s="38">
        <v>4</v>
      </c>
      <c r="I10" s="28" t="s">
        <v>64</v>
      </c>
    </row>
    <row r="11" spans="2:13" ht="15.75" thickBot="1" x14ac:dyDescent="0.3">
      <c r="B11" s="7"/>
      <c r="C11" s="7"/>
      <c r="D11" s="7"/>
      <c r="E11" s="7"/>
      <c r="F11" s="7"/>
      <c r="G11" s="7"/>
      <c r="I11" s="28"/>
    </row>
    <row r="12" spans="2:13" x14ac:dyDescent="0.25">
      <c r="B12" s="140" t="s">
        <v>11</v>
      </c>
      <c r="C12" s="141"/>
      <c r="D12" s="141"/>
      <c r="E12" s="141"/>
      <c r="F12" s="141"/>
      <c r="G12" s="142"/>
      <c r="I12" s="28"/>
    </row>
    <row r="13" spans="2:13" x14ac:dyDescent="0.25">
      <c r="B13" s="8" t="s">
        <v>12</v>
      </c>
      <c r="C13" s="19" t="s">
        <v>4</v>
      </c>
      <c r="D13" s="19">
        <v>60</v>
      </c>
      <c r="E13" s="19" t="s">
        <v>3</v>
      </c>
      <c r="F13" s="19"/>
      <c r="G13" s="20">
        <v>2</v>
      </c>
      <c r="I13" s="28" t="s">
        <v>65</v>
      </c>
    </row>
    <row r="14" spans="2:13" x14ac:dyDescent="0.25">
      <c r="B14" s="8" t="s">
        <v>13</v>
      </c>
      <c r="C14" s="19" t="s">
        <v>4</v>
      </c>
      <c r="D14" s="19">
        <v>60</v>
      </c>
      <c r="E14" s="19" t="s">
        <v>3</v>
      </c>
      <c r="F14" s="19"/>
      <c r="G14" s="20">
        <v>2</v>
      </c>
      <c r="I14" s="28" t="s">
        <v>64</v>
      </c>
    </row>
    <row r="15" spans="2:13" ht="15.75" thickBot="1" x14ac:dyDescent="0.3">
      <c r="B15" s="11" t="s">
        <v>14</v>
      </c>
      <c r="C15" s="16" t="s">
        <v>15</v>
      </c>
      <c r="D15" s="16">
        <v>60</v>
      </c>
      <c r="E15" s="16" t="s">
        <v>3</v>
      </c>
      <c r="F15" s="16"/>
      <c r="G15" s="17">
        <v>4</v>
      </c>
      <c r="I15" s="28" t="s">
        <v>65</v>
      </c>
    </row>
    <row r="16" spans="2:13" ht="15.75" thickBot="1" x14ac:dyDescent="0.3">
      <c r="B16" s="7"/>
      <c r="C16" s="7"/>
      <c r="D16" s="7"/>
      <c r="E16" s="7"/>
      <c r="F16" s="7"/>
      <c r="G16" s="7"/>
      <c r="I16" s="28"/>
    </row>
    <row r="17" spans="2:9" x14ac:dyDescent="0.25">
      <c r="B17" s="140" t="s">
        <v>16</v>
      </c>
      <c r="C17" s="141"/>
      <c r="D17" s="141"/>
      <c r="E17" s="141"/>
      <c r="F17" s="141"/>
      <c r="G17" s="142"/>
      <c r="I17" s="28"/>
    </row>
    <row r="18" spans="2:9" x14ac:dyDescent="0.25">
      <c r="B18" s="8" t="s">
        <v>17</v>
      </c>
      <c r="C18" s="19" t="s">
        <v>18</v>
      </c>
      <c r="D18" s="19">
        <v>100</v>
      </c>
      <c r="E18" s="19" t="s">
        <v>3</v>
      </c>
      <c r="F18" s="19" t="s">
        <v>9</v>
      </c>
      <c r="G18" s="20">
        <v>2</v>
      </c>
      <c r="I18" s="28" t="s">
        <v>65</v>
      </c>
    </row>
    <row r="19" spans="2:9" ht="15.75" thickBot="1" x14ac:dyDescent="0.3">
      <c r="B19" s="11" t="s">
        <v>19</v>
      </c>
      <c r="C19" s="16" t="s">
        <v>18</v>
      </c>
      <c r="D19" s="16">
        <v>100</v>
      </c>
      <c r="E19" s="16" t="s">
        <v>3</v>
      </c>
      <c r="F19" s="16" t="s">
        <v>9</v>
      </c>
      <c r="G19" s="17">
        <v>2</v>
      </c>
      <c r="I19" s="28" t="s">
        <v>64</v>
      </c>
    </row>
    <row r="20" spans="2:9" ht="15.75" thickBot="1" x14ac:dyDescent="0.3">
      <c r="B20" s="7"/>
      <c r="C20" s="7"/>
      <c r="D20" s="7"/>
      <c r="E20" s="7"/>
      <c r="F20" s="7"/>
      <c r="G20" s="7"/>
      <c r="I20" s="28"/>
    </row>
    <row r="21" spans="2:9" x14ac:dyDescent="0.25">
      <c r="B21" s="140" t="s">
        <v>20</v>
      </c>
      <c r="C21" s="141"/>
      <c r="D21" s="141"/>
      <c r="E21" s="141"/>
      <c r="F21" s="141"/>
      <c r="G21" s="142"/>
      <c r="I21" s="28"/>
    </row>
    <row r="22" spans="2:9" x14ac:dyDescent="0.25">
      <c r="B22" s="8" t="s">
        <v>21</v>
      </c>
      <c r="C22" s="19" t="s">
        <v>18</v>
      </c>
      <c r="D22" s="19">
        <v>100</v>
      </c>
      <c r="E22" s="19" t="s">
        <v>3</v>
      </c>
      <c r="F22" s="19" t="s">
        <v>9</v>
      </c>
      <c r="G22" s="20">
        <v>4</v>
      </c>
      <c r="I22" s="28" t="s">
        <v>65</v>
      </c>
    </row>
    <row r="23" spans="2:9" x14ac:dyDescent="0.25">
      <c r="B23" s="8" t="s">
        <v>22</v>
      </c>
      <c r="C23" s="19" t="s">
        <v>18</v>
      </c>
      <c r="D23" s="19">
        <v>100</v>
      </c>
      <c r="E23" s="19" t="s">
        <v>3</v>
      </c>
      <c r="F23" s="19" t="s">
        <v>9</v>
      </c>
      <c r="G23" s="20">
        <v>3</v>
      </c>
      <c r="I23" s="28" t="s">
        <v>65</v>
      </c>
    </row>
    <row r="24" spans="2:9" x14ac:dyDescent="0.25">
      <c r="B24" s="8" t="s">
        <v>17</v>
      </c>
      <c r="C24" s="19" t="s">
        <v>18</v>
      </c>
      <c r="D24" s="19">
        <v>100</v>
      </c>
      <c r="E24" s="19" t="s">
        <v>3</v>
      </c>
      <c r="F24" s="19" t="s">
        <v>9</v>
      </c>
      <c r="G24" s="20">
        <v>3</v>
      </c>
      <c r="I24" s="28" t="s">
        <v>65</v>
      </c>
    </row>
    <row r="25" spans="2:9" x14ac:dyDescent="0.25">
      <c r="B25" s="14" t="s">
        <v>19</v>
      </c>
      <c r="C25" s="39" t="s">
        <v>23</v>
      </c>
      <c r="D25" s="39">
        <v>100</v>
      </c>
      <c r="E25" s="39" t="s">
        <v>3</v>
      </c>
      <c r="F25" s="39" t="s">
        <v>9</v>
      </c>
      <c r="G25" s="40">
        <v>1</v>
      </c>
      <c r="I25" s="28" t="s">
        <v>64</v>
      </c>
    </row>
    <row r="26" spans="2:9" ht="15.75" thickBot="1" x14ac:dyDescent="0.3">
      <c r="B26" s="15" t="s">
        <v>14</v>
      </c>
      <c r="C26" s="16" t="s">
        <v>18</v>
      </c>
      <c r="D26" s="16">
        <v>100</v>
      </c>
      <c r="E26" s="16" t="s">
        <v>3</v>
      </c>
      <c r="F26" s="16" t="s">
        <v>9</v>
      </c>
      <c r="G26" s="17">
        <v>4</v>
      </c>
      <c r="I26" s="28" t="s">
        <v>65</v>
      </c>
    </row>
    <row r="27" spans="2:9" ht="15.75" thickBot="1" x14ac:dyDescent="0.3">
      <c r="B27" s="7"/>
      <c r="C27" s="7"/>
      <c r="D27" s="7"/>
      <c r="E27" s="7"/>
      <c r="F27" s="7"/>
      <c r="G27" s="7"/>
      <c r="I27" s="28"/>
    </row>
    <row r="28" spans="2:9" x14ac:dyDescent="0.25">
      <c r="B28" s="50" t="s">
        <v>24</v>
      </c>
      <c r="C28" s="29"/>
      <c r="D28" s="29"/>
      <c r="E28" s="29"/>
      <c r="F28" s="29"/>
      <c r="G28" s="30"/>
      <c r="I28" s="28"/>
    </row>
    <row r="29" spans="2:9" x14ac:dyDescent="0.25">
      <c r="B29" s="18" t="s">
        <v>25</v>
      </c>
      <c r="C29" s="19" t="s">
        <v>18</v>
      </c>
      <c r="D29" s="19">
        <v>40</v>
      </c>
      <c r="E29" s="19" t="s">
        <v>3</v>
      </c>
      <c r="F29" s="19"/>
      <c r="G29" s="20">
        <v>4</v>
      </c>
      <c r="I29" s="28" t="s">
        <v>65</v>
      </c>
    </row>
    <row r="30" spans="2:9" ht="15.75" thickBot="1" x14ac:dyDescent="0.3">
      <c r="B30" s="15" t="s">
        <v>26</v>
      </c>
      <c r="C30" s="16" t="s">
        <v>18</v>
      </c>
      <c r="D30" s="16">
        <v>40</v>
      </c>
      <c r="E30" s="16" t="s">
        <v>3</v>
      </c>
      <c r="F30" s="16"/>
      <c r="G30" s="17">
        <v>8</v>
      </c>
      <c r="I30" s="28" t="s">
        <v>64</v>
      </c>
    </row>
    <row r="31" spans="2:9" ht="15.75" thickBot="1" x14ac:dyDescent="0.3">
      <c r="B31" s="7"/>
      <c r="C31" s="7"/>
      <c r="D31" s="7"/>
      <c r="E31" s="7"/>
      <c r="F31" s="7"/>
      <c r="G31" s="7"/>
      <c r="I31" s="28"/>
    </row>
    <row r="32" spans="2:9" x14ac:dyDescent="0.25">
      <c r="B32" s="140" t="s">
        <v>27</v>
      </c>
      <c r="C32" s="141"/>
      <c r="D32" s="141"/>
      <c r="E32" s="141"/>
      <c r="F32" s="141"/>
      <c r="G32" s="142"/>
      <c r="I32" s="28"/>
    </row>
    <row r="33" spans="2:9" x14ac:dyDescent="0.25">
      <c r="B33" s="8" t="s">
        <v>28</v>
      </c>
      <c r="C33" s="9"/>
      <c r="D33" s="9"/>
      <c r="E33" s="9"/>
      <c r="F33" s="9"/>
      <c r="G33" s="10">
        <v>1</v>
      </c>
      <c r="I33" s="28" t="s">
        <v>64</v>
      </c>
    </row>
    <row r="34" spans="2:9" ht="15.75" thickBot="1" x14ac:dyDescent="0.3">
      <c r="B34" s="11" t="s">
        <v>19</v>
      </c>
      <c r="C34" s="12"/>
      <c r="D34" s="12"/>
      <c r="E34" s="12"/>
      <c r="F34" s="12"/>
      <c r="G34" s="13">
        <v>1</v>
      </c>
      <c r="I34" s="28" t="s">
        <v>64</v>
      </c>
    </row>
    <row r="35" spans="2:9" ht="15.75" thickBot="1" x14ac:dyDescent="0.3">
      <c r="B35" s="7"/>
      <c r="C35" s="7"/>
      <c r="D35" s="7"/>
      <c r="E35" s="7"/>
      <c r="F35" s="7"/>
      <c r="G35" s="7"/>
      <c r="I35" s="28"/>
    </row>
    <row r="36" spans="2:9" x14ac:dyDescent="0.25">
      <c r="B36" s="140" t="s">
        <v>29</v>
      </c>
      <c r="C36" s="141"/>
      <c r="D36" s="141"/>
      <c r="E36" s="141"/>
      <c r="F36" s="141"/>
      <c r="G36" s="142"/>
      <c r="I36" s="28"/>
    </row>
    <row r="37" spans="2:9" x14ac:dyDescent="0.25">
      <c r="B37" s="8" t="s">
        <v>30</v>
      </c>
      <c r="C37" s="9"/>
      <c r="D37" s="9"/>
      <c r="E37" s="9"/>
      <c r="F37" s="9"/>
      <c r="G37" s="10">
        <v>5</v>
      </c>
      <c r="I37" s="28" t="s">
        <v>63</v>
      </c>
    </row>
    <row r="38" spans="2:9" ht="15.75" thickBot="1" x14ac:dyDescent="0.3">
      <c r="B38" s="11" t="s">
        <v>31</v>
      </c>
      <c r="C38" s="12"/>
      <c r="D38" s="12"/>
      <c r="E38" s="12"/>
      <c r="F38" s="12"/>
      <c r="G38" s="13">
        <v>6</v>
      </c>
      <c r="I38" s="28" t="s">
        <v>63</v>
      </c>
    </row>
    <row r="39" spans="2:9" ht="15.75" thickBot="1" x14ac:dyDescent="0.3">
      <c r="B39" s="7"/>
      <c r="C39" s="7"/>
      <c r="D39" s="7"/>
      <c r="E39" s="7"/>
      <c r="F39" s="7"/>
      <c r="G39" s="7"/>
      <c r="I39" s="28"/>
    </row>
    <row r="40" spans="2:9" x14ac:dyDescent="0.25">
      <c r="B40" s="140" t="s">
        <v>32</v>
      </c>
      <c r="C40" s="141"/>
      <c r="D40" s="141"/>
      <c r="E40" s="141"/>
      <c r="F40" s="141"/>
      <c r="G40" s="142"/>
      <c r="I40" s="28"/>
    </row>
    <row r="41" spans="2:9" x14ac:dyDescent="0.25">
      <c r="B41" s="8" t="s">
        <v>33</v>
      </c>
      <c r="C41" s="19" t="s">
        <v>2</v>
      </c>
      <c r="D41" s="19">
        <v>60</v>
      </c>
      <c r="E41" s="19" t="s">
        <v>34</v>
      </c>
      <c r="F41" s="19"/>
      <c r="G41" s="27">
        <v>1</v>
      </c>
      <c r="I41" s="28" t="s">
        <v>65</v>
      </c>
    </row>
    <row r="42" spans="2:9" x14ac:dyDescent="0.25">
      <c r="B42" s="8" t="s">
        <v>35</v>
      </c>
      <c r="C42" s="19" t="s">
        <v>2</v>
      </c>
      <c r="D42" s="19">
        <v>60</v>
      </c>
      <c r="E42" s="19" t="s">
        <v>34</v>
      </c>
      <c r="F42" s="19"/>
      <c r="G42" s="27">
        <v>3</v>
      </c>
      <c r="I42" s="28" t="s">
        <v>65</v>
      </c>
    </row>
    <row r="43" spans="2:9" x14ac:dyDescent="0.25">
      <c r="B43" s="8" t="s">
        <v>36</v>
      </c>
      <c r="C43" s="19" t="s">
        <v>2</v>
      </c>
      <c r="D43" s="19">
        <v>60</v>
      </c>
      <c r="E43" s="19" t="s">
        <v>34</v>
      </c>
      <c r="F43" s="19"/>
      <c r="G43" s="27">
        <v>3</v>
      </c>
      <c r="I43" s="28" t="s">
        <v>65</v>
      </c>
    </row>
    <row r="44" spans="2:9" x14ac:dyDescent="0.25">
      <c r="B44" s="8" t="s">
        <v>37</v>
      </c>
      <c r="C44" s="19" t="s">
        <v>2</v>
      </c>
      <c r="D44" s="19">
        <v>60</v>
      </c>
      <c r="E44" s="19" t="s">
        <v>34</v>
      </c>
      <c r="F44" s="19"/>
      <c r="G44" s="27">
        <v>1</v>
      </c>
      <c r="I44" s="28" t="s">
        <v>65</v>
      </c>
    </row>
    <row r="45" spans="2:9" x14ac:dyDescent="0.25">
      <c r="B45" s="8" t="s">
        <v>38</v>
      </c>
      <c r="C45" s="19" t="s">
        <v>2</v>
      </c>
      <c r="D45" s="19">
        <v>60</v>
      </c>
      <c r="E45" s="19" t="s">
        <v>34</v>
      </c>
      <c r="F45" s="19"/>
      <c r="G45" s="27">
        <v>1</v>
      </c>
      <c r="I45" s="28" t="s">
        <v>65</v>
      </c>
    </row>
    <row r="46" spans="2:9" x14ac:dyDescent="0.25">
      <c r="B46" s="8" t="s">
        <v>39</v>
      </c>
      <c r="C46" s="19" t="s">
        <v>2</v>
      </c>
      <c r="D46" s="19">
        <v>60</v>
      </c>
      <c r="E46" s="19" t="s">
        <v>34</v>
      </c>
      <c r="F46" s="19"/>
      <c r="G46" s="27">
        <v>2</v>
      </c>
      <c r="I46" s="28" t="s">
        <v>65</v>
      </c>
    </row>
    <row r="47" spans="2:9" ht="15.75" thickBot="1" x14ac:dyDescent="0.3">
      <c r="B47" s="11" t="s">
        <v>40</v>
      </c>
      <c r="C47" s="16" t="s">
        <v>2</v>
      </c>
      <c r="D47" s="16">
        <v>60</v>
      </c>
      <c r="E47" s="16" t="s">
        <v>34</v>
      </c>
      <c r="F47" s="16"/>
      <c r="G47" s="38">
        <v>1</v>
      </c>
      <c r="I47" s="28" t="s">
        <v>65</v>
      </c>
    </row>
    <row r="48" spans="2:9" ht="15.75" thickBot="1" x14ac:dyDescent="0.3">
      <c r="B48" s="7"/>
      <c r="C48" s="7"/>
      <c r="D48" s="7"/>
      <c r="E48" s="7"/>
      <c r="F48" s="7"/>
      <c r="G48" s="7"/>
      <c r="I48" s="28"/>
    </row>
    <row r="49" spans="2:9" x14ac:dyDescent="0.25">
      <c r="B49" s="140" t="s">
        <v>41</v>
      </c>
      <c r="C49" s="141"/>
      <c r="D49" s="141"/>
      <c r="E49" s="141"/>
      <c r="F49" s="141"/>
      <c r="G49" s="142"/>
      <c r="I49" s="28"/>
    </row>
    <row r="50" spans="2:9" ht="30" x14ac:dyDescent="0.25">
      <c r="B50" s="21" t="s">
        <v>42</v>
      </c>
      <c r="C50" s="9" t="s">
        <v>4</v>
      </c>
      <c r="D50" s="9">
        <v>40</v>
      </c>
      <c r="E50" s="9" t="s">
        <v>43</v>
      </c>
      <c r="F50" s="22" t="s">
        <v>60</v>
      </c>
      <c r="G50" s="23">
        <v>5</v>
      </c>
      <c r="I50" s="28" t="s">
        <v>65</v>
      </c>
    </row>
    <row r="51" spans="2:9" x14ac:dyDescent="0.25">
      <c r="B51" s="24" t="s">
        <v>44</v>
      </c>
      <c r="C51" s="9" t="s">
        <v>4</v>
      </c>
      <c r="D51" s="9">
        <v>40</v>
      </c>
      <c r="E51" s="9" t="s">
        <v>43</v>
      </c>
      <c r="F51" s="22" t="s">
        <v>60</v>
      </c>
      <c r="G51" s="10">
        <v>4</v>
      </c>
      <c r="I51" s="28" t="s">
        <v>65</v>
      </c>
    </row>
    <row r="52" spans="2:9" ht="30" x14ac:dyDescent="0.25">
      <c r="B52" s="25" t="s">
        <v>45</v>
      </c>
      <c r="C52" s="9" t="s">
        <v>4</v>
      </c>
      <c r="D52" s="9">
        <v>40</v>
      </c>
      <c r="E52" s="9" t="s">
        <v>43</v>
      </c>
      <c r="F52" s="22" t="s">
        <v>60</v>
      </c>
      <c r="G52" s="10">
        <v>21</v>
      </c>
      <c r="I52" s="28" t="s">
        <v>65</v>
      </c>
    </row>
    <row r="53" spans="2:9" x14ac:dyDescent="0.25">
      <c r="B53" s="8" t="s">
        <v>17</v>
      </c>
      <c r="C53" s="9" t="s">
        <v>4</v>
      </c>
      <c r="D53" s="9">
        <v>40</v>
      </c>
      <c r="E53" s="9" t="s">
        <v>43</v>
      </c>
      <c r="F53" s="22" t="s">
        <v>60</v>
      </c>
      <c r="G53" s="10">
        <v>11</v>
      </c>
      <c r="I53" s="28" t="s">
        <v>65</v>
      </c>
    </row>
    <row r="54" spans="2:9" ht="15.75" thickBot="1" x14ac:dyDescent="0.3">
      <c r="B54" s="11" t="s">
        <v>14</v>
      </c>
      <c r="C54" s="12" t="s">
        <v>4</v>
      </c>
      <c r="D54" s="12">
        <v>40</v>
      </c>
      <c r="E54" s="12" t="s">
        <v>43</v>
      </c>
      <c r="F54" s="37" t="s">
        <v>60</v>
      </c>
      <c r="G54" s="13">
        <v>31</v>
      </c>
      <c r="I54" s="28" t="s">
        <v>65</v>
      </c>
    </row>
    <row r="55" spans="2:9" ht="15.75" thickBot="1" x14ac:dyDescent="0.3">
      <c r="B55" s="7"/>
      <c r="C55" s="7"/>
      <c r="D55" s="7"/>
      <c r="E55" s="7"/>
      <c r="F55" s="7"/>
      <c r="G55" s="7"/>
      <c r="I55" s="28"/>
    </row>
    <row r="56" spans="2:9" x14ac:dyDescent="0.25">
      <c r="B56" s="140" t="s">
        <v>46</v>
      </c>
      <c r="C56" s="141"/>
      <c r="D56" s="141"/>
      <c r="E56" s="141"/>
      <c r="F56" s="141"/>
      <c r="G56" s="142"/>
      <c r="I56" s="28"/>
    </row>
    <row r="57" spans="2:9" x14ac:dyDescent="0.25">
      <c r="B57" s="8" t="s">
        <v>47</v>
      </c>
      <c r="C57" s="19" t="s">
        <v>2</v>
      </c>
      <c r="D57" s="19">
        <v>60</v>
      </c>
      <c r="E57" s="19" t="s">
        <v>48</v>
      </c>
      <c r="F57" s="19"/>
      <c r="G57" s="27">
        <v>1</v>
      </c>
      <c r="I57" s="28" t="s">
        <v>64</v>
      </c>
    </row>
    <row r="58" spans="2:9" x14ac:dyDescent="0.25">
      <c r="B58" s="8" t="s">
        <v>17</v>
      </c>
      <c r="C58" s="19" t="s">
        <v>2</v>
      </c>
      <c r="D58" s="19">
        <v>60</v>
      </c>
      <c r="E58" s="19" t="s">
        <v>48</v>
      </c>
      <c r="F58" s="19"/>
      <c r="G58" s="27">
        <v>1</v>
      </c>
      <c r="I58" s="28" t="s">
        <v>64</v>
      </c>
    </row>
    <row r="59" spans="2:9" ht="15.75" thickBot="1" x14ac:dyDescent="0.3">
      <c r="B59" s="11" t="s">
        <v>14</v>
      </c>
      <c r="C59" s="16" t="s">
        <v>2</v>
      </c>
      <c r="D59" s="16">
        <v>60</v>
      </c>
      <c r="E59" s="16" t="s">
        <v>48</v>
      </c>
      <c r="F59" s="16"/>
      <c r="G59" s="38">
        <v>1</v>
      </c>
      <c r="I59" s="28" t="s">
        <v>64</v>
      </c>
    </row>
    <row r="60" spans="2:9" ht="15.75" thickBot="1" x14ac:dyDescent="0.3">
      <c r="I60" s="28"/>
    </row>
    <row r="61" spans="2:9" x14ac:dyDescent="0.25">
      <c r="B61" s="43" t="s">
        <v>61</v>
      </c>
      <c r="C61" s="44"/>
      <c r="D61" s="44"/>
      <c r="E61" s="44"/>
      <c r="F61" s="44"/>
      <c r="G61" s="45"/>
      <c r="I61" s="28"/>
    </row>
    <row r="62" spans="2:9" ht="15.75" thickBot="1" x14ac:dyDescent="0.3">
      <c r="B62" s="15" t="s">
        <v>17</v>
      </c>
      <c r="C62" s="5"/>
      <c r="D62" s="5"/>
      <c r="E62" s="5"/>
      <c r="F62" s="5"/>
      <c r="G62" s="38">
        <v>1</v>
      </c>
      <c r="I62" s="28" t="s">
        <v>63</v>
      </c>
    </row>
  </sheetData>
  <mergeCells count="9">
    <mergeCell ref="B40:G40"/>
    <mergeCell ref="B49:G49"/>
    <mergeCell ref="B56:G56"/>
    <mergeCell ref="B2:G2"/>
    <mergeCell ref="B12:G12"/>
    <mergeCell ref="B17:G17"/>
    <mergeCell ref="B21:G21"/>
    <mergeCell ref="B32:G32"/>
    <mergeCell ref="B36:G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2"/>
  <sheetViews>
    <sheetView topLeftCell="A31" workbookViewId="0">
      <selection activeCell="M30" sqref="M30"/>
    </sheetView>
  </sheetViews>
  <sheetFormatPr baseColWidth="10" defaultRowHeight="15" x14ac:dyDescent="0.25"/>
  <cols>
    <col min="1" max="1" width="6.28515625" customWidth="1"/>
    <col min="2" max="2" width="51.5703125" customWidth="1"/>
    <col min="9" max="9" width="13.5703125" customWidth="1"/>
  </cols>
  <sheetData>
    <row r="2" spans="2:11" ht="18" x14ac:dyDescent="0.25">
      <c r="B2" s="52" t="s">
        <v>85</v>
      </c>
      <c r="H2" s="53"/>
    </row>
    <row r="3" spans="2:11" x14ac:dyDescent="0.25">
      <c r="B3" t="s">
        <v>86</v>
      </c>
      <c r="H3" s="53"/>
    </row>
    <row r="4" spans="2:11" x14ac:dyDescent="0.25">
      <c r="H4" s="53"/>
    </row>
    <row r="5" spans="2:11" ht="58.9" customHeight="1" x14ac:dyDescent="0.25">
      <c r="B5" s="3" t="s">
        <v>87</v>
      </c>
      <c r="C5" s="54" t="s">
        <v>88</v>
      </c>
      <c r="D5" s="54" t="s">
        <v>89</v>
      </c>
      <c r="E5" s="55" t="s">
        <v>90</v>
      </c>
      <c r="F5" s="55" t="s">
        <v>91</v>
      </c>
      <c r="G5" s="55" t="s">
        <v>92</v>
      </c>
      <c r="H5" s="55" t="s">
        <v>93</v>
      </c>
      <c r="I5" s="56" t="s">
        <v>157</v>
      </c>
      <c r="J5" s="56" t="s">
        <v>195</v>
      </c>
      <c r="K5" s="56" t="s">
        <v>195</v>
      </c>
    </row>
    <row r="6" spans="2:11" x14ac:dyDescent="0.25">
      <c r="B6" s="57" t="s">
        <v>94</v>
      </c>
      <c r="C6" s="3"/>
      <c r="D6" s="3"/>
      <c r="E6" s="3"/>
      <c r="F6" s="3"/>
      <c r="G6" s="3"/>
      <c r="H6" s="58"/>
      <c r="I6" s="3"/>
      <c r="J6" s="3"/>
      <c r="K6" s="3"/>
    </row>
    <row r="7" spans="2:11" x14ac:dyDescent="0.25">
      <c r="B7" s="3" t="s">
        <v>95</v>
      </c>
      <c r="C7" s="3">
        <v>1</v>
      </c>
      <c r="D7" s="3">
        <v>199.12</v>
      </c>
      <c r="E7" s="58">
        <v>199.79300000000001</v>
      </c>
      <c r="F7" s="58">
        <f>E7+(E7*4/100)</f>
        <v>207.78471999999999</v>
      </c>
      <c r="G7" s="58">
        <f>F7+(F7*2/100)</f>
        <v>211.94041439999998</v>
      </c>
      <c r="H7" s="58">
        <f>G7+(G7*1/100)</f>
        <v>214.05981854399997</v>
      </c>
      <c r="I7" s="87">
        <f>H7+(H7*2.6/100)</f>
        <v>219.62537382614397</v>
      </c>
      <c r="J7" s="67">
        <f>I7+(I7*20.6/100)</f>
        <v>264.86820083432963</v>
      </c>
      <c r="K7" s="67">
        <f>J7+(J7*20.6/100)</f>
        <v>319.43105020620152</v>
      </c>
    </row>
    <row r="8" spans="2:11" x14ac:dyDescent="0.25">
      <c r="B8" s="3" t="s">
        <v>96</v>
      </c>
      <c r="C8" s="3">
        <v>2</v>
      </c>
      <c r="D8" s="3">
        <v>161.44999999999999</v>
      </c>
      <c r="E8" s="58">
        <v>174.249</v>
      </c>
      <c r="F8" s="58">
        <f t="shared" ref="F8:F10" si="0">E8+(E8*4/100)</f>
        <v>181.21895999999998</v>
      </c>
      <c r="G8" s="58">
        <f t="shared" ref="G8:G10" si="1">F8+(F8*2/100)</f>
        <v>184.84333919999997</v>
      </c>
      <c r="H8" s="58">
        <f t="shared" ref="H8:H10" si="2">G8+(G8*1/100)</f>
        <v>186.69177259199998</v>
      </c>
      <c r="I8" s="87">
        <f t="shared" ref="I8:I10" si="3">H8+(H8*2.6/100)</f>
        <v>191.54575867939198</v>
      </c>
      <c r="J8" s="67">
        <f t="shared" ref="J8:K8" si="4">I8+(I8*20.6/100)</f>
        <v>231.00418496734673</v>
      </c>
      <c r="K8" s="67">
        <f t="shared" si="4"/>
        <v>278.59104707062016</v>
      </c>
    </row>
    <row r="9" spans="2:11" x14ac:dyDescent="0.25">
      <c r="B9" s="3" t="s">
        <v>97</v>
      </c>
      <c r="C9" s="3">
        <v>2</v>
      </c>
      <c r="D9" s="3">
        <v>142.52000000000001</v>
      </c>
      <c r="E9" s="58">
        <v>161.4135</v>
      </c>
      <c r="F9" s="58">
        <f t="shared" si="0"/>
        <v>167.87003999999999</v>
      </c>
      <c r="G9" s="58">
        <f t="shared" si="1"/>
        <v>171.22744079999998</v>
      </c>
      <c r="H9" s="58">
        <f t="shared" si="2"/>
        <v>172.939715208</v>
      </c>
      <c r="I9" s="87">
        <f t="shared" si="3"/>
        <v>177.43614780340801</v>
      </c>
      <c r="J9" s="67">
        <f t="shared" ref="J9:K9" si="5">I9+(I9*20.6/100)</f>
        <v>213.98799425091005</v>
      </c>
      <c r="K9" s="67">
        <f t="shared" si="5"/>
        <v>258.06952106659753</v>
      </c>
    </row>
    <row r="10" spans="2:11" x14ac:dyDescent="0.25">
      <c r="B10" s="3" t="s">
        <v>98</v>
      </c>
      <c r="C10" s="3">
        <v>1</v>
      </c>
      <c r="D10" s="3">
        <v>108.82</v>
      </c>
      <c r="E10" s="58">
        <v>142.8665</v>
      </c>
      <c r="F10" s="58">
        <f t="shared" si="0"/>
        <v>148.58116000000001</v>
      </c>
      <c r="G10" s="58">
        <f t="shared" si="1"/>
        <v>151.55278320000002</v>
      </c>
      <c r="H10" s="58">
        <f t="shared" si="2"/>
        <v>153.06831103200003</v>
      </c>
      <c r="I10" s="87">
        <f t="shared" si="3"/>
        <v>157.04808711883203</v>
      </c>
      <c r="J10" s="67">
        <f t="shared" ref="J10:K10" si="6">I10+(I10*20.6/100)</f>
        <v>189.39999306531143</v>
      </c>
      <c r="K10" s="67">
        <f t="shared" si="6"/>
        <v>228.41639163676558</v>
      </c>
    </row>
    <row r="11" spans="2:11" x14ac:dyDescent="0.25">
      <c r="B11" s="3"/>
      <c r="C11" s="3"/>
      <c r="D11" s="3"/>
      <c r="E11" s="3"/>
      <c r="F11" s="3"/>
      <c r="G11" s="3"/>
      <c r="H11" s="58"/>
      <c r="I11" s="88">
        <f>SUM(I7:I10)</f>
        <v>745.6553674277759</v>
      </c>
      <c r="J11" s="88">
        <f t="shared" ref="J11:K11" si="7">SUM(J7:J10)</f>
        <v>899.26037311789787</v>
      </c>
      <c r="K11" s="88">
        <f t="shared" si="7"/>
        <v>1084.5080099801849</v>
      </c>
    </row>
    <row r="12" spans="2:11" x14ac:dyDescent="0.25">
      <c r="B12" s="57" t="s">
        <v>99</v>
      </c>
      <c r="C12" s="3"/>
      <c r="D12" s="3"/>
      <c r="E12" s="3"/>
      <c r="F12" s="3"/>
      <c r="G12" s="3"/>
      <c r="H12" s="58"/>
      <c r="I12" s="88"/>
      <c r="J12" s="3"/>
      <c r="K12" s="3"/>
    </row>
    <row r="13" spans="2:11" x14ac:dyDescent="0.25">
      <c r="B13" s="3" t="s">
        <v>98</v>
      </c>
      <c r="C13" s="3">
        <v>1</v>
      </c>
      <c r="D13" s="3">
        <v>108.82</v>
      </c>
      <c r="E13" s="58">
        <v>142.8665</v>
      </c>
      <c r="F13" s="58">
        <f t="shared" ref="F13" si="8">E13+(E13*4/100)</f>
        <v>148.58116000000001</v>
      </c>
      <c r="G13" s="58">
        <f t="shared" ref="G13" si="9">F13+(F13*2/100)</f>
        <v>151.55278320000002</v>
      </c>
      <c r="H13" s="58">
        <f t="shared" ref="H13" si="10">G13+(G13*1/100)</f>
        <v>153.06831103200003</v>
      </c>
      <c r="I13" s="87">
        <f t="shared" ref="I13:I16" si="11">H13+(H13*2.6/100)</f>
        <v>157.04808711883203</v>
      </c>
      <c r="J13" s="67">
        <f t="shared" ref="J13:K13" si="12">I13+(I13*20.6/100)</f>
        <v>189.39999306531143</v>
      </c>
      <c r="K13" s="67">
        <f t="shared" si="12"/>
        <v>228.41639163676558</v>
      </c>
    </row>
    <row r="14" spans="2:11" x14ac:dyDescent="0.25">
      <c r="B14" s="3" t="s">
        <v>95</v>
      </c>
      <c r="C14" s="3">
        <v>1</v>
      </c>
      <c r="D14" s="3">
        <v>199.12</v>
      </c>
      <c r="E14" s="58">
        <v>199.79300000000001</v>
      </c>
      <c r="F14" s="58">
        <f>E14+(E14*4/100)</f>
        <v>207.78471999999999</v>
      </c>
      <c r="G14" s="58">
        <f>F14+(F14*2/100)</f>
        <v>211.94041439999998</v>
      </c>
      <c r="H14" s="58">
        <f>G14+(G14*1/100)</f>
        <v>214.05981854399997</v>
      </c>
      <c r="I14" s="87">
        <f t="shared" si="11"/>
        <v>219.62537382614397</v>
      </c>
      <c r="J14" s="67">
        <f t="shared" ref="J14:K14" si="13">I14+(I14*20.6/100)</f>
        <v>264.86820083432963</v>
      </c>
      <c r="K14" s="67">
        <f t="shared" si="13"/>
        <v>319.43105020620152</v>
      </c>
    </row>
    <row r="15" spans="2:11" x14ac:dyDescent="0.25">
      <c r="B15" s="3" t="s">
        <v>97</v>
      </c>
      <c r="C15" s="3">
        <v>2</v>
      </c>
      <c r="D15" s="3">
        <v>142.52000000000001</v>
      </c>
      <c r="E15" s="58">
        <v>161.4135</v>
      </c>
      <c r="F15" s="58">
        <f t="shared" ref="F15:F16" si="14">E15+(E15*4/100)</f>
        <v>167.87003999999999</v>
      </c>
      <c r="G15" s="58">
        <f t="shared" ref="G15:G16" si="15">F15+(F15*2/100)</f>
        <v>171.22744079999998</v>
      </c>
      <c r="H15" s="58">
        <f t="shared" ref="H15:H16" si="16">G15+(G15*1/100)</f>
        <v>172.939715208</v>
      </c>
      <c r="I15" s="87">
        <f t="shared" si="11"/>
        <v>177.43614780340801</v>
      </c>
      <c r="J15" s="67">
        <f t="shared" ref="J15:K15" si="17">I15+(I15*20.6/100)</f>
        <v>213.98799425091005</v>
      </c>
      <c r="K15" s="67">
        <f t="shared" si="17"/>
        <v>258.06952106659753</v>
      </c>
    </row>
    <row r="16" spans="2:11" x14ac:dyDescent="0.25">
      <c r="B16" s="3" t="s">
        <v>100</v>
      </c>
      <c r="C16" s="3">
        <v>1</v>
      </c>
      <c r="D16" s="3">
        <v>92.14</v>
      </c>
      <c r="E16" s="58">
        <v>132.1</v>
      </c>
      <c r="F16" s="58">
        <f t="shared" si="14"/>
        <v>137.38399999999999</v>
      </c>
      <c r="G16" s="58">
        <f t="shared" si="15"/>
        <v>140.13167999999999</v>
      </c>
      <c r="H16" s="58">
        <f t="shared" si="16"/>
        <v>141.53299679999998</v>
      </c>
      <c r="I16" s="87">
        <f t="shared" si="11"/>
        <v>145.21285471679997</v>
      </c>
      <c r="J16" s="67">
        <f t="shared" ref="J16:K16" si="18">I16+(I16*20.6/100)</f>
        <v>175.12670278846076</v>
      </c>
      <c r="K16" s="67">
        <f t="shared" si="18"/>
        <v>211.20280356288367</v>
      </c>
    </row>
    <row r="17" spans="2:11" x14ac:dyDescent="0.25">
      <c r="B17" s="3"/>
      <c r="C17" s="3"/>
      <c r="D17" s="3"/>
      <c r="E17" s="3"/>
      <c r="F17" s="3"/>
      <c r="G17" s="3"/>
      <c r="H17" s="58"/>
      <c r="I17" s="88">
        <f>SUM(I13:I16)</f>
        <v>699.322463465184</v>
      </c>
      <c r="J17" s="88">
        <f t="shared" ref="J17:K17" si="19">SUM(J13:J16)</f>
        <v>843.38289093901187</v>
      </c>
      <c r="K17" s="88">
        <f t="shared" si="19"/>
        <v>1017.1197664724483</v>
      </c>
    </row>
    <row r="18" spans="2:11" x14ac:dyDescent="0.25">
      <c r="B18" s="57" t="s">
        <v>101</v>
      </c>
      <c r="C18" s="3"/>
      <c r="D18" s="3"/>
      <c r="E18" s="3"/>
      <c r="F18" s="3"/>
      <c r="G18" s="3"/>
      <c r="H18" s="58"/>
      <c r="I18" s="2"/>
      <c r="J18" s="3"/>
      <c r="K18" s="3"/>
    </row>
    <row r="19" spans="2:11" x14ac:dyDescent="0.25">
      <c r="B19" s="3" t="s">
        <v>102</v>
      </c>
      <c r="C19" s="3">
        <v>1</v>
      </c>
      <c r="D19" s="3">
        <v>108.82</v>
      </c>
      <c r="E19" s="58">
        <v>142.8665</v>
      </c>
      <c r="F19" s="58">
        <f t="shared" ref="F19:F20" si="20">E19+(E19*4/100)</f>
        <v>148.58116000000001</v>
      </c>
      <c r="G19" s="58">
        <f>F19+(F19*2/100)</f>
        <v>151.55278320000002</v>
      </c>
      <c r="H19" s="58">
        <f t="shared" ref="H19:H20" si="21">G19+(G19*1/100)</f>
        <v>153.06831103200003</v>
      </c>
      <c r="I19" s="87">
        <f t="shared" ref="I19:I20" si="22">H19+(H19*2.6/100)</f>
        <v>157.04808711883203</v>
      </c>
      <c r="J19" s="67">
        <f t="shared" ref="J19:K19" si="23">I19+(I19*20.6/100)</f>
        <v>189.39999306531143</v>
      </c>
      <c r="K19" s="67">
        <f t="shared" si="23"/>
        <v>228.41639163676558</v>
      </c>
    </row>
    <row r="20" spans="2:11" x14ac:dyDescent="0.25">
      <c r="B20" s="3" t="s">
        <v>97</v>
      </c>
      <c r="C20" s="3">
        <v>1</v>
      </c>
      <c r="D20" s="3">
        <v>142.52000000000001</v>
      </c>
      <c r="E20" s="58">
        <v>161.4135</v>
      </c>
      <c r="F20" s="58">
        <f t="shared" si="20"/>
        <v>167.87003999999999</v>
      </c>
      <c r="G20" s="58">
        <f>F20+(F20*2/100)</f>
        <v>171.22744079999998</v>
      </c>
      <c r="H20" s="58">
        <f t="shared" si="21"/>
        <v>172.939715208</v>
      </c>
      <c r="I20" s="87">
        <f t="shared" si="22"/>
        <v>177.43614780340801</v>
      </c>
      <c r="J20" s="67">
        <f t="shared" ref="J20:K20" si="24">I20+(I20*20.6/100)</f>
        <v>213.98799425091005</v>
      </c>
      <c r="K20" s="67">
        <f t="shared" si="24"/>
        <v>258.06952106659753</v>
      </c>
    </row>
    <row r="21" spans="2:11" x14ac:dyDescent="0.25">
      <c r="B21" s="3"/>
      <c r="C21" s="3"/>
      <c r="D21" s="3"/>
      <c r="E21" s="3"/>
      <c r="F21" s="3"/>
      <c r="G21" s="3"/>
      <c r="H21" s="58"/>
      <c r="I21" s="88">
        <f>SUM(I19:I20)</f>
        <v>334.48423492224003</v>
      </c>
      <c r="J21" s="88">
        <f t="shared" ref="J21:K21" si="25">SUM(J19:J20)</f>
        <v>403.38798731622148</v>
      </c>
      <c r="K21" s="88">
        <f t="shared" si="25"/>
        <v>486.48591270336311</v>
      </c>
    </row>
    <row r="22" spans="2:11" x14ac:dyDescent="0.25">
      <c r="B22" s="57" t="s">
        <v>103</v>
      </c>
      <c r="C22" s="3"/>
      <c r="D22" s="3"/>
      <c r="E22" s="3"/>
      <c r="F22" s="3"/>
      <c r="G22" s="3"/>
      <c r="H22" s="58"/>
      <c r="I22" s="2"/>
      <c r="J22" s="3"/>
      <c r="K22" s="3"/>
    </row>
    <row r="23" spans="2:11" x14ac:dyDescent="0.25">
      <c r="B23" s="3" t="s">
        <v>104</v>
      </c>
      <c r="C23" s="3">
        <v>1</v>
      </c>
      <c r="D23" s="3">
        <v>106.58</v>
      </c>
      <c r="E23" s="58">
        <v>141.37050000000002</v>
      </c>
      <c r="F23" s="58">
        <f t="shared" ref="F23:F24" si="26">E23+(E23*4/100)</f>
        <v>147.02532000000002</v>
      </c>
      <c r="G23" s="58">
        <f t="shared" ref="G23:G24" si="27">F23+(F23*2/100)</f>
        <v>149.96582640000003</v>
      </c>
      <c r="H23" s="58">
        <f t="shared" ref="H23:H24" si="28">G23+(G23*1/100)</f>
        <v>151.46548466400003</v>
      </c>
      <c r="I23" s="87">
        <f t="shared" ref="I23:I24" si="29">H23+(H23*2.6/100)</f>
        <v>155.40358726526404</v>
      </c>
      <c r="J23" s="67">
        <f t="shared" ref="J23:K23" si="30">I23+(I23*20.6/100)</f>
        <v>187.41672624190844</v>
      </c>
      <c r="K23" s="67">
        <f t="shared" si="30"/>
        <v>226.02457184774158</v>
      </c>
    </row>
    <row r="24" spans="2:11" x14ac:dyDescent="0.25">
      <c r="B24" s="3" t="s">
        <v>100</v>
      </c>
      <c r="C24" s="3">
        <v>1</v>
      </c>
      <c r="D24" s="3">
        <v>92.14</v>
      </c>
      <c r="E24" s="58">
        <v>132.1</v>
      </c>
      <c r="F24" s="58">
        <f t="shared" si="26"/>
        <v>137.38399999999999</v>
      </c>
      <c r="G24" s="58">
        <f t="shared" si="27"/>
        <v>140.13167999999999</v>
      </c>
      <c r="H24" s="58">
        <f t="shared" si="28"/>
        <v>141.53299679999998</v>
      </c>
      <c r="I24" s="87">
        <f t="shared" si="29"/>
        <v>145.21285471679997</v>
      </c>
      <c r="J24" s="67">
        <f t="shared" ref="J24:K24" si="31">I24+(I24*20.6/100)</f>
        <v>175.12670278846076</v>
      </c>
      <c r="K24" s="67">
        <f t="shared" si="31"/>
        <v>211.20280356288367</v>
      </c>
    </row>
    <row r="25" spans="2:11" x14ac:dyDescent="0.25">
      <c r="B25" s="3"/>
      <c r="C25" s="3"/>
      <c r="D25" s="3"/>
      <c r="E25" s="3"/>
      <c r="F25" s="3"/>
      <c r="G25" s="3"/>
      <c r="H25" s="58"/>
      <c r="I25" s="88">
        <f>SUM(I23:I24)</f>
        <v>300.61644198206398</v>
      </c>
      <c r="J25" s="88">
        <f t="shared" ref="J25:K25" si="32">SUM(J23:J24)</f>
        <v>362.54342903036923</v>
      </c>
      <c r="K25" s="88">
        <f t="shared" si="32"/>
        <v>437.22737541062526</v>
      </c>
    </row>
    <row r="26" spans="2:11" x14ac:dyDescent="0.25">
      <c r="B26" s="57" t="s">
        <v>105</v>
      </c>
      <c r="C26" s="3"/>
      <c r="D26" s="3"/>
      <c r="E26" s="3"/>
      <c r="F26" s="3"/>
      <c r="G26" s="3"/>
      <c r="H26" s="58"/>
      <c r="I26" s="2"/>
      <c r="J26" s="3"/>
      <c r="K26" s="3"/>
    </row>
    <row r="27" spans="2:11" x14ac:dyDescent="0.25">
      <c r="B27" s="3" t="s">
        <v>104</v>
      </c>
      <c r="C27" s="3">
        <v>1</v>
      </c>
      <c r="D27" s="3">
        <v>106.58</v>
      </c>
      <c r="E27" s="58">
        <v>141.37050000000002</v>
      </c>
      <c r="F27" s="58">
        <f t="shared" ref="F27:F28" si="33">E27+(E27*4/100)</f>
        <v>147.02532000000002</v>
      </c>
      <c r="G27" s="58">
        <f t="shared" ref="G27:G28" si="34">F27+(F27*2/100)</f>
        <v>149.96582640000003</v>
      </c>
      <c r="H27" s="58">
        <f>G27+(G27*1/100)</f>
        <v>151.46548466400003</v>
      </c>
      <c r="I27" s="87">
        <f t="shared" ref="I27:I28" si="35">H27+(H27*2.6/100)</f>
        <v>155.40358726526404</v>
      </c>
      <c r="J27" s="67">
        <f t="shared" ref="J27:K27" si="36">I27+(I27*20.6/100)</f>
        <v>187.41672624190844</v>
      </c>
      <c r="K27" s="67">
        <f t="shared" si="36"/>
        <v>226.02457184774158</v>
      </c>
    </row>
    <row r="28" spans="2:11" x14ac:dyDescent="0.25">
      <c r="B28" s="3" t="s">
        <v>100</v>
      </c>
      <c r="C28" s="3">
        <v>3</v>
      </c>
      <c r="D28" s="3">
        <v>92.14</v>
      </c>
      <c r="E28" s="58">
        <v>132.1</v>
      </c>
      <c r="F28" s="58">
        <f t="shared" si="33"/>
        <v>137.38399999999999</v>
      </c>
      <c r="G28" s="58">
        <f t="shared" si="34"/>
        <v>140.13167999999999</v>
      </c>
      <c r="H28" s="58">
        <f>G28+(G28*1/100)</f>
        <v>141.53299679999998</v>
      </c>
      <c r="I28" s="87">
        <f t="shared" si="35"/>
        <v>145.21285471679997</v>
      </c>
      <c r="J28" s="67">
        <f t="shared" ref="J28:K28" si="37">I28+(I28*20.6/100)</f>
        <v>175.12670278846076</v>
      </c>
      <c r="K28" s="67">
        <f t="shared" si="37"/>
        <v>211.20280356288367</v>
      </c>
    </row>
    <row r="29" spans="2:11" x14ac:dyDescent="0.25">
      <c r="B29" s="3"/>
      <c r="C29" s="3"/>
      <c r="D29" s="3"/>
      <c r="E29" s="3"/>
      <c r="F29" s="3"/>
      <c r="G29" s="3"/>
      <c r="H29" s="58"/>
      <c r="I29" s="88">
        <f>SUM(I27:I28)</f>
        <v>300.61644198206398</v>
      </c>
      <c r="J29" s="88">
        <f t="shared" ref="J29:K29" si="38">SUM(J27:J28)</f>
        <v>362.54342903036923</v>
      </c>
      <c r="K29" s="88">
        <f t="shared" si="38"/>
        <v>437.22737541062526</v>
      </c>
    </row>
    <row r="30" spans="2:11" x14ac:dyDescent="0.25">
      <c r="B30" s="57" t="s">
        <v>106</v>
      </c>
      <c r="C30" s="3"/>
      <c r="D30" s="3"/>
      <c r="E30" s="3"/>
      <c r="F30" s="3"/>
      <c r="G30" s="3"/>
      <c r="H30" s="58"/>
      <c r="I30" s="2"/>
      <c r="J30" s="3"/>
      <c r="K30" s="3"/>
    </row>
    <row r="31" spans="2:11" x14ac:dyDescent="0.25">
      <c r="B31" s="3" t="s">
        <v>104</v>
      </c>
      <c r="C31" s="3">
        <v>1</v>
      </c>
      <c r="D31" s="3">
        <v>106.58</v>
      </c>
      <c r="E31" s="58">
        <v>141.37050000000002</v>
      </c>
      <c r="F31" s="58">
        <f t="shared" ref="F31:F32" si="39">E31+(E31*4/100)</f>
        <v>147.02532000000002</v>
      </c>
      <c r="G31" s="58">
        <f t="shared" ref="G31:G32" si="40">F31+(F31*2/100)</f>
        <v>149.96582640000003</v>
      </c>
      <c r="H31" s="58">
        <f>G31+(G31*1/100)</f>
        <v>151.46548466400003</v>
      </c>
      <c r="I31" s="87">
        <f t="shared" ref="I31:I32" si="41">H31+(H31*2.6/100)</f>
        <v>155.40358726526404</v>
      </c>
      <c r="J31" s="67">
        <f t="shared" ref="J31:K31" si="42">I31+(I31*20.6/100)</f>
        <v>187.41672624190844</v>
      </c>
      <c r="K31" s="67">
        <f t="shared" si="42"/>
        <v>226.02457184774158</v>
      </c>
    </row>
    <row r="32" spans="2:11" x14ac:dyDescent="0.25">
      <c r="B32" s="3" t="s">
        <v>100</v>
      </c>
      <c r="C32" s="3">
        <v>2</v>
      </c>
      <c r="D32" s="3">
        <v>92.14</v>
      </c>
      <c r="E32" s="58">
        <v>132.1</v>
      </c>
      <c r="F32" s="58">
        <f t="shared" si="39"/>
        <v>137.38399999999999</v>
      </c>
      <c r="G32" s="58">
        <f t="shared" si="40"/>
        <v>140.13167999999999</v>
      </c>
      <c r="H32" s="58">
        <f>G32+(G32*1/100)</f>
        <v>141.53299679999998</v>
      </c>
      <c r="I32" s="87">
        <f t="shared" si="41"/>
        <v>145.21285471679997</v>
      </c>
      <c r="J32" s="67">
        <f t="shared" ref="J32:K32" si="43">I32+(I32*20.6/100)</f>
        <v>175.12670278846076</v>
      </c>
      <c r="K32" s="67">
        <f t="shared" si="43"/>
        <v>211.20280356288367</v>
      </c>
    </row>
    <row r="33" spans="2:11" ht="15.75" thickBot="1" x14ac:dyDescent="0.3">
      <c r="B33" s="60"/>
      <c r="C33" s="60"/>
      <c r="D33" s="60"/>
      <c r="E33" s="60"/>
      <c r="F33" s="60"/>
      <c r="G33" s="60"/>
      <c r="H33" s="61"/>
      <c r="I33" s="89">
        <f>SUM(I31:I32)</f>
        <v>300.61644198206398</v>
      </c>
      <c r="J33" s="89">
        <f t="shared" ref="J33:K33" si="44">SUM(J31:J32)</f>
        <v>362.54342903036923</v>
      </c>
      <c r="K33" s="89">
        <f t="shared" si="44"/>
        <v>437.22737541062526</v>
      </c>
    </row>
    <row r="34" spans="2:11" x14ac:dyDescent="0.25">
      <c r="B34" s="31" t="s">
        <v>107</v>
      </c>
      <c r="C34" s="42"/>
      <c r="D34" s="42"/>
      <c r="E34" s="42"/>
      <c r="F34" s="42"/>
      <c r="G34" s="42"/>
      <c r="H34" s="62"/>
      <c r="I34" s="63"/>
      <c r="J34" s="42"/>
      <c r="K34" s="32"/>
    </row>
    <row r="35" spans="2:11" x14ac:dyDescent="0.25">
      <c r="B35" s="1"/>
      <c r="C35" s="3"/>
      <c r="D35" s="3"/>
      <c r="E35" s="3"/>
      <c r="F35" s="3"/>
      <c r="G35" s="3"/>
      <c r="H35" s="58"/>
      <c r="I35" s="3"/>
      <c r="J35" s="3"/>
      <c r="K35" s="33"/>
    </row>
    <row r="36" spans="2:11" x14ac:dyDescent="0.25">
      <c r="B36" s="64" t="s">
        <v>108</v>
      </c>
      <c r="C36" s="3"/>
      <c r="D36" s="3"/>
      <c r="E36" s="3"/>
      <c r="F36" s="3"/>
      <c r="G36" s="3"/>
      <c r="H36" s="58"/>
      <c r="I36" s="3"/>
      <c r="J36" s="3"/>
      <c r="K36" s="33"/>
    </row>
    <row r="37" spans="2:11" x14ac:dyDescent="0.25">
      <c r="B37" s="1" t="s">
        <v>109</v>
      </c>
      <c r="C37" s="6" t="s">
        <v>110</v>
      </c>
      <c r="D37" s="6" t="s">
        <v>111</v>
      </c>
      <c r="E37" s="6" t="s">
        <v>112</v>
      </c>
      <c r="F37" s="6" t="s">
        <v>68</v>
      </c>
      <c r="G37" s="6" t="s">
        <v>113</v>
      </c>
      <c r="H37" s="65" t="s">
        <v>114</v>
      </c>
      <c r="I37" s="6" t="s">
        <v>115</v>
      </c>
      <c r="J37" s="6" t="s">
        <v>57</v>
      </c>
      <c r="K37" s="66" t="s">
        <v>69</v>
      </c>
    </row>
    <row r="38" spans="2:11" x14ac:dyDescent="0.25">
      <c r="B38" s="1" t="s">
        <v>116</v>
      </c>
      <c r="C38" s="3">
        <v>51</v>
      </c>
      <c r="D38" s="3">
        <v>5</v>
      </c>
      <c r="E38" s="67">
        <f t="shared" ref="E38:E43" si="45">C38/D38</f>
        <v>10.199999999999999</v>
      </c>
      <c r="F38" s="67">
        <f t="shared" ref="F38:F43" si="46">E38/8</f>
        <v>1.2749999999999999</v>
      </c>
      <c r="G38" s="58">
        <f>I11</f>
        <v>745.6553674277759</v>
      </c>
      <c r="H38" s="58">
        <f t="shared" ref="H38:H43" si="47">F38*G38</f>
        <v>950.71059347041421</v>
      </c>
      <c r="I38" s="67">
        <f>H38*19/100</f>
        <v>180.6350127593787</v>
      </c>
      <c r="J38" s="58">
        <f>H38+I38</f>
        <v>1131.3456062297928</v>
      </c>
      <c r="K38" s="68">
        <f>J38+(J38*21/100)</f>
        <v>1368.9281835380493</v>
      </c>
    </row>
    <row r="39" spans="2:11" x14ac:dyDescent="0.25">
      <c r="B39" s="1" t="s">
        <v>117</v>
      </c>
      <c r="C39" s="3">
        <v>102</v>
      </c>
      <c r="D39" s="3">
        <v>4</v>
      </c>
      <c r="E39" s="67">
        <f t="shared" si="45"/>
        <v>25.5</v>
      </c>
      <c r="F39" s="67">
        <f t="shared" si="46"/>
        <v>3.1875</v>
      </c>
      <c r="G39" s="58">
        <f>I11</f>
        <v>745.6553674277759</v>
      </c>
      <c r="H39" s="58">
        <f t="shared" si="47"/>
        <v>2376.7764836760357</v>
      </c>
      <c r="I39" s="67">
        <f t="shared" ref="I39:I43" si="48">H39*19/100</f>
        <v>451.58753189844674</v>
      </c>
      <c r="J39" s="58">
        <f t="shared" ref="J39:J43" si="49">H39+I39</f>
        <v>2828.3640155744824</v>
      </c>
      <c r="K39" s="68">
        <f t="shared" ref="K39:K44" si="50">J39+(J39*21/100)</f>
        <v>3422.3204588451235</v>
      </c>
    </row>
    <row r="40" spans="2:11" x14ac:dyDescent="0.25">
      <c r="B40" s="1" t="s">
        <v>118</v>
      </c>
      <c r="C40" s="3">
        <v>162</v>
      </c>
      <c r="D40" s="3">
        <v>8</v>
      </c>
      <c r="E40" s="67">
        <f t="shared" si="45"/>
        <v>20.25</v>
      </c>
      <c r="F40" s="67">
        <f t="shared" si="46"/>
        <v>2.53125</v>
      </c>
      <c r="G40" s="58">
        <f>I17</f>
        <v>699.322463465184</v>
      </c>
      <c r="H40" s="58">
        <f t="shared" si="47"/>
        <v>1770.1599856462469</v>
      </c>
      <c r="I40" s="67">
        <f t="shared" si="48"/>
        <v>336.33039727278697</v>
      </c>
      <c r="J40" s="58">
        <f t="shared" si="49"/>
        <v>2106.4903829190339</v>
      </c>
      <c r="K40" s="68">
        <f t="shared" si="50"/>
        <v>2548.8533633320312</v>
      </c>
    </row>
    <row r="41" spans="2:11" x14ac:dyDescent="0.25">
      <c r="B41" s="1" t="s">
        <v>119</v>
      </c>
      <c r="C41" s="3">
        <v>10</v>
      </c>
      <c r="D41" s="3">
        <v>1</v>
      </c>
      <c r="E41" s="67">
        <f t="shared" si="45"/>
        <v>10</v>
      </c>
      <c r="F41" s="67">
        <f t="shared" si="46"/>
        <v>1.25</v>
      </c>
      <c r="G41" s="58">
        <f>I33</f>
        <v>300.61644198206398</v>
      </c>
      <c r="H41" s="58">
        <f t="shared" si="47"/>
        <v>375.77055247757994</v>
      </c>
      <c r="I41" s="67">
        <f t="shared" si="48"/>
        <v>71.396404970740193</v>
      </c>
      <c r="J41" s="58">
        <f t="shared" si="49"/>
        <v>447.16695744832015</v>
      </c>
      <c r="K41" s="68">
        <f t="shared" si="50"/>
        <v>541.07201851246737</v>
      </c>
    </row>
    <row r="42" spans="2:11" x14ac:dyDescent="0.25">
      <c r="B42" s="1" t="s">
        <v>120</v>
      </c>
      <c r="C42" s="3">
        <v>2</v>
      </c>
      <c r="D42" s="3">
        <v>1</v>
      </c>
      <c r="E42" s="67">
        <f t="shared" si="45"/>
        <v>2</v>
      </c>
      <c r="F42" s="67">
        <f t="shared" si="46"/>
        <v>0.25</v>
      </c>
      <c r="G42" s="58">
        <f>I21</f>
        <v>334.48423492224003</v>
      </c>
      <c r="H42" s="58">
        <f t="shared" si="47"/>
        <v>83.621058730560009</v>
      </c>
      <c r="I42" s="67">
        <f t="shared" si="48"/>
        <v>15.8880011588064</v>
      </c>
      <c r="J42" s="58">
        <f t="shared" si="49"/>
        <v>99.509059889366412</v>
      </c>
      <c r="K42" s="68">
        <f t="shared" si="50"/>
        <v>120.40596246613336</v>
      </c>
    </row>
    <row r="43" spans="2:11" x14ac:dyDescent="0.25">
      <c r="B43" s="1" t="s">
        <v>121</v>
      </c>
      <c r="C43" s="3">
        <f>SUM(C38:C42)</f>
        <v>327</v>
      </c>
      <c r="D43" s="3">
        <v>20</v>
      </c>
      <c r="E43" s="67">
        <f t="shared" si="45"/>
        <v>16.350000000000001</v>
      </c>
      <c r="F43" s="67">
        <f t="shared" si="46"/>
        <v>2.0437500000000002</v>
      </c>
      <c r="G43" s="58">
        <f>I29</f>
        <v>300.61644198206398</v>
      </c>
      <c r="H43" s="58">
        <f t="shared" si="47"/>
        <v>614.38485330084325</v>
      </c>
      <c r="I43" s="67">
        <f t="shared" si="48"/>
        <v>116.73312212716023</v>
      </c>
      <c r="J43" s="58">
        <f t="shared" si="49"/>
        <v>731.11797542800343</v>
      </c>
      <c r="K43" s="68">
        <f t="shared" si="50"/>
        <v>884.65275026788413</v>
      </c>
    </row>
    <row r="44" spans="2:11" x14ac:dyDescent="0.25">
      <c r="B44" s="69"/>
      <c r="C44" s="3"/>
      <c r="D44" s="3"/>
      <c r="E44" s="67"/>
      <c r="F44" s="67"/>
      <c r="G44" s="3" t="s">
        <v>122</v>
      </c>
      <c r="H44" s="58"/>
      <c r="I44" s="67"/>
      <c r="J44" s="59">
        <f>SUM(J38:J43)</f>
        <v>7343.9939974889994</v>
      </c>
      <c r="K44" s="70">
        <f t="shared" si="50"/>
        <v>8886.2327369616887</v>
      </c>
    </row>
    <row r="45" spans="2:11" x14ac:dyDescent="0.25">
      <c r="B45" s="69"/>
      <c r="C45" s="3"/>
      <c r="D45" s="3"/>
      <c r="E45" s="67"/>
      <c r="F45" s="67"/>
      <c r="G45" s="3"/>
      <c r="H45" s="58"/>
      <c r="I45" s="67"/>
      <c r="J45" s="58"/>
      <c r="K45" s="68"/>
    </row>
    <row r="46" spans="2:11" x14ac:dyDescent="0.25">
      <c r="B46" s="1" t="s">
        <v>123</v>
      </c>
      <c r="C46" s="6" t="s">
        <v>110</v>
      </c>
      <c r="D46" s="6" t="s">
        <v>111</v>
      </c>
      <c r="E46" s="6" t="s">
        <v>112</v>
      </c>
      <c r="F46" s="6" t="s">
        <v>68</v>
      </c>
      <c r="G46" s="6" t="s">
        <v>113</v>
      </c>
      <c r="H46" s="65" t="s">
        <v>114</v>
      </c>
      <c r="I46" s="6" t="s">
        <v>115</v>
      </c>
      <c r="J46" s="6" t="s">
        <v>57</v>
      </c>
      <c r="K46" s="66" t="s">
        <v>69</v>
      </c>
    </row>
    <row r="47" spans="2:11" x14ac:dyDescent="0.25">
      <c r="B47" s="1" t="s">
        <v>116</v>
      </c>
      <c r="C47" s="3">
        <v>51</v>
      </c>
      <c r="D47" s="3">
        <v>5</v>
      </c>
      <c r="E47" s="67">
        <f t="shared" ref="E47:E52" si="51">C47/D47</f>
        <v>10.199999999999999</v>
      </c>
      <c r="F47" s="67">
        <f t="shared" ref="F47:F52" si="52">E47/8</f>
        <v>1.2749999999999999</v>
      </c>
      <c r="G47" s="58">
        <f>I11</f>
        <v>745.6553674277759</v>
      </c>
      <c r="H47" s="58">
        <f t="shared" ref="H47:H52" si="53">F47*G47</f>
        <v>950.71059347041421</v>
      </c>
      <c r="I47" s="67">
        <f>H47*19/100</f>
        <v>180.6350127593787</v>
      </c>
      <c r="J47" s="58">
        <f>H47+I47</f>
        <v>1131.3456062297928</v>
      </c>
      <c r="K47" s="68">
        <f>J47+(J47*21/100)</f>
        <v>1368.9281835380493</v>
      </c>
    </row>
    <row r="48" spans="2:11" x14ac:dyDescent="0.25">
      <c r="B48" s="1" t="s">
        <v>117</v>
      </c>
      <c r="C48" s="3">
        <v>102</v>
      </c>
      <c r="D48" s="3">
        <v>4</v>
      </c>
      <c r="E48" s="67">
        <f t="shared" si="51"/>
        <v>25.5</v>
      </c>
      <c r="F48" s="67">
        <f t="shared" si="52"/>
        <v>3.1875</v>
      </c>
      <c r="G48" s="58">
        <f>I11</f>
        <v>745.6553674277759</v>
      </c>
      <c r="H48" s="58">
        <f t="shared" si="53"/>
        <v>2376.7764836760357</v>
      </c>
      <c r="I48" s="67">
        <f t="shared" ref="I48:I52" si="54">H48*19/100</f>
        <v>451.58753189844674</v>
      </c>
      <c r="J48" s="58">
        <f t="shared" ref="J48:J52" si="55">H48+I48</f>
        <v>2828.3640155744824</v>
      </c>
      <c r="K48" s="68">
        <f t="shared" ref="K48:K52" si="56">J48+(J48*21/100)</f>
        <v>3422.3204588451235</v>
      </c>
    </row>
    <row r="49" spans="2:11" x14ac:dyDescent="0.25">
      <c r="B49" s="1" t="s">
        <v>118</v>
      </c>
      <c r="C49" s="3">
        <v>162</v>
      </c>
      <c r="D49" s="3">
        <v>8</v>
      </c>
      <c r="E49" s="67">
        <f t="shared" si="51"/>
        <v>20.25</v>
      </c>
      <c r="F49" s="67">
        <f t="shared" si="52"/>
        <v>2.53125</v>
      </c>
      <c r="G49" s="58">
        <f>I17</f>
        <v>699.322463465184</v>
      </c>
      <c r="H49" s="58">
        <f t="shared" si="53"/>
        <v>1770.1599856462469</v>
      </c>
      <c r="I49" s="67">
        <f t="shared" si="54"/>
        <v>336.33039727278697</v>
      </c>
      <c r="J49" s="58">
        <f t="shared" si="55"/>
        <v>2106.4903829190339</v>
      </c>
      <c r="K49" s="68">
        <f t="shared" si="56"/>
        <v>2548.8533633320312</v>
      </c>
    </row>
    <row r="50" spans="2:11" x14ac:dyDescent="0.25">
      <c r="B50" s="1" t="s">
        <v>119</v>
      </c>
      <c r="C50" s="3">
        <v>10</v>
      </c>
      <c r="D50" s="3">
        <v>1</v>
      </c>
      <c r="E50" s="67">
        <f t="shared" si="51"/>
        <v>10</v>
      </c>
      <c r="F50" s="67">
        <f t="shared" si="52"/>
        <v>1.25</v>
      </c>
      <c r="G50" s="58">
        <f>I33</f>
        <v>300.61644198206398</v>
      </c>
      <c r="H50" s="58">
        <f t="shared" si="53"/>
        <v>375.77055247757994</v>
      </c>
      <c r="I50" s="67">
        <f t="shared" si="54"/>
        <v>71.396404970740193</v>
      </c>
      <c r="J50" s="58">
        <f t="shared" si="55"/>
        <v>447.16695744832015</v>
      </c>
      <c r="K50" s="68">
        <f t="shared" si="56"/>
        <v>541.07201851246737</v>
      </c>
    </row>
    <row r="51" spans="2:11" x14ac:dyDescent="0.25">
      <c r="B51" s="1" t="s">
        <v>120</v>
      </c>
      <c r="C51" s="3">
        <v>2</v>
      </c>
      <c r="D51" s="3">
        <v>1</v>
      </c>
      <c r="E51" s="67">
        <f t="shared" si="51"/>
        <v>2</v>
      </c>
      <c r="F51" s="67">
        <f t="shared" si="52"/>
        <v>0.25</v>
      </c>
      <c r="G51" s="58">
        <f>I21</f>
        <v>334.48423492224003</v>
      </c>
      <c r="H51" s="58">
        <f t="shared" si="53"/>
        <v>83.621058730560009</v>
      </c>
      <c r="I51" s="67">
        <f t="shared" si="54"/>
        <v>15.8880011588064</v>
      </c>
      <c r="J51" s="58">
        <f t="shared" si="55"/>
        <v>99.509059889366412</v>
      </c>
      <c r="K51" s="68">
        <f t="shared" si="56"/>
        <v>120.40596246613336</v>
      </c>
    </row>
    <row r="52" spans="2:11" x14ac:dyDescent="0.25">
      <c r="B52" s="1" t="s">
        <v>121</v>
      </c>
      <c r="C52" s="3">
        <f>SUM(C47:C51)</f>
        <v>327</v>
      </c>
      <c r="D52" s="3">
        <v>20</v>
      </c>
      <c r="E52" s="67">
        <f t="shared" si="51"/>
        <v>16.350000000000001</v>
      </c>
      <c r="F52" s="67">
        <f t="shared" si="52"/>
        <v>2.0437500000000002</v>
      </c>
      <c r="G52" s="58">
        <f>I29</f>
        <v>300.61644198206398</v>
      </c>
      <c r="H52" s="58">
        <f t="shared" si="53"/>
        <v>614.38485330084325</v>
      </c>
      <c r="I52" s="67">
        <f t="shared" si="54"/>
        <v>116.73312212716023</v>
      </c>
      <c r="J52" s="58">
        <f t="shared" si="55"/>
        <v>731.11797542800343</v>
      </c>
      <c r="K52" s="68">
        <f t="shared" si="56"/>
        <v>884.65275026788413</v>
      </c>
    </row>
    <row r="53" spans="2:11" x14ac:dyDescent="0.25">
      <c r="B53" s="1"/>
      <c r="C53" s="3"/>
      <c r="D53" s="3"/>
      <c r="E53" s="67"/>
      <c r="F53" s="3"/>
      <c r="G53" s="3" t="s">
        <v>124</v>
      </c>
      <c r="H53" s="58"/>
      <c r="I53" s="67"/>
      <c r="J53" s="59">
        <f t="shared" ref="J53:K53" si="57">SUM(J47:J52)</f>
        <v>7343.9939974889994</v>
      </c>
      <c r="K53" s="70">
        <f t="shared" si="57"/>
        <v>8886.2327369616887</v>
      </c>
    </row>
    <row r="54" spans="2:11" ht="18.75" x14ac:dyDescent="0.3">
      <c r="B54" s="1"/>
      <c r="C54" s="3"/>
      <c r="D54" s="3"/>
      <c r="E54" s="3"/>
      <c r="F54" s="3"/>
      <c r="G54" s="71" t="s">
        <v>125</v>
      </c>
      <c r="H54" s="72"/>
      <c r="I54" s="71"/>
      <c r="J54" s="73">
        <f>J44+J53</f>
        <v>14687.987994977999</v>
      </c>
      <c r="K54" s="74">
        <f>K44+K53</f>
        <v>17772.465473923377</v>
      </c>
    </row>
    <row r="55" spans="2:11" x14ac:dyDescent="0.25">
      <c r="B55" s="75" t="s">
        <v>126</v>
      </c>
      <c r="C55" s="3"/>
      <c r="D55" s="3"/>
      <c r="E55" s="3"/>
      <c r="F55" s="3"/>
      <c r="G55" s="3"/>
      <c r="H55" s="58"/>
      <c r="I55" s="3"/>
      <c r="J55" s="3"/>
      <c r="K55" s="33"/>
    </row>
    <row r="56" spans="2:11" x14ac:dyDescent="0.25">
      <c r="B56" s="75" t="s">
        <v>127</v>
      </c>
      <c r="C56" s="6" t="s">
        <v>110</v>
      </c>
      <c r="D56" s="6" t="s">
        <v>111</v>
      </c>
      <c r="E56" s="6" t="s">
        <v>112</v>
      </c>
      <c r="F56" s="6" t="s">
        <v>68</v>
      </c>
      <c r="G56" s="6" t="s">
        <v>113</v>
      </c>
      <c r="H56" s="65" t="s">
        <v>114</v>
      </c>
      <c r="I56" s="6" t="s">
        <v>115</v>
      </c>
      <c r="J56" s="6" t="s">
        <v>57</v>
      </c>
      <c r="K56" s="66" t="s">
        <v>69</v>
      </c>
    </row>
    <row r="57" spans="2:11" x14ac:dyDescent="0.25">
      <c r="B57" s="1" t="s">
        <v>128</v>
      </c>
      <c r="C57" s="3">
        <v>23</v>
      </c>
      <c r="D57" s="3">
        <v>2</v>
      </c>
      <c r="E57" s="3"/>
      <c r="F57" s="67">
        <f>C57/D57</f>
        <v>11.5</v>
      </c>
      <c r="G57" s="58">
        <f>I21</f>
        <v>334.48423492224003</v>
      </c>
      <c r="H57" s="58">
        <f t="shared" ref="H57:H60" si="58">F57*G57</f>
        <v>3846.5687016057605</v>
      </c>
      <c r="I57" s="67">
        <f t="shared" ref="I57:I60" si="59">H57*19/100</f>
        <v>730.84805330509448</v>
      </c>
      <c r="J57" s="58">
        <f t="shared" ref="J57:J60" si="60">H57+I57</f>
        <v>4577.4167549108552</v>
      </c>
      <c r="K57" s="68">
        <f t="shared" ref="K57:K60" si="61">J57+(J57*21/100)</f>
        <v>5538.674273442135</v>
      </c>
    </row>
    <row r="58" spans="2:11" x14ac:dyDescent="0.25">
      <c r="B58" s="1" t="s">
        <v>129</v>
      </c>
      <c r="C58" s="3">
        <v>6</v>
      </c>
      <c r="D58" s="3">
        <v>1</v>
      </c>
      <c r="E58" s="3"/>
      <c r="F58" s="67">
        <f>C58/D58</f>
        <v>6</v>
      </c>
      <c r="G58" s="58">
        <f>I21</f>
        <v>334.48423492224003</v>
      </c>
      <c r="H58" s="58">
        <f t="shared" si="58"/>
        <v>2006.9054095334402</v>
      </c>
      <c r="I58" s="67">
        <f t="shared" si="59"/>
        <v>381.31202781135363</v>
      </c>
      <c r="J58" s="58">
        <f t="shared" si="60"/>
        <v>2388.2174373447938</v>
      </c>
      <c r="K58" s="68">
        <f t="shared" si="61"/>
        <v>2889.7430991872006</v>
      </c>
    </row>
    <row r="59" spans="2:11" x14ac:dyDescent="0.25">
      <c r="B59" s="1" t="s">
        <v>130</v>
      </c>
      <c r="C59" s="3">
        <v>40</v>
      </c>
      <c r="D59" s="3">
        <v>2</v>
      </c>
      <c r="E59" s="3"/>
      <c r="F59" s="67">
        <f>C59/D59</f>
        <v>20</v>
      </c>
      <c r="G59" s="58">
        <f>I25</f>
        <v>300.61644198206398</v>
      </c>
      <c r="H59" s="58">
        <f t="shared" si="58"/>
        <v>6012.328839641279</v>
      </c>
      <c r="I59" s="67">
        <f t="shared" si="59"/>
        <v>1142.3424795318431</v>
      </c>
      <c r="J59" s="58">
        <f t="shared" si="60"/>
        <v>7154.6713191731224</v>
      </c>
      <c r="K59" s="68">
        <f t="shared" si="61"/>
        <v>8657.1522961994779</v>
      </c>
    </row>
    <row r="60" spans="2:11" x14ac:dyDescent="0.25">
      <c r="B60" s="1" t="s">
        <v>131</v>
      </c>
      <c r="C60" s="3">
        <v>10</v>
      </c>
      <c r="D60" s="3">
        <v>2</v>
      </c>
      <c r="E60" s="3"/>
      <c r="F60" s="67">
        <f>C60/D60</f>
        <v>5</v>
      </c>
      <c r="G60" s="58">
        <f>I11</f>
        <v>745.6553674277759</v>
      </c>
      <c r="H60" s="58">
        <f t="shared" si="58"/>
        <v>3728.2768371388793</v>
      </c>
      <c r="I60" s="67">
        <f t="shared" si="59"/>
        <v>708.37259905638712</v>
      </c>
      <c r="J60" s="58">
        <f t="shared" si="60"/>
        <v>4436.6494361952664</v>
      </c>
      <c r="K60" s="68">
        <f t="shared" si="61"/>
        <v>5368.3458177962721</v>
      </c>
    </row>
    <row r="61" spans="2:11" x14ac:dyDescent="0.25">
      <c r="B61" s="1"/>
      <c r="C61" s="3"/>
      <c r="D61" s="3"/>
      <c r="E61" s="3"/>
      <c r="F61" s="67"/>
      <c r="G61" s="58"/>
      <c r="H61" s="58"/>
      <c r="I61" s="67"/>
      <c r="J61" s="58"/>
      <c r="K61" s="68"/>
    </row>
    <row r="62" spans="2:11" ht="18.75" x14ac:dyDescent="0.3">
      <c r="B62" s="1"/>
      <c r="C62" s="3" t="s">
        <v>132</v>
      </c>
      <c r="D62" s="3"/>
      <c r="E62" s="3"/>
      <c r="F62" s="3"/>
      <c r="G62" s="71" t="s">
        <v>133</v>
      </c>
      <c r="H62" s="72"/>
      <c r="I62" s="71"/>
      <c r="J62" s="73">
        <f>SUM(J57:J59)</f>
        <v>14120.305511428771</v>
      </c>
      <c r="K62" s="74">
        <f>SUM(K57:K59)</f>
        <v>17085.569668828815</v>
      </c>
    </row>
    <row r="63" spans="2:11" ht="18.75" x14ac:dyDescent="0.3">
      <c r="B63" s="1"/>
      <c r="C63" s="3"/>
      <c r="D63" s="3"/>
      <c r="E63" s="3"/>
      <c r="F63" s="3"/>
      <c r="G63" s="3"/>
      <c r="H63" s="58"/>
      <c r="I63" s="3"/>
      <c r="J63" s="76"/>
      <c r="K63" s="77"/>
    </row>
    <row r="64" spans="2:11" x14ac:dyDescent="0.25">
      <c r="B64" s="75" t="s">
        <v>134</v>
      </c>
      <c r="C64" s="6" t="s">
        <v>110</v>
      </c>
      <c r="D64" s="6" t="s">
        <v>111</v>
      </c>
      <c r="E64" s="6" t="s">
        <v>112</v>
      </c>
      <c r="F64" s="6" t="s">
        <v>68</v>
      </c>
      <c r="G64" s="6" t="s">
        <v>113</v>
      </c>
      <c r="H64" s="65" t="s">
        <v>114</v>
      </c>
      <c r="I64" s="6" t="s">
        <v>115</v>
      </c>
      <c r="J64" s="6" t="s">
        <v>57</v>
      </c>
      <c r="K64" s="66" t="s">
        <v>69</v>
      </c>
    </row>
    <row r="65" spans="2:11" x14ac:dyDescent="0.25">
      <c r="B65" s="1" t="s">
        <v>135</v>
      </c>
      <c r="C65" s="3">
        <v>6</v>
      </c>
      <c r="D65" s="3">
        <v>1</v>
      </c>
      <c r="E65" s="3"/>
      <c r="F65" s="3">
        <f>C65/D65</f>
        <v>6</v>
      </c>
      <c r="G65" s="58">
        <f>I25</f>
        <v>300.61644198206398</v>
      </c>
      <c r="H65" s="58">
        <f t="shared" ref="H65:H68" si="62">F65*G65</f>
        <v>1803.6986518923839</v>
      </c>
      <c r="I65" s="67">
        <f t="shared" ref="I65:I68" si="63">H65*19/100</f>
        <v>342.70274385955292</v>
      </c>
      <c r="J65" s="58">
        <f t="shared" ref="J65:J68" si="64">H65+I65</f>
        <v>2146.4013957519369</v>
      </c>
      <c r="K65" s="68">
        <f t="shared" ref="K65:K70" si="65">J65+(J65*21/100)</f>
        <v>2597.1456888598436</v>
      </c>
    </row>
    <row r="66" spans="2:11" x14ac:dyDescent="0.25">
      <c r="B66" s="1" t="s">
        <v>136</v>
      </c>
      <c r="C66" s="3">
        <v>20</v>
      </c>
      <c r="D66" s="3">
        <v>5</v>
      </c>
      <c r="E66" s="3"/>
      <c r="F66" s="3">
        <f>C66/D66</f>
        <v>4</v>
      </c>
      <c r="G66" s="58">
        <f>I25</f>
        <v>300.61644198206398</v>
      </c>
      <c r="H66" s="58">
        <f t="shared" si="62"/>
        <v>1202.4657679282559</v>
      </c>
      <c r="I66" s="67">
        <f t="shared" si="63"/>
        <v>228.46849590636862</v>
      </c>
      <c r="J66" s="58">
        <f t="shared" si="64"/>
        <v>1430.9342638346245</v>
      </c>
      <c r="K66" s="68">
        <f t="shared" si="65"/>
        <v>1731.4304592398958</v>
      </c>
    </row>
    <row r="67" spans="2:11" x14ac:dyDescent="0.25">
      <c r="B67" s="1" t="s">
        <v>137</v>
      </c>
      <c r="C67" s="3">
        <v>6</v>
      </c>
      <c r="D67" s="3">
        <v>1</v>
      </c>
      <c r="E67" s="3"/>
      <c r="F67" s="3">
        <f>C67/D67</f>
        <v>6</v>
      </c>
      <c r="G67" s="58">
        <f>I21</f>
        <v>334.48423492224003</v>
      </c>
      <c r="H67" s="58">
        <f t="shared" si="62"/>
        <v>2006.9054095334402</v>
      </c>
      <c r="I67" s="67">
        <f t="shared" si="63"/>
        <v>381.31202781135363</v>
      </c>
      <c r="J67" s="58">
        <f t="shared" si="64"/>
        <v>2388.2174373447938</v>
      </c>
      <c r="K67" s="68">
        <f t="shared" si="65"/>
        <v>2889.7430991872006</v>
      </c>
    </row>
    <row r="68" spans="2:11" x14ac:dyDescent="0.25">
      <c r="B68" s="1" t="s">
        <v>138</v>
      </c>
      <c r="C68" s="3">
        <v>4</v>
      </c>
      <c r="D68" s="3">
        <v>4</v>
      </c>
      <c r="E68" s="3"/>
      <c r="F68" s="3">
        <f>C68/D68</f>
        <v>1</v>
      </c>
      <c r="G68" s="58">
        <f>I21</f>
        <v>334.48423492224003</v>
      </c>
      <c r="H68" s="58">
        <f t="shared" si="62"/>
        <v>334.48423492224003</v>
      </c>
      <c r="I68" s="67">
        <f t="shared" si="63"/>
        <v>63.5520046352256</v>
      </c>
      <c r="J68" s="58">
        <f t="shared" si="64"/>
        <v>398.03623955746565</v>
      </c>
      <c r="K68" s="68">
        <f t="shared" si="65"/>
        <v>481.62384986453344</v>
      </c>
    </row>
    <row r="69" spans="2:11" x14ac:dyDescent="0.25">
      <c r="B69" s="1"/>
      <c r="C69" s="3"/>
      <c r="D69" s="3"/>
      <c r="E69" s="3"/>
      <c r="F69" s="3"/>
      <c r="G69" s="58"/>
      <c r="H69" s="58"/>
      <c r="I69" s="67"/>
      <c r="J69" s="58"/>
      <c r="K69" s="68"/>
    </row>
    <row r="70" spans="2:11" ht="18.75" x14ac:dyDescent="0.3">
      <c r="B70" s="1"/>
      <c r="C70" s="3"/>
      <c r="D70" s="3"/>
      <c r="E70" s="3"/>
      <c r="F70" s="3"/>
      <c r="G70" s="71" t="s">
        <v>139</v>
      </c>
      <c r="H70" s="72"/>
      <c r="I70" s="71"/>
      <c r="J70" s="73">
        <f>SUM(J65:J68)</f>
        <v>6363.5893364888207</v>
      </c>
      <c r="K70" s="74">
        <f t="shared" si="65"/>
        <v>7699.943097151473</v>
      </c>
    </row>
    <row r="71" spans="2:11" ht="19.5" thickBot="1" x14ac:dyDescent="0.35">
      <c r="B71" s="4"/>
      <c r="C71" s="5"/>
      <c r="D71" s="5"/>
      <c r="E71" s="5"/>
      <c r="F71" s="5"/>
      <c r="G71" s="78" t="s">
        <v>140</v>
      </c>
      <c r="H71" s="79"/>
      <c r="I71" s="80"/>
      <c r="J71" s="81">
        <f>J54+J62+J70</f>
        <v>35171.882842895589</v>
      </c>
      <c r="K71" s="82">
        <f>K54+K62+K70</f>
        <v>42557.97823990367</v>
      </c>
    </row>
    <row r="72" spans="2:11" x14ac:dyDescent="0.25">
      <c r="B72" s="83" t="s">
        <v>141</v>
      </c>
      <c r="C72" s="42"/>
      <c r="D72" s="42"/>
      <c r="E72" s="42"/>
      <c r="F72" s="42"/>
      <c r="G72" s="42"/>
      <c r="H72" s="62"/>
      <c r="I72" s="42"/>
      <c r="J72" s="42"/>
      <c r="K72" s="32"/>
    </row>
    <row r="73" spans="2:11" x14ac:dyDescent="0.25">
      <c r="B73" s="84" t="s">
        <v>109</v>
      </c>
      <c r="C73" s="3"/>
      <c r="D73" s="3"/>
      <c r="E73" s="3"/>
      <c r="F73" s="3"/>
      <c r="G73" s="3"/>
      <c r="H73" s="58"/>
      <c r="I73" s="3"/>
      <c r="J73" s="3"/>
      <c r="K73" s="33"/>
    </row>
    <row r="74" spans="2:11" x14ac:dyDescent="0.25">
      <c r="B74" s="1" t="s">
        <v>142</v>
      </c>
      <c r="C74" s="3"/>
      <c r="D74" s="3"/>
      <c r="E74" s="3"/>
      <c r="F74" s="67">
        <f>F40</f>
        <v>2.53125</v>
      </c>
      <c r="G74" s="3">
        <v>400</v>
      </c>
      <c r="H74" s="58">
        <f>F74*G74</f>
        <v>1012.5</v>
      </c>
      <c r="I74" s="67">
        <f t="shared" ref="I74:I82" si="66">H74*19/100</f>
        <v>192.375</v>
      </c>
      <c r="J74" s="58">
        <f t="shared" ref="J74:J76" si="67">H74+I74</f>
        <v>1204.875</v>
      </c>
      <c r="K74" s="68">
        <f t="shared" ref="K74:K82" si="68">J74+(J74*21/100)</f>
        <v>1457.8987500000001</v>
      </c>
    </row>
    <row r="75" spans="2:11" x14ac:dyDescent="0.25">
      <c r="B75" s="1" t="s">
        <v>143</v>
      </c>
      <c r="C75" s="3"/>
      <c r="D75" s="3"/>
      <c r="E75" s="3"/>
      <c r="F75" s="67">
        <f>F38+F39</f>
        <v>4.4625000000000004</v>
      </c>
      <c r="G75" s="3">
        <v>200</v>
      </c>
      <c r="H75" s="58">
        <f>F75*G75</f>
        <v>892.50000000000011</v>
      </c>
      <c r="I75" s="67">
        <f t="shared" si="66"/>
        <v>169.57500000000005</v>
      </c>
      <c r="J75" s="58">
        <f t="shared" si="67"/>
        <v>1062.0750000000003</v>
      </c>
      <c r="K75" s="68">
        <f t="shared" si="68"/>
        <v>1285.1107500000003</v>
      </c>
    </row>
    <row r="76" spans="2:11" x14ac:dyDescent="0.25">
      <c r="B76" s="1" t="s">
        <v>144</v>
      </c>
      <c r="C76" s="3"/>
      <c r="D76" s="3"/>
      <c r="E76" s="3"/>
      <c r="F76" s="67">
        <f>F41</f>
        <v>1.25</v>
      </c>
      <c r="G76" s="3">
        <v>480</v>
      </c>
      <c r="H76" s="58">
        <f>F76*G76</f>
        <v>600</v>
      </c>
      <c r="I76" s="67">
        <f t="shared" si="66"/>
        <v>114</v>
      </c>
      <c r="J76" s="58">
        <f t="shared" si="67"/>
        <v>714</v>
      </c>
      <c r="K76" s="68">
        <f t="shared" si="68"/>
        <v>863.94</v>
      </c>
    </row>
    <row r="77" spans="2:11" x14ac:dyDescent="0.25">
      <c r="B77" s="1"/>
      <c r="C77" s="3"/>
      <c r="D77" s="3"/>
      <c r="E77" s="3"/>
      <c r="F77" s="67"/>
      <c r="G77" s="3"/>
      <c r="H77" s="58"/>
      <c r="I77" s="67"/>
      <c r="J77" s="59">
        <f>SUM(J74:J76)</f>
        <v>2980.9500000000003</v>
      </c>
      <c r="K77" s="70">
        <f>SUM(K74:K76)</f>
        <v>3606.9495000000002</v>
      </c>
    </row>
    <row r="78" spans="2:11" x14ac:dyDescent="0.25">
      <c r="B78" s="1"/>
      <c r="C78" s="3"/>
      <c r="D78" s="3"/>
      <c r="E78" s="3"/>
      <c r="F78" s="67"/>
      <c r="G78" s="3"/>
      <c r="H78" s="58"/>
      <c r="I78" s="67"/>
      <c r="J78" s="58"/>
      <c r="K78" s="68"/>
    </row>
    <row r="79" spans="2:11" x14ac:dyDescent="0.25">
      <c r="B79" s="1" t="s">
        <v>123</v>
      </c>
      <c r="C79" s="3"/>
      <c r="D79" s="3"/>
      <c r="E79" s="3"/>
      <c r="F79" s="67"/>
      <c r="G79" s="3"/>
      <c r="H79" s="58"/>
      <c r="I79" s="67"/>
      <c r="J79" s="58"/>
      <c r="K79" s="68"/>
    </row>
    <row r="80" spans="2:11" x14ac:dyDescent="0.25">
      <c r="B80" s="1" t="s">
        <v>145</v>
      </c>
      <c r="C80" s="3"/>
      <c r="D80" s="3"/>
      <c r="E80" s="3"/>
      <c r="F80" s="67">
        <f>F49</f>
        <v>2.53125</v>
      </c>
      <c r="G80" s="3">
        <v>400</v>
      </c>
      <c r="H80" s="58">
        <f>F80*G80</f>
        <v>1012.5</v>
      </c>
      <c r="I80" s="67">
        <f t="shared" si="66"/>
        <v>192.375</v>
      </c>
      <c r="J80" s="58">
        <f t="shared" ref="J80:J82" si="69">H80+I80</f>
        <v>1204.875</v>
      </c>
      <c r="K80" s="68">
        <f t="shared" si="68"/>
        <v>1457.8987500000001</v>
      </c>
    </row>
    <row r="81" spans="2:11" x14ac:dyDescent="0.25">
      <c r="B81" s="1" t="s">
        <v>146</v>
      </c>
      <c r="C81" s="3"/>
      <c r="D81" s="3"/>
      <c r="E81" s="3"/>
      <c r="F81" s="67">
        <f>F38+F39</f>
        <v>4.4625000000000004</v>
      </c>
      <c r="G81" s="3">
        <v>200</v>
      </c>
      <c r="H81" s="58">
        <f>F81*G81</f>
        <v>892.50000000000011</v>
      </c>
      <c r="I81" s="67">
        <f t="shared" si="66"/>
        <v>169.57500000000005</v>
      </c>
      <c r="J81" s="58">
        <f t="shared" si="69"/>
        <v>1062.0750000000003</v>
      </c>
      <c r="K81" s="68">
        <f t="shared" si="68"/>
        <v>1285.1107500000003</v>
      </c>
    </row>
    <row r="82" spans="2:11" x14ac:dyDescent="0.25">
      <c r="B82" s="1" t="s">
        <v>147</v>
      </c>
      <c r="C82" s="3">
        <v>10</v>
      </c>
      <c r="D82" s="3">
        <v>0.75</v>
      </c>
      <c r="E82" s="67">
        <f>C82/D82</f>
        <v>13.333333333333334</v>
      </c>
      <c r="F82" s="67">
        <f>E82/8</f>
        <v>1.6666666666666667</v>
      </c>
      <c r="G82" s="3">
        <v>200</v>
      </c>
      <c r="H82" s="58">
        <f>F82*G82</f>
        <v>333.33333333333337</v>
      </c>
      <c r="I82" s="67">
        <f t="shared" si="66"/>
        <v>63.333333333333343</v>
      </c>
      <c r="J82" s="58">
        <f t="shared" si="69"/>
        <v>396.66666666666674</v>
      </c>
      <c r="K82" s="68">
        <f t="shared" si="68"/>
        <v>479.96666666666675</v>
      </c>
    </row>
    <row r="83" spans="2:11" x14ac:dyDescent="0.25">
      <c r="B83" s="1"/>
      <c r="C83" s="3"/>
      <c r="D83" s="3"/>
      <c r="E83" s="3"/>
      <c r="F83" s="67"/>
      <c r="G83" s="3"/>
      <c r="H83" s="58"/>
      <c r="I83" s="67"/>
      <c r="J83" s="59">
        <f>SUM(J80:J82)</f>
        <v>2663.6166666666668</v>
      </c>
      <c r="K83" s="70">
        <f>SUM(K80:K82)</f>
        <v>3222.9761666666668</v>
      </c>
    </row>
    <row r="84" spans="2:11" ht="18.75" x14ac:dyDescent="0.3">
      <c r="B84" s="1"/>
      <c r="C84" s="3"/>
      <c r="D84" s="3"/>
      <c r="E84" s="3"/>
      <c r="F84" s="3"/>
      <c r="G84" s="71" t="s">
        <v>148</v>
      </c>
      <c r="H84" s="72"/>
      <c r="I84" s="71"/>
      <c r="J84" s="73">
        <f>J83+J77</f>
        <v>5644.5666666666675</v>
      </c>
      <c r="K84" s="74">
        <f>K83+K77</f>
        <v>6829.925666666667</v>
      </c>
    </row>
    <row r="85" spans="2:11" x14ac:dyDescent="0.25">
      <c r="B85" s="75" t="s">
        <v>149</v>
      </c>
      <c r="C85" s="3"/>
      <c r="D85" s="3"/>
      <c r="E85" s="3"/>
      <c r="F85" s="3"/>
      <c r="G85" s="3"/>
      <c r="H85" s="58"/>
      <c r="I85" s="3"/>
      <c r="J85" s="3"/>
      <c r="K85" s="33"/>
    </row>
    <row r="86" spans="2:11" x14ac:dyDescent="0.25">
      <c r="B86" s="1" t="s">
        <v>150</v>
      </c>
      <c r="C86" s="3"/>
      <c r="D86" s="3"/>
      <c r="E86" s="3"/>
      <c r="F86" s="67">
        <f>F57+F58+F59+F60</f>
        <v>42.5</v>
      </c>
      <c r="G86" s="3">
        <f>G75</f>
        <v>200</v>
      </c>
      <c r="H86" s="58">
        <f>F86*G86</f>
        <v>8500</v>
      </c>
      <c r="I86" s="67">
        <f t="shared" ref="I86:I87" si="70">H86*19/100</f>
        <v>1615</v>
      </c>
      <c r="J86" s="58">
        <f t="shared" ref="J86:J87" si="71">H86+I86</f>
        <v>10115</v>
      </c>
      <c r="K86" s="68">
        <f t="shared" ref="K86:K87" si="72">J86+(J86*21/100)</f>
        <v>12239.15</v>
      </c>
    </row>
    <row r="87" spans="2:11" x14ac:dyDescent="0.25">
      <c r="B87" s="1" t="s">
        <v>151</v>
      </c>
      <c r="C87" s="3"/>
      <c r="D87" s="3"/>
      <c r="E87" s="3"/>
      <c r="F87" s="67">
        <f>F65+F66+F67+F68</f>
        <v>17</v>
      </c>
      <c r="G87" s="3">
        <f>G76</f>
        <v>480</v>
      </c>
      <c r="H87" s="58">
        <f>F87*G87</f>
        <v>8160</v>
      </c>
      <c r="I87" s="67">
        <f t="shared" si="70"/>
        <v>1550.4</v>
      </c>
      <c r="J87" s="58">
        <f t="shared" si="71"/>
        <v>9710.4</v>
      </c>
      <c r="K87" s="68">
        <f t="shared" si="72"/>
        <v>11749.583999999999</v>
      </c>
    </row>
    <row r="88" spans="2:11" ht="18.75" x14ac:dyDescent="0.3">
      <c r="B88" s="1"/>
      <c r="C88" s="3"/>
      <c r="D88" s="3"/>
      <c r="E88" s="3"/>
      <c r="F88" s="67"/>
      <c r="G88" s="71" t="s">
        <v>152</v>
      </c>
      <c r="H88" s="72"/>
      <c r="I88" s="85"/>
      <c r="J88" s="73">
        <f>SUM(J86:J87)</f>
        <v>19825.400000000001</v>
      </c>
      <c r="K88" s="74">
        <f>SUM(K86:K87)</f>
        <v>23988.733999999997</v>
      </c>
    </row>
    <row r="89" spans="2:11" x14ac:dyDescent="0.25">
      <c r="B89" s="75" t="s">
        <v>153</v>
      </c>
      <c r="C89" s="3"/>
      <c r="D89" s="3"/>
      <c r="E89" s="3"/>
      <c r="F89" s="3"/>
      <c r="G89" s="3"/>
      <c r="H89" s="58"/>
      <c r="I89" s="3"/>
      <c r="J89" s="3"/>
      <c r="K89" s="33"/>
    </row>
    <row r="90" spans="2:11" x14ac:dyDescent="0.25">
      <c r="B90" s="1" t="s">
        <v>154</v>
      </c>
      <c r="C90" s="3"/>
      <c r="D90" s="3"/>
      <c r="E90" s="3"/>
      <c r="F90" s="3">
        <v>6</v>
      </c>
      <c r="G90" s="3">
        <v>50</v>
      </c>
      <c r="H90" s="58">
        <f>F90*G90</f>
        <v>300</v>
      </c>
      <c r="I90" s="67">
        <f t="shared" ref="I90" si="73">H90*19/100</f>
        <v>57</v>
      </c>
      <c r="J90" s="58">
        <f t="shared" ref="J90" si="74">H90+I90</f>
        <v>357</v>
      </c>
      <c r="K90" s="68">
        <f t="shared" ref="K90" si="75">J90+(J90*21/100)</f>
        <v>431.97</v>
      </c>
    </row>
    <row r="91" spans="2:11" ht="18.75" x14ac:dyDescent="0.3">
      <c r="B91" s="1"/>
      <c r="C91" s="3"/>
      <c r="D91" s="3"/>
      <c r="E91" s="3"/>
      <c r="F91" s="3"/>
      <c r="G91" s="71" t="s">
        <v>155</v>
      </c>
      <c r="H91" s="72"/>
      <c r="I91" s="71"/>
      <c r="J91" s="73">
        <f>SUM(J90)</f>
        <v>357</v>
      </c>
      <c r="K91" s="74">
        <f>SUM(K90)</f>
        <v>431.97</v>
      </c>
    </row>
    <row r="92" spans="2:11" ht="19.5" thickBot="1" x14ac:dyDescent="0.35">
      <c r="B92" s="4"/>
      <c r="C92" s="5"/>
      <c r="D92" s="5"/>
      <c r="E92" s="5"/>
      <c r="F92" s="5"/>
      <c r="G92" s="78" t="s">
        <v>156</v>
      </c>
      <c r="H92" s="86"/>
      <c r="I92" s="78"/>
      <c r="J92" s="81">
        <f>J84+J88+J91</f>
        <v>25826.966666666667</v>
      </c>
      <c r="K92" s="82">
        <f>K84+K88+K91</f>
        <v>31250.629666666664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workbookViewId="0">
      <selection activeCell="C41" sqref="C41"/>
    </sheetView>
  </sheetViews>
  <sheetFormatPr baseColWidth="10" defaultRowHeight="15" x14ac:dyDescent="0.25"/>
  <cols>
    <col min="1" max="1" width="2.85546875" customWidth="1"/>
    <col min="2" max="2" width="37.7109375" customWidth="1"/>
    <col min="3" max="3" width="14.5703125" customWidth="1"/>
    <col min="4" max="4" width="13.28515625" customWidth="1"/>
    <col min="6" max="6" width="13.7109375" customWidth="1"/>
    <col min="8" max="8" width="12.28515625" customWidth="1"/>
    <col min="9" max="9" width="10.85546875" customWidth="1"/>
  </cols>
  <sheetData>
    <row r="2" spans="2:9" ht="15.75" thickBot="1" x14ac:dyDescent="0.3"/>
    <row r="3" spans="2:9" x14ac:dyDescent="0.25">
      <c r="B3" s="90" t="s">
        <v>70</v>
      </c>
      <c r="C3" s="42"/>
      <c r="D3" s="42"/>
      <c r="E3" s="42"/>
      <c r="F3" s="42"/>
      <c r="G3" s="42"/>
      <c r="H3" s="42"/>
      <c r="I3" s="32" t="s">
        <v>73</v>
      </c>
    </row>
    <row r="4" spans="2:9" ht="18.75" x14ac:dyDescent="0.3">
      <c r="B4" s="1" t="s">
        <v>71</v>
      </c>
      <c r="C4" s="3"/>
      <c r="D4" s="3"/>
      <c r="E4" s="3"/>
      <c r="F4" s="3"/>
      <c r="G4" s="3"/>
      <c r="H4" s="3"/>
      <c r="I4" s="91">
        <f>'02 SISTEMES COL·LOCACIÓ'!M3</f>
        <v>81</v>
      </c>
    </row>
    <row r="5" spans="2:9" x14ac:dyDescent="0.25">
      <c r="B5" s="1"/>
      <c r="C5" s="3"/>
      <c r="D5" s="3"/>
      <c r="E5" s="3"/>
      <c r="F5" s="3"/>
      <c r="G5" s="3"/>
      <c r="H5" s="3"/>
      <c r="I5" s="33"/>
    </row>
    <row r="6" spans="2:9" x14ac:dyDescent="0.25">
      <c r="B6" s="1"/>
      <c r="C6" s="3"/>
      <c r="D6" s="3"/>
      <c r="E6" s="3"/>
      <c r="F6" s="3"/>
      <c r="G6" s="3"/>
      <c r="H6" s="3"/>
      <c r="I6" s="33"/>
    </row>
    <row r="7" spans="2:9" x14ac:dyDescent="0.25">
      <c r="B7" s="92" t="s">
        <v>81</v>
      </c>
      <c r="C7" s="71"/>
      <c r="D7" s="71"/>
      <c r="E7" s="71"/>
      <c r="F7" s="71"/>
      <c r="G7" s="71"/>
      <c r="H7" s="71"/>
      <c r="I7" s="93"/>
    </row>
    <row r="8" spans="2:9" x14ac:dyDescent="0.25">
      <c r="B8" s="1" t="s">
        <v>72</v>
      </c>
      <c r="C8" s="3"/>
      <c r="D8" s="3"/>
      <c r="E8" s="3"/>
      <c r="F8" s="3"/>
      <c r="G8" s="3"/>
      <c r="H8" s="3"/>
      <c r="I8" s="68"/>
    </row>
    <row r="9" spans="2:9" x14ac:dyDescent="0.25">
      <c r="B9" s="1"/>
      <c r="C9" s="3"/>
      <c r="D9" s="3" t="s">
        <v>75</v>
      </c>
      <c r="E9" s="3" t="s">
        <v>67</v>
      </c>
      <c r="F9" s="3" t="s">
        <v>76</v>
      </c>
      <c r="G9" s="3" t="s">
        <v>77</v>
      </c>
      <c r="H9" s="3" t="s">
        <v>80</v>
      </c>
      <c r="I9" s="68"/>
    </row>
    <row r="10" spans="2:9" x14ac:dyDescent="0.25">
      <c r="B10" s="1" t="s">
        <v>74</v>
      </c>
      <c r="C10" s="3"/>
      <c r="D10" s="3">
        <v>8</v>
      </c>
      <c r="E10" s="3">
        <v>4</v>
      </c>
      <c r="F10" s="3">
        <f>D10*E10</f>
        <v>32</v>
      </c>
      <c r="G10" s="67">
        <f>INT(I4/F10)+1</f>
        <v>3</v>
      </c>
      <c r="H10" s="3"/>
      <c r="I10" s="68"/>
    </row>
    <row r="11" spans="2:9" x14ac:dyDescent="0.25">
      <c r="B11" s="110" t="s">
        <v>98</v>
      </c>
      <c r="C11" s="3">
        <v>1</v>
      </c>
      <c r="D11" s="3"/>
      <c r="E11" s="3"/>
      <c r="F11" s="3"/>
      <c r="G11" s="67"/>
      <c r="H11" s="2">
        <v>157.05000000000001</v>
      </c>
      <c r="I11" s="68">
        <f>$G$10*H11*C11</f>
        <v>471.15000000000003</v>
      </c>
    </row>
    <row r="12" spans="2:9" x14ac:dyDescent="0.25">
      <c r="B12" s="110" t="s">
        <v>95</v>
      </c>
      <c r="C12" s="3">
        <v>1</v>
      </c>
      <c r="D12" s="3"/>
      <c r="E12" s="3"/>
      <c r="F12" s="3"/>
      <c r="G12" s="67"/>
      <c r="H12" s="2">
        <v>219.63</v>
      </c>
      <c r="I12" s="68">
        <f t="shared" ref="I12:I14" si="0">$G$10*H12*C12</f>
        <v>658.89</v>
      </c>
    </row>
    <row r="13" spans="2:9" x14ac:dyDescent="0.25">
      <c r="B13" s="110" t="s">
        <v>170</v>
      </c>
      <c r="C13" s="3">
        <v>1</v>
      </c>
      <c r="D13" s="3"/>
      <c r="E13" s="3"/>
      <c r="F13" s="3"/>
      <c r="G13" s="67"/>
      <c r="H13" s="94">
        <v>177.44</v>
      </c>
      <c r="I13" s="68">
        <f t="shared" si="0"/>
        <v>532.31999999999994</v>
      </c>
    </row>
    <row r="14" spans="2:9" x14ac:dyDescent="0.25">
      <c r="B14" s="104" t="s">
        <v>100</v>
      </c>
      <c r="C14" s="3">
        <v>2</v>
      </c>
      <c r="D14" s="3"/>
      <c r="E14" s="3"/>
      <c r="F14" s="3"/>
      <c r="G14" s="67"/>
      <c r="H14" s="94">
        <v>145.21</v>
      </c>
      <c r="I14" s="68">
        <f t="shared" si="0"/>
        <v>871.26</v>
      </c>
    </row>
    <row r="15" spans="2:9" x14ac:dyDescent="0.25">
      <c r="B15" s="1"/>
      <c r="C15" s="3"/>
      <c r="D15" s="3"/>
      <c r="E15" s="3"/>
      <c r="F15" s="3"/>
      <c r="G15" s="3" t="s">
        <v>77</v>
      </c>
      <c r="H15" s="3" t="s">
        <v>78</v>
      </c>
      <c r="I15" s="68"/>
    </row>
    <row r="16" spans="2:9" x14ac:dyDescent="0.25">
      <c r="B16" s="1" t="s">
        <v>79</v>
      </c>
      <c r="C16" s="3"/>
      <c r="D16" s="3"/>
      <c r="E16" s="3"/>
      <c r="F16" s="3"/>
      <c r="G16" s="67">
        <f>G10</f>
        <v>3</v>
      </c>
      <c r="H16" s="67">
        <v>365</v>
      </c>
      <c r="I16" s="68">
        <f>G16*H16</f>
        <v>1095</v>
      </c>
    </row>
    <row r="17" spans="2:9" x14ac:dyDescent="0.25">
      <c r="B17" s="1"/>
      <c r="C17" s="3"/>
      <c r="D17" s="3"/>
      <c r="E17" s="3"/>
      <c r="F17" s="3"/>
      <c r="G17" s="3" t="s">
        <v>159</v>
      </c>
      <c r="H17" s="3"/>
      <c r="I17" s="70">
        <f>SUM(I9:I16)</f>
        <v>3628.62</v>
      </c>
    </row>
    <row r="18" spans="2:9" x14ac:dyDescent="0.25">
      <c r="B18" s="1"/>
      <c r="C18" s="3"/>
      <c r="D18" s="3"/>
      <c r="E18" s="3"/>
      <c r="F18" s="3"/>
      <c r="G18" s="3"/>
      <c r="H18" s="3"/>
      <c r="I18" s="68"/>
    </row>
    <row r="19" spans="2:9" x14ac:dyDescent="0.25">
      <c r="B19" s="92" t="s">
        <v>84</v>
      </c>
      <c r="C19" s="71"/>
      <c r="D19" s="71"/>
      <c r="E19" s="71"/>
      <c r="F19" s="71"/>
      <c r="G19" s="71"/>
      <c r="H19" s="71"/>
      <c r="I19" s="95"/>
    </row>
    <row r="20" spans="2:9" x14ac:dyDescent="0.25">
      <c r="B20" s="1" t="s">
        <v>72</v>
      </c>
      <c r="C20" s="3"/>
      <c r="D20" s="3"/>
      <c r="E20" s="3"/>
      <c r="F20" s="3"/>
      <c r="G20" s="3"/>
      <c r="H20" s="3"/>
      <c r="I20" s="68"/>
    </row>
    <row r="21" spans="2:9" x14ac:dyDescent="0.25">
      <c r="B21" s="1"/>
      <c r="C21" s="3"/>
      <c r="D21" s="3" t="s">
        <v>75</v>
      </c>
      <c r="E21" s="3" t="s">
        <v>67</v>
      </c>
      <c r="F21" s="3" t="s">
        <v>76</v>
      </c>
      <c r="G21" s="3" t="s">
        <v>77</v>
      </c>
      <c r="H21" s="3" t="s">
        <v>80</v>
      </c>
      <c r="I21" s="68"/>
    </row>
    <row r="22" spans="2:9" x14ac:dyDescent="0.25">
      <c r="B22" s="1" t="s">
        <v>74</v>
      </c>
      <c r="C22" s="3"/>
      <c r="D22" s="3">
        <v>8</v>
      </c>
      <c r="E22" s="3">
        <v>4</v>
      </c>
      <c r="F22" s="3">
        <f>D22*E22</f>
        <v>32</v>
      </c>
      <c r="G22" s="67">
        <f>INT(I4/F22)+1</f>
        <v>3</v>
      </c>
      <c r="H22" s="3"/>
      <c r="I22" s="68"/>
    </row>
    <row r="23" spans="2:9" x14ac:dyDescent="0.25">
      <c r="B23" s="110" t="s">
        <v>98</v>
      </c>
      <c r="C23" s="3">
        <v>1</v>
      </c>
      <c r="D23" s="3"/>
      <c r="E23" s="3"/>
      <c r="F23" s="3"/>
      <c r="G23" s="67"/>
      <c r="H23" s="2">
        <v>157.05000000000001</v>
      </c>
      <c r="I23" s="68">
        <f>$G$10*H23*C23</f>
        <v>471.15000000000003</v>
      </c>
    </row>
    <row r="24" spans="2:9" x14ac:dyDescent="0.25">
      <c r="B24" s="110" t="s">
        <v>95</v>
      </c>
      <c r="C24" s="3">
        <v>1</v>
      </c>
      <c r="D24" s="3"/>
      <c r="E24" s="3"/>
      <c r="F24" s="3"/>
      <c r="G24" s="67"/>
      <c r="H24" s="2">
        <v>219.63</v>
      </c>
      <c r="I24" s="68">
        <f t="shared" ref="I24:I26" si="1">$G$10*H24*C24</f>
        <v>658.89</v>
      </c>
    </row>
    <row r="25" spans="2:9" x14ac:dyDescent="0.25">
      <c r="B25" s="110" t="s">
        <v>170</v>
      </c>
      <c r="C25" s="3">
        <v>1</v>
      </c>
      <c r="D25" s="3"/>
      <c r="E25" s="3"/>
      <c r="F25" s="3"/>
      <c r="G25" s="67"/>
      <c r="H25" s="94">
        <v>177.44</v>
      </c>
      <c r="I25" s="68">
        <f t="shared" si="1"/>
        <v>532.31999999999994</v>
      </c>
    </row>
    <row r="26" spans="2:9" x14ac:dyDescent="0.25">
      <c r="B26" s="104" t="s">
        <v>100</v>
      </c>
      <c r="C26" s="3">
        <v>2</v>
      </c>
      <c r="D26" s="3"/>
      <c r="E26" s="3"/>
      <c r="F26" s="3"/>
      <c r="G26" s="67"/>
      <c r="H26" s="94">
        <v>145.21</v>
      </c>
      <c r="I26" s="68">
        <f t="shared" si="1"/>
        <v>871.26</v>
      </c>
    </row>
    <row r="27" spans="2:9" x14ac:dyDescent="0.25">
      <c r="B27" s="1"/>
      <c r="C27" s="3"/>
      <c r="D27" s="3"/>
      <c r="E27" s="3"/>
      <c r="F27" s="3"/>
      <c r="G27" s="3" t="s">
        <v>77</v>
      </c>
      <c r="H27" s="3" t="s">
        <v>78</v>
      </c>
      <c r="I27" s="68"/>
    </row>
    <row r="28" spans="2:9" x14ac:dyDescent="0.25">
      <c r="B28" s="1" t="s">
        <v>79</v>
      </c>
      <c r="C28" s="3"/>
      <c r="D28" s="3"/>
      <c r="E28" s="3"/>
      <c r="F28" s="3"/>
      <c r="G28" s="67">
        <f>G22</f>
        <v>3</v>
      </c>
      <c r="H28" s="67">
        <v>365</v>
      </c>
      <c r="I28" s="68">
        <f>G28*H28</f>
        <v>1095</v>
      </c>
    </row>
    <row r="29" spans="2:9" x14ac:dyDescent="0.25">
      <c r="B29" s="1"/>
      <c r="C29" s="3"/>
      <c r="D29" s="3"/>
      <c r="E29" s="3"/>
      <c r="F29" s="3"/>
      <c r="G29" s="3" t="s">
        <v>160</v>
      </c>
      <c r="H29" s="3"/>
      <c r="I29" s="70">
        <f>SUM(I21:I28)</f>
        <v>3628.62</v>
      </c>
    </row>
    <row r="30" spans="2:9" x14ac:dyDescent="0.25">
      <c r="B30" s="1"/>
      <c r="C30" s="3"/>
      <c r="D30" s="3"/>
      <c r="E30" s="3"/>
      <c r="F30" s="3"/>
      <c r="G30" s="3"/>
      <c r="H30" s="3"/>
      <c r="I30" s="68"/>
    </row>
    <row r="31" spans="2:9" x14ac:dyDescent="0.25">
      <c r="B31" s="92" t="s">
        <v>158</v>
      </c>
      <c r="C31" s="71"/>
      <c r="D31" s="71"/>
      <c r="E31" s="71"/>
      <c r="F31" s="71"/>
      <c r="G31" s="71"/>
      <c r="H31" s="71"/>
      <c r="I31" s="98">
        <f>I17+I29</f>
        <v>7257.24</v>
      </c>
    </row>
    <row r="32" spans="2:9" x14ac:dyDescent="0.25">
      <c r="B32" s="1"/>
      <c r="C32" s="3" t="s">
        <v>161</v>
      </c>
      <c r="D32" s="3"/>
      <c r="E32" s="3"/>
      <c r="F32" s="3"/>
      <c r="G32" s="3"/>
      <c r="H32" s="3"/>
      <c r="I32" s="33"/>
    </row>
    <row r="33" spans="2:9" x14ac:dyDescent="0.25">
      <c r="B33" s="69" t="s">
        <v>82</v>
      </c>
      <c r="C33" s="96">
        <v>13</v>
      </c>
      <c r="D33" s="3"/>
      <c r="E33" s="3"/>
      <c r="F33" s="3"/>
      <c r="G33" s="3"/>
      <c r="H33" s="3"/>
      <c r="I33" s="97">
        <f>I31*13/100</f>
        <v>943.44119999999998</v>
      </c>
    </row>
    <row r="34" spans="2:9" x14ac:dyDescent="0.25">
      <c r="B34" s="69" t="s">
        <v>83</v>
      </c>
      <c r="C34" s="96">
        <v>6</v>
      </c>
      <c r="D34" s="3"/>
      <c r="E34" s="3"/>
      <c r="F34" s="3"/>
      <c r="G34" s="3"/>
      <c r="H34" s="3"/>
      <c r="I34" s="97">
        <f>I31*6/100</f>
        <v>435.43440000000004</v>
      </c>
    </row>
    <row r="35" spans="2:9" x14ac:dyDescent="0.25">
      <c r="B35" s="92" t="s">
        <v>163</v>
      </c>
      <c r="C35" s="71"/>
      <c r="D35" s="71"/>
      <c r="E35" s="71"/>
      <c r="F35" s="71"/>
      <c r="G35" s="71"/>
      <c r="H35" s="71"/>
      <c r="I35" s="98">
        <f>I31+I33+I34</f>
        <v>8636.1155999999992</v>
      </c>
    </row>
    <row r="36" spans="2:9" x14ac:dyDescent="0.25">
      <c r="B36" s="1" t="s">
        <v>162</v>
      </c>
      <c r="C36" s="3">
        <v>21</v>
      </c>
      <c r="D36" s="3"/>
      <c r="E36" s="3"/>
      <c r="F36" s="3"/>
      <c r="G36" s="3"/>
      <c r="H36" s="3"/>
      <c r="I36" s="68">
        <f>I35*21/100</f>
        <v>1813.584276</v>
      </c>
    </row>
    <row r="37" spans="2:9" ht="15.75" thickBot="1" x14ac:dyDescent="0.3">
      <c r="B37" s="99" t="s">
        <v>164</v>
      </c>
      <c r="C37" s="100"/>
      <c r="D37" s="100"/>
      <c r="E37" s="100"/>
      <c r="F37" s="100"/>
      <c r="G37" s="100"/>
      <c r="H37" s="100"/>
      <c r="I37" s="101">
        <f>I35+I36</f>
        <v>10449.699875999999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workbookViewId="0">
      <selection activeCell="K19" sqref="K19"/>
    </sheetView>
  </sheetViews>
  <sheetFormatPr baseColWidth="10" defaultRowHeight="15" x14ac:dyDescent="0.25"/>
  <cols>
    <col min="1" max="1" width="8.5703125" customWidth="1"/>
    <col min="2" max="2" width="39.5703125" customWidth="1"/>
    <col min="3" max="3" width="15" customWidth="1"/>
    <col min="4" max="4" width="12.85546875" customWidth="1"/>
    <col min="6" max="6" width="13.7109375" customWidth="1"/>
  </cols>
  <sheetData>
    <row r="1" spans="2:9" ht="15.75" thickBot="1" x14ac:dyDescent="0.3"/>
    <row r="2" spans="2:9" x14ac:dyDescent="0.25">
      <c r="B2" s="90" t="s">
        <v>165</v>
      </c>
      <c r="C2" s="42"/>
      <c r="D2" s="42"/>
      <c r="E2" s="42"/>
      <c r="F2" s="42"/>
      <c r="G2" s="42"/>
      <c r="H2" s="42"/>
      <c r="I2" s="32" t="s">
        <v>73</v>
      </c>
    </row>
    <row r="3" spans="2:9" ht="18.75" x14ac:dyDescent="0.3">
      <c r="B3" s="1" t="s">
        <v>71</v>
      </c>
      <c r="C3" s="3"/>
      <c r="D3" s="3"/>
      <c r="E3" s="3"/>
      <c r="F3" s="3"/>
      <c r="G3" s="3"/>
      <c r="H3" s="3"/>
      <c r="I3" s="91">
        <f>'02 SISTEMES COL·LOCACIÓ'!M4</f>
        <v>12</v>
      </c>
    </row>
    <row r="4" spans="2:9" x14ac:dyDescent="0.25">
      <c r="B4" s="1"/>
      <c r="C4" s="3"/>
      <c r="D4" s="3"/>
      <c r="E4" s="3"/>
      <c r="F4" s="3"/>
      <c r="G4" s="3"/>
      <c r="H4" s="3"/>
      <c r="I4" s="33"/>
    </row>
    <row r="5" spans="2:9" x14ac:dyDescent="0.25">
      <c r="B5" s="1"/>
      <c r="C5" s="3"/>
      <c r="D5" s="3"/>
      <c r="E5" s="3"/>
      <c r="F5" s="3"/>
      <c r="G5" s="3"/>
      <c r="H5" s="3"/>
      <c r="I5" s="33"/>
    </row>
    <row r="6" spans="2:9" x14ac:dyDescent="0.25">
      <c r="B6" s="92" t="s">
        <v>81</v>
      </c>
      <c r="C6" s="71"/>
      <c r="D6" s="71"/>
      <c r="E6" s="71"/>
      <c r="F6" s="71"/>
      <c r="G6" s="71"/>
      <c r="H6" s="71"/>
      <c r="I6" s="93"/>
    </row>
    <row r="7" spans="2:9" x14ac:dyDescent="0.25">
      <c r="B7" s="1"/>
      <c r="C7" s="3"/>
      <c r="D7" s="67"/>
      <c r="E7" s="3"/>
      <c r="F7" s="3"/>
      <c r="G7" s="3"/>
      <c r="H7" s="3"/>
      <c r="I7" s="68"/>
    </row>
    <row r="8" spans="2:9" x14ac:dyDescent="0.25">
      <c r="B8" s="1"/>
      <c r="C8" s="3"/>
      <c r="D8" s="3" t="s">
        <v>75</v>
      </c>
      <c r="E8" s="3" t="s">
        <v>166</v>
      </c>
      <c r="F8" s="3" t="s">
        <v>167</v>
      </c>
      <c r="G8" s="3" t="s">
        <v>187</v>
      </c>
      <c r="H8" s="3" t="s">
        <v>80</v>
      </c>
      <c r="I8" s="68"/>
    </row>
    <row r="9" spans="2:9" x14ac:dyDescent="0.25">
      <c r="B9" s="1" t="s">
        <v>74</v>
      </c>
      <c r="C9" s="3"/>
      <c r="D9" s="3">
        <v>8</v>
      </c>
      <c r="E9" s="3">
        <v>1</v>
      </c>
      <c r="F9" s="3">
        <f>D9*E9</f>
        <v>8</v>
      </c>
      <c r="G9" s="67">
        <f>INT($I$3/F9)+1</f>
        <v>2</v>
      </c>
      <c r="H9" s="3"/>
      <c r="I9" s="68"/>
    </row>
    <row r="10" spans="2:9" x14ac:dyDescent="0.25">
      <c r="B10" s="104" t="s">
        <v>171</v>
      </c>
      <c r="C10" s="3">
        <v>1</v>
      </c>
      <c r="D10" s="3"/>
      <c r="E10" s="3"/>
      <c r="F10" s="3"/>
      <c r="G10" s="67"/>
      <c r="H10" s="2">
        <v>157.05000000000001</v>
      </c>
      <c r="I10" s="103">
        <f>$G$9*H10</f>
        <v>314.10000000000002</v>
      </c>
    </row>
    <row r="11" spans="2:9" x14ac:dyDescent="0.25">
      <c r="B11" s="108" t="s">
        <v>95</v>
      </c>
      <c r="C11" s="3">
        <v>1</v>
      </c>
      <c r="D11" s="3"/>
      <c r="E11" s="3"/>
      <c r="F11" s="3"/>
      <c r="G11" s="67"/>
      <c r="H11" s="2">
        <v>219.63</v>
      </c>
      <c r="I11" s="103">
        <f t="shared" ref="I11:I12" si="0">$G$9*H11</f>
        <v>439.26</v>
      </c>
    </row>
    <row r="12" spans="2:9" x14ac:dyDescent="0.25">
      <c r="B12" s="104" t="s">
        <v>100</v>
      </c>
      <c r="C12" s="3">
        <v>2</v>
      </c>
      <c r="D12" s="3"/>
      <c r="E12" s="3"/>
      <c r="F12" s="3"/>
      <c r="G12" s="67"/>
      <c r="H12" s="94">
        <v>145.21</v>
      </c>
      <c r="I12" s="103">
        <f t="shared" si="0"/>
        <v>290.42</v>
      </c>
    </row>
    <row r="13" spans="2:9" x14ac:dyDescent="0.25">
      <c r="B13" s="1"/>
      <c r="C13" s="3"/>
      <c r="D13" s="3"/>
      <c r="E13" s="3"/>
      <c r="F13" s="3"/>
      <c r="G13" s="3"/>
      <c r="H13" s="3"/>
      <c r="I13" s="103"/>
    </row>
    <row r="14" spans="2:9" x14ac:dyDescent="0.25">
      <c r="B14" s="1"/>
      <c r="C14" s="3"/>
      <c r="D14" s="3"/>
      <c r="E14" s="3"/>
      <c r="F14" s="3"/>
      <c r="G14" s="3" t="s">
        <v>77</v>
      </c>
      <c r="H14" s="3" t="s">
        <v>78</v>
      </c>
      <c r="I14" s="68"/>
    </row>
    <row r="15" spans="2:9" x14ac:dyDescent="0.25">
      <c r="B15" s="1" t="s">
        <v>172</v>
      </c>
      <c r="C15" s="3"/>
      <c r="D15" s="3"/>
      <c r="E15" s="3"/>
      <c r="F15" s="3"/>
      <c r="G15" s="67">
        <f>G9</f>
        <v>2</v>
      </c>
      <c r="H15" s="67">
        <v>295.64999999999998</v>
      </c>
      <c r="I15" s="103">
        <f>G15*H15</f>
        <v>591.29999999999995</v>
      </c>
    </row>
    <row r="16" spans="2:9" x14ac:dyDescent="0.25">
      <c r="B16" s="1"/>
      <c r="C16" s="3"/>
      <c r="D16" s="3"/>
      <c r="E16" s="3"/>
      <c r="F16" s="3"/>
      <c r="G16" s="3" t="s">
        <v>159</v>
      </c>
      <c r="H16" s="3"/>
      <c r="I16" s="106">
        <f>SUM(I8:I15)</f>
        <v>1635.08</v>
      </c>
    </row>
    <row r="17" spans="2:9" x14ac:dyDescent="0.25">
      <c r="B17" s="1"/>
      <c r="C17" s="3"/>
      <c r="D17" s="3"/>
      <c r="E17" s="3"/>
      <c r="F17" s="3"/>
      <c r="G17" s="3"/>
      <c r="H17" s="3"/>
      <c r="I17" s="68"/>
    </row>
    <row r="18" spans="2:9" x14ac:dyDescent="0.25">
      <c r="B18" s="92" t="s">
        <v>84</v>
      </c>
      <c r="C18" s="71"/>
      <c r="D18" s="71"/>
      <c r="E18" s="71"/>
      <c r="F18" s="71"/>
      <c r="G18" s="71"/>
      <c r="H18" s="71"/>
      <c r="I18" s="95"/>
    </row>
    <row r="19" spans="2:9" x14ac:dyDescent="0.25">
      <c r="B19" s="1"/>
      <c r="C19" s="3"/>
      <c r="D19" s="3"/>
      <c r="E19" s="3"/>
      <c r="F19" s="3"/>
      <c r="G19" s="3"/>
      <c r="H19" s="3"/>
      <c r="I19" s="68"/>
    </row>
    <row r="20" spans="2:9" x14ac:dyDescent="0.25">
      <c r="B20" s="1"/>
      <c r="C20" s="3"/>
      <c r="D20" s="3" t="s">
        <v>75</v>
      </c>
      <c r="E20" s="3" t="s">
        <v>166</v>
      </c>
      <c r="F20" s="3" t="s">
        <v>167</v>
      </c>
      <c r="G20" s="3" t="s">
        <v>187</v>
      </c>
      <c r="H20" s="3" t="s">
        <v>80</v>
      </c>
      <c r="I20" s="68"/>
    </row>
    <row r="21" spans="2:9" x14ac:dyDescent="0.25">
      <c r="B21" s="1" t="s">
        <v>74</v>
      </c>
      <c r="C21" s="3"/>
      <c r="D21" s="3">
        <v>8</v>
      </c>
      <c r="E21" s="3">
        <v>1</v>
      </c>
      <c r="F21" s="3">
        <v>8</v>
      </c>
      <c r="G21" s="67">
        <f>INT($I$3/F21)+1</f>
        <v>2</v>
      </c>
      <c r="H21" s="3"/>
      <c r="I21" s="68"/>
    </row>
    <row r="22" spans="2:9" x14ac:dyDescent="0.25">
      <c r="B22" s="104" t="s">
        <v>171</v>
      </c>
      <c r="C22" s="3">
        <v>1</v>
      </c>
      <c r="D22" s="3"/>
      <c r="E22" s="3"/>
      <c r="F22" s="3"/>
      <c r="G22" s="67"/>
      <c r="H22" s="2">
        <v>157.05000000000001</v>
      </c>
      <c r="I22" s="103">
        <f>$G$21*H22</f>
        <v>314.10000000000002</v>
      </c>
    </row>
    <row r="23" spans="2:9" x14ac:dyDescent="0.25">
      <c r="B23" s="108" t="s">
        <v>95</v>
      </c>
      <c r="C23" s="3">
        <v>1</v>
      </c>
      <c r="D23" s="3"/>
      <c r="E23" s="3"/>
      <c r="F23" s="3"/>
      <c r="G23" s="67"/>
      <c r="H23" s="2">
        <v>219.63</v>
      </c>
      <c r="I23" s="103">
        <f t="shared" ref="I23:I24" si="1">$G$21*H23</f>
        <v>439.26</v>
      </c>
    </row>
    <row r="24" spans="2:9" x14ac:dyDescent="0.25">
      <c r="B24" s="104" t="s">
        <v>100</v>
      </c>
      <c r="C24" s="3">
        <v>1</v>
      </c>
      <c r="D24" s="3"/>
      <c r="E24" s="3"/>
      <c r="F24" s="3"/>
      <c r="G24" s="67"/>
      <c r="H24" s="2">
        <v>145.21</v>
      </c>
      <c r="I24" s="103">
        <f t="shared" si="1"/>
        <v>290.42</v>
      </c>
    </row>
    <row r="25" spans="2:9" x14ac:dyDescent="0.25">
      <c r="B25" s="1"/>
      <c r="C25" s="3"/>
      <c r="D25" s="3"/>
      <c r="E25" s="3"/>
      <c r="F25" s="3"/>
      <c r="G25" s="67"/>
      <c r="H25" s="94"/>
      <c r="I25" s="103"/>
    </row>
    <row r="26" spans="2:9" x14ac:dyDescent="0.25">
      <c r="B26" s="1"/>
      <c r="C26" s="3"/>
      <c r="D26" s="3"/>
      <c r="E26" s="3"/>
      <c r="F26" s="3"/>
      <c r="G26" s="3" t="s">
        <v>77</v>
      </c>
      <c r="H26" s="3" t="s">
        <v>78</v>
      </c>
      <c r="I26" s="103"/>
    </row>
    <row r="27" spans="2:9" x14ac:dyDescent="0.25">
      <c r="B27" s="1" t="s">
        <v>172</v>
      </c>
      <c r="C27" s="3"/>
      <c r="D27" s="3"/>
      <c r="E27" s="3"/>
      <c r="F27" s="3"/>
      <c r="G27" s="67">
        <f>G21</f>
        <v>2</v>
      </c>
      <c r="H27" s="3">
        <v>295.64999999999998</v>
      </c>
      <c r="I27" s="103">
        <f>G27*H27</f>
        <v>591.29999999999995</v>
      </c>
    </row>
    <row r="28" spans="2:9" x14ac:dyDescent="0.25">
      <c r="B28" s="1"/>
      <c r="C28" s="3"/>
      <c r="D28" s="3"/>
      <c r="E28" s="3"/>
      <c r="F28" s="3"/>
      <c r="G28" s="67" t="s">
        <v>160</v>
      </c>
      <c r="H28" s="67"/>
      <c r="I28" s="106">
        <f>SUM(I22:I27)</f>
        <v>1635.08</v>
      </c>
    </row>
    <row r="29" spans="2:9" x14ac:dyDescent="0.25">
      <c r="B29" s="1"/>
      <c r="C29" s="3"/>
      <c r="D29" s="3"/>
      <c r="E29" s="3"/>
      <c r="F29" s="3"/>
      <c r="G29" s="3"/>
      <c r="H29" s="3"/>
      <c r="I29" s="68"/>
    </row>
    <row r="30" spans="2:9" x14ac:dyDescent="0.25">
      <c r="B30" s="1"/>
      <c r="C30" s="3"/>
      <c r="D30" s="3"/>
      <c r="E30" s="3"/>
      <c r="F30" s="3"/>
      <c r="G30" s="3"/>
      <c r="H30" s="3"/>
      <c r="I30" s="68"/>
    </row>
    <row r="31" spans="2:9" x14ac:dyDescent="0.25">
      <c r="B31" s="92" t="s">
        <v>158</v>
      </c>
      <c r="C31" s="71"/>
      <c r="D31" s="71"/>
      <c r="E31" s="71"/>
      <c r="F31" s="71"/>
      <c r="G31" s="71"/>
      <c r="H31" s="71"/>
      <c r="I31" s="98">
        <f>I16+I28</f>
        <v>3270.16</v>
      </c>
    </row>
    <row r="32" spans="2:9" x14ac:dyDescent="0.25">
      <c r="B32" s="1"/>
      <c r="C32" s="3" t="s">
        <v>178</v>
      </c>
      <c r="D32" s="3"/>
      <c r="E32" s="3"/>
      <c r="F32" s="3"/>
      <c r="G32" s="3"/>
      <c r="H32" s="3"/>
      <c r="I32" s="33"/>
    </row>
    <row r="33" spans="2:9" x14ac:dyDescent="0.25">
      <c r="B33" s="69" t="s">
        <v>82</v>
      </c>
      <c r="C33" s="96">
        <v>13</v>
      </c>
      <c r="D33" s="3"/>
      <c r="E33" s="3"/>
      <c r="F33" s="3"/>
      <c r="G33" s="3"/>
      <c r="H33" s="3"/>
      <c r="I33" s="97">
        <f>I31*13/100</f>
        <v>425.12080000000003</v>
      </c>
    </row>
    <row r="34" spans="2:9" x14ac:dyDescent="0.25">
      <c r="B34" s="69" t="s">
        <v>83</v>
      </c>
      <c r="C34" s="96">
        <v>6</v>
      </c>
      <c r="D34" s="3"/>
      <c r="E34" s="3"/>
      <c r="F34" s="3"/>
      <c r="G34" s="3"/>
      <c r="H34" s="3"/>
      <c r="I34" s="97">
        <f>I31*6/100</f>
        <v>196.20959999999999</v>
      </c>
    </row>
    <row r="35" spans="2:9" x14ac:dyDescent="0.25">
      <c r="B35" s="92" t="s">
        <v>163</v>
      </c>
      <c r="C35" s="71"/>
      <c r="D35" s="71"/>
      <c r="E35" s="71"/>
      <c r="F35" s="71"/>
      <c r="G35" s="71"/>
      <c r="H35" s="71"/>
      <c r="I35" s="98">
        <f>I31+I33+I34</f>
        <v>3891.4904000000001</v>
      </c>
    </row>
    <row r="36" spans="2:9" x14ac:dyDescent="0.25">
      <c r="B36" s="1" t="s">
        <v>162</v>
      </c>
      <c r="C36" s="3">
        <v>21</v>
      </c>
      <c r="D36" s="3"/>
      <c r="E36" s="3"/>
      <c r="F36" s="3"/>
      <c r="G36" s="3"/>
      <c r="H36" s="3"/>
      <c r="I36" s="68">
        <f>I35*21/100</f>
        <v>817.21298400000001</v>
      </c>
    </row>
    <row r="37" spans="2:9" ht="15.75" thickBot="1" x14ac:dyDescent="0.3">
      <c r="B37" s="99" t="s">
        <v>164</v>
      </c>
      <c r="C37" s="100"/>
      <c r="D37" s="100"/>
      <c r="E37" s="100"/>
      <c r="F37" s="100"/>
      <c r="G37" s="100"/>
      <c r="H37" s="100"/>
      <c r="I37" s="101">
        <f>I35+I36</f>
        <v>4708.7033840000004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B2" sqref="B2:J5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17.42578125" customWidth="1"/>
    <col min="4" max="4" width="13.7109375" customWidth="1"/>
    <col min="6" max="6" width="14" customWidth="1"/>
    <col min="7" max="7" width="16.28515625" customWidth="1"/>
    <col min="8" max="8" width="13.7109375" customWidth="1"/>
  </cols>
  <sheetData>
    <row r="1" spans="2:10" ht="15.75" thickBot="1" x14ac:dyDescent="0.3"/>
    <row r="2" spans="2:10" x14ac:dyDescent="0.25">
      <c r="B2" s="90" t="s">
        <v>70</v>
      </c>
      <c r="C2" s="42"/>
      <c r="D2" s="42"/>
      <c r="E2" s="42"/>
      <c r="F2" s="42"/>
      <c r="G2" s="42"/>
      <c r="H2" s="42"/>
      <c r="I2" s="42"/>
      <c r="J2" s="32" t="s">
        <v>73</v>
      </c>
    </row>
    <row r="3" spans="2:10" ht="18.75" x14ac:dyDescent="0.3">
      <c r="B3" s="1" t="s">
        <v>168</v>
      </c>
      <c r="C3" s="3"/>
      <c r="D3" s="3"/>
      <c r="E3" s="3"/>
      <c r="F3" s="3"/>
      <c r="G3" s="3"/>
      <c r="H3" s="3"/>
      <c r="I3" s="3"/>
      <c r="J3" s="91">
        <f>'02 SISTEMES COL·LOCACIÓ'!M5</f>
        <v>110</v>
      </c>
    </row>
    <row r="4" spans="2:10" x14ac:dyDescent="0.25">
      <c r="B4" s="1"/>
      <c r="C4" s="3"/>
      <c r="D4" s="3"/>
      <c r="E4" s="3"/>
      <c r="F4" s="3"/>
      <c r="G4" s="3"/>
      <c r="H4" s="3"/>
      <c r="I4" s="3"/>
      <c r="J4" s="33"/>
    </row>
    <row r="5" spans="2:10" x14ac:dyDescent="0.25">
      <c r="B5" s="1"/>
      <c r="C5" s="3"/>
      <c r="D5" s="3"/>
      <c r="E5" s="3"/>
      <c r="F5" s="3"/>
      <c r="G5" s="3"/>
      <c r="H5" s="3"/>
      <c r="I5" s="3"/>
      <c r="J5" s="33"/>
    </row>
    <row r="6" spans="2:10" x14ac:dyDescent="0.25">
      <c r="B6" s="92" t="s">
        <v>81</v>
      </c>
      <c r="C6" s="71"/>
      <c r="D6" s="71"/>
      <c r="E6" s="71"/>
      <c r="F6" s="71"/>
      <c r="G6" s="71"/>
      <c r="H6" s="71"/>
      <c r="I6" s="71"/>
      <c r="J6" s="93"/>
    </row>
    <row r="7" spans="2:10" x14ac:dyDescent="0.25">
      <c r="B7" s="1"/>
      <c r="C7" s="3"/>
      <c r="D7" s="3" t="s">
        <v>75</v>
      </c>
      <c r="E7" s="3" t="s">
        <v>67</v>
      </c>
      <c r="F7" s="3" t="s">
        <v>76</v>
      </c>
      <c r="G7" s="3" t="s">
        <v>77</v>
      </c>
      <c r="H7" s="3" t="s">
        <v>174</v>
      </c>
      <c r="I7" s="3" t="s">
        <v>80</v>
      </c>
      <c r="J7" s="68"/>
    </row>
    <row r="8" spans="2:10" x14ac:dyDescent="0.25">
      <c r="B8" s="1" t="s">
        <v>74</v>
      </c>
      <c r="C8" s="3"/>
      <c r="D8" s="3">
        <v>8</v>
      </c>
      <c r="E8" s="3">
        <v>4</v>
      </c>
      <c r="F8" s="3">
        <f>D8*E8</f>
        <v>32</v>
      </c>
      <c r="G8" s="107">
        <f>J3/F8</f>
        <v>3.4375</v>
      </c>
      <c r="H8" s="107">
        <f>INT(G8)+1</f>
        <v>4</v>
      </c>
      <c r="I8" s="3"/>
      <c r="J8" s="68"/>
    </row>
    <row r="9" spans="2:10" x14ac:dyDescent="0.25">
      <c r="B9" s="69" t="s">
        <v>171</v>
      </c>
      <c r="C9" s="102">
        <v>1</v>
      </c>
      <c r="D9" s="3"/>
      <c r="E9" s="3"/>
      <c r="F9" s="3"/>
      <c r="G9" s="67"/>
      <c r="H9" s="67"/>
      <c r="I9" s="2">
        <v>157.05000000000001</v>
      </c>
      <c r="J9" s="103">
        <f>C9*I9*$H$8</f>
        <v>628.20000000000005</v>
      </c>
    </row>
    <row r="10" spans="2:10" x14ac:dyDescent="0.25">
      <c r="B10" s="69" t="s">
        <v>95</v>
      </c>
      <c r="C10" s="3">
        <v>1</v>
      </c>
      <c r="D10" s="3"/>
      <c r="E10" s="3"/>
      <c r="F10" s="3"/>
      <c r="G10" s="67"/>
      <c r="H10" s="67"/>
      <c r="I10" s="2">
        <v>219.63</v>
      </c>
      <c r="J10" s="103">
        <f t="shared" ref="J10:J13" si="0">C10*I10*$H$8</f>
        <v>878.52</v>
      </c>
    </row>
    <row r="11" spans="2:10" x14ac:dyDescent="0.25">
      <c r="B11" s="69" t="s">
        <v>169</v>
      </c>
      <c r="C11" s="3">
        <v>1</v>
      </c>
      <c r="D11" s="3"/>
      <c r="E11" s="3"/>
      <c r="F11" s="3"/>
      <c r="G11" s="67"/>
      <c r="H11" s="67"/>
      <c r="I11" s="2">
        <v>191.55</v>
      </c>
      <c r="J11" s="103">
        <f t="shared" si="0"/>
        <v>766.2</v>
      </c>
    </row>
    <row r="12" spans="2:10" x14ac:dyDescent="0.25">
      <c r="B12" s="69" t="s">
        <v>170</v>
      </c>
      <c r="C12" s="3">
        <v>2</v>
      </c>
      <c r="D12" s="3"/>
      <c r="E12" s="3"/>
      <c r="F12" s="3"/>
      <c r="G12" s="67"/>
      <c r="H12" s="67"/>
      <c r="I12" s="94">
        <v>177.44</v>
      </c>
      <c r="J12" s="103">
        <f t="shared" si="0"/>
        <v>1419.52</v>
      </c>
    </row>
    <row r="13" spans="2:10" x14ac:dyDescent="0.25">
      <c r="B13" s="69" t="s">
        <v>100</v>
      </c>
      <c r="C13" s="3">
        <v>1</v>
      </c>
      <c r="D13" s="3"/>
      <c r="E13" s="3"/>
      <c r="F13" s="3"/>
      <c r="G13" s="67"/>
      <c r="H13" s="67"/>
      <c r="I13" s="94">
        <v>145.21</v>
      </c>
      <c r="J13" s="103">
        <f t="shared" si="0"/>
        <v>580.84</v>
      </c>
    </row>
    <row r="14" spans="2:10" x14ac:dyDescent="0.25">
      <c r="B14" s="1"/>
      <c r="C14" s="3"/>
      <c r="D14" s="3"/>
      <c r="E14" s="3"/>
      <c r="F14" s="3"/>
      <c r="G14" s="67"/>
      <c r="H14" s="67"/>
      <c r="I14" s="94"/>
      <c r="J14" s="68"/>
    </row>
    <row r="15" spans="2:10" x14ac:dyDescent="0.25">
      <c r="B15" s="1"/>
      <c r="C15" s="3"/>
      <c r="D15" s="3"/>
      <c r="E15" s="3"/>
      <c r="F15" s="3"/>
      <c r="G15" s="3"/>
      <c r="H15" s="3"/>
      <c r="I15" s="3"/>
      <c r="J15" s="68"/>
    </row>
    <row r="16" spans="2:10" x14ac:dyDescent="0.25">
      <c r="B16" s="1"/>
      <c r="C16" s="3"/>
      <c r="D16" s="3"/>
      <c r="E16" s="3"/>
      <c r="F16" s="3"/>
      <c r="G16" s="3"/>
      <c r="H16" s="3"/>
      <c r="I16" s="3" t="s">
        <v>78</v>
      </c>
      <c r="J16" s="68"/>
    </row>
    <row r="17" spans="2:10" x14ac:dyDescent="0.25">
      <c r="B17" s="1" t="s">
        <v>79</v>
      </c>
      <c r="C17" s="3">
        <v>1</v>
      </c>
      <c r="D17" s="3"/>
      <c r="E17" s="3"/>
      <c r="F17" s="3"/>
      <c r="G17" s="67"/>
      <c r="H17" s="67"/>
      <c r="I17" s="94">
        <v>365</v>
      </c>
      <c r="J17" s="103">
        <f>C17*I17*$H$8</f>
        <v>1460</v>
      </c>
    </row>
    <row r="18" spans="2:10" x14ac:dyDescent="0.25">
      <c r="B18" s="1"/>
      <c r="C18" s="3"/>
      <c r="D18" s="3"/>
      <c r="E18" s="3"/>
      <c r="F18" s="3"/>
      <c r="G18" s="3" t="s">
        <v>159</v>
      </c>
      <c r="H18" s="3"/>
      <c r="I18" s="3"/>
      <c r="J18" s="106">
        <f>SUM(J9:J17)</f>
        <v>5733.28</v>
      </c>
    </row>
    <row r="19" spans="2:10" x14ac:dyDescent="0.25">
      <c r="B19" s="1"/>
      <c r="C19" s="3"/>
      <c r="D19" s="3"/>
      <c r="E19" s="3"/>
      <c r="F19" s="3"/>
      <c r="G19" s="3"/>
      <c r="H19" s="3"/>
      <c r="I19" s="3"/>
      <c r="J19" s="68"/>
    </row>
    <row r="20" spans="2:10" x14ac:dyDescent="0.25">
      <c r="B20" s="92" t="s">
        <v>84</v>
      </c>
      <c r="C20" s="71"/>
      <c r="D20" s="71"/>
      <c r="E20" s="71"/>
      <c r="F20" s="71"/>
      <c r="G20" s="71"/>
      <c r="H20" s="71"/>
      <c r="I20" s="71"/>
      <c r="J20" s="95"/>
    </row>
    <row r="21" spans="2:10" x14ac:dyDescent="0.25">
      <c r="B21" s="1"/>
      <c r="C21" s="3"/>
      <c r="D21" s="3" t="s">
        <v>75</v>
      </c>
      <c r="E21" s="3" t="s">
        <v>67</v>
      </c>
      <c r="F21" s="3" t="s">
        <v>76</v>
      </c>
      <c r="G21" s="3" t="s">
        <v>77</v>
      </c>
      <c r="H21" s="3" t="s">
        <v>174</v>
      </c>
      <c r="I21" s="3" t="s">
        <v>80</v>
      </c>
      <c r="J21" s="68"/>
    </row>
    <row r="22" spans="2:10" x14ac:dyDescent="0.25">
      <c r="B22" s="1" t="s">
        <v>74</v>
      </c>
      <c r="C22" s="3"/>
      <c r="D22" s="3">
        <v>8</v>
      </c>
      <c r="E22" s="3">
        <v>4</v>
      </c>
      <c r="F22" s="3">
        <f>D22*E22</f>
        <v>32</v>
      </c>
      <c r="G22" s="107">
        <f>$J$3/F8</f>
        <v>3.4375</v>
      </c>
      <c r="H22" s="107">
        <f>INT(G22)+1</f>
        <v>4</v>
      </c>
      <c r="I22" s="3"/>
      <c r="J22" s="68"/>
    </row>
    <row r="23" spans="2:10" x14ac:dyDescent="0.25">
      <c r="B23" s="69" t="s">
        <v>171</v>
      </c>
      <c r="C23" s="102">
        <v>1</v>
      </c>
      <c r="D23" s="3"/>
      <c r="E23" s="3"/>
      <c r="F23" s="3"/>
      <c r="G23" s="67"/>
      <c r="H23" s="67"/>
      <c r="I23" s="2">
        <v>157.05000000000001</v>
      </c>
      <c r="J23" s="103">
        <f>C23*I23*$H$8</f>
        <v>628.20000000000005</v>
      </c>
    </row>
    <row r="24" spans="2:10" x14ac:dyDescent="0.25">
      <c r="B24" s="69" t="s">
        <v>95</v>
      </c>
      <c r="C24" s="3">
        <v>1</v>
      </c>
      <c r="D24" s="3"/>
      <c r="E24" s="3"/>
      <c r="F24" s="3"/>
      <c r="G24" s="67"/>
      <c r="H24" s="67"/>
      <c r="I24" s="2">
        <v>219.63</v>
      </c>
      <c r="J24" s="103">
        <f t="shared" ref="J24:J27" si="1">C24*I24*$H$8</f>
        <v>878.52</v>
      </c>
    </row>
    <row r="25" spans="2:10" x14ac:dyDescent="0.25">
      <c r="B25" s="69" t="s">
        <v>169</v>
      </c>
      <c r="C25" s="3">
        <v>1</v>
      </c>
      <c r="D25" s="3"/>
      <c r="E25" s="3"/>
      <c r="F25" s="3"/>
      <c r="G25" s="67"/>
      <c r="H25" s="67"/>
      <c r="I25" s="2">
        <v>191.55</v>
      </c>
      <c r="J25" s="103">
        <f t="shared" si="1"/>
        <v>766.2</v>
      </c>
    </row>
    <row r="26" spans="2:10" x14ac:dyDescent="0.25">
      <c r="B26" s="69" t="s">
        <v>170</v>
      </c>
      <c r="C26" s="3">
        <v>2</v>
      </c>
      <c r="D26" s="3"/>
      <c r="E26" s="3"/>
      <c r="F26" s="3"/>
      <c r="G26" s="67"/>
      <c r="H26" s="67"/>
      <c r="I26" s="94">
        <v>177.44</v>
      </c>
      <c r="J26" s="103">
        <f t="shared" si="1"/>
        <v>1419.52</v>
      </c>
    </row>
    <row r="27" spans="2:10" x14ac:dyDescent="0.25">
      <c r="B27" s="69" t="s">
        <v>100</v>
      </c>
      <c r="C27" s="3">
        <v>1</v>
      </c>
      <c r="D27" s="3"/>
      <c r="E27" s="3"/>
      <c r="F27" s="3"/>
      <c r="G27" s="67"/>
      <c r="H27" s="67"/>
      <c r="I27" s="94">
        <v>145.21</v>
      </c>
      <c r="J27" s="103">
        <f t="shared" si="1"/>
        <v>580.84</v>
      </c>
    </row>
    <row r="28" spans="2:10" x14ac:dyDescent="0.25">
      <c r="B28" s="1"/>
      <c r="C28" s="3"/>
      <c r="D28" s="3"/>
      <c r="E28" s="3"/>
      <c r="F28" s="3"/>
      <c r="G28" s="67"/>
      <c r="H28" s="67"/>
      <c r="I28" s="94"/>
      <c r="J28" s="68"/>
    </row>
    <row r="29" spans="2:10" x14ac:dyDescent="0.25">
      <c r="B29" s="1"/>
      <c r="C29" s="3"/>
      <c r="D29" s="3"/>
      <c r="E29" s="3"/>
      <c r="F29" s="3"/>
      <c r="G29" s="3"/>
      <c r="H29" s="3"/>
      <c r="I29" s="3"/>
      <c r="J29" s="68"/>
    </row>
    <row r="30" spans="2:10" x14ac:dyDescent="0.25">
      <c r="B30" s="1"/>
      <c r="C30" s="3"/>
      <c r="D30" s="3"/>
      <c r="E30" s="3"/>
      <c r="F30" s="3"/>
      <c r="G30" s="3"/>
      <c r="H30" s="3"/>
      <c r="I30" s="3" t="s">
        <v>78</v>
      </c>
      <c r="J30" s="68"/>
    </row>
    <row r="31" spans="2:10" x14ac:dyDescent="0.25">
      <c r="B31" s="1" t="s">
        <v>79</v>
      </c>
      <c r="C31" s="3">
        <v>1</v>
      </c>
      <c r="D31" s="3"/>
      <c r="E31" s="3"/>
      <c r="F31" s="3"/>
      <c r="G31" s="67"/>
      <c r="H31" s="67"/>
      <c r="I31" s="94">
        <v>365</v>
      </c>
      <c r="J31" s="103">
        <f>C31*I31*$H$8</f>
        <v>1460</v>
      </c>
    </row>
    <row r="32" spans="2:10" x14ac:dyDescent="0.25">
      <c r="B32" s="1"/>
      <c r="C32" s="3"/>
      <c r="D32" s="3"/>
      <c r="E32" s="3"/>
      <c r="F32" s="3"/>
      <c r="G32" s="3" t="s">
        <v>159</v>
      </c>
      <c r="H32" s="3"/>
      <c r="I32" s="3"/>
      <c r="J32" s="106">
        <f>SUM(J23:J31)</f>
        <v>5733.28</v>
      </c>
    </row>
    <row r="33" spans="2:10" x14ac:dyDescent="0.25">
      <c r="B33" s="1"/>
      <c r="C33" s="3"/>
      <c r="D33" s="3"/>
      <c r="E33" s="3"/>
      <c r="F33" s="3"/>
      <c r="G33" s="3"/>
      <c r="H33" s="3"/>
      <c r="I33" s="3"/>
      <c r="J33" s="103"/>
    </row>
    <row r="34" spans="2:10" x14ac:dyDescent="0.25">
      <c r="B34" s="92" t="s">
        <v>158</v>
      </c>
      <c r="C34" s="71"/>
      <c r="D34" s="71"/>
      <c r="E34" s="71"/>
      <c r="F34" s="71"/>
      <c r="G34" s="71"/>
      <c r="H34" s="71"/>
      <c r="I34" s="71"/>
      <c r="J34" s="105">
        <f>J18+J32</f>
        <v>11466.56</v>
      </c>
    </row>
    <row r="35" spans="2:10" s="28" customFormat="1" x14ac:dyDescent="0.25">
      <c r="B35" s="112"/>
      <c r="C35" s="113" t="s">
        <v>178</v>
      </c>
      <c r="D35" s="113"/>
      <c r="E35" s="113"/>
      <c r="F35" s="113"/>
      <c r="G35" s="113"/>
      <c r="H35" s="113"/>
      <c r="I35" s="113"/>
      <c r="J35" s="114"/>
    </row>
    <row r="36" spans="2:10" x14ac:dyDescent="0.25">
      <c r="B36" s="69" t="s">
        <v>82</v>
      </c>
      <c r="C36" s="96">
        <v>13</v>
      </c>
      <c r="D36" s="3"/>
      <c r="E36" s="3"/>
      <c r="F36" s="3"/>
      <c r="G36" s="3"/>
      <c r="H36" s="3"/>
      <c r="I36" s="3"/>
      <c r="J36" s="97">
        <f>J34*13/100</f>
        <v>1490.6528000000001</v>
      </c>
    </row>
    <row r="37" spans="2:10" x14ac:dyDescent="0.25">
      <c r="B37" s="69" t="s">
        <v>83</v>
      </c>
      <c r="C37" s="96">
        <v>6</v>
      </c>
      <c r="D37" s="3"/>
      <c r="E37" s="3"/>
      <c r="F37" s="3"/>
      <c r="G37" s="3"/>
      <c r="H37" s="3"/>
      <c r="I37" s="3"/>
      <c r="J37" s="97">
        <f>J34*6/100</f>
        <v>687.99360000000001</v>
      </c>
    </row>
    <row r="38" spans="2:10" x14ac:dyDescent="0.25">
      <c r="B38" s="92" t="s">
        <v>163</v>
      </c>
      <c r="C38" s="71"/>
      <c r="D38" s="71"/>
      <c r="E38" s="71"/>
      <c r="F38" s="71"/>
      <c r="G38" s="71"/>
      <c r="H38" s="71"/>
      <c r="I38" s="71"/>
      <c r="J38" s="98">
        <f>J34+J36+J37</f>
        <v>13645.206399999999</v>
      </c>
    </row>
    <row r="39" spans="2:10" x14ac:dyDescent="0.25">
      <c r="B39" s="1" t="s">
        <v>162</v>
      </c>
      <c r="C39" s="3">
        <v>21</v>
      </c>
      <c r="D39" s="3"/>
      <c r="E39" s="3"/>
      <c r="F39" s="3"/>
      <c r="G39" s="3"/>
      <c r="H39" s="3"/>
      <c r="I39" s="3"/>
      <c r="J39" s="68">
        <f>J38*21/100</f>
        <v>2865.493344</v>
      </c>
    </row>
    <row r="40" spans="2:10" ht="15.75" thickBot="1" x14ac:dyDescent="0.3">
      <c r="B40" s="99" t="s">
        <v>164</v>
      </c>
      <c r="C40" s="100"/>
      <c r="D40" s="100"/>
      <c r="E40" s="100"/>
      <c r="F40" s="100"/>
      <c r="G40" s="100"/>
      <c r="H40" s="100"/>
      <c r="I40" s="100"/>
      <c r="J40" s="101">
        <f>J38+J39</f>
        <v>16510.699743999998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3"/>
  <sheetViews>
    <sheetView workbookViewId="0">
      <selection activeCell="F6" sqref="F6"/>
    </sheetView>
  </sheetViews>
  <sheetFormatPr baseColWidth="10" defaultRowHeight="15" x14ac:dyDescent="0.25"/>
  <cols>
    <col min="1" max="1" width="7.42578125" customWidth="1"/>
    <col min="2" max="2" width="38.7109375" customWidth="1"/>
    <col min="3" max="3" width="4.7109375" customWidth="1"/>
    <col min="4" max="4" width="15.28515625" customWidth="1"/>
    <col min="6" max="6" width="16.28515625" customWidth="1"/>
  </cols>
  <sheetData>
    <row r="2" spans="2:6" ht="15.75" thickBot="1" x14ac:dyDescent="0.3">
      <c r="B2" s="111" t="s">
        <v>180</v>
      </c>
    </row>
    <row r="3" spans="2:6" x14ac:dyDescent="0.25">
      <c r="B3" s="119" t="s">
        <v>202</v>
      </c>
      <c r="C3" s="120"/>
      <c r="D3" s="120"/>
      <c r="E3" s="120"/>
      <c r="F3" s="121"/>
    </row>
    <row r="4" spans="2:6" x14ac:dyDescent="0.25">
      <c r="B4" s="122" t="s">
        <v>179</v>
      </c>
      <c r="C4" s="102"/>
      <c r="D4" s="102"/>
      <c r="E4" s="102"/>
      <c r="F4" s="123" t="s">
        <v>188</v>
      </c>
    </row>
    <row r="5" spans="2:6" ht="19.5" thickBot="1" x14ac:dyDescent="0.35">
      <c r="B5" s="124"/>
      <c r="C5" s="102"/>
      <c r="D5" s="102"/>
      <c r="E5" s="102"/>
      <c r="F5" s="125">
        <v>3</v>
      </c>
    </row>
    <row r="6" spans="2:6" x14ac:dyDescent="0.25">
      <c r="B6" s="31"/>
      <c r="C6" s="42"/>
      <c r="D6" s="42" t="s">
        <v>77</v>
      </c>
      <c r="E6" s="42" t="s">
        <v>80</v>
      </c>
      <c r="F6" s="116"/>
    </row>
    <row r="7" spans="2:6" x14ac:dyDescent="0.25">
      <c r="B7" s="1" t="s">
        <v>74</v>
      </c>
      <c r="C7" s="3"/>
      <c r="D7" s="67">
        <f>F5</f>
        <v>3</v>
      </c>
      <c r="E7" s="3"/>
      <c r="F7" s="68"/>
    </row>
    <row r="8" spans="2:6" x14ac:dyDescent="0.25">
      <c r="B8" s="104" t="s">
        <v>171</v>
      </c>
      <c r="C8" s="3">
        <v>1</v>
      </c>
      <c r="D8" s="67"/>
      <c r="E8" s="2">
        <v>157.05000000000001</v>
      </c>
      <c r="F8" s="103">
        <f>$D$7*E8*C8</f>
        <v>471.15000000000003</v>
      </c>
    </row>
    <row r="9" spans="2:6" x14ac:dyDescent="0.25">
      <c r="B9" s="104" t="s">
        <v>95</v>
      </c>
      <c r="C9" s="3">
        <v>1</v>
      </c>
      <c r="D9" s="67"/>
      <c r="E9" s="2">
        <v>219.63</v>
      </c>
      <c r="F9" s="103">
        <f>$D$7*E9*C9</f>
        <v>658.89</v>
      </c>
    </row>
    <row r="10" spans="2:6" x14ac:dyDescent="0.25">
      <c r="B10" s="104" t="s">
        <v>100</v>
      </c>
      <c r="C10" s="3">
        <v>2</v>
      </c>
      <c r="D10" s="67"/>
      <c r="E10" s="94">
        <v>145.21</v>
      </c>
      <c r="F10" s="103">
        <f>$D$7*E10*C10</f>
        <v>871.26</v>
      </c>
    </row>
    <row r="11" spans="2:6" x14ac:dyDescent="0.25">
      <c r="B11" s="1"/>
      <c r="C11" s="3"/>
      <c r="D11" s="3"/>
      <c r="E11" s="3"/>
      <c r="F11" s="103"/>
    </row>
    <row r="12" spans="2:6" x14ac:dyDescent="0.25">
      <c r="B12" s="1"/>
      <c r="C12" s="3"/>
      <c r="D12" s="3" t="s">
        <v>77</v>
      </c>
      <c r="E12" s="3" t="s">
        <v>78</v>
      </c>
      <c r="F12" s="68"/>
    </row>
    <row r="13" spans="2:6" x14ac:dyDescent="0.25">
      <c r="B13" s="1" t="s">
        <v>172</v>
      </c>
      <c r="C13" s="3"/>
      <c r="D13" s="67">
        <f>D7</f>
        <v>3</v>
      </c>
      <c r="E13" s="67">
        <v>295.64999999999998</v>
      </c>
      <c r="F13" s="103">
        <f>$D$13*E13</f>
        <v>886.94999999999993</v>
      </c>
    </row>
    <row r="14" spans="2:6" x14ac:dyDescent="0.25">
      <c r="B14" s="1" t="s">
        <v>184</v>
      </c>
      <c r="C14" s="3"/>
      <c r="D14" s="67"/>
      <c r="E14" s="67">
        <v>20</v>
      </c>
      <c r="F14" s="103">
        <f>$D$13*E14</f>
        <v>60</v>
      </c>
    </row>
    <row r="15" spans="2:6" x14ac:dyDescent="0.25">
      <c r="B15" s="92" t="s">
        <v>158</v>
      </c>
      <c r="C15" s="71"/>
      <c r="D15" s="71"/>
      <c r="E15" s="71"/>
      <c r="F15" s="105">
        <f>SUM(F6:F14)</f>
        <v>2948.25</v>
      </c>
    </row>
    <row r="16" spans="2:6" x14ac:dyDescent="0.25">
      <c r="B16" s="1"/>
      <c r="C16" s="3" t="s">
        <v>178</v>
      </c>
      <c r="D16" s="3"/>
      <c r="E16" s="3"/>
      <c r="F16" s="33"/>
    </row>
    <row r="17" spans="2:11" x14ac:dyDescent="0.25">
      <c r="B17" s="69" t="s">
        <v>82</v>
      </c>
      <c r="C17" s="3">
        <v>13</v>
      </c>
      <c r="D17" s="3"/>
      <c r="E17" s="3"/>
      <c r="F17" s="97">
        <f>F15*13/100</f>
        <v>383.27249999999998</v>
      </c>
    </row>
    <row r="18" spans="2:11" x14ac:dyDescent="0.25">
      <c r="B18" s="69" t="s">
        <v>83</v>
      </c>
      <c r="C18" s="3">
        <v>6</v>
      </c>
      <c r="D18" s="3"/>
      <c r="E18" s="3"/>
      <c r="F18" s="97">
        <f>F15*6/100</f>
        <v>176.89500000000001</v>
      </c>
    </row>
    <row r="19" spans="2:11" x14ac:dyDescent="0.25">
      <c r="B19" s="92" t="s">
        <v>163</v>
      </c>
      <c r="C19" s="71"/>
      <c r="D19" s="71"/>
      <c r="E19" s="71"/>
      <c r="F19" s="98">
        <f>SUM(F15+F17+F18)</f>
        <v>3508.4175</v>
      </c>
    </row>
    <row r="20" spans="2:11" x14ac:dyDescent="0.25">
      <c r="B20" s="46" t="s">
        <v>162</v>
      </c>
      <c r="C20" s="117">
        <v>21</v>
      </c>
      <c r="D20" s="117"/>
      <c r="E20" s="117"/>
      <c r="F20" s="118">
        <f>F19*21/100</f>
        <v>736.76767500000005</v>
      </c>
    </row>
    <row r="21" spans="2:11" ht="15.75" thickBot="1" x14ac:dyDescent="0.3">
      <c r="B21" s="99" t="s">
        <v>181</v>
      </c>
      <c r="C21" s="100"/>
      <c r="D21" s="100"/>
      <c r="E21" s="100"/>
      <c r="F21" s="101">
        <f>F19+F20</f>
        <v>4245.1851750000005</v>
      </c>
    </row>
    <row r="22" spans="2:11" x14ac:dyDescent="0.25">
      <c r="B22" s="126"/>
      <c r="C22" s="126"/>
      <c r="D22" s="126"/>
      <c r="E22" s="126"/>
      <c r="F22" s="127"/>
    </row>
    <row r="23" spans="2:11" ht="15.75" thickBot="1" x14ac:dyDescent="0.3">
      <c r="K23" s="103"/>
    </row>
    <row r="24" spans="2:11" x14ac:dyDescent="0.25">
      <c r="B24" s="119" t="s">
        <v>201</v>
      </c>
      <c r="C24" s="120"/>
      <c r="D24" s="120"/>
      <c r="E24" s="120"/>
      <c r="F24" s="121"/>
    </row>
    <row r="25" spans="2:11" x14ac:dyDescent="0.25">
      <c r="B25" s="122" t="s">
        <v>183</v>
      </c>
      <c r="C25" s="102"/>
      <c r="D25" s="102"/>
      <c r="E25" s="102"/>
      <c r="F25" s="123" t="s">
        <v>177</v>
      </c>
    </row>
    <row r="26" spans="2:11" ht="19.5" thickBot="1" x14ac:dyDescent="0.35">
      <c r="B26" s="124"/>
      <c r="C26" s="102"/>
      <c r="D26" s="102"/>
      <c r="E26" s="102"/>
      <c r="F26" s="125">
        <v>3</v>
      </c>
    </row>
    <row r="27" spans="2:11" x14ac:dyDescent="0.25">
      <c r="B27" s="31"/>
      <c r="C27" s="42"/>
      <c r="D27" s="42" t="s">
        <v>176</v>
      </c>
      <c r="E27" s="42" t="s">
        <v>80</v>
      </c>
      <c r="F27" s="116"/>
    </row>
    <row r="28" spans="2:11" x14ac:dyDescent="0.25">
      <c r="B28" s="1" t="s">
        <v>74</v>
      </c>
      <c r="C28" s="3"/>
      <c r="D28" s="67">
        <f>F26</f>
        <v>3</v>
      </c>
      <c r="E28" s="3"/>
      <c r="F28" s="68"/>
    </row>
    <row r="29" spans="2:11" x14ac:dyDescent="0.25">
      <c r="B29" s="104" t="s">
        <v>170</v>
      </c>
      <c r="C29" s="3">
        <v>1</v>
      </c>
      <c r="D29" s="67"/>
      <c r="E29" s="2">
        <v>177.44</v>
      </c>
      <c r="F29" s="103">
        <f>$D$28*E29*C29</f>
        <v>532.31999999999994</v>
      </c>
    </row>
    <row r="30" spans="2:11" x14ac:dyDescent="0.25">
      <c r="B30" s="104" t="s">
        <v>100</v>
      </c>
      <c r="C30" s="3">
        <v>1</v>
      </c>
      <c r="D30" s="67"/>
      <c r="E30" s="94">
        <v>145.21</v>
      </c>
      <c r="F30" s="103">
        <f>$D$28*E30*C30</f>
        <v>435.63</v>
      </c>
    </row>
    <row r="31" spans="2:11" x14ac:dyDescent="0.25">
      <c r="B31" s="1"/>
      <c r="C31" s="3"/>
      <c r="D31" s="3"/>
      <c r="E31" s="3"/>
      <c r="F31" s="103"/>
    </row>
    <row r="32" spans="2:11" x14ac:dyDescent="0.25">
      <c r="B32" s="1"/>
      <c r="C32" s="3"/>
      <c r="D32" s="3" t="s">
        <v>77</v>
      </c>
      <c r="E32" s="3" t="s">
        <v>78</v>
      </c>
      <c r="F32" s="68"/>
    </row>
    <row r="33" spans="2:6" x14ac:dyDescent="0.25">
      <c r="B33" s="1" t="s">
        <v>184</v>
      </c>
      <c r="C33" s="3"/>
      <c r="D33" s="67">
        <f>F26</f>
        <v>3</v>
      </c>
      <c r="E33" s="67">
        <v>20</v>
      </c>
      <c r="F33" s="103">
        <f>D33*E33</f>
        <v>60</v>
      </c>
    </row>
    <row r="34" spans="2:6" x14ac:dyDescent="0.25">
      <c r="B34" s="92" t="s">
        <v>158</v>
      </c>
      <c r="C34" s="71"/>
      <c r="D34" s="71"/>
      <c r="E34" s="71"/>
      <c r="F34" s="105">
        <f>SUM(F27:F33)</f>
        <v>1027.9499999999998</v>
      </c>
    </row>
    <row r="35" spans="2:6" x14ac:dyDescent="0.25">
      <c r="B35" s="1"/>
      <c r="C35" s="3" t="s">
        <v>178</v>
      </c>
      <c r="D35" s="3"/>
      <c r="E35" s="3"/>
      <c r="F35" s="33"/>
    </row>
    <row r="36" spans="2:6" x14ac:dyDescent="0.25">
      <c r="B36" s="69" t="s">
        <v>82</v>
      </c>
      <c r="C36" s="3">
        <v>13</v>
      </c>
      <c r="D36" s="3"/>
      <c r="E36" s="3"/>
      <c r="F36" s="97">
        <f>F34*13/100</f>
        <v>133.6335</v>
      </c>
    </row>
    <row r="37" spans="2:6" x14ac:dyDescent="0.25">
      <c r="B37" s="69" t="s">
        <v>83</v>
      </c>
      <c r="C37" s="3">
        <v>6</v>
      </c>
      <c r="D37" s="3"/>
      <c r="E37" s="3"/>
      <c r="F37" s="97">
        <f>F34*6/100</f>
        <v>61.676999999999992</v>
      </c>
    </row>
    <row r="38" spans="2:6" x14ac:dyDescent="0.25">
      <c r="B38" s="92" t="s">
        <v>163</v>
      </c>
      <c r="C38" s="71"/>
      <c r="D38" s="71"/>
      <c r="E38" s="71"/>
      <c r="F38" s="98">
        <f>SUM(F34+F36+F37)</f>
        <v>1223.2604999999996</v>
      </c>
    </row>
    <row r="39" spans="2:6" x14ac:dyDescent="0.25">
      <c r="B39" s="46" t="s">
        <v>162</v>
      </c>
      <c r="C39" s="117">
        <v>21</v>
      </c>
      <c r="D39" s="117"/>
      <c r="E39" s="117"/>
      <c r="F39" s="118">
        <f>F38*21/100</f>
        <v>256.88470499999994</v>
      </c>
    </row>
    <row r="40" spans="2:6" ht="15.75" thickBot="1" x14ac:dyDescent="0.3">
      <c r="B40" s="99" t="s">
        <v>181</v>
      </c>
      <c r="C40" s="100"/>
      <c r="D40" s="100"/>
      <c r="E40" s="100"/>
      <c r="F40" s="101">
        <f>F38+F39</f>
        <v>1480.1452049999996</v>
      </c>
    </row>
    <row r="42" spans="2:6" ht="15.75" thickBot="1" x14ac:dyDescent="0.3"/>
    <row r="43" spans="2:6" x14ac:dyDescent="0.25">
      <c r="B43" s="119" t="s">
        <v>196</v>
      </c>
      <c r="C43" s="120"/>
      <c r="D43" s="120"/>
      <c r="E43" s="120"/>
      <c r="F43" s="121" t="s">
        <v>177</v>
      </c>
    </row>
    <row r="44" spans="2:6" ht="18.75" x14ac:dyDescent="0.3">
      <c r="B44" s="129" t="s">
        <v>179</v>
      </c>
      <c r="C44" s="102"/>
      <c r="D44" s="102"/>
      <c r="E44" s="102"/>
      <c r="F44" s="125">
        <v>5</v>
      </c>
    </row>
    <row r="45" spans="2:6" x14ac:dyDescent="0.25">
      <c r="B45" s="130"/>
      <c r="C45" s="102"/>
      <c r="D45" s="102"/>
      <c r="E45" s="102"/>
      <c r="F45" s="123"/>
    </row>
    <row r="46" spans="2:6" x14ac:dyDescent="0.25">
      <c r="B46" s="1"/>
      <c r="C46" s="3"/>
      <c r="D46" s="3" t="s">
        <v>187</v>
      </c>
      <c r="E46" s="3" t="s">
        <v>80</v>
      </c>
      <c r="F46" s="68"/>
    </row>
    <row r="47" spans="2:6" x14ac:dyDescent="0.25">
      <c r="B47" s="1" t="s">
        <v>74</v>
      </c>
      <c r="C47" s="3"/>
      <c r="D47" s="67">
        <f>F44</f>
        <v>5</v>
      </c>
      <c r="E47" s="3"/>
      <c r="F47" s="68"/>
    </row>
    <row r="48" spans="2:6" x14ac:dyDescent="0.25">
      <c r="B48" s="104" t="s">
        <v>171</v>
      </c>
      <c r="C48" s="3">
        <v>1</v>
      </c>
      <c r="D48" s="67"/>
      <c r="E48" s="2">
        <v>157.05000000000001</v>
      </c>
      <c r="F48" s="103">
        <f>$D$47*E48*C48</f>
        <v>785.25</v>
      </c>
    </row>
    <row r="49" spans="2:6" x14ac:dyDescent="0.25">
      <c r="B49" s="104" t="s">
        <v>100</v>
      </c>
      <c r="C49" s="3">
        <v>1</v>
      </c>
      <c r="D49" s="67"/>
      <c r="E49" s="2">
        <v>145.21</v>
      </c>
      <c r="F49" s="103">
        <f>$D$47*E49*C49</f>
        <v>726.05000000000007</v>
      </c>
    </row>
    <row r="50" spans="2:6" x14ac:dyDescent="0.25">
      <c r="B50" s="1"/>
      <c r="C50" s="3"/>
      <c r="D50" s="3" t="s">
        <v>77</v>
      </c>
      <c r="E50" s="3" t="s">
        <v>78</v>
      </c>
      <c r="F50" s="103"/>
    </row>
    <row r="51" spans="2:6" x14ac:dyDescent="0.25">
      <c r="B51" s="1" t="s">
        <v>172</v>
      </c>
      <c r="C51" s="3"/>
      <c r="D51" s="67">
        <f>D47</f>
        <v>5</v>
      </c>
      <c r="E51" s="3">
        <v>295.64999999999998</v>
      </c>
      <c r="F51" s="103">
        <f>D51*E51</f>
        <v>1478.25</v>
      </c>
    </row>
    <row r="52" spans="2:6" x14ac:dyDescent="0.25">
      <c r="B52" s="1"/>
      <c r="C52" s="3"/>
      <c r="D52" s="67"/>
      <c r="E52" s="3"/>
      <c r="F52" s="103"/>
    </row>
    <row r="53" spans="2:6" x14ac:dyDescent="0.25">
      <c r="B53" s="92" t="s">
        <v>158</v>
      </c>
      <c r="C53" s="71"/>
      <c r="D53" s="71"/>
      <c r="E53" s="71"/>
      <c r="F53" s="98">
        <f>F48+F49+F51</f>
        <v>2989.55</v>
      </c>
    </row>
    <row r="54" spans="2:6" x14ac:dyDescent="0.25">
      <c r="B54" s="1"/>
      <c r="C54" s="3" t="s">
        <v>178</v>
      </c>
      <c r="D54" s="3"/>
      <c r="E54" s="3"/>
      <c r="F54" s="33"/>
    </row>
    <row r="55" spans="2:6" x14ac:dyDescent="0.25">
      <c r="B55" s="69" t="s">
        <v>82</v>
      </c>
      <c r="C55" s="96">
        <v>13</v>
      </c>
      <c r="D55" s="3"/>
      <c r="E55" s="3"/>
      <c r="F55" s="68">
        <f>F53*13/100</f>
        <v>388.64150000000001</v>
      </c>
    </row>
    <row r="56" spans="2:6" x14ac:dyDescent="0.25">
      <c r="B56" s="69" t="s">
        <v>83</v>
      </c>
      <c r="C56" s="96">
        <v>6</v>
      </c>
      <c r="D56" s="3"/>
      <c r="E56" s="3"/>
      <c r="F56" s="68">
        <f>F53*6/100</f>
        <v>179.37300000000002</v>
      </c>
    </row>
    <row r="57" spans="2:6" x14ac:dyDescent="0.25">
      <c r="B57" s="92" t="s">
        <v>163</v>
      </c>
      <c r="C57" s="71"/>
      <c r="D57" s="71"/>
      <c r="E57" s="71"/>
      <c r="F57" s="98">
        <f>F53+F55+F56</f>
        <v>3557.5645000000004</v>
      </c>
    </row>
    <row r="58" spans="2:6" x14ac:dyDescent="0.25">
      <c r="B58" s="1" t="s">
        <v>162</v>
      </c>
      <c r="C58" s="3">
        <v>21</v>
      </c>
      <c r="D58" s="3"/>
      <c r="E58" s="3"/>
      <c r="F58" s="68">
        <f>F57*21/100</f>
        <v>747.08854500000018</v>
      </c>
    </row>
    <row r="59" spans="2:6" ht="15.75" thickBot="1" x14ac:dyDescent="0.3">
      <c r="B59" s="99" t="s">
        <v>164</v>
      </c>
      <c r="C59" s="100"/>
      <c r="D59" s="100"/>
      <c r="E59" s="100"/>
      <c r="F59" s="101">
        <f>F57+F58</f>
        <v>4304.6530450000009</v>
      </c>
    </row>
    <row r="60" spans="2:6" ht="15.75" thickBot="1" x14ac:dyDescent="0.3"/>
    <row r="61" spans="2:6" x14ac:dyDescent="0.25">
      <c r="B61" s="119" t="s">
        <v>197</v>
      </c>
      <c r="C61" s="120"/>
      <c r="D61" s="120"/>
      <c r="E61" s="120"/>
      <c r="F61" s="121" t="s">
        <v>177</v>
      </c>
    </row>
    <row r="62" spans="2:6" ht="18.75" x14ac:dyDescent="0.3">
      <c r="B62" s="129" t="s">
        <v>179</v>
      </c>
      <c r="C62" s="102"/>
      <c r="D62" s="102"/>
      <c r="E62" s="102"/>
      <c r="F62" s="125">
        <v>1</v>
      </c>
    </row>
    <row r="63" spans="2:6" x14ac:dyDescent="0.25">
      <c r="B63" s="130"/>
      <c r="C63" s="102"/>
      <c r="D63" s="102"/>
      <c r="E63" s="102"/>
      <c r="F63" s="123"/>
    </row>
    <row r="64" spans="2:6" x14ac:dyDescent="0.25">
      <c r="B64" s="1"/>
      <c r="C64" s="3"/>
      <c r="D64" s="3" t="s">
        <v>187</v>
      </c>
      <c r="E64" s="3" t="s">
        <v>80</v>
      </c>
      <c r="F64" s="68"/>
    </row>
    <row r="65" spans="2:6" x14ac:dyDescent="0.25">
      <c r="B65" s="1" t="s">
        <v>74</v>
      </c>
      <c r="C65" s="3"/>
      <c r="D65" s="67">
        <f>F62</f>
        <v>1</v>
      </c>
      <c r="E65" s="3"/>
      <c r="F65" s="68"/>
    </row>
    <row r="66" spans="2:6" x14ac:dyDescent="0.25">
      <c r="B66" s="104" t="s">
        <v>171</v>
      </c>
      <c r="C66" s="3">
        <v>1</v>
      </c>
      <c r="D66" s="67"/>
      <c r="E66" s="2">
        <v>157.05000000000001</v>
      </c>
      <c r="F66" s="103">
        <f>$D$65*E66*C66</f>
        <v>157.05000000000001</v>
      </c>
    </row>
    <row r="67" spans="2:6" x14ac:dyDescent="0.25">
      <c r="B67" s="104" t="s">
        <v>100</v>
      </c>
      <c r="C67" s="3">
        <v>1</v>
      </c>
      <c r="D67" s="67"/>
      <c r="E67" s="2">
        <v>145.21</v>
      </c>
      <c r="F67" s="103">
        <f>$D$65*E67*C67</f>
        <v>145.21</v>
      </c>
    </row>
    <row r="68" spans="2:6" x14ac:dyDescent="0.25">
      <c r="B68" s="1"/>
      <c r="C68" s="3"/>
      <c r="D68" s="3" t="s">
        <v>77</v>
      </c>
      <c r="E68" s="3" t="s">
        <v>78</v>
      </c>
      <c r="F68" s="103"/>
    </row>
    <row r="69" spans="2:6" x14ac:dyDescent="0.25">
      <c r="B69" s="1" t="s">
        <v>172</v>
      </c>
      <c r="C69" s="3"/>
      <c r="D69" s="67">
        <f>D65</f>
        <v>1</v>
      </c>
      <c r="E69" s="3">
        <v>295.64999999999998</v>
      </c>
      <c r="F69" s="103">
        <f>D69*E69</f>
        <v>295.64999999999998</v>
      </c>
    </row>
    <row r="70" spans="2:6" x14ac:dyDescent="0.25">
      <c r="B70" s="1"/>
      <c r="C70" s="3"/>
      <c r="D70" s="67"/>
      <c r="E70" s="3"/>
      <c r="F70" s="103"/>
    </row>
    <row r="71" spans="2:6" x14ac:dyDescent="0.25">
      <c r="B71" s="92" t="s">
        <v>158</v>
      </c>
      <c r="C71" s="71"/>
      <c r="D71" s="71"/>
      <c r="E71" s="71"/>
      <c r="F71" s="98">
        <f>F66+F67+F69</f>
        <v>597.91</v>
      </c>
    </row>
    <row r="72" spans="2:6" x14ac:dyDescent="0.25">
      <c r="B72" s="1"/>
      <c r="C72" s="3" t="s">
        <v>178</v>
      </c>
      <c r="D72" s="3"/>
      <c r="E72" s="3"/>
      <c r="F72" s="33"/>
    </row>
    <row r="73" spans="2:6" x14ac:dyDescent="0.25">
      <c r="B73" s="69" t="s">
        <v>82</v>
      </c>
      <c r="C73" s="96">
        <v>13</v>
      </c>
      <c r="D73" s="3"/>
      <c r="E73" s="3"/>
      <c r="F73" s="68">
        <f>F71*13/100</f>
        <v>77.728300000000004</v>
      </c>
    </row>
    <row r="74" spans="2:6" x14ac:dyDescent="0.25">
      <c r="B74" s="69" t="s">
        <v>83</v>
      </c>
      <c r="C74" s="96">
        <v>6</v>
      </c>
      <c r="D74" s="3"/>
      <c r="E74" s="3"/>
      <c r="F74" s="68">
        <f>F71*6/100</f>
        <v>35.874600000000001</v>
      </c>
    </row>
    <row r="75" spans="2:6" x14ac:dyDescent="0.25">
      <c r="B75" s="92" t="s">
        <v>163</v>
      </c>
      <c r="C75" s="71"/>
      <c r="D75" s="71"/>
      <c r="E75" s="71"/>
      <c r="F75" s="98">
        <f>F71+F73+F74</f>
        <v>711.51289999999995</v>
      </c>
    </row>
    <row r="76" spans="2:6" x14ac:dyDescent="0.25">
      <c r="B76" s="1" t="s">
        <v>162</v>
      </c>
      <c r="C76" s="3">
        <v>21</v>
      </c>
      <c r="D76" s="3"/>
      <c r="E76" s="3"/>
      <c r="F76" s="68">
        <f>F75*21/100</f>
        <v>149.417709</v>
      </c>
    </row>
    <row r="77" spans="2:6" ht="15.75" thickBot="1" x14ac:dyDescent="0.3">
      <c r="B77" s="99" t="s">
        <v>164</v>
      </c>
      <c r="C77" s="100"/>
      <c r="D77" s="100"/>
      <c r="E77" s="100"/>
      <c r="F77" s="101">
        <f>F75+F76</f>
        <v>860.930609</v>
      </c>
    </row>
    <row r="79" spans="2:6" ht="15.75" thickBot="1" x14ac:dyDescent="0.3">
      <c r="B79" s="111" t="s">
        <v>203</v>
      </c>
    </row>
    <row r="80" spans="2:6" x14ac:dyDescent="0.25">
      <c r="B80" s="90"/>
      <c r="C80" s="42"/>
      <c r="D80" s="42"/>
      <c r="E80" s="42"/>
      <c r="F80" s="32" t="s">
        <v>68</v>
      </c>
    </row>
    <row r="81" spans="2:6" ht="18.75" x14ac:dyDescent="0.3">
      <c r="B81" s="1" t="s">
        <v>71</v>
      </c>
      <c r="C81" s="3"/>
      <c r="D81" s="3"/>
      <c r="E81" s="3"/>
      <c r="F81" s="91">
        <v>1</v>
      </c>
    </row>
    <row r="82" spans="2:6" x14ac:dyDescent="0.25">
      <c r="B82" s="1"/>
      <c r="C82" s="3"/>
      <c r="D82" s="3"/>
      <c r="E82" s="3"/>
      <c r="F82" s="33"/>
    </row>
    <row r="83" spans="2:6" x14ac:dyDescent="0.25">
      <c r="B83" s="1"/>
      <c r="C83" s="3"/>
      <c r="D83" s="3"/>
      <c r="E83" s="3"/>
      <c r="F83" s="33"/>
    </row>
    <row r="84" spans="2:6" x14ac:dyDescent="0.25">
      <c r="B84" s="92" t="s">
        <v>81</v>
      </c>
      <c r="C84" s="71"/>
      <c r="D84" s="71"/>
      <c r="E84" s="71"/>
      <c r="F84" s="93"/>
    </row>
    <row r="85" spans="2:6" x14ac:dyDescent="0.25">
      <c r="B85" s="1" t="s">
        <v>72</v>
      </c>
      <c r="C85" s="3"/>
      <c r="D85" s="3"/>
      <c r="E85" s="3"/>
      <c r="F85" s="68"/>
    </row>
    <row r="86" spans="2:6" x14ac:dyDescent="0.25">
      <c r="B86" s="1"/>
      <c r="C86" s="3"/>
      <c r="D86" s="3" t="s">
        <v>77</v>
      </c>
      <c r="E86" s="3" t="s">
        <v>80</v>
      </c>
      <c r="F86" s="68"/>
    </row>
    <row r="87" spans="2:6" x14ac:dyDescent="0.25">
      <c r="B87" s="1" t="s">
        <v>74</v>
      </c>
      <c r="C87" s="3"/>
      <c r="D87" s="67">
        <v>1</v>
      </c>
      <c r="E87" s="3"/>
      <c r="F87" s="68"/>
    </row>
    <row r="88" spans="2:6" x14ac:dyDescent="0.25">
      <c r="B88" s="110" t="s">
        <v>98</v>
      </c>
      <c r="C88" s="3">
        <v>1</v>
      </c>
      <c r="D88" s="67"/>
      <c r="E88" s="2">
        <v>157.05000000000001</v>
      </c>
      <c r="F88" s="68">
        <f>$D$87*E88*C88</f>
        <v>157.05000000000001</v>
      </c>
    </row>
    <row r="89" spans="2:6" x14ac:dyDescent="0.25">
      <c r="B89" s="110" t="s">
        <v>95</v>
      </c>
      <c r="C89" s="3">
        <v>1</v>
      </c>
      <c r="D89" s="67"/>
      <c r="E89" s="2">
        <v>219.63</v>
      </c>
      <c r="F89" s="68">
        <f t="shared" ref="F89:F91" si="0">$D$87*E89*C89</f>
        <v>219.63</v>
      </c>
    </row>
    <row r="90" spans="2:6" x14ac:dyDescent="0.25">
      <c r="B90" s="110" t="s">
        <v>170</v>
      </c>
      <c r="C90" s="3">
        <v>1</v>
      </c>
      <c r="D90" s="67"/>
      <c r="E90" s="94">
        <v>177.44</v>
      </c>
      <c r="F90" s="68">
        <f t="shared" si="0"/>
        <v>177.44</v>
      </c>
    </row>
    <row r="91" spans="2:6" x14ac:dyDescent="0.25">
      <c r="B91" s="104" t="s">
        <v>100</v>
      </c>
      <c r="C91" s="3">
        <v>2</v>
      </c>
      <c r="D91" s="67"/>
      <c r="E91" s="94">
        <v>145.21</v>
      </c>
      <c r="F91" s="68">
        <f t="shared" si="0"/>
        <v>290.42</v>
      </c>
    </row>
    <row r="92" spans="2:6" x14ac:dyDescent="0.25">
      <c r="B92" s="1"/>
      <c r="C92" s="3"/>
      <c r="D92" s="3" t="s">
        <v>77</v>
      </c>
      <c r="E92" s="3" t="s">
        <v>78</v>
      </c>
      <c r="F92" s="68"/>
    </row>
    <row r="93" spans="2:6" x14ac:dyDescent="0.25">
      <c r="B93" s="1" t="s">
        <v>79</v>
      </c>
      <c r="C93" s="3"/>
      <c r="D93" s="67">
        <f>D87</f>
        <v>1</v>
      </c>
      <c r="E93" s="67">
        <v>365</v>
      </c>
      <c r="F93" s="68">
        <f>D93*E93</f>
        <v>365</v>
      </c>
    </row>
    <row r="94" spans="2:6" x14ac:dyDescent="0.25">
      <c r="B94" s="1" t="s">
        <v>158</v>
      </c>
      <c r="C94" s="3"/>
      <c r="D94" s="3"/>
      <c r="E94" s="3"/>
      <c r="F94" s="70">
        <f>SUM(F86:F93)</f>
        <v>1209.54</v>
      </c>
    </row>
    <row r="95" spans="2:6" x14ac:dyDescent="0.25">
      <c r="B95" s="1"/>
      <c r="C95" s="3" t="s">
        <v>178</v>
      </c>
      <c r="D95" s="3"/>
      <c r="E95" s="3"/>
      <c r="F95" s="68"/>
    </row>
    <row r="96" spans="2:6" x14ac:dyDescent="0.25">
      <c r="B96" s="136" t="s">
        <v>82</v>
      </c>
      <c r="C96" s="3">
        <v>13</v>
      </c>
      <c r="D96" s="3"/>
      <c r="E96" s="3"/>
      <c r="F96" s="97">
        <f>F94*13/100</f>
        <v>157.24020000000002</v>
      </c>
    </row>
    <row r="97" spans="2:6" x14ac:dyDescent="0.25">
      <c r="B97" s="137" t="s">
        <v>83</v>
      </c>
      <c r="C97" s="60">
        <v>6</v>
      </c>
      <c r="D97" s="60"/>
      <c r="E97" s="60"/>
      <c r="F97" s="138">
        <f>F94*6/100</f>
        <v>72.572400000000002</v>
      </c>
    </row>
    <row r="98" spans="2:6" x14ac:dyDescent="0.25">
      <c r="B98" s="92" t="s">
        <v>163</v>
      </c>
      <c r="C98" s="71"/>
      <c r="D98" s="71"/>
      <c r="E98" s="71"/>
      <c r="F98" s="98">
        <f>F94+F96+F97</f>
        <v>1439.3525999999999</v>
      </c>
    </row>
    <row r="99" spans="2:6" x14ac:dyDescent="0.25">
      <c r="B99" s="1" t="s">
        <v>162</v>
      </c>
      <c r="C99" s="3">
        <v>21</v>
      </c>
      <c r="D99" s="3"/>
      <c r="E99" s="3"/>
      <c r="F99" s="68">
        <f>F98*21/100</f>
        <v>302.26404600000001</v>
      </c>
    </row>
    <row r="100" spans="2:6" ht="15.75" thickBot="1" x14ac:dyDescent="0.3">
      <c r="B100" s="99" t="s">
        <v>164</v>
      </c>
      <c r="C100" s="100"/>
      <c r="D100" s="100"/>
      <c r="E100" s="100"/>
      <c r="F100" s="101">
        <f>F98+F99</f>
        <v>1741.6166459999999</v>
      </c>
    </row>
    <row r="101" spans="2:6" ht="15.75" thickBot="1" x14ac:dyDescent="0.3"/>
    <row r="102" spans="2:6" x14ac:dyDescent="0.25">
      <c r="B102" s="90" t="s">
        <v>70</v>
      </c>
      <c r="C102" s="42"/>
      <c r="D102" s="42"/>
      <c r="E102" s="32" t="s">
        <v>73</v>
      </c>
    </row>
    <row r="103" spans="2:6" ht="18.75" x14ac:dyDescent="0.3">
      <c r="B103" s="1" t="s">
        <v>168</v>
      </c>
      <c r="C103" s="3"/>
      <c r="D103" s="3"/>
      <c r="E103" s="91">
        <v>1</v>
      </c>
    </row>
    <row r="104" spans="2:6" x14ac:dyDescent="0.25">
      <c r="B104" s="1"/>
      <c r="C104" s="3"/>
      <c r="D104" s="3" t="s">
        <v>80</v>
      </c>
      <c r="E104" s="68"/>
    </row>
    <row r="105" spans="2:6" x14ac:dyDescent="0.25">
      <c r="B105" s="1" t="s">
        <v>74</v>
      </c>
      <c r="C105" s="3"/>
      <c r="D105" s="3"/>
      <c r="E105" s="68"/>
    </row>
    <row r="106" spans="2:6" x14ac:dyDescent="0.25">
      <c r="B106" s="69" t="s">
        <v>171</v>
      </c>
      <c r="C106" s="102">
        <v>1</v>
      </c>
      <c r="D106" s="2">
        <v>157.05000000000001</v>
      </c>
      <c r="E106" s="103">
        <f>$E$103*C106*D106</f>
        <v>157.05000000000001</v>
      </c>
    </row>
    <row r="107" spans="2:6" x14ac:dyDescent="0.25">
      <c r="B107" s="69" t="s">
        <v>95</v>
      </c>
      <c r="C107" s="3">
        <v>1</v>
      </c>
      <c r="D107" s="2">
        <v>219.63</v>
      </c>
      <c r="E107" s="103">
        <f t="shared" ref="E107:E110" si="1">$E$103*C107*D107</f>
        <v>219.63</v>
      </c>
    </row>
    <row r="108" spans="2:6" x14ac:dyDescent="0.25">
      <c r="B108" s="69" t="s">
        <v>169</v>
      </c>
      <c r="C108" s="3">
        <v>1</v>
      </c>
      <c r="D108" s="2">
        <v>191.55</v>
      </c>
      <c r="E108" s="103">
        <f t="shared" si="1"/>
        <v>191.55</v>
      </c>
    </row>
    <row r="109" spans="2:6" x14ac:dyDescent="0.25">
      <c r="B109" s="69" t="s">
        <v>170</v>
      </c>
      <c r="C109" s="3">
        <v>2</v>
      </c>
      <c r="D109" s="94">
        <v>177.44</v>
      </c>
      <c r="E109" s="103">
        <f t="shared" si="1"/>
        <v>354.88</v>
      </c>
    </row>
    <row r="110" spans="2:6" x14ac:dyDescent="0.25">
      <c r="B110" s="69" t="s">
        <v>100</v>
      </c>
      <c r="C110" s="3">
        <v>1</v>
      </c>
      <c r="D110" s="94">
        <v>145.21</v>
      </c>
      <c r="E110" s="103">
        <f t="shared" si="1"/>
        <v>145.21</v>
      </c>
    </row>
    <row r="111" spans="2:6" x14ac:dyDescent="0.25">
      <c r="B111" s="1"/>
      <c r="C111" s="3"/>
      <c r="D111" s="94"/>
      <c r="E111" s="68"/>
    </row>
    <row r="112" spans="2:6" x14ac:dyDescent="0.25">
      <c r="B112" s="1"/>
      <c r="C112" s="3"/>
      <c r="D112" s="3"/>
      <c r="E112" s="68"/>
    </row>
    <row r="113" spans="2:5" x14ac:dyDescent="0.25">
      <c r="B113" s="1"/>
      <c r="C113" s="3"/>
      <c r="D113" s="3" t="s">
        <v>78</v>
      </c>
      <c r="E113" s="68"/>
    </row>
    <row r="114" spans="2:5" x14ac:dyDescent="0.25">
      <c r="B114" s="1" t="s">
        <v>79</v>
      </c>
      <c r="C114" s="3">
        <f>E103</f>
        <v>1</v>
      </c>
      <c r="D114" s="94">
        <v>365</v>
      </c>
      <c r="E114" s="103">
        <f t="shared" ref="E114" si="2">$E$103*C114*D114</f>
        <v>365</v>
      </c>
    </row>
    <row r="115" spans="2:5" x14ac:dyDescent="0.25">
      <c r="B115" s="1"/>
      <c r="C115" s="3"/>
      <c r="D115" s="3"/>
      <c r="E115" s="106">
        <f>SUM(E106:E114)</f>
        <v>1433.32</v>
      </c>
    </row>
    <row r="116" spans="2:5" x14ac:dyDescent="0.25">
      <c r="B116" s="1"/>
      <c r="C116" s="3"/>
      <c r="D116" s="3"/>
      <c r="E116" s="103"/>
    </row>
    <row r="117" spans="2:5" x14ac:dyDescent="0.25">
      <c r="B117" s="92" t="s">
        <v>158</v>
      </c>
      <c r="C117" s="71"/>
      <c r="D117" s="71"/>
      <c r="E117" s="105">
        <f>J101+E115</f>
        <v>1433.32</v>
      </c>
    </row>
    <row r="118" spans="2:5" x14ac:dyDescent="0.25">
      <c r="B118" s="112"/>
      <c r="C118" s="113" t="s">
        <v>178</v>
      </c>
      <c r="D118" s="113"/>
      <c r="E118" s="114"/>
    </row>
    <row r="119" spans="2:5" x14ac:dyDescent="0.25">
      <c r="B119" s="69" t="s">
        <v>82</v>
      </c>
      <c r="C119" s="96">
        <v>13</v>
      </c>
      <c r="D119" s="3"/>
      <c r="E119" s="97">
        <f>E117*13/100</f>
        <v>186.33160000000001</v>
      </c>
    </row>
    <row r="120" spans="2:5" x14ac:dyDescent="0.25">
      <c r="B120" s="69" t="s">
        <v>83</v>
      </c>
      <c r="C120" s="96">
        <v>6</v>
      </c>
      <c r="D120" s="3"/>
      <c r="E120" s="97">
        <f>E117*6/100</f>
        <v>85.999200000000002</v>
      </c>
    </row>
    <row r="121" spans="2:5" x14ac:dyDescent="0.25">
      <c r="B121" s="92" t="s">
        <v>163</v>
      </c>
      <c r="C121" s="71"/>
      <c r="D121" s="71"/>
      <c r="E121" s="98">
        <f>E117+E119+E120</f>
        <v>1705.6507999999999</v>
      </c>
    </row>
    <row r="122" spans="2:5" x14ac:dyDescent="0.25">
      <c r="B122" s="1" t="s">
        <v>162</v>
      </c>
      <c r="C122" s="3">
        <v>21</v>
      </c>
      <c r="D122" s="3"/>
      <c r="E122" s="68">
        <f>E121*21/100</f>
        <v>358.186668</v>
      </c>
    </row>
    <row r="123" spans="2:5" ht="15.75" thickBot="1" x14ac:dyDescent="0.3">
      <c r="B123" s="99" t="s">
        <v>164</v>
      </c>
      <c r="C123" s="100"/>
      <c r="D123" s="100"/>
      <c r="E123" s="101">
        <f>E121+E122</f>
        <v>2063.8374679999997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4"/>
  <sheetViews>
    <sheetView workbookViewId="0">
      <selection activeCell="J26" sqref="J26"/>
    </sheetView>
  </sheetViews>
  <sheetFormatPr baseColWidth="10" defaultRowHeight="15" x14ac:dyDescent="0.25"/>
  <cols>
    <col min="1" max="1" width="5.28515625" customWidth="1"/>
    <col min="2" max="2" width="6.28515625" customWidth="1"/>
    <col min="3" max="3" width="48.85546875" customWidth="1"/>
  </cols>
  <sheetData>
    <row r="1" spans="3:9" x14ac:dyDescent="0.25">
      <c r="D1" s="53"/>
      <c r="E1" s="53"/>
      <c r="F1" s="53"/>
      <c r="G1" s="53"/>
      <c r="H1" s="53"/>
    </row>
    <row r="2" spans="3:9" x14ac:dyDescent="0.25">
      <c r="D2" s="53"/>
      <c r="E2" s="53"/>
      <c r="F2" s="53"/>
      <c r="G2" s="53"/>
      <c r="H2" s="53"/>
    </row>
    <row r="3" spans="3:9" x14ac:dyDescent="0.25">
      <c r="C3" t="s">
        <v>175</v>
      </c>
      <c r="D3" s="53"/>
      <c r="E3" s="53"/>
      <c r="F3" s="53"/>
      <c r="G3" s="53"/>
      <c r="H3" s="53"/>
    </row>
    <row r="4" spans="3:9" x14ac:dyDescent="0.25">
      <c r="D4" s="53"/>
      <c r="E4" s="53"/>
      <c r="F4" s="53"/>
      <c r="G4" s="53"/>
      <c r="H4" s="53"/>
    </row>
    <row r="5" spans="3:9" x14ac:dyDescent="0.25">
      <c r="C5" s="111" t="s">
        <v>200</v>
      </c>
      <c r="D5" s="53"/>
      <c r="E5" s="53"/>
      <c r="F5" s="53"/>
      <c r="G5" s="53"/>
      <c r="H5" s="53"/>
    </row>
    <row r="6" spans="3:9" x14ac:dyDescent="0.25">
      <c r="C6" t="s">
        <v>79</v>
      </c>
      <c r="D6" s="53">
        <f>'03 EMBARCACIÓ GRAN'!I31</f>
        <v>7257.24</v>
      </c>
      <c r="E6" s="53">
        <f>'03 EMBARCACIÓ GRAN'!I35</f>
        <v>8636.1155999999992</v>
      </c>
      <c r="F6" s="53">
        <f>'03 EMBARCACIÓ GRAN'!I37</f>
        <v>10449.699875999999</v>
      </c>
      <c r="G6" s="53"/>
      <c r="H6" s="53"/>
    </row>
    <row r="7" spans="3:9" x14ac:dyDescent="0.25">
      <c r="C7" t="s">
        <v>172</v>
      </c>
      <c r="D7" s="53">
        <f>'04 EMBARCACIÓ'!I31</f>
        <v>3270.16</v>
      </c>
      <c r="E7" s="53">
        <f>'04 EMBARCACIÓ'!I35</f>
        <v>3891.4904000000001</v>
      </c>
      <c r="F7" s="53">
        <f>'04 EMBARCACIÓ'!I37</f>
        <v>4708.7033840000004</v>
      </c>
      <c r="G7" s="53"/>
      <c r="H7" s="53"/>
    </row>
    <row r="8" spans="3:9" x14ac:dyDescent="0.25">
      <c r="C8" t="s">
        <v>173</v>
      </c>
      <c r="D8" s="53">
        <f>'05 EQUIP SUBMARINISTES'!J34</f>
        <v>11466.56</v>
      </c>
      <c r="E8" s="53">
        <f>'05 EQUIP SUBMARINISTES'!J38</f>
        <v>13645.206399999999</v>
      </c>
      <c r="F8" s="53">
        <f>'05 EQUIP SUBMARINISTES'!J40</f>
        <v>16510.699743999998</v>
      </c>
      <c r="G8" s="53"/>
      <c r="H8" s="53">
        <f>SUM(F6:F8)</f>
        <v>31669.103003999997</v>
      </c>
      <c r="I8" s="115">
        <f>H8*100/F23</f>
        <v>53.28792816494461</v>
      </c>
    </row>
    <row r="9" spans="3:9" x14ac:dyDescent="0.25">
      <c r="D9" s="53"/>
      <c r="E9" s="53"/>
      <c r="F9" s="53"/>
      <c r="G9" s="53"/>
      <c r="H9" s="53"/>
    </row>
    <row r="10" spans="3:9" x14ac:dyDescent="0.25">
      <c r="C10" s="111" t="s">
        <v>182</v>
      </c>
      <c r="D10" s="53"/>
      <c r="E10" s="53"/>
      <c r="F10" s="53"/>
      <c r="G10" s="53"/>
      <c r="H10" s="53"/>
    </row>
    <row r="11" spans="3:9" x14ac:dyDescent="0.25">
      <c r="C11" t="s">
        <v>186</v>
      </c>
      <c r="D11" s="53">
        <f>'06 MANTENIMENT'!F15</f>
        <v>2948.25</v>
      </c>
      <c r="E11" s="53">
        <f>'06 MANTENIMENT'!F19</f>
        <v>3508.4175</v>
      </c>
      <c r="F11" s="53">
        <f>'06 MANTENIMENT'!F21</f>
        <v>4245.1851750000005</v>
      </c>
      <c r="G11" s="53"/>
      <c r="H11" s="53"/>
    </row>
    <row r="12" spans="3:9" x14ac:dyDescent="0.25">
      <c r="C12" t="s">
        <v>185</v>
      </c>
      <c r="D12" s="53">
        <f>'06 MANTENIMENT'!F34</f>
        <v>1027.9499999999998</v>
      </c>
      <c r="E12" s="53">
        <f>'06 MANTENIMENT'!F38</f>
        <v>1223.2604999999996</v>
      </c>
      <c r="F12" s="53">
        <f>'06 MANTENIMENT'!F40</f>
        <v>1480.1452049999996</v>
      </c>
      <c r="G12" s="53"/>
      <c r="H12" s="53"/>
    </row>
    <row r="13" spans="3:9" x14ac:dyDescent="0.25">
      <c r="C13" s="128" t="s">
        <v>198</v>
      </c>
      <c r="D13" s="53">
        <f>'06 MANTENIMENT'!F53</f>
        <v>2989.55</v>
      </c>
      <c r="E13" s="53">
        <f>'06 MANTENIMENT'!F57</f>
        <v>3557.5645000000004</v>
      </c>
      <c r="F13" s="53">
        <f>'06 MANTENIMENT'!F59</f>
        <v>4304.6530450000009</v>
      </c>
      <c r="G13" s="53"/>
      <c r="H13" s="53"/>
    </row>
    <row r="14" spans="3:9" x14ac:dyDescent="0.25">
      <c r="C14" s="128" t="s">
        <v>199</v>
      </c>
      <c r="D14" s="53">
        <f>'06 MANTENIMENT'!F71</f>
        <v>597.91</v>
      </c>
      <c r="E14" s="53">
        <f>'06 MANTENIMENT'!F75</f>
        <v>711.51289999999995</v>
      </c>
      <c r="F14" s="53">
        <f>'06 MANTENIMENT'!F77</f>
        <v>860.930609</v>
      </c>
      <c r="G14" s="53"/>
      <c r="H14" s="53"/>
    </row>
    <row r="15" spans="3:9" x14ac:dyDescent="0.25">
      <c r="C15" s="128" t="s">
        <v>204</v>
      </c>
      <c r="D15" s="53">
        <f>'06 MANTENIMENT'!F94</f>
        <v>1209.54</v>
      </c>
      <c r="E15" s="53">
        <f>'06 MANTENIMENT'!F98</f>
        <v>1439.3525999999999</v>
      </c>
      <c r="F15" s="53">
        <f>'06 MANTENIMENT'!F100</f>
        <v>1741.6166459999999</v>
      </c>
      <c r="G15" s="53"/>
      <c r="H15" s="53"/>
    </row>
    <row r="16" spans="3:9" x14ac:dyDescent="0.25">
      <c r="C16" s="128" t="s">
        <v>205</v>
      </c>
      <c r="D16" s="53">
        <f>'06 MANTENIMENT'!E117</f>
        <v>1433.32</v>
      </c>
      <c r="E16" s="53">
        <f>'06 MANTENIMENT'!E121</f>
        <v>1705.6507999999999</v>
      </c>
      <c r="F16" s="53">
        <f>'06 MANTENIMENT'!E123</f>
        <v>2063.8374679999997</v>
      </c>
      <c r="G16" s="53"/>
      <c r="H16" s="53">
        <f>SUM(F11:F16)</f>
        <v>14696.368148000001</v>
      </c>
      <c r="I16" s="115">
        <f>H16*100/F23</f>
        <v>24.728803024742728</v>
      </c>
    </row>
    <row r="17" spans="3:9" x14ac:dyDescent="0.25">
      <c r="C17" s="128"/>
      <c r="G17" s="53"/>
      <c r="H17" s="53"/>
    </row>
    <row r="18" spans="3:9" x14ac:dyDescent="0.25">
      <c r="C18" s="111" t="s">
        <v>189</v>
      </c>
      <c r="G18" s="53"/>
      <c r="H18" s="53"/>
    </row>
    <row r="19" spans="3:9" x14ac:dyDescent="0.25">
      <c r="C19" s="128" t="s">
        <v>206</v>
      </c>
      <c r="D19" s="53">
        <f>'01 MATERIALS I COST'!N26/3</f>
        <v>9073.3333333333339</v>
      </c>
      <c r="E19" s="53">
        <f>'01 MATERIALS I COST'!O29</f>
        <v>10797.266666666666</v>
      </c>
      <c r="F19" s="53">
        <f>'01 MATERIALS I COST'!O31</f>
        <v>13064.692666666668</v>
      </c>
      <c r="G19" s="53"/>
      <c r="H19" s="53">
        <f>SUM(F19)</f>
        <v>13064.692666666668</v>
      </c>
      <c r="I19" s="115">
        <f>H19*100/F23</f>
        <v>21.983268810312659</v>
      </c>
    </row>
    <row r="20" spans="3:9" x14ac:dyDescent="0.25">
      <c r="C20" s="111"/>
      <c r="D20" s="53"/>
      <c r="E20" s="53"/>
      <c r="F20" s="53"/>
      <c r="G20" s="53"/>
      <c r="H20" s="53"/>
    </row>
    <row r="21" spans="3:9" x14ac:dyDescent="0.25">
      <c r="C21" s="111" t="s">
        <v>132</v>
      </c>
      <c r="D21" s="53"/>
      <c r="E21" s="53"/>
      <c r="F21" s="53"/>
      <c r="G21" s="53"/>
      <c r="H21" s="53"/>
    </row>
    <row r="22" spans="3:9" x14ac:dyDescent="0.25">
      <c r="D22" s="53"/>
      <c r="E22" s="53"/>
      <c r="F22" s="53"/>
      <c r="G22" s="53"/>
      <c r="H22" s="53"/>
    </row>
    <row r="23" spans="3:9" x14ac:dyDescent="0.25">
      <c r="D23" s="53">
        <f>SUM(D1:D21)</f>
        <v>41273.813333333332</v>
      </c>
      <c r="E23" s="53">
        <f>SUM(E1:E21)</f>
        <v>49115.837866666669</v>
      </c>
      <c r="F23" s="53">
        <f>SUM(F1:F21)</f>
        <v>59430.163818666668</v>
      </c>
      <c r="G23" s="109">
        <f>60000-F23</f>
        <v>569.83618133333221</v>
      </c>
      <c r="H23" s="53"/>
    </row>
    <row r="24" spans="3:9" x14ac:dyDescent="0.25">
      <c r="D24" s="53"/>
      <c r="E24" s="53"/>
      <c r="F24" s="53"/>
      <c r="G24" s="53"/>
      <c r="H24" s="53"/>
    </row>
    <row r="25" spans="3:9" x14ac:dyDescent="0.25">
      <c r="D25" s="53"/>
      <c r="E25" s="53"/>
      <c r="F25" s="53"/>
      <c r="G25" s="53"/>
      <c r="H25" s="53"/>
    </row>
    <row r="26" spans="3:9" x14ac:dyDescent="0.25">
      <c r="D26" s="53"/>
      <c r="E26" s="53"/>
      <c r="F26" s="53"/>
      <c r="G26" s="53"/>
      <c r="H26" s="53"/>
    </row>
    <row r="27" spans="3:9" x14ac:dyDescent="0.25">
      <c r="D27" s="53"/>
      <c r="E27" s="53"/>
      <c r="F27" s="53"/>
      <c r="G27" s="53"/>
      <c r="H27" s="53"/>
    </row>
    <row r="28" spans="3:9" x14ac:dyDescent="0.25">
      <c r="D28" s="53"/>
      <c r="E28" s="53"/>
      <c r="F28" s="53"/>
      <c r="G28" s="53"/>
      <c r="H28" s="53"/>
    </row>
    <row r="29" spans="3:9" x14ac:dyDescent="0.25">
      <c r="D29" s="53"/>
      <c r="E29" s="53"/>
      <c r="F29" s="53"/>
      <c r="G29" s="53"/>
      <c r="H29" s="53"/>
    </row>
    <row r="30" spans="3:9" x14ac:dyDescent="0.25">
      <c r="D30" s="53"/>
      <c r="E30" s="53"/>
      <c r="F30" s="53"/>
      <c r="G30" s="53"/>
      <c r="H30" s="53"/>
    </row>
    <row r="31" spans="3:9" x14ac:dyDescent="0.25">
      <c r="D31" s="53"/>
      <c r="E31" s="53"/>
      <c r="F31" s="53"/>
      <c r="G31" s="53"/>
      <c r="H31" s="53"/>
    </row>
    <row r="32" spans="3:9" x14ac:dyDescent="0.25">
      <c r="D32" s="53"/>
      <c r="E32" s="53"/>
      <c r="F32" s="53"/>
      <c r="G32" s="53"/>
      <c r="H32" s="53"/>
    </row>
    <row r="33" spans="4:8" x14ac:dyDescent="0.25">
      <c r="D33" s="53"/>
      <c r="E33" s="53"/>
      <c r="F33" s="53"/>
      <c r="G33" s="53"/>
      <c r="H33" s="53"/>
    </row>
    <row r="34" spans="4:8" x14ac:dyDescent="0.25">
      <c r="D34" s="53"/>
      <c r="E34" s="53"/>
      <c r="F34" s="53"/>
      <c r="G34" s="53"/>
      <c r="H34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01 MATERIALS I COST</vt:lpstr>
      <vt:lpstr>02 SISTEMES COL·LOCACIÓ</vt:lpstr>
      <vt:lpstr>03 COSTOS DE PERSONAL 2026</vt:lpstr>
      <vt:lpstr>03 EMBARCACIÓ GRAN</vt:lpstr>
      <vt:lpstr>04 EMBARCACIÓ</vt:lpstr>
      <vt:lpstr>05 EQUIP SUBMARINISTES</vt:lpstr>
      <vt:lpstr>06 MANTENIMENT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Bofill</dc:creator>
  <cp:lastModifiedBy>Gemma Herrera Cabello</cp:lastModifiedBy>
  <cp:lastPrinted>2025-12-10T10:09:22Z</cp:lastPrinted>
  <dcterms:created xsi:type="dcterms:W3CDTF">2025-12-04T14:19:06Z</dcterms:created>
  <dcterms:modified xsi:type="dcterms:W3CDTF">2026-02-25T11:24:43Z</dcterms:modified>
</cp:coreProperties>
</file>