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2"/>
  <workbookPr defaultThemeVersion="124226"/>
  <xr:revisionPtr revIDLastSave="0" documentId="11_7D2534E4D555CF9CC06B82EEBBC71194F1836B25" xr6:coauthVersionLast="47" xr6:coauthVersionMax="47" xr10:uidLastSave="{00000000-0000-0000-0000-000000000000}"/>
  <bookViews>
    <workbookView xWindow="240" yWindow="45" windowWidth="18855" windowHeight="11985" xr2:uid="{00000000-000D-0000-FFFF-FFFF00000000}"/>
  </bookViews>
  <sheets>
    <sheet name="Full 1" sheetId="1" r:id="rId1"/>
  </sheets>
  <calcPr calcId="124519"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5" i="1" l="1"/>
  <c r="L525" i="1"/>
  <c r="M524" i="1"/>
  <c r="L524" i="1"/>
  <c r="M523" i="1"/>
  <c r="L523" i="1"/>
  <c r="M522" i="1"/>
  <c r="L522" i="1"/>
  <c r="M520" i="1"/>
  <c r="L520" i="1"/>
  <c r="K520" i="1"/>
  <c r="M519" i="1"/>
  <c r="L519" i="1"/>
  <c r="M518" i="1"/>
  <c r="L518" i="1"/>
  <c r="M517" i="1"/>
  <c r="L517" i="1"/>
  <c r="M516" i="1"/>
  <c r="L516" i="1"/>
  <c r="M515" i="1"/>
  <c r="L515" i="1"/>
  <c r="M514" i="1"/>
  <c r="L514" i="1"/>
  <c r="M513" i="1"/>
  <c r="L513" i="1"/>
  <c r="M512" i="1"/>
  <c r="L512" i="1"/>
  <c r="M511" i="1"/>
  <c r="L511" i="1"/>
  <c r="K510" i="1"/>
  <c r="J510" i="1"/>
  <c r="M507" i="1"/>
  <c r="L507" i="1"/>
  <c r="K507" i="1"/>
  <c r="M506" i="1"/>
  <c r="L506" i="1"/>
  <c r="M505" i="1"/>
  <c r="L505" i="1"/>
  <c r="M503" i="1"/>
  <c r="L503" i="1"/>
  <c r="K503" i="1"/>
  <c r="M501" i="1"/>
  <c r="L501" i="1"/>
  <c r="K501" i="1"/>
  <c r="M499" i="1"/>
  <c r="L499" i="1"/>
  <c r="K499" i="1"/>
  <c r="M498" i="1"/>
  <c r="L498" i="1"/>
  <c r="M497" i="1"/>
  <c r="L497" i="1"/>
  <c r="M495" i="1"/>
  <c r="L495" i="1"/>
  <c r="K495" i="1"/>
  <c r="M493" i="1"/>
  <c r="L493" i="1"/>
  <c r="K493" i="1"/>
  <c r="M492" i="1"/>
  <c r="L492" i="1"/>
  <c r="M491" i="1"/>
  <c r="L491" i="1"/>
  <c r="M490" i="1"/>
  <c r="L490" i="1"/>
  <c r="M489" i="1"/>
  <c r="L489" i="1"/>
  <c r="M488" i="1"/>
  <c r="L488" i="1"/>
  <c r="M487" i="1"/>
  <c r="L487" i="1"/>
  <c r="M486" i="1"/>
  <c r="L486" i="1"/>
  <c r="M485" i="1"/>
  <c r="L485" i="1"/>
  <c r="M483" i="1"/>
  <c r="L483" i="1"/>
  <c r="K483" i="1"/>
  <c r="M482" i="1"/>
  <c r="L482" i="1"/>
  <c r="M481" i="1"/>
  <c r="L481" i="1"/>
  <c r="M480" i="1"/>
  <c r="L480" i="1"/>
  <c r="M479" i="1"/>
  <c r="L479" i="1"/>
  <c r="M478" i="1"/>
  <c r="L478" i="1"/>
  <c r="M477" i="1"/>
  <c r="L477" i="1"/>
  <c r="M476" i="1"/>
  <c r="L476" i="1"/>
  <c r="M475" i="1"/>
  <c r="L475" i="1"/>
  <c r="M474" i="1"/>
  <c r="L474" i="1"/>
  <c r="M472" i="1"/>
  <c r="L472" i="1"/>
  <c r="K472" i="1"/>
  <c r="M471" i="1"/>
  <c r="L471" i="1"/>
  <c r="M470" i="1"/>
  <c r="L470" i="1"/>
  <c r="M469" i="1"/>
  <c r="L469" i="1"/>
  <c r="M468" i="1"/>
  <c r="L468" i="1"/>
  <c r="M467" i="1"/>
  <c r="L467" i="1"/>
  <c r="M466" i="1"/>
  <c r="L466" i="1"/>
  <c r="M465" i="1"/>
  <c r="L465" i="1"/>
  <c r="M464" i="1"/>
  <c r="L464" i="1"/>
  <c r="M462" i="1"/>
  <c r="L462" i="1"/>
  <c r="K462" i="1"/>
  <c r="M461" i="1"/>
  <c r="L461" i="1"/>
  <c r="M460" i="1"/>
  <c r="L460" i="1"/>
  <c r="M459" i="1"/>
  <c r="L459" i="1"/>
  <c r="M458" i="1"/>
  <c r="L458" i="1"/>
  <c r="M457" i="1"/>
  <c r="L457" i="1"/>
  <c r="M456" i="1"/>
  <c r="L456" i="1"/>
  <c r="M455" i="1"/>
  <c r="L455" i="1"/>
  <c r="M454" i="1"/>
  <c r="L454" i="1"/>
  <c r="M453" i="1"/>
  <c r="L453" i="1"/>
  <c r="M451" i="1"/>
  <c r="L451" i="1"/>
  <c r="K451" i="1"/>
  <c r="M450" i="1"/>
  <c r="L450" i="1"/>
  <c r="M449" i="1"/>
  <c r="L449" i="1"/>
  <c r="M448" i="1"/>
  <c r="L448" i="1"/>
  <c r="M447" i="1"/>
  <c r="L447" i="1"/>
  <c r="M446" i="1"/>
  <c r="L446" i="1"/>
  <c r="M444" i="1"/>
  <c r="L444" i="1"/>
  <c r="K444" i="1"/>
  <c r="M443" i="1"/>
  <c r="L443" i="1"/>
  <c r="M442" i="1"/>
  <c r="L442" i="1"/>
  <c r="M441" i="1"/>
  <c r="L441" i="1"/>
  <c r="M440" i="1"/>
  <c r="L440" i="1"/>
  <c r="M439" i="1"/>
  <c r="L439" i="1"/>
  <c r="M437" i="1"/>
  <c r="L437" i="1"/>
  <c r="K437" i="1"/>
  <c r="M436" i="1"/>
  <c r="L436" i="1"/>
  <c r="M435" i="1"/>
  <c r="L435" i="1"/>
  <c r="M434" i="1"/>
  <c r="L434" i="1"/>
  <c r="M433" i="1"/>
  <c r="L433" i="1"/>
  <c r="M432" i="1"/>
  <c r="L432" i="1"/>
  <c r="M430" i="1"/>
  <c r="L430" i="1"/>
  <c r="K430" i="1"/>
  <c r="M429" i="1"/>
  <c r="L429" i="1"/>
  <c r="M428" i="1"/>
  <c r="L428" i="1"/>
  <c r="M427" i="1"/>
  <c r="L427" i="1"/>
  <c r="M426" i="1"/>
  <c r="L426" i="1"/>
  <c r="M425" i="1"/>
  <c r="L425" i="1"/>
  <c r="M424" i="1"/>
  <c r="L424" i="1"/>
  <c r="M422" i="1"/>
  <c r="L422" i="1"/>
  <c r="K422" i="1"/>
  <c r="M421" i="1"/>
  <c r="L421" i="1"/>
  <c r="M420" i="1"/>
  <c r="L420" i="1"/>
  <c r="M419" i="1"/>
  <c r="L419" i="1"/>
  <c r="M418" i="1"/>
  <c r="L418" i="1"/>
  <c r="M417" i="1"/>
  <c r="L417" i="1"/>
  <c r="M415" i="1"/>
  <c r="L415" i="1"/>
  <c r="K415" i="1"/>
  <c r="M414" i="1"/>
  <c r="L414" i="1"/>
  <c r="M413" i="1"/>
  <c r="L413" i="1"/>
  <c r="M412" i="1"/>
  <c r="L412" i="1"/>
  <c r="M411" i="1"/>
  <c r="L411" i="1"/>
  <c r="M410" i="1"/>
  <c r="L410" i="1"/>
  <c r="M409" i="1"/>
  <c r="L409" i="1"/>
  <c r="M407" i="1"/>
  <c r="L407" i="1"/>
  <c r="K407" i="1"/>
  <c r="M406" i="1"/>
  <c r="L406" i="1"/>
  <c r="M405" i="1"/>
  <c r="L405" i="1"/>
  <c r="M404" i="1"/>
  <c r="L404" i="1"/>
  <c r="M403" i="1"/>
  <c r="L403" i="1"/>
  <c r="M402" i="1"/>
  <c r="L402" i="1"/>
  <c r="M400" i="1"/>
  <c r="L400" i="1"/>
  <c r="K400" i="1"/>
  <c r="M399" i="1"/>
  <c r="L399" i="1"/>
  <c r="M398" i="1"/>
  <c r="L398" i="1"/>
  <c r="M397" i="1"/>
  <c r="L397" i="1"/>
  <c r="M396" i="1"/>
  <c r="L396" i="1"/>
  <c r="M395" i="1"/>
  <c r="L395" i="1"/>
  <c r="M393" i="1"/>
  <c r="L393" i="1"/>
  <c r="K393" i="1"/>
  <c r="M392" i="1"/>
  <c r="L392" i="1"/>
  <c r="M391" i="1"/>
  <c r="L391" i="1"/>
  <c r="M390" i="1"/>
  <c r="L390" i="1"/>
  <c r="M389" i="1"/>
  <c r="L389" i="1"/>
  <c r="M388" i="1"/>
  <c r="L388" i="1"/>
  <c r="M386" i="1"/>
  <c r="L386" i="1"/>
  <c r="K386" i="1"/>
  <c r="M385" i="1"/>
  <c r="L385" i="1"/>
  <c r="M384" i="1"/>
  <c r="L384" i="1"/>
  <c r="M383" i="1"/>
  <c r="L383" i="1"/>
  <c r="M382" i="1"/>
  <c r="L382" i="1"/>
  <c r="M381" i="1"/>
  <c r="L381" i="1"/>
  <c r="M379" i="1"/>
  <c r="L379" i="1"/>
  <c r="K379" i="1"/>
  <c r="M378" i="1"/>
  <c r="L378" i="1"/>
  <c r="M377" i="1"/>
  <c r="L377" i="1"/>
  <c r="M376" i="1"/>
  <c r="L376" i="1"/>
  <c r="M375" i="1"/>
  <c r="L375" i="1"/>
  <c r="M374" i="1"/>
  <c r="L374" i="1"/>
  <c r="M372" i="1"/>
  <c r="L372" i="1"/>
  <c r="K372" i="1"/>
  <c r="M371" i="1"/>
  <c r="L371" i="1"/>
  <c r="M370" i="1"/>
  <c r="L370" i="1"/>
  <c r="M369" i="1"/>
  <c r="L369" i="1"/>
  <c r="M368" i="1"/>
  <c r="L368" i="1"/>
  <c r="M366" i="1"/>
  <c r="L366" i="1"/>
  <c r="K366" i="1"/>
  <c r="M365" i="1"/>
  <c r="L365" i="1"/>
  <c r="M364" i="1"/>
  <c r="L364" i="1"/>
  <c r="M363" i="1"/>
  <c r="L363" i="1"/>
  <c r="M362" i="1"/>
  <c r="L362" i="1"/>
  <c r="M361" i="1"/>
  <c r="L361" i="1"/>
  <c r="M359" i="1"/>
  <c r="L359" i="1"/>
  <c r="K359" i="1"/>
  <c r="M358" i="1"/>
  <c r="L358" i="1"/>
  <c r="M357" i="1"/>
  <c r="L357" i="1"/>
  <c r="M356" i="1"/>
  <c r="L356" i="1"/>
  <c r="M355" i="1"/>
  <c r="L355" i="1"/>
  <c r="M354" i="1"/>
  <c r="L354" i="1"/>
  <c r="M352" i="1"/>
  <c r="L352" i="1"/>
  <c r="K352" i="1"/>
  <c r="M351" i="1"/>
  <c r="L351" i="1"/>
  <c r="M350" i="1"/>
  <c r="L350" i="1"/>
  <c r="M349" i="1"/>
  <c r="L349" i="1"/>
  <c r="M348" i="1"/>
  <c r="L348" i="1"/>
  <c r="M347" i="1"/>
  <c r="L347" i="1"/>
  <c r="M345" i="1"/>
  <c r="L345" i="1"/>
  <c r="K345" i="1"/>
  <c r="M344" i="1"/>
  <c r="L344" i="1"/>
  <c r="M343" i="1"/>
  <c r="L343" i="1"/>
  <c r="M342" i="1"/>
  <c r="L342" i="1"/>
  <c r="M341" i="1"/>
  <c r="L341" i="1"/>
  <c r="M340" i="1"/>
  <c r="L340" i="1"/>
  <c r="M338" i="1"/>
  <c r="L338" i="1"/>
  <c r="K338" i="1"/>
  <c r="M337" i="1"/>
  <c r="L337" i="1"/>
  <c r="M336" i="1"/>
  <c r="L336" i="1"/>
  <c r="M335" i="1"/>
  <c r="L335" i="1"/>
  <c r="M334" i="1"/>
  <c r="L334" i="1"/>
  <c r="M333" i="1"/>
  <c r="L333" i="1"/>
  <c r="M331" i="1"/>
  <c r="L331" i="1"/>
  <c r="K331" i="1"/>
  <c r="M330" i="1"/>
  <c r="L330" i="1"/>
  <c r="M329" i="1"/>
  <c r="L329" i="1"/>
  <c r="M328" i="1"/>
  <c r="L328" i="1"/>
  <c r="M327" i="1"/>
  <c r="L327" i="1"/>
  <c r="M326" i="1"/>
  <c r="L326" i="1"/>
  <c r="M324" i="1"/>
  <c r="L324" i="1"/>
  <c r="K324" i="1"/>
  <c r="M323" i="1"/>
  <c r="L323" i="1"/>
  <c r="M322" i="1"/>
  <c r="L322" i="1"/>
  <c r="M321" i="1"/>
  <c r="L321" i="1"/>
  <c r="M320" i="1"/>
  <c r="L320" i="1"/>
  <c r="M319" i="1"/>
  <c r="L319" i="1"/>
  <c r="M317" i="1"/>
  <c r="L317" i="1"/>
  <c r="K317" i="1"/>
  <c r="M316" i="1"/>
  <c r="L316" i="1"/>
  <c r="M315" i="1"/>
  <c r="L315" i="1"/>
  <c r="M314" i="1"/>
  <c r="L314" i="1"/>
  <c r="M313" i="1"/>
  <c r="L313" i="1"/>
  <c r="M312" i="1"/>
  <c r="L312" i="1"/>
  <c r="M310" i="1"/>
  <c r="L310" i="1"/>
  <c r="K310" i="1"/>
  <c r="M309" i="1"/>
  <c r="L309" i="1"/>
  <c r="M308" i="1"/>
  <c r="L308" i="1"/>
  <c r="M307" i="1"/>
  <c r="L307" i="1"/>
  <c r="M306" i="1"/>
  <c r="L306" i="1"/>
  <c r="M305" i="1"/>
  <c r="L305" i="1"/>
  <c r="M303" i="1"/>
  <c r="L303" i="1"/>
  <c r="K303" i="1"/>
  <c r="M302" i="1"/>
  <c r="L302" i="1"/>
  <c r="M301" i="1"/>
  <c r="L301" i="1"/>
  <c r="M300" i="1"/>
  <c r="L300" i="1"/>
  <c r="M299" i="1"/>
  <c r="L299" i="1"/>
  <c r="M298" i="1"/>
  <c r="L298" i="1"/>
  <c r="M296" i="1"/>
  <c r="L296" i="1"/>
  <c r="K296" i="1"/>
  <c r="M295" i="1"/>
  <c r="L295" i="1"/>
  <c r="M294" i="1"/>
  <c r="L294" i="1"/>
  <c r="M293" i="1"/>
  <c r="L293" i="1"/>
  <c r="M292" i="1"/>
  <c r="L292" i="1"/>
  <c r="M291" i="1"/>
  <c r="L291" i="1"/>
  <c r="M289" i="1"/>
  <c r="L289" i="1"/>
  <c r="K289" i="1"/>
  <c r="M288" i="1"/>
  <c r="L288" i="1"/>
  <c r="M287" i="1"/>
  <c r="L287" i="1"/>
  <c r="M286" i="1"/>
  <c r="L286" i="1"/>
  <c r="M285" i="1"/>
  <c r="L285" i="1"/>
  <c r="M284" i="1"/>
  <c r="L284" i="1"/>
  <c r="M282" i="1"/>
  <c r="L282" i="1"/>
  <c r="K282" i="1"/>
  <c r="M281" i="1"/>
  <c r="L281" i="1"/>
  <c r="M280" i="1"/>
  <c r="L280" i="1"/>
  <c r="M279" i="1"/>
  <c r="L279" i="1"/>
  <c r="M278" i="1"/>
  <c r="L278" i="1"/>
  <c r="M277" i="1"/>
  <c r="L277" i="1"/>
  <c r="M275" i="1"/>
  <c r="L275" i="1"/>
  <c r="K275" i="1"/>
  <c r="M274" i="1"/>
  <c r="L274" i="1"/>
  <c r="M273" i="1"/>
  <c r="L273" i="1"/>
  <c r="M272" i="1"/>
  <c r="L272" i="1"/>
  <c r="M271" i="1"/>
  <c r="L271" i="1"/>
  <c r="M270" i="1"/>
  <c r="L270" i="1"/>
  <c r="M268" i="1"/>
  <c r="L268" i="1"/>
  <c r="K268" i="1"/>
  <c r="M267" i="1"/>
  <c r="L267" i="1"/>
  <c r="M266" i="1"/>
  <c r="L266" i="1"/>
  <c r="M265" i="1"/>
  <c r="L265" i="1"/>
  <c r="M264" i="1"/>
  <c r="L264" i="1"/>
  <c r="M263" i="1"/>
  <c r="L263" i="1"/>
  <c r="M261" i="1"/>
  <c r="L261" i="1"/>
  <c r="K261" i="1"/>
  <c r="M260" i="1"/>
  <c r="L260" i="1"/>
  <c r="M259" i="1"/>
  <c r="L259" i="1"/>
  <c r="M258" i="1"/>
  <c r="L258" i="1"/>
  <c r="M257" i="1"/>
  <c r="L257" i="1"/>
  <c r="M256" i="1"/>
  <c r="L256" i="1"/>
  <c r="M254" i="1"/>
  <c r="L254" i="1"/>
  <c r="K254" i="1"/>
  <c r="M253" i="1"/>
  <c r="L253" i="1"/>
  <c r="M252" i="1"/>
  <c r="L252" i="1"/>
  <c r="M251" i="1"/>
  <c r="L251" i="1"/>
  <c r="M250" i="1"/>
  <c r="L250" i="1"/>
  <c r="M249" i="1"/>
  <c r="L249" i="1"/>
  <c r="M248" i="1"/>
  <c r="L248" i="1"/>
  <c r="M246" i="1"/>
  <c r="L246" i="1"/>
  <c r="K246" i="1"/>
  <c r="M244" i="1"/>
  <c r="L244" i="1"/>
  <c r="K244" i="1"/>
  <c r="M243" i="1"/>
  <c r="L243" i="1"/>
  <c r="M242" i="1"/>
  <c r="L242" i="1"/>
  <c r="M241" i="1"/>
  <c r="L241" i="1"/>
  <c r="M240" i="1"/>
  <c r="L240" i="1"/>
  <c r="M239" i="1"/>
  <c r="L239" i="1"/>
  <c r="M238" i="1"/>
  <c r="L238" i="1"/>
  <c r="M237" i="1"/>
  <c r="L237" i="1"/>
  <c r="M235" i="1"/>
  <c r="L235" i="1"/>
  <c r="K235" i="1"/>
  <c r="M234" i="1"/>
  <c r="L234" i="1"/>
  <c r="M233" i="1"/>
  <c r="L233" i="1"/>
  <c r="M232" i="1"/>
  <c r="L232" i="1"/>
  <c r="M231" i="1"/>
  <c r="L231" i="1"/>
  <c r="M230" i="1"/>
  <c r="L230" i="1"/>
  <c r="K229" i="1"/>
  <c r="J229" i="1"/>
  <c r="M226" i="1"/>
  <c r="L226" i="1"/>
  <c r="K226" i="1"/>
  <c r="M225" i="1"/>
  <c r="L225" i="1"/>
  <c r="M224" i="1"/>
  <c r="L224" i="1"/>
  <c r="M223" i="1"/>
  <c r="L223" i="1"/>
  <c r="M222" i="1"/>
  <c r="L222" i="1"/>
  <c r="M221" i="1"/>
  <c r="L221" i="1"/>
  <c r="K220" i="1"/>
  <c r="J220" i="1"/>
  <c r="M217" i="1"/>
  <c r="L217" i="1"/>
  <c r="K217" i="1"/>
  <c r="M216" i="1"/>
  <c r="L216" i="1"/>
  <c r="M215" i="1"/>
  <c r="L215" i="1"/>
  <c r="M214" i="1"/>
  <c r="L214" i="1"/>
  <c r="M213" i="1"/>
  <c r="L213" i="1"/>
  <c r="M212" i="1"/>
  <c r="L212" i="1"/>
  <c r="M210" i="1"/>
  <c r="L210" i="1"/>
  <c r="K210" i="1"/>
  <c r="M209" i="1"/>
  <c r="L209" i="1"/>
  <c r="M208" i="1"/>
  <c r="L208" i="1"/>
  <c r="M207" i="1"/>
  <c r="L207" i="1"/>
  <c r="M206" i="1"/>
  <c r="L206" i="1"/>
  <c r="M205" i="1"/>
  <c r="L205" i="1"/>
  <c r="K204" i="1"/>
  <c r="J204" i="1"/>
  <c r="M201" i="1"/>
  <c r="L201" i="1"/>
  <c r="K201" i="1"/>
  <c r="M200" i="1"/>
  <c r="L200" i="1"/>
  <c r="M199" i="1"/>
  <c r="L199" i="1"/>
  <c r="M198" i="1"/>
  <c r="L198" i="1"/>
  <c r="M197" i="1"/>
  <c r="L197" i="1"/>
  <c r="M196" i="1"/>
  <c r="L196" i="1"/>
  <c r="M194" i="1"/>
  <c r="L194" i="1"/>
  <c r="K194" i="1"/>
  <c r="M193" i="1"/>
  <c r="L193" i="1"/>
  <c r="M192" i="1"/>
  <c r="L192" i="1"/>
  <c r="M191" i="1"/>
  <c r="L191" i="1"/>
  <c r="M190" i="1"/>
  <c r="L190" i="1"/>
  <c r="M189" i="1"/>
  <c r="L189" i="1"/>
  <c r="M187" i="1"/>
  <c r="L187" i="1"/>
  <c r="K187" i="1"/>
  <c r="M186" i="1"/>
  <c r="L186" i="1"/>
  <c r="M185" i="1"/>
  <c r="L185" i="1"/>
  <c r="M184" i="1"/>
  <c r="L184" i="1"/>
  <c r="M183" i="1"/>
  <c r="L183" i="1"/>
  <c r="M182" i="1"/>
  <c r="L182" i="1"/>
  <c r="M180" i="1"/>
  <c r="L180" i="1"/>
  <c r="K180" i="1"/>
  <c r="M179" i="1"/>
  <c r="L179" i="1"/>
  <c r="M178" i="1"/>
  <c r="L178" i="1"/>
  <c r="M177" i="1"/>
  <c r="L177" i="1"/>
  <c r="M176" i="1"/>
  <c r="L176" i="1"/>
  <c r="M175" i="1"/>
  <c r="L175" i="1"/>
  <c r="K174" i="1"/>
  <c r="J174" i="1"/>
  <c r="M171" i="1"/>
  <c r="L171" i="1"/>
  <c r="K171" i="1"/>
  <c r="M170" i="1"/>
  <c r="L170" i="1"/>
  <c r="M169" i="1"/>
  <c r="L169" i="1"/>
  <c r="M168" i="1"/>
  <c r="L168" i="1"/>
  <c r="M167" i="1"/>
  <c r="L167" i="1"/>
  <c r="M166" i="1"/>
  <c r="L166" i="1"/>
  <c r="M165" i="1"/>
  <c r="L165" i="1"/>
  <c r="M163" i="1"/>
  <c r="L163" i="1"/>
  <c r="K163" i="1"/>
  <c r="M162" i="1"/>
  <c r="L162" i="1"/>
  <c r="M161" i="1"/>
  <c r="L161" i="1"/>
  <c r="M160" i="1"/>
  <c r="L160" i="1"/>
  <c r="M159" i="1"/>
  <c r="L159" i="1"/>
  <c r="M158" i="1"/>
  <c r="L158" i="1"/>
  <c r="K157" i="1"/>
  <c r="J157" i="1"/>
  <c r="J156" i="1"/>
  <c r="M153" i="1"/>
  <c r="L153" i="1"/>
  <c r="K153" i="1"/>
  <c r="M152" i="1"/>
  <c r="L152" i="1"/>
  <c r="M151" i="1"/>
  <c r="L151" i="1"/>
  <c r="M150" i="1"/>
  <c r="L150" i="1"/>
  <c r="M149" i="1"/>
  <c r="L149" i="1"/>
  <c r="M148" i="1"/>
  <c r="L148" i="1"/>
  <c r="M147" i="1"/>
  <c r="L147" i="1"/>
  <c r="M145" i="1"/>
  <c r="L145" i="1"/>
  <c r="K145" i="1"/>
  <c r="M144" i="1"/>
  <c r="L144" i="1"/>
  <c r="M143" i="1"/>
  <c r="L143" i="1"/>
  <c r="M142" i="1"/>
  <c r="L142" i="1"/>
  <c r="M141" i="1"/>
  <c r="L141" i="1"/>
  <c r="M140" i="1"/>
  <c r="L140" i="1"/>
  <c r="M139" i="1"/>
  <c r="L139" i="1"/>
  <c r="M138" i="1"/>
  <c r="L138" i="1"/>
  <c r="M136" i="1"/>
  <c r="L136" i="1"/>
  <c r="K136" i="1"/>
  <c r="M135" i="1"/>
  <c r="L135" i="1"/>
  <c r="M134" i="1"/>
  <c r="L134" i="1"/>
  <c r="M133" i="1"/>
  <c r="L133" i="1"/>
  <c r="M132" i="1"/>
  <c r="L132" i="1"/>
  <c r="M131" i="1"/>
  <c r="L131" i="1"/>
  <c r="M130" i="1"/>
  <c r="L130" i="1"/>
  <c r="M128" i="1"/>
  <c r="L128" i="1"/>
  <c r="K128" i="1"/>
  <c r="M127" i="1"/>
  <c r="L127" i="1"/>
  <c r="M126" i="1"/>
  <c r="L126" i="1"/>
  <c r="M125" i="1"/>
  <c r="L125" i="1"/>
  <c r="M124" i="1"/>
  <c r="L124" i="1"/>
  <c r="M123" i="1"/>
  <c r="L123" i="1"/>
  <c r="M122" i="1"/>
  <c r="L122" i="1"/>
  <c r="M120" i="1"/>
  <c r="L120" i="1"/>
  <c r="K120" i="1"/>
  <c r="M119" i="1"/>
  <c r="L119" i="1"/>
  <c r="M118" i="1"/>
  <c r="L118" i="1"/>
  <c r="M117" i="1"/>
  <c r="L117" i="1"/>
  <c r="M116" i="1"/>
  <c r="L116" i="1"/>
  <c r="M115" i="1"/>
  <c r="L115" i="1"/>
  <c r="M114" i="1"/>
  <c r="L114" i="1"/>
  <c r="M112" i="1"/>
  <c r="L112" i="1"/>
  <c r="K112" i="1"/>
  <c r="M111" i="1"/>
  <c r="L111" i="1"/>
  <c r="M110" i="1"/>
  <c r="L110" i="1"/>
  <c r="M109" i="1"/>
  <c r="L109" i="1"/>
  <c r="M108" i="1"/>
  <c r="L108" i="1"/>
  <c r="M107" i="1"/>
  <c r="L107" i="1"/>
  <c r="M106" i="1"/>
  <c r="L106" i="1"/>
  <c r="M104" i="1"/>
  <c r="L104" i="1"/>
  <c r="K104" i="1"/>
  <c r="M103" i="1"/>
  <c r="L103" i="1"/>
  <c r="M102" i="1"/>
  <c r="L102" i="1"/>
  <c r="M101" i="1"/>
  <c r="L101" i="1"/>
  <c r="M100" i="1"/>
  <c r="L100" i="1"/>
  <c r="M99" i="1"/>
  <c r="L99" i="1"/>
  <c r="M98" i="1"/>
  <c r="L98" i="1"/>
  <c r="M96" i="1"/>
  <c r="L96" i="1"/>
  <c r="K96" i="1"/>
  <c r="M95" i="1"/>
  <c r="L95" i="1"/>
  <c r="M94" i="1"/>
  <c r="L94" i="1"/>
  <c r="M93" i="1"/>
  <c r="L93" i="1"/>
  <c r="M92" i="1"/>
  <c r="L92" i="1"/>
  <c r="M91" i="1"/>
  <c r="L91" i="1"/>
  <c r="M90" i="1"/>
  <c r="L90" i="1"/>
  <c r="M88" i="1"/>
  <c r="L88" i="1"/>
  <c r="K88" i="1"/>
  <c r="M87" i="1"/>
  <c r="L87" i="1"/>
  <c r="M86" i="1"/>
  <c r="L86" i="1"/>
  <c r="M85" i="1"/>
  <c r="L85" i="1"/>
  <c r="M84" i="1"/>
  <c r="L84" i="1"/>
  <c r="M83" i="1"/>
  <c r="L83" i="1"/>
  <c r="M82" i="1"/>
  <c r="L82" i="1"/>
  <c r="M80" i="1"/>
  <c r="L80" i="1"/>
  <c r="K80" i="1"/>
  <c r="M79" i="1"/>
  <c r="L79" i="1"/>
  <c r="M78" i="1"/>
  <c r="L78" i="1"/>
  <c r="M77" i="1"/>
  <c r="L77" i="1"/>
  <c r="M76" i="1"/>
  <c r="L76" i="1"/>
  <c r="M75" i="1"/>
  <c r="L75" i="1"/>
  <c r="M74" i="1"/>
  <c r="L74" i="1"/>
  <c r="M72" i="1"/>
  <c r="L72" i="1"/>
  <c r="K72" i="1"/>
  <c r="M71" i="1"/>
  <c r="L71" i="1"/>
  <c r="M70" i="1"/>
  <c r="L70" i="1"/>
  <c r="M69" i="1"/>
  <c r="L69" i="1"/>
  <c r="M68" i="1"/>
  <c r="L68" i="1"/>
  <c r="M67" i="1"/>
  <c r="L67" i="1"/>
  <c r="M66" i="1"/>
  <c r="L66" i="1"/>
  <c r="M64" i="1"/>
  <c r="L64" i="1"/>
  <c r="K64" i="1"/>
  <c r="M63" i="1"/>
  <c r="L63" i="1"/>
  <c r="M62" i="1"/>
  <c r="L62" i="1"/>
  <c r="M61" i="1"/>
  <c r="L61" i="1"/>
  <c r="M60" i="1"/>
  <c r="L60" i="1"/>
  <c r="M59" i="1"/>
  <c r="L59" i="1"/>
  <c r="M57" i="1"/>
  <c r="L57" i="1"/>
  <c r="K57" i="1"/>
  <c r="M55" i="1"/>
  <c r="L55" i="1"/>
  <c r="K55" i="1"/>
  <c r="M54" i="1"/>
  <c r="L54" i="1"/>
  <c r="M53" i="1"/>
  <c r="L53" i="1"/>
  <c r="M52" i="1"/>
  <c r="L52" i="1"/>
  <c r="M51" i="1"/>
  <c r="L51" i="1"/>
  <c r="M50" i="1"/>
  <c r="L50" i="1"/>
  <c r="M49" i="1"/>
  <c r="L49" i="1"/>
  <c r="M48" i="1"/>
  <c r="L48" i="1"/>
  <c r="M47" i="1"/>
  <c r="L47" i="1"/>
  <c r="K46" i="1"/>
  <c r="J46" i="1"/>
  <c r="M43" i="1"/>
  <c r="L43" i="1"/>
  <c r="K43" i="1"/>
  <c r="M42" i="1"/>
  <c r="L42" i="1"/>
  <c r="M41" i="1"/>
  <c r="L41" i="1"/>
  <c r="M39" i="1"/>
  <c r="L39" i="1"/>
  <c r="K39" i="1"/>
  <c r="M38" i="1"/>
  <c r="L38" i="1"/>
  <c r="M37" i="1"/>
  <c r="L37" i="1"/>
  <c r="M36" i="1"/>
  <c r="L36" i="1"/>
  <c r="K35" i="1"/>
  <c r="J35" i="1"/>
  <c r="M32" i="1"/>
  <c r="L32" i="1"/>
  <c r="K32" i="1"/>
  <c r="M31" i="1"/>
  <c r="L31" i="1"/>
  <c r="M30" i="1"/>
  <c r="L30" i="1"/>
  <c r="K29" i="1"/>
  <c r="J29" i="1"/>
  <c r="M26" i="1"/>
  <c r="L26" i="1"/>
  <c r="K26" i="1"/>
  <c r="M25" i="1"/>
  <c r="L25" i="1"/>
  <c r="M24" i="1"/>
  <c r="L24" i="1"/>
  <c r="M23" i="1"/>
  <c r="L23" i="1"/>
  <c r="M22" i="1"/>
  <c r="L22" i="1"/>
  <c r="M21" i="1"/>
  <c r="L21" i="1"/>
  <c r="K20" i="1"/>
  <c r="J20" i="1"/>
  <c r="M17" i="1"/>
  <c r="L17" i="1"/>
  <c r="K17" i="1"/>
  <c r="M16" i="1"/>
  <c r="L16" i="1"/>
  <c r="M15" i="1"/>
  <c r="L15" i="1"/>
  <c r="M14" i="1"/>
  <c r="L14" i="1"/>
  <c r="M12" i="1"/>
  <c r="L12" i="1"/>
  <c r="K12" i="1"/>
  <c r="M11" i="1"/>
  <c r="L11" i="1"/>
  <c r="M10" i="1"/>
  <c r="L10" i="1"/>
  <c r="M9" i="1"/>
  <c r="L9" i="1"/>
  <c r="M8" i="1"/>
  <c r="L8" i="1"/>
  <c r="M6" i="1"/>
  <c r="L6" i="1"/>
  <c r="K6" i="1"/>
  <c r="M5" i="1"/>
  <c r="L5" i="1"/>
  <c r="M4" i="1"/>
  <c r="L4" i="1"/>
</calcChain>
</file>

<file path=xl/sharedStrings.xml><?xml version="1.0" encoding="utf-8"?>
<sst xmlns="http://schemas.openxmlformats.org/spreadsheetml/2006/main" count="1547" uniqueCount="448">
  <si>
    <t>Obra:</t>
  </si>
  <si>
    <t>SUBSTITUCIÓ CALDERES GLP</t>
  </si>
  <si>
    <t>Pressupost</t>
  </si>
  <si>
    <t>% C.I.</t>
  </si>
  <si>
    <t>Codi</t>
  </si>
  <si>
    <t>Tipus</t>
  </si>
  <si>
    <t>U</t>
  </si>
  <si>
    <t>Resum</t>
  </si>
  <si>
    <t>Quantitat</t>
  </si>
  <si>
    <t>Preu (€)</t>
  </si>
  <si>
    <t>Import (€)</t>
  </si>
  <si>
    <t>2025_02 AEROTERMIA LOT1</t>
  </si>
  <si>
    <t>Capítol</t>
  </si>
  <si>
    <t>I01</t>
  </si>
  <si>
    <t>DESMUNTATGES I EXCAVACIONS</t>
  </si>
  <si>
    <t>DS01</t>
  </si>
  <si>
    <t>Partida</t>
  </si>
  <si>
    <t>ud</t>
  </si>
  <si>
    <t>Desmuntatge de calderes, sortides de fums, canonades i equips segons planimetria</t>
  </si>
  <si>
    <t>Desmuntatge i enretirada de canonades i equips segons planiemtria, inclou trasllat i depòsit en abocador</t>
  </si>
  <si>
    <t>mo008</t>
  </si>
  <si>
    <t>Mà d'obra</t>
  </si>
  <si>
    <t>h</t>
  </si>
  <si>
    <t>Oficial 1ª lampista.</t>
  </si>
  <si>
    <t>mo107</t>
  </si>
  <si>
    <t>Ajudant lampista.</t>
  </si>
  <si>
    <t>%</t>
  </si>
  <si>
    <t>Costos directes complementaris</t>
  </si>
  <si>
    <t>P845-B0Y1</t>
  </si>
  <si>
    <t>m2</t>
  </si>
  <si>
    <t>Desmuntatge cel-ras</t>
  </si>
  <si>
    <t>Desmuntatge de cel-ras existent i acopi del mateix per posterior muntatge</t>
  </si>
  <si>
    <t>A01-FEPH</t>
  </si>
  <si>
    <t>Ajudant muntador</t>
  </si>
  <si>
    <t>A%AUX001</t>
  </si>
  <si>
    <t>Despeses auxiliars sobre la mà d'obra</t>
  </si>
  <si>
    <t>P2146-DJ3V</t>
  </si>
  <si>
    <t>Demol.pavim. form. g fins a 15cm,ampl.fins a 0,6m,compressor + càrrega cam. mec.</t>
  </si>
  <si>
    <t>Demolició de paviment de formigó de fins a 15 cm de gruix, d'amplària fins a 0,6 m, amb compressor i càrrega sobre camió amb mitjans mecànics</t>
  </si>
  <si>
    <t>Uts.</t>
  </si>
  <si>
    <t>Llargada</t>
  </si>
  <si>
    <t>Amplada</t>
  </si>
  <si>
    <t>Alçada</t>
  </si>
  <si>
    <t>Parcial</t>
  </si>
  <si>
    <t>Subtotal</t>
  </si>
  <si>
    <t>A0E-000A</t>
  </si>
  <si>
    <t>Manobre especialista</t>
  </si>
  <si>
    <t>C111-0056</t>
  </si>
  <si>
    <t>Maquinària</t>
  </si>
  <si>
    <t>Compressor+dos martells pneumàtics</t>
  </si>
  <si>
    <t>C13C-00LP</t>
  </si>
  <si>
    <t>Retroexcavadora s/pneumàtics 8 a 10t</t>
  </si>
  <si>
    <t>P221D-DZ32</t>
  </si>
  <si>
    <t>m3</t>
  </si>
  <si>
    <t>Excav. rasa instal.,hfins a 1m,terreny compact.(SPT 20-50),minicarregadora+retro.,comb.,+terres deix.vora</t>
  </si>
  <si>
    <t>Excavació de rasa per a pas d'instal·lacions fins a 1 m de fondària, en terreny compacte (SPT 20-50), realitzada amb minicarregadora amb accessori retroexcavador de combustible i amb les terres deixades a la vora</t>
  </si>
  <si>
    <t>C133-00EQ</t>
  </si>
  <si>
    <t>Minicarregadora combustible s/pneumàtics 2 a 5.9t,+acces.retroexcavador a=40-60cm</t>
  </si>
  <si>
    <t>P2R6-4I41</t>
  </si>
  <si>
    <t>Càrr.mec. residus inerts o no especials instal.gestió residus,camió transp.,20t,rec.fins a 2km</t>
  </si>
  <si>
    <t>Càrrega amb mitjans mecànics i transport de residus inerts o no especials a instal·lació autoritzada de gestió de residus, amb camió per a transport de 20 t, amb un recorregut de fins a 2 km</t>
  </si>
  <si>
    <t>C138-00KQ</t>
  </si>
  <si>
    <t>Pala carregadora s/pneumàtics 15 a 20t</t>
  </si>
  <si>
    <t>C154-003K</t>
  </si>
  <si>
    <t>Camió transp.20 t</t>
  </si>
  <si>
    <t>P2RA-EU32</t>
  </si>
  <si>
    <t>Disposició controlada centre reciclatge,residus barrej. no perillosos,0,17t/m3,LER 17 09 04</t>
  </si>
  <si>
    <t>Disposició controlada en centre de reciclatge de residus barrejats no perillosos amb una densitat 0,17 t/m3, procedents de construcció o demolició, amb codi 17 09 04 segons la Llista Europea de Residus</t>
  </si>
  <si>
    <t>B2RA-28TO</t>
  </si>
  <si>
    <t>Material</t>
  </si>
  <si>
    <t>t</t>
  </si>
  <si>
    <t>P2255-DPGI</t>
  </si>
  <si>
    <t>Rebliment+picon.rasa,ampl.fins a 0,6m,mat.adeq.excav.,gfins a 25cm,picó vibrant de combustible,90%PM</t>
  </si>
  <si>
    <t>Rebliment i piconatge de rasa d'amplària fins a 0,6 m, amb material adequat de la pròpia excavació, en tongades de gruix de fins a 25 cm, utilitzant picó vibrant de combustible, amb compactació del 90% PM</t>
  </si>
  <si>
    <t>C13A-00FQ</t>
  </si>
  <si>
    <t>Safata vibrant combustible,plac.60cm</t>
  </si>
  <si>
    <t>I02</t>
  </si>
  <si>
    <t>ELECTRICITAT</t>
  </si>
  <si>
    <t>I02.01</t>
  </si>
  <si>
    <t>QUADRES I PROTECCIONS</t>
  </si>
  <si>
    <t>BT01</t>
  </si>
  <si>
    <t>Ud</t>
  </si>
  <si>
    <t>Armari en tanca de totxana de 1,8m d'alçada per 1,2 m d'ample per comtador elèctric</t>
  </si>
  <si>
    <t>Armari en tanca de totxana de 1,8m d'alçada per 1,2 m d'ample per comtador elèctric. Inclou:
Repicatge paret.
Arrebossat interior i exterrior.
Porta metàlica per comptador elèctric amb marc i pany JIS.
Senyalització elèctrica.</t>
  </si>
  <si>
    <t>PG1D-H9VR</t>
  </si>
  <si>
    <t>u</t>
  </si>
  <si>
    <t>CPM TMF10, 80-160A (55-111 kW),400V,s/compt.,s/IGA,s/protect.ID,col.superf.</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</si>
  <si>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sense IGA tetrapolar (4P) de 160 A regulable entre 80 i 160 A i poder de tall de 10 kA, sense protecció diferencial, col·locat superficialment</t>
  </si>
  <si>
    <t>A01-FEPD</t>
  </si>
  <si>
    <t>Ajudant electricista</t>
  </si>
  <si>
    <t>A0F-000E</t>
  </si>
  <si>
    <t>Oficial 1a electricista</t>
  </si>
  <si>
    <t>BG1B-H64M</t>
  </si>
  <si>
    <t>CPM TMF10, 80-160A (55-111 kW),400V,s/compt.,s/IGA,s/protect.ID</t>
  </si>
  <si>
    <t>PG1B-DGXW</t>
  </si>
  <si>
    <t>Caixa p/quadre distrib.,metàl.+porta,duesx22mòduls,munt.superf.</t>
  </si>
  <si>
    <t>Caixa per a quadre de distribució, metàl·lica amb porta, per a dues fileres de vint-i-dos mòduls i muntada superficialment</t>
  </si>
  <si>
    <t>BG19-0C04</t>
  </si>
  <si>
    <t>Caixa p/quadre distrib.,metàl.+porta,dues fil.x22mòduls,p/munt.superf.</t>
  </si>
  <si>
    <t>BGW2-093L</t>
  </si>
  <si>
    <t>P.p.accessoris caixa p/quadre distrib.</t>
  </si>
  <si>
    <t>PG4H-AJQZ</t>
  </si>
  <si>
    <t>Protectorp/sobret.transit.,tetrapol.(3P+N),20kA,,4 mòd.DIN,col.</t>
  </si>
  <si>
    <t>Protector per a sobretensions transitòries, tetrapolar (3P+N), de 20kA d'intensitat màxima transitòria, de 4 mòduls DIN de 18 mm d'amplària, col·locat</t>
  </si>
  <si>
    <t>BG4F-2ITQ</t>
  </si>
  <si>
    <t>Protector p/sobret.transit.,tetrapol.(3P+N),I&lt;=20kA,4mòd.DIN,p/muntar carril DIN</t>
  </si>
  <si>
    <t>BGWD-0AS8</t>
  </si>
  <si>
    <t>P.p.accessoris p/protect.sobretens.</t>
  </si>
  <si>
    <t>PG47-ELUU</t>
  </si>
  <si>
    <t>Interruptor auto.magnet.,I=100A,PIA corbaC,(4P),tall=10000A/10kA,6mòd.DIN,munt.perf.DIN</t>
  </si>
  <si>
    <t>Interruptor automàtic magnetotèrmic de 100 A d'intensitat nominal, tipus PIA corba C, tetrapolar (4P), de 10000 A de poder de tall segons UNE-EN 60898 i de 10 kA de poder de tall segons UNE-EN 60947-2, de 6 mòduls DIN de 18 mm d'amplària, muntat en perfil DIN</t>
  </si>
  <si>
    <t>BG49-18E5</t>
  </si>
  <si>
    <t>Interruptor auto.magnet.,I=100A,PIA corbaC,(4P),tall=10000A/10kA,6mòd.DIN p/munt.perf.DIN</t>
  </si>
  <si>
    <t>BGWD-0AS2</t>
  </si>
  <si>
    <t>P.p.accessoris p/interr.magnetot.</t>
  </si>
  <si>
    <t>PG47-EOHX</t>
  </si>
  <si>
    <t>Interruptor auto.magnet.,I=50A,PIA corbaC,(4P),tall=6000A/10kA,4mòd.DIN,munt.perf.DIN</t>
  </si>
  <si>
    <t>Interruptor automàtic magnetotèrmic de 50 A d'intensitat nominal, tipus PIA corba C, tetrapolar (4P), de 6000 A de poder de tall segons UNE-EN 60898 i de 10 kA de poder de tall segons UNE-EN 60947-2, de 4 mòduls DIN de 18 mm d'amplària, muntat en perfil DIN</t>
  </si>
  <si>
    <t>BG49-18Z4</t>
  </si>
  <si>
    <t>Interruptor auto.magnet.,I=50A,PIA corbaC,(4P),tall=6000A/10kA,4mòd.DIN p/munt.perf.DIN</t>
  </si>
  <si>
    <t>PG47-EM8T</t>
  </si>
  <si>
    <t>Interruptor auto.magnet.,I=32A,PIA corbaC,(4P),tall=6000A/10kA,4mòd.DIN,munt.perf.DIN</t>
  </si>
  <si>
    <t>Interruptor automàtic magnetotèrmic de 32 A d'intensitat nominal, tipus PIA corba C, tetrapolar (4P), de 6000 A de poder de tall segons UNE-EN 60898 i de 10 kA de poder de tall segons UNE-EN 60947-2, de 4 mòduls DIN de 18 mm d'amplària, muntat en perfil DIN</t>
  </si>
  <si>
    <t>BG49-18S4</t>
  </si>
  <si>
    <t>Interruptor auto.magnet.,I=32A,PIA corbaC,(4P),tall=6000A/10kA,4mòd.DIN p/munt.perf.DIN</t>
  </si>
  <si>
    <t>PG47-EOHT</t>
  </si>
  <si>
    <t>Interruptor auto.magnet.,I=20A,PIA corbaC,(4P),tall=6000A/10kA,4mòd.DIN,munt.perf.DIN</t>
  </si>
  <si>
    <t>Interruptor automàtic magnetotèrmic de 20 A d'intensitat nominal, tipus PIA corba C, tetrapolar (4P), de 6000 A de poder de tall segons UNE-EN 60898 i de 10 kA de poder de tall segons UNE-EN 60947-2, de 4 mòduls DIN de 18 mm d'amplària, muntat en perfil DIN</t>
  </si>
  <si>
    <t>BG49-18L2</t>
  </si>
  <si>
    <t>Interruptor auto.magnet.,I=20A,PIA corbaC,(4P),tall=6000A/10kA,4mòd.DIN p/munt.perf.DIN</t>
  </si>
  <si>
    <t>PG47-EOH1</t>
  </si>
  <si>
    <t>Interruptor auto.magnet.,I=10A,PIA corbaC,bipol.(1P+N),tall=6000A,2mòd.DIN,munt.perf.DIN</t>
  </si>
  <si>
    <t>Interruptor automàtic magnetotèrmic de 10 A d'intensitat nominal, tipus PIA corba C, bipolar (1P+N), de 6000 A de poder de tall segons UNE-EN 60898, de 2 mòduls DIN de 18 mm d'amplària, muntat en perfil DIN</t>
  </si>
  <si>
    <t>BG49-189M</t>
  </si>
  <si>
    <t>Interruptor auto.magnet.,I=10A,PIA corbaC,bipol.(1P+N),tall=6000A,,2mòd.DIN p/munt.perf.DIN</t>
  </si>
  <si>
    <t>PG4B-DX3I</t>
  </si>
  <si>
    <t>Interruptor dif.cl.AC,gam.terc.,I=40A,(4P),0,3A,fix.inst.,4mòd.DIN,munt.perf.DIN</t>
  </si>
  <si>
    <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t>
  </si>
  <si>
    <t>BG4L-09XP</t>
  </si>
  <si>
    <t>Interruptor dif.cl.AC,gam.terc.,I=40A,(4P),0,3A,fix.inst.,4mòd.DIN,p/munt.perf.DIN</t>
  </si>
  <si>
    <t>BGWD-0AS3</t>
  </si>
  <si>
    <t>P.p.accessoris p/interr.difer.</t>
  </si>
  <si>
    <t>PG4B-DX3E</t>
  </si>
  <si>
    <t>Interruptor dif.cl.AC,gam.residen.,I=40A,(2P),0,03A,fix.inst.,2mòd.DIN,munt.perf.DIN</t>
  </si>
  <si>
    <t>Interruptor diferencial de la classe AC, gamma residencial,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</si>
  <si>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BG4L-09YH</t>
  </si>
  <si>
    <t>Interruptor dif.cl.AC,gam.residen.,I=40A,(2P),0,03A,fix.inst.,2mòd.DIN,p/munt.perf.DIN</t>
  </si>
  <si>
    <t>PG44-BINQ</t>
  </si>
  <si>
    <t>Contactor, 230V,16A,2NA,circuit potència 230V,fix.pres.</t>
  </si>
  <si>
    <t>Contactor de 230 V de tensió de control, 16 A d'intensitat nominal, bipolar (2P), 2NA, format per 1 mòdul DIN de 18 mm d'amplària, per a un circuit de potència de 230 V, categoria d'ús AC 1 segons UNE-EN 60947-4-1, fixat a pressió</t>
  </si>
  <si>
    <t>BG44-2R9X</t>
  </si>
  <si>
    <t>Contactor, 230V,16A,2NA,circuit potència 230V</t>
  </si>
  <si>
    <t>I02.02</t>
  </si>
  <si>
    <t>TUBS I CONDUCTORS</t>
  </si>
  <si>
    <t>PG2P-6SZ6</t>
  </si>
  <si>
    <t>m</t>
  </si>
  <si>
    <t>Tub rígid PVC,DN=20mm,impacte=2J,resist.compress.=1250N,unió endollada+munt.superf.</t>
  </si>
  <si>
    <t>Tub rígid de PVC, de 20 mm de diàmetre nominal, aïllant i no propagador de la flama, amb una resistència a l'impacte de 2 J, resistència a compressió de 1250 N i una rigidesa dielèctrica de 2000 V, amb unió endollada i muntat superficialment</t>
  </si>
  <si>
    <t>BG2P-1KUW</t>
  </si>
  <si>
    <t>Tub rígid PVC,DN=20mm,impacte=2J,resist.compress.=1250N</t>
  </si>
  <si>
    <t>BGWC-09N4</t>
  </si>
  <si>
    <t>P.p.accessoris p/tubs rígids PVC</t>
  </si>
  <si>
    <t>PG2N-EUK7</t>
  </si>
  <si>
    <t>Tub flexible corrugat PVC,DN=20mm,1J,320N,2000V,sob/sostremort</t>
  </si>
  <si>
    <t>Tub flexible corrugat de PVC, de 20 mm de diàmetre nominal, aïllant i no propagador de la flama, resistència a l'impacte d'1 J, resistència a compressió de 320 N i una rigidesa dielèctrica de 2000 V, muntat sobre sostremort</t>
  </si>
  <si>
    <t>BG2Q-1KSU</t>
  </si>
  <si>
    <t>Tub flexible corrugat PVC,DN=20mm,1J,320N,2000V</t>
  </si>
  <si>
    <t>PG2P-6SZ0</t>
  </si>
  <si>
    <t>Tub rígid PVC,DN=40mm,impacte=2J,resist.compress.=1250N,unió endollada+munt.superf.</t>
  </si>
  <si>
    <t>Tub rígid de PVC, de 40 mm de diàmetre nominal, aïllant i no propagador de la flama, amb una resistència a l'impacte de 2 J, resistència a compressió de 1250 N i una rigidesa dielèctrica de 2000 V, amb unió endollada i muntat superficialment</t>
  </si>
  <si>
    <t>BG2P-1KUG</t>
  </si>
  <si>
    <t>Tub rígid PVC,DN=40mm,impacte=2J,resist.compress.=1250N</t>
  </si>
  <si>
    <t>PG2N-EUKJ</t>
  </si>
  <si>
    <t>Tub flexible corrugat PVC,DN=50mm,1J,320N,2000V,sob/sostremort</t>
  </si>
  <si>
    <t>Tub flexible corrugat de PVC, de 50 mm de diàmetre nominal, aïllant i no propagador de la flama, resistència a l'impacte d'1 J, resistència a compressió de 320 N i una rigidesa dielèctrica de 2000 V, muntat sobre sostremort</t>
  </si>
  <si>
    <t>SQCL</t>
  </si>
  <si>
    <t>BG2Q-1KSO</t>
  </si>
  <si>
    <t>Tub flexible corrugat PVC,DN=50mm,1J,320N,2000V</t>
  </si>
  <si>
    <t>PG2N-EUJE</t>
  </si>
  <si>
    <t>Tub corbable corrugat PE,doble capa,DN=90mm,20J,450N,canal.sot.</t>
  </si>
  <si>
    <t>Tub corbable corrugat de polietilè, de doble capa, llisa la interior i corrugada l'exterior, de 90 mm de diàmetre nominal, aïllant i no propagador de la flama, resistència a l'impacte de 20 J, resistència a compressió de 450 N, muntat com a canalització soterrada</t>
  </si>
  <si>
    <t>BG2Q-1KTE</t>
  </si>
  <si>
    <t>Tub corbable corrugat PE,doble capa,DN=90mm,20J,450N,p/canal.soterrada</t>
  </si>
  <si>
    <t>PG33-E755</t>
  </si>
  <si>
    <t>Cable 0,6/1 kV RZ1-K (AS), 3x1,5mm2,col.tub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</si>
  <si>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</si>
  <si>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BG33-G2VP</t>
  </si>
  <si>
    <t>Cable 0,6/1 kV RZ1-K (AS), 3x1,5mm2</t>
  </si>
  <si>
    <t>PG33-E756</t>
  </si>
  <si>
    <t>Cable 0,6/1 kV RZ1-K (AS), 3x2,5mm2,col.tub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</si>
  <si>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</si>
  <si>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BG33-G2VO</t>
  </si>
  <si>
    <t>Cable 0,6/1 kV RZ1-K (AS), 3x2,5mm2</t>
  </si>
  <si>
    <t>PG33-E76H</t>
  </si>
  <si>
    <t>Cable 0,6/1 kV RZ1-K (AS), 5x4mm2,col.tub</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</si>
  <si>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tub</t>
  </si>
  <si>
    <t>CLIMA</t>
  </si>
  <si>
    <t>BG33-G2WX</t>
  </si>
  <si>
    <t>Cable 0,6/1 kV RZ1-K (AS), 5x4mm2</t>
  </si>
  <si>
    <t>PG33-E76J</t>
  </si>
  <si>
    <t>Cable 0,6/1 kV RZ1-K (AS), 5x10mm2,col.tub</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</si>
  <si>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</si>
  <si>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BG33-G2X0</t>
  </si>
  <si>
    <t>Cable 0,6/1 kV RZ1-K (AS), 5x10mm2</t>
  </si>
  <si>
    <t>PG33-E75T</t>
  </si>
  <si>
    <t>Cable 0,6/1 kV RZ1-K (AS), 4x35mm2,col.tub</t>
  </si>
  <si>
    <t>Cable amb conductor de coure de tensió assignada0,6/1 kV, de designació RZ1-K (AS), construcció segons norma UNE 21123-4, tetrapolar, de secció 4x35 mm2, amb coberta del cable de poliolefines, classe de reacció al foc Cca-s1b, d1, a1 segons la norma UNE-EN 50575 amb baixa emissió fums, col·locat en tub</t>
  </si>
  <si>
    <t>DI</t>
  </si>
  <si>
    <t>BG33-G2VK</t>
  </si>
  <si>
    <t>Cable 0,6/1 kV RZ1-K (AS), 4x35mm2</t>
  </si>
  <si>
    <t>PG33-E76M</t>
  </si>
  <si>
    <t>Cable 0,6/1 kV RZ1-K (AS), 5x35mm2,col.tub</t>
  </si>
  <si>
    <t>Cable amb conductor de coure de tensió assignada0,6/1 kV, de designació RZ1-K (AS), construcció segons norma UNE 21123-4, pentapolar, de secció 5x35 mm2, amb coberta del cable de poliolefines, classe de reacció al foc Cca-s1b, d1, a1 segons la norma UNE-EN 50575 amb baixa emissió fums, col·locat en tub</t>
  </si>
  <si>
    <t>BG33-G2WR</t>
  </si>
  <si>
    <t>Cable 0,6/1 kV RZ1-K (AS), 5x35mm2</t>
  </si>
  <si>
    <t>PG33-E6DD</t>
  </si>
  <si>
    <t>Cable 0,6/1 kV RZ1-K (AS), 4x50mm2,col.tub</t>
  </si>
  <si>
    <t>Cable amb conductor de coure de tensió assignada0,6/1 kV, de designació RZ1-K (AS), construcció segons norma UNE 21123-4, tetrapolar, de secció 4x50 mm2, amb coberta del cable de poliolefines, classe de reacció al foc Cca-s1b, d1, a1 segons la norma UNE-EN 50575 amb baixa emissió fums, col·locat en tub</t>
  </si>
  <si>
    <t>BG33-G2VH</t>
  </si>
  <si>
    <t>Cable 0,6/1 kV RZ1-K (AS), 4x50mm2</t>
  </si>
  <si>
    <t>I02.03</t>
  </si>
  <si>
    <t>VARIS</t>
  </si>
  <si>
    <t>LGBT</t>
  </si>
  <si>
    <t>UD</t>
  </si>
  <si>
    <t>Legalització de la instal·lació de baixa tensió</t>
  </si>
  <si>
    <t>Legalització de la ampliació de la instal·lació receptora en baixa tensió, registre RITSIC, inspecció EIC ampliació i instal·lació existent, taxes i  memòria tècnica simplificada de la instal·lació existent i registre de la mateixa.</t>
  </si>
  <si>
    <t>P845-B0Y1b</t>
  </si>
  <si>
    <t>Muntatge cel-ras</t>
  </si>
  <si>
    <t>Muntatge de cel-ras acopiat</t>
  </si>
  <si>
    <t>I03</t>
  </si>
  <si>
    <t>CLIMATITZACIÓ</t>
  </si>
  <si>
    <t>PEF0-6QR0</t>
  </si>
  <si>
    <t>AEROTERMIA MONOBLOC KOSNER AQUARIS MD HT PRO 35T R-290 KOSNER</t>
  </si>
  <si>
    <t>Bomba de calor aerotérmica monobloque aire/agua marca KOSNER modelo AQUARIS MD HT PRO 35T R-290 con tecnología FULL INVERTER en sus componentes para instalación en el exterior. Potencia frigorífica nominal 35 kW con agua salida/entrada 18/23°C y 32 kW con agua salida/entrada 7/12°C y potencia calorífica nominal 35 kW con agua salida/entrada 35/30°C y 35 kW con agua salida/entrada 45/40°C. Clasificación energética A+++/A++ , SEER 6,43 y SCOP 6,08. Grupo hidrónico con intercambiador de placas, interruptor de flujo, válvula de seguridad, purgador manual de aire, vaso de expansión de 8 litros y bomba recirculadora INVERTER de agua  de alta eficiencia. Circuito frigorífico con compresor DC INVERTER tipo TWIN ROTATIVO, válvula de 4 vías, válvula de expansión electrónica, filtro deshidratador, presostato de alta y baja presión y transductor de baja presión de gas. Ventilador axial DC INVERTER. Con mando remoto incorporado que incorpora función WIFI Y MEDICION ENERGÉTICA. Conexiones hidráulicas 1 1/4". Refrigerante R-290 con una carga de 2,9 kg. Dimensiones (Ancho x Alto x Profundo) 1384x1816x523 mm y peso bruto de 285 kg y peso neto de 260 kg. Presión sonora a 1 metro de 62,8 dB(A). Alimentación trifásica 400V/3f+N+T. col.locada. 
Inclou connexió de tots els el·lements de camp i control, inclòs conductor i tub.
Inlcou silemblocs de soportació i bancada.</t>
  </si>
  <si>
    <t>A01-FEPC</t>
  </si>
  <si>
    <t>Ajudant calefactor</t>
  </si>
  <si>
    <t>A0F-000C</t>
  </si>
  <si>
    <t>Oficial 1a calefactor</t>
  </si>
  <si>
    <t>5500005102</t>
  </si>
  <si>
    <t>PJ63-H9FC</t>
  </si>
  <si>
    <t>RFX SEPARADOR LODOS LATON EXDIRT D 2 MEF 110C 10B IG2</t>
  </si>
  <si>
    <t>SRFX SEPARADOR LODOS LATON EXDIRT D 2 MEF 110C 10B IG2r, muntat entre tubs i amb totes les connexions fetes</t>
  </si>
  <si>
    <t>A0F-000R</t>
  </si>
  <si>
    <t>Oficial 1a muntador</t>
  </si>
  <si>
    <t>0332010055</t>
  </si>
  <si>
    <t>PJ63-H9FCb</t>
  </si>
  <si>
    <t>FX SEPARADOR MICROBURBUJAS LATON EXVOID A 2</t>
  </si>
  <si>
    <t>eparador de aire y microburbujas de la firma Reflex, modelo Exvoid A 2". Fabricado en latón, para instalación horizontal. Caudal máximo 7,5 m3/h. PN 10bar. Temperatura máxima 110ºC., muntat entre tubs i amb totes les connexions fetes</t>
  </si>
  <si>
    <t>0332010020</t>
  </si>
  <si>
    <t>RFX SEPARADOR MICROBURBUJAS LATON EXVOID A 2</t>
  </si>
  <si>
    <t>PJ63-H9FCbb</t>
  </si>
  <si>
    <t>FILTRO AGUA EN Y DOBLE MALLA 2 0-100ºC 16BAR TULLER</t>
  </si>
  <si>
    <t>filtro de malla en Y para circuitos de agua de 2" con doble malla inox con 0,8mm de grado de filtración. Presión máxima de trabajo 16Bar y temperatura máxima 100ºC. Peso 1,328kg, muntat entre tubs i amb totes les connexions fetes</t>
  </si>
  <si>
    <t>2054200007</t>
  </si>
  <si>
    <t>PJ63-H9FCbbb</t>
  </si>
  <si>
    <t>UNION FLEXIBLE GALVANIZADA PARA TUBO HIERRO 2</t>
  </si>
  <si>
    <t>1204007271</t>
  </si>
  <si>
    <t>UNION FLEXIBLE GALVANIZADA PARA TUBO HIERRO 2 SALTOKI</t>
  </si>
  <si>
    <t>PEVB-6PHD</t>
  </si>
  <si>
    <t>Sonda temperatura canonada beina,munt.+connectada T1/T5/TW2/TBT-1/TBT-2/T-SOLAR</t>
  </si>
  <si>
    <t>Sonda de temperatura en canonada amb beina, amb accessoris de muntatge, muntada i connectada T1/T5/TW2/TBT-1/TBT-2/T-SOLAR</t>
  </si>
  <si>
    <t>5500090935</t>
  </si>
  <si>
    <t>SONDA T1/T5/TW2/TBT-1/T-SOLAR AQUARIS MD/PRO/PRO MAX/HT PRO KOSNER</t>
  </si>
  <si>
    <t>PJA0-629S</t>
  </si>
  <si>
    <t>Dipòsit inèrcia ,GH ACUMULADOR 444 DPI/DI/BC 750 AQ GREENHEISS</t>
  </si>
  <si>
    <t>Acumulador Inercia Greenheiss modelo DPI/DI/BC de 750 litros de capacidad fabricado en acero inoxidable AISI 444 para sistemas de climatización con generación energética mediante aerotermia, con aislamiento rígido en poliuretano expandido de 80 mm. de espesor libre de CFC y HCFC, y acabado externo en Lámina de PVC flexible para instalación interior. Presión máxima de trabajo acumulador 6 bar. Rango de temperatura de trabajo: -5ºC / +95 ºC. Montaje en vertical sobre el suelo. Diámetro exterior: 875mm. Altura: 2.250mm. Peso en Vacío: 225 kg.</t>
  </si>
  <si>
    <t>A01-FEPE</t>
  </si>
  <si>
    <t>Ajudant lampista</t>
  </si>
  <si>
    <t>A0F-000N</t>
  </si>
  <si>
    <t>Oficial 1a lampista</t>
  </si>
  <si>
    <t>2310351159</t>
  </si>
  <si>
    <t>GH ACUMULADOR 444 DPI/DI/BC 750 AQ GREENHEISS</t>
  </si>
  <si>
    <t>PEUC-51AT</t>
  </si>
  <si>
    <t>Purgador automàt.aire,llautó,EXVOID T 1/2</t>
  </si>
  <si>
    <t>Purgador automàtic d'aire, EXVOID T 1/2 de llautó, per flotador, de posició vertical i vàlvula d'obturació incorporada, amb rosca de 1/2" de diàmetre, roscat</t>
  </si>
  <si>
    <t>0332010000_11</t>
  </si>
  <si>
    <t>RFX PURGADOR AUTOMATICO EXVOID T 1/2</t>
  </si>
  <si>
    <t>PN38-EC5O</t>
  </si>
  <si>
    <t>Vàlvula bola manual rosca,2peces,pas tot.,bronze,DN=1/2,PN=10bar,superf.</t>
  </si>
  <si>
    <t>Vàlvula de bola manual amb rosca, de dues peces amb pas total, de bronze, de diàmetre nominal 1/2, de 10 bar de PN i preu alt, muntada superficialment</t>
  </si>
  <si>
    <t>BN38-0XBT</t>
  </si>
  <si>
    <t>Vàlvula bola manual+rosca,2peces,pas tot.,bronze,DN=1/2",preu altPN=10bar</t>
  </si>
  <si>
    <t>PN38-H3NT</t>
  </si>
  <si>
    <t>Vàlvula bola manual rosca,2peces,pas tot.,llautó,DN=3/4,PN=16bar,superf.</t>
  </si>
  <si>
    <t>Vàlvula de bola manual amb rosca, de dues peces amb pas total, de llautó, de diàmetre nominal 3/4, de 16 bar de PN i preu alt, muntada superficialment</t>
  </si>
  <si>
    <t>BN38-H3NU</t>
  </si>
  <si>
    <t>Vàlvula bola manual+rosca,2peces,pas tot.,llautó,DN=3/4",preu altPN=16bar</t>
  </si>
  <si>
    <t>PN38-HJN6</t>
  </si>
  <si>
    <t>Vàlvula bola manual rosca,2peces,pas tot.,llautó,DN=2,PN=20bar,superf.</t>
  </si>
  <si>
    <t>Vàlvula de bola manual amb rosca, de dues peces amb pas total, de llautó, de diàmetre nominal 2, de 20 bar de PN i preu alt, muntada superficialment</t>
  </si>
  <si>
    <t>BN38-H4C4</t>
  </si>
  <si>
    <t>Vàlvula bola manual+rosca,2peces,pas tot.,llautó,DN=2",preu altPN=20bar</t>
  </si>
  <si>
    <t>PN38-EC7U</t>
  </si>
  <si>
    <t>Vàlvula bola manual rosca,2peces,pas tot.,bronze,DN=2"1/2,PN=16bar,superf.</t>
  </si>
  <si>
    <t>Vàlvula de bola manual amb rosca, de dues peces amb pas total, de bronze, de diàmetre nominal 2"1/2, de 16 bar de PN i preu alt, muntada superficialment</t>
  </si>
  <si>
    <t>BN38-0XC6</t>
  </si>
  <si>
    <t>Vàlvula bola manual+rosca,2peces,pas tot.,bronze,DN=2"1/2",preu altPN=16bar</t>
  </si>
  <si>
    <t>PNF3-8G36</t>
  </si>
  <si>
    <t>Vàlv.seg.ACS+rosca,llautó,connex.H-H,D=1",P=3bar,temp=120°C,munt.superf.</t>
  </si>
  <si>
    <t>Vàlvula de seguretat ACS amb rosca de llautó, amb connexió femella-femella d'1", tarada a 3 bar, de temperatura màxima 120°C, muntada superficialment</t>
  </si>
  <si>
    <t>BNF2-214A</t>
  </si>
  <si>
    <t>Vàlv.seg.ACS+rosca,llautó,connex.H-H,D=1",P=3bar,temp=120°C</t>
  </si>
  <si>
    <t>PNF3-8G31</t>
  </si>
  <si>
    <t>Vàlv.seg.ACS+rosca,llautó,connex.H-H,D=1",P=6bar,temp=120°C,munt.superf.</t>
  </si>
  <si>
    <t>Vàlvula de seguretat ACS amb rosca de llautó, amb connexió femella-femella d'1", tarada a 6 bar, de temperatura màxima 120°C, muntada superficialment</t>
  </si>
  <si>
    <t>BNF2-2145</t>
  </si>
  <si>
    <t>Vàlv.seg.ACS+rosca,llautó,connex.H-H,D=1",P=6bar,temp=120°C</t>
  </si>
  <si>
    <t>PEU9-10QL8</t>
  </si>
  <si>
    <t>Manòmetre de 0 a 10bar,esfera 100mm,connex.1/2"G,inst.</t>
  </si>
  <si>
    <t>Manòmetre per a una pressió de 0 a 10 bar, d'esfera de 100 mm i rosca de connexió de 1/2" G, instal·lat</t>
  </si>
  <si>
    <t>BEU9-0SR1</t>
  </si>
  <si>
    <t>Manòmetre de 0 a 10bar,esfera 100mm,connex.1/2"G</t>
  </si>
  <si>
    <t>PN71-ED4W</t>
  </si>
  <si>
    <t>Vàlv.reduct.rosca,DN=3/4",PN=25bar,difer.entre 19 i 24bar,llautó,preu mitjà,superf.</t>
  </si>
  <si>
    <t>Vàlvula reductora de pressió amb rosca, de diàmetre nominal 3/4", de 25 bar de pressió màxima i amb un diferencial màxim regulable entre 19 i 24 bar, de llautó, preu mitjà i muntada superficialment</t>
  </si>
  <si>
    <t>BN71-0X56</t>
  </si>
  <si>
    <t>Vàlvula reduc.pres.+rosca,DN=3/4",PN=25bar,difer.entre 19 i 24bar,llautó,preu mitjà</t>
  </si>
  <si>
    <t>PEUE-6YPP</t>
  </si>
  <si>
    <t>Termòmetre bimetàl·lic,beina D=1/2",esfera 65mm,&lt;= 120°C,col.roscat</t>
  </si>
  <si>
    <t>Termòmetre bimetàl·lic, amb beina de 1/2" de diàmetre, d'esfera de 65 mm, de &lt;= 120°C, col·locat roscat</t>
  </si>
  <si>
    <t>BEUE-1CJ6</t>
  </si>
  <si>
    <t>Termòmetre bimetàl·lic,beina D=1/2",esfera 65mm,&lt;= 120°C</t>
  </si>
  <si>
    <t>PEU6-6SU0</t>
  </si>
  <si>
    <t>Dipòsit exp.80l,planxa acer,membrana elàst.,pressió màx=10bar,connex.D=1",col.roscat</t>
  </si>
  <si>
    <t>Dipòsit d'expansió de 80 l de capacitat, de planxa d'acer i membrana elàstica, de pressió màxima 10 bar, amb connexió d'1", col·locat roscat</t>
  </si>
  <si>
    <t>0330002140</t>
  </si>
  <si>
    <t>VASO EXPANSION CALEF WAFT 10BAR 80L 1 CMR-P WAFT</t>
  </si>
  <si>
    <t>PEU6-6SU2</t>
  </si>
  <si>
    <t>Dipòsit exp.ACS WAFT 10BAR 250L 11/4 AMR-P WAFT</t>
  </si>
  <si>
    <t>Dipòsit d'expansió de ACS WAFT 10BAR 250L 11/4 AMR-P WAFT, de pressió màxima 10 bar, amb connexió d'1", col·locat roscat</t>
  </si>
  <si>
    <t>0330004160</t>
  </si>
  <si>
    <t>VASO EXPANSION ACS WAFT 10BAR 250L 11/4 AMR-P WAFT</t>
  </si>
  <si>
    <t>PJA0-62AW</t>
  </si>
  <si>
    <t>Acumulador ACS 3000l, 316 DPI/A 3000 AQ GREENHEISS</t>
  </si>
  <si>
    <t>Acumulador ACS Greenheiss modelo DPI/A de 3.000 litros de capacidad fabricado en acero inoxidable AISI 316L, con aislamiento flexible desmontable en lana mineral de 80 mm. de espesor libre de CFC y HCFC, y acabado externo en Lámina de PVC para instalación interior. Presión máxima de trabajo: 8 bar. Dispone de boca de registro DN400. Temperatura máxima de trabajo: 95 ºC. Protección catódica mediante ánodo de magnesio incorporada. Montaje en vertical sobre el suelo. Diámetro exterior: 1.420mm. Altura: 2.650mm. Peso en Vacío: 622 kg.</t>
  </si>
  <si>
    <t>2310360065</t>
  </si>
  <si>
    <t>GH ACUMULADOR 316 DPI/A 3000 AQ GREENHEISS</t>
  </si>
  <si>
    <t>PGD3-H9WV</t>
  </si>
  <si>
    <t>ANODO ELECTRONICO PERMANENTE BLUE BEAM 400MM 300-1000L</t>
  </si>
  <si>
    <t>Sistema de Protección Catódica a corriente impresa que dispone de un electrodo de Titanio activado de diam. 3mm. (Conexión Rosca 1/2"M), y sistema electrónico de control con una tecnologia innovadora. Incluye cable de alimentación eléctrica (1 m.), y cable de 2 metros para el electrodo de titanio. dispone de 2 LED-s de control para verificar el correcto funcionamiento del sistema. Longitud: 400mm. Volumen recomendable: 300_1.000 L.</t>
  </si>
  <si>
    <t>2308000024</t>
  </si>
  <si>
    <t>PGD3-H9WVb</t>
  </si>
  <si>
    <t>ANODO ELECTRONICO PERMANENTE BLUE BEAM 700MM 2000-7000L</t>
  </si>
  <si>
    <t>Sistema de Protección Catódica a corriente impresa que dispone de dos electrodo de Titanio activado de diam. 3mm. (Conexión Rosca 1/2"M), y sistema electrónico de control con una tecnologia innovadora. Incluye cable de alimentación eléctrica (1 m.), y cable de 2 metros para los electrodos de titanio. dispone de 2 LED-s de control para verificar el correcto funcionamiento del sistema. Longitud: 700mm. Volumen recomendable: 2.000_7.000 L.</t>
  </si>
  <si>
    <t>2308000027</t>
  </si>
  <si>
    <t>PJA5-B2MW</t>
  </si>
  <si>
    <t>Bescanv.ACS-caldera,pot=105kW,cabal entr.=18 m3/h a 80°C,cabal ACS=18 m3/h a 10°C,junt elastom.,connex.1 1/4,col.amb aïlament</t>
  </si>
  <si>
    <t>Intercambiador de placas desmontables marca Waft modelo IP-3601. Constituido de 43 placas de intercambio de acero inox AISI 316L, con juntas de cierre de EPDM-PRX pegadas a las placas. Altura: 745 mm, Anchura: 310 mm, Profundidad: 630 mm. Conexiones Inox: 21/2. Presión de diseño: 10 bar. Temperatura de diseño: 140ºC. Peso: 119 kg.  Incluido accesorio, pequeño material, mano de obra de instalación y pruebas.
Inclou:
Aislamiento térmico conformado para los intercambiadores desmontables de placas WAFT IP-3601 de hasta 51 placas, conformada de 2 piezas fabricadas en material aislante NP FR G2905 con cierre de velcro. Coeficiente de conductividad térmica: 0,038 W/m°K.</t>
  </si>
  <si>
    <t>0332505144</t>
  </si>
  <si>
    <t>INTERCAMBIADOR WAFT IP-3601 43 PLACAS JUNTAS EPDM WAFT</t>
  </si>
  <si>
    <t>0332580204</t>
  </si>
  <si>
    <t>AISLAMIENTO TERMICO INTERCAM. WAFT IP-3601 MOD. 9-51 PLACAS WAFT</t>
  </si>
  <si>
    <t>PNL3-CMDK</t>
  </si>
  <si>
    <t>Bomb.circ.STRATOS MAXO-Z 40/0,5-12 250MM PN6/10 EMBRID DN40</t>
  </si>
  <si>
    <t>0150705109</t>
  </si>
  <si>
    <t>WIL BOMBA STRATOS MAXO-Z 40/0,5-12 250MM PN6/10 EMBRID DN40</t>
  </si>
  <si>
    <t>PEU9-10QL8b</t>
  </si>
  <si>
    <t>WIL SENSOR DE TEMPERATURA PT 1000 A AMB BEINA</t>
  </si>
  <si>
    <t>WIL SENSOR DE TEMPERATURA PT 1000 A, instal·lat, inclou BEINA</t>
  </si>
  <si>
    <t>0159005301</t>
  </si>
  <si>
    <t>WIL SENSOR DE TEMPERATURA PT 1000 AA</t>
  </si>
  <si>
    <t>0159005303</t>
  </si>
  <si>
    <t>WIL VAINA DE INMERSION 100MM ROSCA G1/2</t>
  </si>
  <si>
    <t>PJ64-9FRQ</t>
  </si>
  <si>
    <t>FILTRO AUTOLIMPIABLE 3/4 MANUAL 6,4M3/H KLINWASS</t>
  </si>
  <si>
    <t>Filtro autolimpiable KLINWASS ACQUA BREVETTY con uso residencial o industrial, para aguas con gran sedimentación. Incluye malla inox AISI-304 y cepillos con iones plata. Grado filtración 50 micras. Temperatura del agua hasta 30 ºC. Cumple con la normativa UNE-EN-13443-1</t>
  </si>
  <si>
    <t>2150000080</t>
  </si>
  <si>
    <t>PJ64-9FRQb</t>
  </si>
  <si>
    <t>DESCONECTOR HIDRAULICO CA295-3/4A CONEXION ROSCADA</t>
  </si>
  <si>
    <t>0513040035</t>
  </si>
  <si>
    <t>PJM41-NAHT</t>
  </si>
  <si>
    <t>Comptador aigua p/veloc.,raig múltiple,DN20,unions roscades 1",transm.magnètica,cabal Q3 4m3/h,rati Q3/Q1 &gt;=80 horitzontal,T50,cos llautó,connect.bat./ramal</t>
  </si>
  <si>
    <t>Comptador d'aigua per velocitat, de raig múltiple, DN20, amb unions roscades d'1" segons ISO 228-1, transmissió magnètica, cabal permanent Q3 de 4 m3/h, rati Q3/Q1 &gt;=80 en posició horitzontal, classe de temperatura T50, cos de llautó, construcció segons REAL DECRETO 244/2016 i REAL DECRETO 244/2016, connectat a una bateria o a un ramal</t>
  </si>
  <si>
    <t>BJM31-N5P9</t>
  </si>
  <si>
    <t>Comptador aigua per velocitat,raig múltiple,DN20,unions roscades 1",transm.magnètica,cabal Q3 4m3/h,rati Q3/Q1 &gt;=80 horitzontal,T50,cos llautó,p/connect.a bat.o ramal</t>
  </si>
  <si>
    <t>ICS010</t>
  </si>
  <si>
    <t>Canonada de distribució d'aigua, per a calefacció.</t>
  </si>
  <si>
    <t>Canonada de distribució d'aigua calenta de calefacció formada per tub de polipropilè copolímer random resistent a la temperatura (PP-RCT), de color verd, SDR7,4, sèrie 3,2, de 110 mm de diàmetre exterior i 15,4 mm de gruix, col·locat superficialment en el exterior de l'edifici, amb aïllament mitjançant camis aïllant de llana de vidre protegida per emulsió asfàltica recoberta amb pintura protectora per a aïllament de color gris. Inclús material auxiliar para muntatge i subjecció a l'obra, accessoris i peces especials.
Inclou: Replanteig. Col·locació i fixació de canonades, accessoris i peces especials. Col·locació de l'aïllament. Aplicació del revestiment superficial de l'aïllament. Realització de proves de servei.
Criteri d'amidament de projecte: Longitud mesurada segons documentació gràfica de Projecte.
Criteri de mesura d'obra: Es mesurarà la longitud realment executada segons especificacions de Projecte.</t>
  </si>
  <si>
    <t>mt37tpj404i</t>
  </si>
  <si>
    <t>Material auxiliar per a muntatge i subjecció a l'obra de les canonades de polipropilè copolímer random resistent a la temperatura (PP-RCT), SDR7,4, sèrie 3,2, de 110 mm de diàmetre exterior.</t>
  </si>
  <si>
    <t>mt37tpj014ie</t>
  </si>
  <si>
    <t>Tub de polipropilè copolímer random resistent a la temperatura (PP-RCT), de color verd, SDR7,4, sèrie 3,2, de 110 mm de diàmetre exterior i 15,4 mm de gruix, segons UNE-EN ISO 15874-2, amb el preu incrementat el 20% en concepte d'accessoris i peces especials.</t>
  </si>
  <si>
    <t>mt17coe080ic</t>
  </si>
  <si>
    <t>Camisa aïllant cilíndrica modelada de llana de vidre, oberta longitudinalment per la generatriu, de 114 mm de diàmetre interior i 50,0 mm de gruix.</t>
  </si>
  <si>
    <t>mt17coe120</t>
  </si>
  <si>
    <t>kg</t>
  </si>
  <si>
    <t>Emulsió asfàltica per a protecció de camises aïllants de llana de vidre, tipus ED segons UNE 104231.</t>
  </si>
  <si>
    <t>mt27pcg010c</t>
  </si>
  <si>
    <t>Pintura protectora de polietilè clorosulfonat, de color gris, per a aïllament en exteriors.</t>
  </si>
  <si>
    <t>mo004</t>
  </si>
  <si>
    <t>Oficial 1ª calefactor.</t>
  </si>
  <si>
    <t>mo103</t>
  </si>
  <si>
    <t>Ajudant calefactor.</t>
  </si>
  <si>
    <t>ICS010b</t>
  </si>
  <si>
    <t>Canonada de distribució d'aigua calenta de calefacció formada per tub de polipropilè copolímer random resistent a la temperatura (PP-RCT), de color verd, SDR7,4, sèrie 3,2, de 110 mm de diàmetre exterior i 15,4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t>
  </si>
  <si>
    <t>mt17coe050ne</t>
  </si>
  <si>
    <t>Camisa aïllant d'escuma elastomèrica, de 114 mm de diàmetre interior i 36,0 mm de gruix (equivalent a 40,0 mm de RITE IT 1.2.4.2) mm de gruix, a força de cautxú sintètic flexible, d'estructura cel·lular tancada.</t>
  </si>
  <si>
    <t>mt17coe110</t>
  </si>
  <si>
    <t>l</t>
  </si>
  <si>
    <t>Adhesiu per camisa aïllant elastomèrica.</t>
  </si>
  <si>
    <t>ICS010c</t>
  </si>
  <si>
    <t>Canonada de distribució d'aigua calenta de calefacció formada per tub de polipropilè copolímer random resistent a la temperatura (PP-RCT), de color verd, SDR7,4, sèrie 3,2, de 75 mm de diàmetre exterior i 10,6 mm de gruix, col·locat superficialment en el exterior de l'edifici, amb aïllament mitjançant camis aïllant de llana de vidre protegida per emulsió asfàltica recoberta amb pintura protectora per a aïllament de color gris. Inclús material auxiliar para muntatge i subjecció a l'obra, accessoris i peces especials.
Inclou: Replanteig. Col·locació i fixació de canonades, accessoris i peces especials. Col·locació de l'aïllament. Aplicació del revestiment superficial de l'aïllament. Realització de proves de servei.
Criteri d'amidament de projecte: Longitud mesurada segons documentació gràfica de Projecte.
Criteri de mesura d'obra: Es mesurarà la longitud realment executada segons especificacions de Projecte.</t>
  </si>
  <si>
    <t>mt37tpj404g</t>
  </si>
  <si>
    <t>Material auxiliar per a muntatge i subjecció a l'obra de les canonades de polipropilè copolímer random resistent a la temperatura (PP-RCT), SDR7,4, sèrie 3,2, de 75 mm de diàmetre exterior.</t>
  </si>
  <si>
    <t>mt37tpj014ge</t>
  </si>
  <si>
    <t>Tub de polipropilè copolímer random resistent a la temperatura (PP-RCT), de color verd, SDR7,4, sèrie 3,2, de 75 mm de diàmetre exterior i 10,6 mm de gruix, segons UNE-EN ISO 15874-2, amb el preu incrementat el 20% en concepte d'accessoris i peces especials.</t>
  </si>
  <si>
    <t>mt17coe080gb</t>
  </si>
  <si>
    <t>Camisa aïllant cilíndrica modelada de llana de vidre, oberta longitudinalment per la generatriu, de 76 mm de diàmetre interior i 40,0 mm de gruix.</t>
  </si>
  <si>
    <t>ICS010d</t>
  </si>
  <si>
    <t>Canonada de distribució d'aigua calenta de calefacció formada per tub de polipropilè copolímer random resistent a la temperatura (PP-RCT), de color verd, SDR7,4, sèrie 3,2, de 75 mm de diàmetre exterior i 10,6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t>
  </si>
  <si>
    <t>mt17coe050kd</t>
  </si>
  <si>
    <t>Camisa aïllant d'escuma elastomèrica, de 77 mm de diàmetre interior i 27,0 mm de gruix (equivalent a 30,0 mm de RITE IT 1.2.4.2) mm de gruix, a força de cautxú sintètic flexible, d'estructura cel·lular tancada.</t>
  </si>
  <si>
    <t>LGCLb</t>
  </si>
  <si>
    <t>Posada en marxa</t>
  </si>
  <si>
    <t>Posada en marxa i configuració equips</t>
  </si>
  <si>
    <t>LGCL</t>
  </si>
  <si>
    <t>Legalització de la instal·lació de climatització</t>
  </si>
  <si>
    <t>Legalització dels equips de climatització instal·lats, inclou documentació ITE, registre RITSIC i taxes i  memòria tècnica simplificada de la instal·lació i registre de la instal·lació existent.</t>
  </si>
  <si>
    <t>I04</t>
  </si>
  <si>
    <t>AJRP</t>
  </si>
  <si>
    <t>Ajudes paleteria</t>
  </si>
  <si>
    <t>Ajudes paleteria, inclou regates, traspàs de forjats, tapat de regates, trapassos, enguixat i pintat</t>
  </si>
  <si>
    <t>AJRPb</t>
  </si>
  <si>
    <t>Imprevistos a justificar</t>
  </si>
  <si>
    <t>Partida a ma alçada d'imprevistos a justificar</t>
  </si>
  <si>
    <t>GSPA3</t>
  </si>
  <si>
    <t>Inertització</t>
  </si>
  <si>
    <t>Partida a ma alçafa inertització dipòsit propà existent i enretirada instal·lació</t>
  </si>
  <si>
    <t>I05</t>
  </si>
  <si>
    <t>FERMS I PAVIMENTS</t>
  </si>
  <si>
    <t>P9G6-4XON</t>
  </si>
  <si>
    <t>Paviment form. formigó HA-30/P / 10 / I + E,&gt;= 300kg/m3 ciment,g=15cm,remol.mec.,malla electros.</t>
  </si>
  <si>
    <t>Paviment de formigó amb formigó HA-30/P / 10 / I + E de consistència plàstica, grandària màxima del granulat 10 mm, amb &gt;= 300 kg/m3 de ciment, apte per a classe d'exposició I + E, de 15 cm de gruix, amb acabat remolinat mecànic, amb malla electrosoldada</t>
  </si>
  <si>
    <t>A0D-0007</t>
  </si>
  <si>
    <t>Manobre</t>
  </si>
  <si>
    <t>A0F-000T</t>
  </si>
  <si>
    <t>Oficial 1a paleta</t>
  </si>
  <si>
    <t>B06E-12FM</t>
  </si>
  <si>
    <t>Formigó HA-30/P / 10 / I + E,&gt;= 300kg/m3 ciment</t>
  </si>
  <si>
    <t>B0B8-107Q</t>
  </si>
  <si>
    <t>Malla electr.acer corr.ME 10x10cm,D:3-3mm,6x2,2m B500T</t>
  </si>
  <si>
    <t>C20L-00DO</t>
  </si>
  <si>
    <t>Remolinador mecànic</t>
  </si>
  <si>
    <t>I06</t>
  </si>
  <si>
    <t>ASSAJOS</t>
  </si>
  <si>
    <t>P035-01UZ</t>
  </si>
  <si>
    <t>Assaig de compactació proctor modificat.</t>
  </si>
  <si>
    <t>BV1G-011S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</si>
</sst>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69">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164" fontId="4"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164" fontId="2" fillId="0" borderId="2"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5" fillId="0" borderId="3" xfId="0" applyFont="1" applyBorder="1" applyAlignment="1">
      <alignment horizontal="lef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5" xfId="0" applyBorder="1" applyAlignment="1">
      <alignment horizontal="center" vertical="center"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4" fillId="5" borderId="5" xfId="0" applyFont="1" applyFill="1" applyBorder="1" applyAlignment="1">
      <alignment horizontal="left" vertical="top" wrapText="1"/>
    </xf>
    <xf numFmtId="0" fontId="0" fillId="5" borderId="5" xfId="0" applyFill="1" applyBorder="1" applyAlignment="1">
      <alignment horizontal="left" vertical="top" wrapText="1"/>
    </xf>
    <xf numFmtId="4" fontId="4" fillId="5" borderId="5"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0" fillId="0" borderId="4" xfId="0" applyBorder="1" applyAlignment="1">
      <alignment horizontal="center"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2" fillId="0" borderId="0" xfId="0" applyFont="1" applyAlignment="1">
      <alignment horizontal="justify" vertical="top" wrapText="1"/>
    </xf>
    <xf numFmtId="0" fontId="2" fillId="0" borderId="2" xfId="0" applyFont="1" applyBorder="1" applyAlignment="1">
      <alignment horizontal="justify" vertical="top" wrapText="1"/>
    </xf>
    <xf numFmtId="0" fontId="4" fillId="4" borderId="2" xfId="0" applyFont="1" applyFill="1" applyBorder="1" applyAlignment="1">
      <alignment horizontal="justify" vertical="top" wrapText="1"/>
    </xf>
    <xf numFmtId="0" fontId="4" fillId="5" borderId="0" xfId="0" applyFont="1" applyFill="1" applyAlignment="1">
      <alignment horizontal="justify" vertical="top" wrapText="1"/>
    </xf>
    <xf numFmtId="0" fontId="4" fillId="5"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5"/>
  <sheetViews>
    <sheetView tabSelected="1" view="pageLayout" workbookViewId="0"/>
  </sheetViews>
  <sheetFormatPr defaultColWidth="11.19921875" defaultRowHeight="15"/>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8.09765625" customWidth="1"/>
    <col min="13" max="13" width="8.19921875" customWidth="1"/>
  </cols>
  <sheetData>
    <row r="1" spans="1:13" ht="17.850000000000001" customHeight="1" thickBot="1">
      <c r="A1" s="1" t="s">
        <v>0</v>
      </c>
      <c r="B1" s="61" t="s">
        <v>1</v>
      </c>
      <c r="C1" s="61"/>
      <c r="D1" s="61"/>
      <c r="E1" s="61"/>
      <c r="F1" s="61"/>
      <c r="G1" s="61"/>
      <c r="H1" s="61"/>
      <c r="I1" s="61"/>
      <c r="J1" s="61"/>
      <c r="K1" s="61"/>
      <c r="L1" s="61"/>
      <c r="M1" s="61"/>
    </row>
    <row r="2" spans="1:13" ht="17.850000000000001" customHeight="1" thickBot="1">
      <c r="A2" s="61" t="s">
        <v>2</v>
      </c>
      <c r="B2" s="61"/>
      <c r="C2" s="61"/>
      <c r="D2" s="2"/>
      <c r="E2" s="2"/>
      <c r="F2" s="2"/>
      <c r="G2" s="2"/>
      <c r="H2" s="2"/>
      <c r="I2" s="2"/>
      <c r="J2" s="2"/>
      <c r="K2" s="2"/>
      <c r="L2" s="4" t="s">
        <v>3</v>
      </c>
      <c r="M2" s="6">
        <v>3</v>
      </c>
    </row>
    <row r="3" spans="1:13" ht="16.7" customHeight="1" thickBot="1">
      <c r="A3" s="7" t="s">
        <v>4</v>
      </c>
      <c r="B3" s="7" t="s">
        <v>5</v>
      </c>
      <c r="C3" s="7" t="s">
        <v>6</v>
      </c>
      <c r="D3" s="7" t="s">
        <v>7</v>
      </c>
      <c r="E3" s="8"/>
      <c r="F3" s="8"/>
      <c r="G3" s="8"/>
      <c r="H3" s="8"/>
      <c r="I3" s="8"/>
      <c r="J3" s="8"/>
      <c r="K3" s="9" t="s">
        <v>8</v>
      </c>
      <c r="L3" s="9" t="s">
        <v>9</v>
      </c>
      <c r="M3" s="9" t="s">
        <v>10</v>
      </c>
    </row>
    <row r="4" spans="1:13" ht="34.700000000000003" customHeight="1" thickBot="1">
      <c r="A4" s="11" t="s">
        <v>11</v>
      </c>
      <c r="B4" s="11" t="s">
        <v>12</v>
      </c>
      <c r="C4" s="12"/>
      <c r="D4" s="62" t="s">
        <v>1</v>
      </c>
      <c r="E4" s="62"/>
      <c r="F4" s="62"/>
      <c r="G4" s="62"/>
      <c r="H4" s="62"/>
      <c r="I4" s="62"/>
      <c r="J4" s="62"/>
      <c r="K4" s="12"/>
      <c r="L4" s="13">
        <f ca="1">L525</f>
        <v>0</v>
      </c>
      <c r="M4" s="13">
        <f ca="1">ROUND(L4,2)</f>
        <v>0</v>
      </c>
    </row>
    <row r="5" spans="1:13" ht="15.4" customHeight="1" thickBot="1">
      <c r="A5" s="14" t="s">
        <v>13</v>
      </c>
      <c r="B5" s="14" t="s">
        <v>12</v>
      </c>
      <c r="C5" s="15"/>
      <c r="D5" s="63" t="s">
        <v>14</v>
      </c>
      <c r="E5" s="63"/>
      <c r="F5" s="63"/>
      <c r="G5" s="63"/>
      <c r="H5" s="63"/>
      <c r="I5" s="63"/>
      <c r="J5" s="63"/>
      <c r="K5" s="15"/>
      <c r="L5" s="16">
        <f ca="1">L52</f>
        <v>0</v>
      </c>
      <c r="M5" s="16">
        <f ca="1">ROUND(L5,2)</f>
        <v>0</v>
      </c>
    </row>
    <row r="6" spans="1:13" ht="15.4" customHeight="1" thickBot="1">
      <c r="A6" s="10" t="s">
        <v>15</v>
      </c>
      <c r="B6" s="5" t="s">
        <v>16</v>
      </c>
      <c r="C6" s="5" t="s">
        <v>17</v>
      </c>
      <c r="D6" s="64" t="s">
        <v>18</v>
      </c>
      <c r="E6" s="64"/>
      <c r="F6" s="64"/>
      <c r="G6" s="64"/>
      <c r="H6" s="64"/>
      <c r="I6" s="64"/>
      <c r="J6" s="64"/>
      <c r="K6" s="17">
        <f ca="1">ROUND(1,2)</f>
        <v>0</v>
      </c>
      <c r="L6" s="18">
        <f ca="1">L11</f>
        <v>0</v>
      </c>
      <c r="M6" s="18">
        <f ca="1">ROUND(K6*L6,2)</f>
        <v>0</v>
      </c>
    </row>
    <row r="7" spans="1:13" ht="12.2" customHeight="1" thickBot="1">
      <c r="A7" s="19"/>
      <c r="B7" s="19"/>
      <c r="C7" s="19"/>
      <c r="D7" s="64" t="s">
        <v>19</v>
      </c>
      <c r="E7" s="64"/>
      <c r="F7" s="64"/>
      <c r="G7" s="64"/>
      <c r="H7" s="64"/>
      <c r="I7" s="64"/>
      <c r="J7" s="64"/>
      <c r="K7" s="64"/>
      <c r="L7" s="64"/>
      <c r="M7" s="64"/>
    </row>
    <row r="8" spans="1:13" ht="15.2" customHeight="1" thickBot="1">
      <c r="A8" s="5" t="s">
        <v>20</v>
      </c>
      <c r="B8" s="5" t="s">
        <v>21</v>
      </c>
      <c r="C8" s="5" t="s">
        <v>22</v>
      </c>
      <c r="D8" s="64" t="s">
        <v>23</v>
      </c>
      <c r="E8" s="64"/>
      <c r="F8" s="64"/>
      <c r="G8" s="64"/>
      <c r="H8" s="64"/>
      <c r="I8" s="64"/>
      <c r="J8" s="64"/>
      <c r="K8" s="17">
        <v>20</v>
      </c>
      <c r="L8" s="17">
        <f ca="1">ROUND(24.84,3)</f>
        <v>0</v>
      </c>
      <c r="M8" s="18">
        <f ca="1">ROUND(K8*L8,2)</f>
        <v>0</v>
      </c>
    </row>
    <row r="9" spans="1:13" ht="15.2" customHeight="1" thickBot="1">
      <c r="A9" s="5" t="s">
        <v>24</v>
      </c>
      <c r="B9" s="5" t="s">
        <v>21</v>
      </c>
      <c r="C9" s="5" t="s">
        <v>22</v>
      </c>
      <c r="D9" s="64" t="s">
        <v>25</v>
      </c>
      <c r="E9" s="64"/>
      <c r="F9" s="64"/>
      <c r="G9" s="64"/>
      <c r="H9" s="64"/>
      <c r="I9" s="64"/>
      <c r="J9" s="64"/>
      <c r="K9" s="17">
        <v>20</v>
      </c>
      <c r="L9" s="17">
        <f ca="1">ROUND(21.49,3)</f>
        <v>0</v>
      </c>
      <c r="M9" s="18">
        <f ca="1">ROUND(K9*L9,2)</f>
        <v>0</v>
      </c>
    </row>
    <row r="10" spans="1:13" ht="15.2" customHeight="1" thickBot="1">
      <c r="A10" s="5" t="s">
        <v>26</v>
      </c>
      <c r="B10" s="5"/>
      <c r="C10" s="5" t="s">
        <v>26</v>
      </c>
      <c r="D10" s="64" t="s">
        <v>27</v>
      </c>
      <c r="E10" s="64"/>
      <c r="F10" s="64"/>
      <c r="G10" s="64"/>
      <c r="H10" s="64"/>
      <c r="I10" s="64"/>
      <c r="J10" s="64"/>
      <c r="K10" s="17">
        <v>2</v>
      </c>
      <c r="L10" s="17">
        <f ca="1">ROUND(926.6,3)</f>
        <v>0</v>
      </c>
      <c r="M10" s="18">
        <f ca="1">ROUND((K10*L10)/100,2)</f>
        <v>0</v>
      </c>
    </row>
    <row r="11" spans="1:13" ht="15.4" customHeight="1" thickBot="1">
      <c r="A11" s="20"/>
      <c r="B11" s="20"/>
      <c r="C11" s="20"/>
      <c r="D11" s="21" t="s">
        <v>15</v>
      </c>
      <c r="E11" s="20"/>
      <c r="F11" s="20"/>
      <c r="G11" s="20"/>
      <c r="H11" s="20"/>
      <c r="I11" s="20"/>
      <c r="J11" s="20"/>
      <c r="K11" s="22">
        <v>1</v>
      </c>
      <c r="L11" s="23">
        <f ca="1">ROUND((M8+M9+M10)*(1+M2/100),2)</f>
        <v>0</v>
      </c>
      <c r="M11" s="23">
        <f ca="1">ROUND(K11*L11,2)</f>
        <v>0</v>
      </c>
    </row>
    <row r="12" spans="1:13" ht="15.4" customHeight="1" thickBot="1">
      <c r="A12" s="24" t="s">
        <v>28</v>
      </c>
      <c r="B12" s="25" t="s">
        <v>16</v>
      </c>
      <c r="C12" s="25" t="s">
        <v>29</v>
      </c>
      <c r="D12" s="65" t="s">
        <v>30</v>
      </c>
      <c r="E12" s="65"/>
      <c r="F12" s="65"/>
      <c r="G12" s="65"/>
      <c r="H12" s="65"/>
      <c r="I12" s="65"/>
      <c r="J12" s="65"/>
      <c r="K12" s="26">
        <f ca="1">ROUND(140,2)</f>
        <v>0</v>
      </c>
      <c r="L12" s="27">
        <f ca="1">L16</f>
        <v>0</v>
      </c>
      <c r="M12" s="27">
        <f ca="1">ROUND(K12*L12,2)</f>
        <v>0</v>
      </c>
    </row>
    <row r="13" spans="1:13" ht="12.2" customHeight="1" thickBot="1">
      <c r="A13" s="19"/>
      <c r="B13" s="19"/>
      <c r="C13" s="19"/>
      <c r="D13" s="64" t="s">
        <v>31</v>
      </c>
      <c r="E13" s="64"/>
      <c r="F13" s="64"/>
      <c r="G13" s="64"/>
      <c r="H13" s="64"/>
      <c r="I13" s="64"/>
      <c r="J13" s="64"/>
      <c r="K13" s="64"/>
      <c r="L13" s="64"/>
      <c r="M13" s="64"/>
    </row>
    <row r="14" spans="1:13" ht="15.2" customHeight="1" thickBot="1">
      <c r="A14" s="5" t="s">
        <v>32</v>
      </c>
      <c r="B14" s="5" t="s">
        <v>21</v>
      </c>
      <c r="C14" s="5" t="s">
        <v>22</v>
      </c>
      <c r="D14" s="64" t="s">
        <v>33</v>
      </c>
      <c r="E14" s="64"/>
      <c r="F14" s="64"/>
      <c r="G14" s="64"/>
      <c r="H14" s="64"/>
      <c r="I14" s="64"/>
      <c r="J14" s="64"/>
      <c r="K14" s="17">
        <v>0.15</v>
      </c>
      <c r="L14" s="17">
        <f ca="1">ROUND(21.59,3)</f>
        <v>0</v>
      </c>
      <c r="M14" s="18">
        <f ca="1">ROUND(K14*L14,2)</f>
        <v>0</v>
      </c>
    </row>
    <row r="15" spans="1:13" ht="15.2" customHeight="1" thickBot="1">
      <c r="A15" s="5" t="s">
        <v>34</v>
      </c>
      <c r="B15" s="5"/>
      <c r="C15" s="5" t="s">
        <v>26</v>
      </c>
      <c r="D15" s="64" t="s">
        <v>35</v>
      </c>
      <c r="E15" s="64"/>
      <c r="F15" s="64"/>
      <c r="G15" s="64"/>
      <c r="H15" s="64"/>
      <c r="I15" s="64"/>
      <c r="J15" s="64"/>
      <c r="K15" s="17">
        <v>1.5</v>
      </c>
      <c r="L15" s="17">
        <f ca="1">ROUND(3.24,3)</f>
        <v>0</v>
      </c>
      <c r="M15" s="18">
        <f ca="1">ROUND((K15*L15)/100,2)</f>
        <v>0</v>
      </c>
    </row>
    <row r="16" spans="1:13" ht="15.4" customHeight="1" thickBot="1">
      <c r="A16" s="20"/>
      <c r="B16" s="20"/>
      <c r="C16" s="20"/>
      <c r="D16" s="21" t="s">
        <v>28</v>
      </c>
      <c r="E16" s="20"/>
      <c r="F16" s="20"/>
      <c r="G16" s="20"/>
      <c r="H16" s="20"/>
      <c r="I16" s="20"/>
      <c r="J16" s="20"/>
      <c r="K16" s="22">
        <v>140</v>
      </c>
      <c r="L16" s="23">
        <f ca="1">ROUND((M14+M15)*(1+M2/100),2)</f>
        <v>0</v>
      </c>
      <c r="M16" s="23">
        <f ca="1">ROUND(K16*L16,2)</f>
        <v>0</v>
      </c>
    </row>
    <row r="17" spans="1:13" ht="15.4" customHeight="1" thickBot="1">
      <c r="A17" s="24" t="s">
        <v>36</v>
      </c>
      <c r="B17" s="25" t="s">
        <v>16</v>
      </c>
      <c r="C17" s="25" t="s">
        <v>29</v>
      </c>
      <c r="D17" s="65" t="s">
        <v>37</v>
      </c>
      <c r="E17" s="65"/>
      <c r="F17" s="65"/>
      <c r="G17" s="65"/>
      <c r="H17" s="65"/>
      <c r="I17" s="65"/>
      <c r="J17" s="65"/>
      <c r="K17" s="26">
        <f ca="1">SUM(K20:K20)</f>
        <v>0</v>
      </c>
      <c r="L17" s="27">
        <f ca="1">L25</f>
        <v>0</v>
      </c>
      <c r="M17" s="27">
        <f ca="1">ROUND(K17*L17,2)</f>
        <v>0</v>
      </c>
    </row>
    <row r="18" spans="1:13" ht="12.2" customHeight="1" thickBot="1">
      <c r="A18" s="19"/>
      <c r="B18" s="19"/>
      <c r="C18" s="19"/>
      <c r="D18" s="64" t="s">
        <v>38</v>
      </c>
      <c r="E18" s="64"/>
      <c r="F18" s="64"/>
      <c r="G18" s="64"/>
      <c r="H18" s="64"/>
      <c r="I18" s="64"/>
      <c r="J18" s="64"/>
      <c r="K18" s="64"/>
      <c r="L18" s="64"/>
      <c r="M18" s="64"/>
    </row>
    <row r="19" spans="1:13" ht="15.2" customHeight="1" thickBot="1">
      <c r="A19" s="19"/>
      <c r="B19" s="19"/>
      <c r="C19" s="19"/>
      <c r="D19" s="19"/>
      <c r="E19" s="28"/>
      <c r="F19" s="29" t="s">
        <v>39</v>
      </c>
      <c r="G19" s="29" t="s">
        <v>40</v>
      </c>
      <c r="H19" s="29" t="s">
        <v>41</v>
      </c>
      <c r="I19" s="29" t="s">
        <v>42</v>
      </c>
      <c r="J19" s="29" t="s">
        <v>43</v>
      </c>
      <c r="K19" s="29" t="s">
        <v>44</v>
      </c>
      <c r="L19" s="19"/>
      <c r="M19" s="19"/>
    </row>
    <row r="20" spans="1:13" ht="15.2" customHeight="1" thickBot="1">
      <c r="A20" s="19"/>
      <c r="B20" s="19"/>
      <c r="C20" s="19"/>
      <c r="D20" s="30"/>
      <c r="E20" s="31"/>
      <c r="F20" s="32">
        <v>1</v>
      </c>
      <c r="G20" s="33">
        <v>50</v>
      </c>
      <c r="H20" s="33">
        <v>0.4</v>
      </c>
      <c r="I20" s="33"/>
      <c r="J20" s="35">
        <f ca="1">ROUND(F20*G20*H20,3)</f>
        <v>0</v>
      </c>
      <c r="K20" s="37">
        <f ca="1">SUM(J20:J20)</f>
        <v>0</v>
      </c>
      <c r="L20" s="19"/>
      <c r="M20" s="19"/>
    </row>
    <row r="21" spans="1:13" ht="15.2" customHeight="1" thickBot="1">
      <c r="A21" s="5" t="s">
        <v>45</v>
      </c>
      <c r="B21" s="5" t="s">
        <v>21</v>
      </c>
      <c r="C21" s="5" t="s">
        <v>22</v>
      </c>
      <c r="D21" s="64" t="s">
        <v>46</v>
      </c>
      <c r="E21" s="64"/>
      <c r="F21" s="64"/>
      <c r="G21" s="64"/>
      <c r="H21" s="64"/>
      <c r="I21" s="64"/>
      <c r="J21" s="64"/>
      <c r="K21" s="17">
        <v>0.42</v>
      </c>
      <c r="L21" s="17">
        <f ca="1">ROUND(21.34,3)</f>
        <v>0</v>
      </c>
      <c r="M21" s="18">
        <f ca="1">ROUND(K21*L21,2)</f>
        <v>0</v>
      </c>
    </row>
    <row r="22" spans="1:13" ht="15.2" customHeight="1" thickBot="1">
      <c r="A22" s="5" t="s">
        <v>47</v>
      </c>
      <c r="B22" s="5" t="s">
        <v>48</v>
      </c>
      <c r="C22" s="5" t="s">
        <v>22</v>
      </c>
      <c r="D22" s="64" t="s">
        <v>49</v>
      </c>
      <c r="E22" s="64"/>
      <c r="F22" s="64"/>
      <c r="G22" s="64"/>
      <c r="H22" s="64"/>
      <c r="I22" s="64"/>
      <c r="J22" s="64"/>
      <c r="K22" s="17">
        <v>0.127</v>
      </c>
      <c r="L22" s="17">
        <f ca="1">ROUND(14.32,3)</f>
        <v>0</v>
      </c>
      <c r="M22" s="18">
        <f ca="1">ROUND(K22*L22,2)</f>
        <v>0</v>
      </c>
    </row>
    <row r="23" spans="1:13" ht="15.2" customHeight="1" thickBot="1">
      <c r="A23" s="5" t="s">
        <v>50</v>
      </c>
      <c r="B23" s="5" t="s">
        <v>48</v>
      </c>
      <c r="C23" s="5" t="s">
        <v>22</v>
      </c>
      <c r="D23" s="64" t="s">
        <v>51</v>
      </c>
      <c r="E23" s="64"/>
      <c r="F23" s="64"/>
      <c r="G23" s="64"/>
      <c r="H23" s="64"/>
      <c r="I23" s="64"/>
      <c r="J23" s="64"/>
      <c r="K23" s="17">
        <v>4.8000000000000001E-2</v>
      </c>
      <c r="L23" s="17">
        <f ca="1">ROUND(54.34,3)</f>
        <v>0</v>
      </c>
      <c r="M23" s="18">
        <f ca="1">ROUND(K23*L23,2)</f>
        <v>0</v>
      </c>
    </row>
    <row r="24" spans="1:13" ht="15.2" customHeight="1" thickBot="1">
      <c r="A24" s="5" t="s">
        <v>34</v>
      </c>
      <c r="B24" s="5"/>
      <c r="C24" s="5" t="s">
        <v>26</v>
      </c>
      <c r="D24" s="64" t="s">
        <v>35</v>
      </c>
      <c r="E24" s="64"/>
      <c r="F24" s="64"/>
      <c r="G24" s="64"/>
      <c r="H24" s="64"/>
      <c r="I24" s="64"/>
      <c r="J24" s="64"/>
      <c r="K24" s="17">
        <v>1.5</v>
      </c>
      <c r="L24" s="17">
        <f ca="1">ROUND(8.96,3)</f>
        <v>0</v>
      </c>
      <c r="M24" s="18">
        <f ca="1">ROUND((K24*L24)/100,2)</f>
        <v>0</v>
      </c>
    </row>
    <row r="25" spans="1:13" ht="15.4" customHeight="1" thickBot="1">
      <c r="A25" s="20"/>
      <c r="B25" s="20"/>
      <c r="C25" s="20"/>
      <c r="D25" s="21" t="s">
        <v>36</v>
      </c>
      <c r="E25" s="20"/>
      <c r="F25" s="20"/>
      <c r="G25" s="20"/>
      <c r="H25" s="20"/>
      <c r="I25" s="20"/>
      <c r="J25" s="20"/>
      <c r="K25" s="22">
        <v>20</v>
      </c>
      <c r="L25" s="23">
        <f ca="1">ROUND((M21+M22+M23+M24)*(1+M2/100),2)</f>
        <v>0</v>
      </c>
      <c r="M25" s="23">
        <f ca="1">ROUND(K25*L25,2)</f>
        <v>0</v>
      </c>
    </row>
    <row r="26" spans="1:13" ht="15.4" customHeight="1" thickBot="1">
      <c r="A26" s="24" t="s">
        <v>52</v>
      </c>
      <c r="B26" s="25" t="s">
        <v>16</v>
      </c>
      <c r="C26" s="25" t="s">
        <v>53</v>
      </c>
      <c r="D26" s="65" t="s">
        <v>54</v>
      </c>
      <c r="E26" s="65"/>
      <c r="F26" s="65"/>
      <c r="G26" s="65"/>
      <c r="H26" s="65"/>
      <c r="I26" s="65"/>
      <c r="J26" s="65"/>
      <c r="K26" s="26">
        <f ca="1">SUM(K29:K29)</f>
        <v>0</v>
      </c>
      <c r="L26" s="27">
        <f ca="1">L31</f>
        <v>0</v>
      </c>
      <c r="M26" s="27">
        <f ca="1">ROUND(K26*L26,2)</f>
        <v>0</v>
      </c>
    </row>
    <row r="27" spans="1:13" ht="21.4" customHeight="1" thickBot="1">
      <c r="A27" s="19"/>
      <c r="B27" s="19"/>
      <c r="C27" s="19"/>
      <c r="D27" s="64" t="s">
        <v>55</v>
      </c>
      <c r="E27" s="64"/>
      <c r="F27" s="64"/>
      <c r="G27" s="64"/>
      <c r="H27" s="64"/>
      <c r="I27" s="64"/>
      <c r="J27" s="64"/>
      <c r="K27" s="64"/>
      <c r="L27" s="64"/>
      <c r="M27" s="64"/>
    </row>
    <row r="28" spans="1:13" ht="15.2" customHeight="1" thickBot="1">
      <c r="A28" s="19"/>
      <c r="B28" s="19"/>
      <c r="C28" s="19"/>
      <c r="D28" s="19"/>
      <c r="E28" s="28"/>
      <c r="F28" s="29" t="s">
        <v>39</v>
      </c>
      <c r="G28" s="29" t="s">
        <v>40</v>
      </c>
      <c r="H28" s="29" t="s">
        <v>41</v>
      </c>
      <c r="I28" s="29" t="s">
        <v>42</v>
      </c>
      <c r="J28" s="29" t="s">
        <v>43</v>
      </c>
      <c r="K28" s="29" t="s">
        <v>44</v>
      </c>
      <c r="L28" s="19"/>
      <c r="M28" s="19"/>
    </row>
    <row r="29" spans="1:13" ht="15.2" customHeight="1" thickBot="1">
      <c r="A29" s="19"/>
      <c r="B29" s="19"/>
      <c r="C29" s="19"/>
      <c r="D29" s="30"/>
      <c r="E29" s="31"/>
      <c r="F29" s="32">
        <v>1</v>
      </c>
      <c r="G29" s="33">
        <v>35</v>
      </c>
      <c r="H29" s="33">
        <v>0.4</v>
      </c>
      <c r="I29" s="33">
        <v>0.5</v>
      </c>
      <c r="J29" s="35">
        <f ca="1">ROUND(F29*G29*H29*I29,3)</f>
        <v>0</v>
      </c>
      <c r="K29" s="37">
        <f ca="1">SUM(J29:J29)</f>
        <v>0</v>
      </c>
      <c r="L29" s="19"/>
      <c r="M29" s="19"/>
    </row>
    <row r="30" spans="1:13" ht="15.2" customHeight="1" thickBot="1">
      <c r="A30" s="5" t="s">
        <v>56</v>
      </c>
      <c r="B30" s="5" t="s">
        <v>48</v>
      </c>
      <c r="C30" s="5" t="s">
        <v>22</v>
      </c>
      <c r="D30" s="64" t="s">
        <v>57</v>
      </c>
      <c r="E30" s="64"/>
      <c r="F30" s="64"/>
      <c r="G30" s="64"/>
      <c r="H30" s="64"/>
      <c r="I30" s="64"/>
      <c r="J30" s="64"/>
      <c r="K30" s="17">
        <v>0.218</v>
      </c>
      <c r="L30" s="17">
        <f ca="1">ROUND(51.67,3)</f>
        <v>0</v>
      </c>
      <c r="M30" s="18">
        <f ca="1">ROUND(K30*L30,2)</f>
        <v>0</v>
      </c>
    </row>
    <row r="31" spans="1:13" ht="15.4" customHeight="1" thickBot="1">
      <c r="A31" s="20"/>
      <c r="B31" s="20"/>
      <c r="C31" s="20"/>
      <c r="D31" s="21" t="s">
        <v>52</v>
      </c>
      <c r="E31" s="20"/>
      <c r="F31" s="20"/>
      <c r="G31" s="20"/>
      <c r="H31" s="20"/>
      <c r="I31" s="20"/>
      <c r="J31" s="20"/>
      <c r="K31" s="22">
        <v>7</v>
      </c>
      <c r="L31" s="23">
        <f ca="1">ROUND((M30)*(1+M2/100),2)</f>
        <v>0</v>
      </c>
      <c r="M31" s="23">
        <f ca="1">ROUND(K31*L31,2)</f>
        <v>0</v>
      </c>
    </row>
    <row r="32" spans="1:13" ht="15.4" customHeight="1" thickBot="1">
      <c r="A32" s="24" t="s">
        <v>58</v>
      </c>
      <c r="B32" s="25" t="s">
        <v>16</v>
      </c>
      <c r="C32" s="25" t="s">
        <v>53</v>
      </c>
      <c r="D32" s="65" t="s">
        <v>59</v>
      </c>
      <c r="E32" s="65"/>
      <c r="F32" s="65"/>
      <c r="G32" s="65"/>
      <c r="H32" s="65"/>
      <c r="I32" s="65"/>
      <c r="J32" s="65"/>
      <c r="K32" s="26">
        <f ca="1">SUM(K35:K35)</f>
        <v>0</v>
      </c>
      <c r="L32" s="27">
        <f ca="1">L38</f>
        <v>0</v>
      </c>
      <c r="M32" s="27">
        <f ca="1">ROUND(K32*L32,2)</f>
        <v>0</v>
      </c>
    </row>
    <row r="33" spans="1:13" ht="21.4" customHeight="1" thickBot="1">
      <c r="A33" s="19"/>
      <c r="B33" s="19"/>
      <c r="C33" s="19"/>
      <c r="D33" s="64" t="s">
        <v>60</v>
      </c>
      <c r="E33" s="64"/>
      <c r="F33" s="64"/>
      <c r="G33" s="64"/>
      <c r="H33" s="64"/>
      <c r="I33" s="64"/>
      <c r="J33" s="64"/>
      <c r="K33" s="64"/>
      <c r="L33" s="64"/>
      <c r="M33" s="64"/>
    </row>
    <row r="34" spans="1:13" ht="15.2" customHeight="1" thickBot="1">
      <c r="A34" s="19"/>
      <c r="B34" s="19"/>
      <c r="C34" s="19"/>
      <c r="D34" s="19"/>
      <c r="E34" s="28"/>
      <c r="F34" s="29" t="s">
        <v>39</v>
      </c>
      <c r="G34" s="29" t="s">
        <v>40</v>
      </c>
      <c r="H34" s="29" t="s">
        <v>41</v>
      </c>
      <c r="I34" s="29" t="s">
        <v>42</v>
      </c>
      <c r="J34" s="29" t="s">
        <v>43</v>
      </c>
      <c r="K34" s="29" t="s">
        <v>44</v>
      </c>
      <c r="L34" s="19"/>
      <c r="M34" s="19"/>
    </row>
    <row r="35" spans="1:13" ht="15.2" customHeight="1" thickBot="1">
      <c r="A35" s="19"/>
      <c r="B35" s="19"/>
      <c r="C35" s="19"/>
      <c r="D35" s="30"/>
      <c r="E35" s="31"/>
      <c r="F35" s="32">
        <v>1</v>
      </c>
      <c r="G35" s="33">
        <v>35</v>
      </c>
      <c r="H35" s="33">
        <v>0.4</v>
      </c>
      <c r="I35" s="33">
        <v>0.4</v>
      </c>
      <c r="J35" s="35">
        <f ca="1">ROUND(F35*G35*H35*I35,3)</f>
        <v>0</v>
      </c>
      <c r="K35" s="37">
        <f ca="1">SUM(J35:J35)</f>
        <v>0</v>
      </c>
      <c r="L35" s="19"/>
      <c r="M35" s="19"/>
    </row>
    <row r="36" spans="1:13" ht="15.2" customHeight="1" thickBot="1">
      <c r="A36" s="5" t="s">
        <v>61</v>
      </c>
      <c r="B36" s="5" t="s">
        <v>48</v>
      </c>
      <c r="C36" s="5" t="s">
        <v>22</v>
      </c>
      <c r="D36" s="64" t="s">
        <v>62</v>
      </c>
      <c r="E36" s="64"/>
      <c r="F36" s="64"/>
      <c r="G36" s="64"/>
      <c r="H36" s="64"/>
      <c r="I36" s="64"/>
      <c r="J36" s="64"/>
      <c r="K36" s="17">
        <v>7.0000000000000001E-3</v>
      </c>
      <c r="L36" s="17">
        <f ca="1">ROUND(98.69,3)</f>
        <v>0</v>
      </c>
      <c r="M36" s="18">
        <f ca="1">ROUND(K36*L36,2)</f>
        <v>0</v>
      </c>
    </row>
    <row r="37" spans="1:13" ht="15.2" customHeight="1" thickBot="1">
      <c r="A37" s="5" t="s">
        <v>63</v>
      </c>
      <c r="B37" s="5" t="s">
        <v>48</v>
      </c>
      <c r="C37" s="5" t="s">
        <v>22</v>
      </c>
      <c r="D37" s="64" t="s">
        <v>64</v>
      </c>
      <c r="E37" s="64"/>
      <c r="F37" s="64"/>
      <c r="G37" s="64"/>
      <c r="H37" s="64"/>
      <c r="I37" s="64"/>
      <c r="J37" s="64"/>
      <c r="K37" s="17">
        <v>3.5999999999999997E-2</v>
      </c>
      <c r="L37" s="17">
        <f ca="1">ROUND(64.01,3)</f>
        <v>0</v>
      </c>
      <c r="M37" s="18">
        <f ca="1">ROUND(K37*L37,2)</f>
        <v>0</v>
      </c>
    </row>
    <row r="38" spans="1:13" ht="15.4" customHeight="1" thickBot="1">
      <c r="A38" s="20"/>
      <c r="B38" s="20"/>
      <c r="C38" s="20"/>
      <c r="D38" s="21" t="s">
        <v>58</v>
      </c>
      <c r="E38" s="20"/>
      <c r="F38" s="20"/>
      <c r="G38" s="20"/>
      <c r="H38" s="20"/>
      <c r="I38" s="20"/>
      <c r="J38" s="20"/>
      <c r="K38" s="22">
        <v>5.6</v>
      </c>
      <c r="L38" s="23">
        <f ca="1">ROUND((M36+M37)*(1+M2/100),2)</f>
        <v>0</v>
      </c>
      <c r="M38" s="23">
        <f ca="1">ROUND(K38*L38,2)</f>
        <v>0</v>
      </c>
    </row>
    <row r="39" spans="1:13" ht="15.4" customHeight="1" thickBot="1">
      <c r="A39" s="24" t="s">
        <v>65</v>
      </c>
      <c r="B39" s="25" t="s">
        <v>16</v>
      </c>
      <c r="C39" s="25" t="s">
        <v>53</v>
      </c>
      <c r="D39" s="65" t="s">
        <v>66</v>
      </c>
      <c r="E39" s="65"/>
      <c r="F39" s="65"/>
      <c r="G39" s="65"/>
      <c r="H39" s="65"/>
      <c r="I39" s="65"/>
      <c r="J39" s="65"/>
      <c r="K39" s="26">
        <f ca="1">ROUND(8,2)</f>
        <v>0</v>
      </c>
      <c r="L39" s="27">
        <f ca="1">L42</f>
        <v>0</v>
      </c>
      <c r="M39" s="27">
        <f ca="1">ROUND(K39*L39,2)</f>
        <v>0</v>
      </c>
    </row>
    <row r="40" spans="1:13" ht="21.4" customHeight="1" thickBot="1">
      <c r="A40" s="19"/>
      <c r="B40" s="19"/>
      <c r="C40" s="19"/>
      <c r="D40" s="64" t="s">
        <v>67</v>
      </c>
      <c r="E40" s="64"/>
      <c r="F40" s="64"/>
      <c r="G40" s="64"/>
      <c r="H40" s="64"/>
      <c r="I40" s="64"/>
      <c r="J40" s="64"/>
      <c r="K40" s="64"/>
      <c r="L40" s="64"/>
      <c r="M40" s="64"/>
    </row>
    <row r="41" spans="1:13" ht="15.2" customHeight="1" thickBot="1">
      <c r="A41" s="5" t="s">
        <v>68</v>
      </c>
      <c r="B41" s="5" t="s">
        <v>69</v>
      </c>
      <c r="C41" s="5" t="s">
        <v>70</v>
      </c>
      <c r="D41" s="64" t="s">
        <v>66</v>
      </c>
      <c r="E41" s="64"/>
      <c r="F41" s="64"/>
      <c r="G41" s="64"/>
      <c r="H41" s="64"/>
      <c r="I41" s="64"/>
      <c r="J41" s="64"/>
      <c r="K41" s="17">
        <v>0.17</v>
      </c>
      <c r="L41" s="17">
        <f ca="1">ROUND(100,3)</f>
        <v>0</v>
      </c>
      <c r="M41" s="18">
        <f ca="1">ROUND(K41*L41,2)</f>
        <v>0</v>
      </c>
    </row>
    <row r="42" spans="1:13" ht="15.4" customHeight="1" thickBot="1">
      <c r="A42" s="20"/>
      <c r="B42" s="20"/>
      <c r="C42" s="20"/>
      <c r="D42" s="21" t="s">
        <v>65</v>
      </c>
      <c r="E42" s="20"/>
      <c r="F42" s="20"/>
      <c r="G42" s="20"/>
      <c r="H42" s="20"/>
      <c r="I42" s="20"/>
      <c r="J42" s="20"/>
      <c r="K42" s="22">
        <v>8</v>
      </c>
      <c r="L42" s="23">
        <f ca="1">ROUND((M41)*(1+M2/100),2)</f>
        <v>0</v>
      </c>
      <c r="M42" s="23">
        <f ca="1">ROUND(K42*L42,2)</f>
        <v>0</v>
      </c>
    </row>
    <row r="43" spans="1:13" ht="15.4" customHeight="1" thickBot="1">
      <c r="A43" s="24" t="s">
        <v>71</v>
      </c>
      <c r="B43" s="25" t="s">
        <v>16</v>
      </c>
      <c r="C43" s="25" t="s">
        <v>53</v>
      </c>
      <c r="D43" s="65" t="s">
        <v>72</v>
      </c>
      <c r="E43" s="65"/>
      <c r="F43" s="65"/>
      <c r="G43" s="65"/>
      <c r="H43" s="65"/>
      <c r="I43" s="65"/>
      <c r="J43" s="65"/>
      <c r="K43" s="26">
        <f ca="1">SUM(K46:K46)</f>
        <v>0</v>
      </c>
      <c r="L43" s="27">
        <f ca="1">L51</f>
        <v>0</v>
      </c>
      <c r="M43" s="27">
        <f ca="1">ROUND(K43*L43,2)</f>
        <v>0</v>
      </c>
    </row>
    <row r="44" spans="1:13" ht="21.4" customHeight="1" thickBot="1">
      <c r="A44" s="19"/>
      <c r="B44" s="19"/>
      <c r="C44" s="19"/>
      <c r="D44" s="64" t="s">
        <v>73</v>
      </c>
      <c r="E44" s="64"/>
      <c r="F44" s="64"/>
      <c r="G44" s="64"/>
      <c r="H44" s="64"/>
      <c r="I44" s="64"/>
      <c r="J44" s="64"/>
      <c r="K44" s="64"/>
      <c r="L44" s="64"/>
      <c r="M44" s="64"/>
    </row>
    <row r="45" spans="1:13" ht="15.2" customHeight="1" thickBot="1">
      <c r="A45" s="19"/>
      <c r="B45" s="19"/>
      <c r="C45" s="19"/>
      <c r="D45" s="19"/>
      <c r="E45" s="28"/>
      <c r="F45" s="29" t="s">
        <v>39</v>
      </c>
      <c r="G45" s="29" t="s">
        <v>40</v>
      </c>
      <c r="H45" s="29" t="s">
        <v>41</v>
      </c>
      <c r="I45" s="29" t="s">
        <v>42</v>
      </c>
      <c r="J45" s="29" t="s">
        <v>43</v>
      </c>
      <c r="K45" s="29" t="s">
        <v>44</v>
      </c>
      <c r="L45" s="19"/>
      <c r="M45" s="19"/>
    </row>
    <row r="46" spans="1:13" ht="15.2" customHeight="1" thickBot="1">
      <c r="A46" s="19"/>
      <c r="B46" s="19"/>
      <c r="C46" s="19"/>
      <c r="D46" s="30"/>
      <c r="E46" s="31"/>
      <c r="F46" s="32">
        <v>1</v>
      </c>
      <c r="G46" s="33">
        <v>35</v>
      </c>
      <c r="H46" s="33">
        <v>0.4</v>
      </c>
      <c r="I46" s="33">
        <v>0.4</v>
      </c>
      <c r="J46" s="35">
        <f ca="1">ROUND(F46*G46*H46*I46,3)</f>
        <v>0</v>
      </c>
      <c r="K46" s="37">
        <f ca="1">SUM(J46:J46)</f>
        <v>0</v>
      </c>
      <c r="L46" s="19"/>
      <c r="M46" s="19"/>
    </row>
    <row r="47" spans="1:13" ht="15.2" customHeight="1" thickBot="1">
      <c r="A47" s="5" t="s">
        <v>45</v>
      </c>
      <c r="B47" s="5" t="s">
        <v>21</v>
      </c>
      <c r="C47" s="5" t="s">
        <v>22</v>
      </c>
      <c r="D47" s="64" t="s">
        <v>46</v>
      </c>
      <c r="E47" s="64"/>
      <c r="F47" s="64"/>
      <c r="G47" s="64"/>
      <c r="H47" s="64"/>
      <c r="I47" s="64"/>
      <c r="J47" s="64"/>
      <c r="K47" s="17">
        <v>0.45</v>
      </c>
      <c r="L47" s="17">
        <f ca="1">ROUND(21.34,3)</f>
        <v>0</v>
      </c>
      <c r="M47" s="18">
        <f ca="1">ROUND(K47*L47,2)</f>
        <v>0</v>
      </c>
    </row>
    <row r="48" spans="1:13" ht="15.2" customHeight="1" thickBot="1">
      <c r="A48" s="5" t="s">
        <v>74</v>
      </c>
      <c r="B48" s="5" t="s">
        <v>48</v>
      </c>
      <c r="C48" s="5" t="s">
        <v>22</v>
      </c>
      <c r="D48" s="64" t="s">
        <v>75</v>
      </c>
      <c r="E48" s="64"/>
      <c r="F48" s="64"/>
      <c r="G48" s="64"/>
      <c r="H48" s="64"/>
      <c r="I48" s="64"/>
      <c r="J48" s="64"/>
      <c r="K48" s="17">
        <v>0.45</v>
      </c>
      <c r="L48" s="17">
        <f ca="1">ROUND(5.49,3)</f>
        <v>0</v>
      </c>
      <c r="M48" s="18">
        <f ca="1">ROUND(K48*L48,2)</f>
        <v>0</v>
      </c>
    </row>
    <row r="49" spans="1:13" ht="15.2" customHeight="1" thickBot="1">
      <c r="A49" s="5" t="s">
        <v>50</v>
      </c>
      <c r="B49" s="5" t="s">
        <v>48</v>
      </c>
      <c r="C49" s="5" t="s">
        <v>22</v>
      </c>
      <c r="D49" s="64" t="s">
        <v>51</v>
      </c>
      <c r="E49" s="64"/>
      <c r="F49" s="64"/>
      <c r="G49" s="64"/>
      <c r="H49" s="64"/>
      <c r="I49" s="64"/>
      <c r="J49" s="64"/>
      <c r="K49" s="17">
        <v>0.121</v>
      </c>
      <c r="L49" s="17">
        <f ca="1">ROUND(54.34,3)</f>
        <v>0</v>
      </c>
      <c r="M49" s="18">
        <f ca="1">ROUND(K49*L49,2)</f>
        <v>0</v>
      </c>
    </row>
    <row r="50" spans="1:13" ht="15.2" customHeight="1" thickBot="1">
      <c r="A50" s="5" t="s">
        <v>34</v>
      </c>
      <c r="B50" s="5"/>
      <c r="C50" s="5" t="s">
        <v>26</v>
      </c>
      <c r="D50" s="64" t="s">
        <v>35</v>
      </c>
      <c r="E50" s="64"/>
      <c r="F50" s="64"/>
      <c r="G50" s="64"/>
      <c r="H50" s="64"/>
      <c r="I50" s="64"/>
      <c r="J50" s="64"/>
      <c r="K50" s="17">
        <v>1.5</v>
      </c>
      <c r="L50" s="17">
        <f ca="1">ROUND(9.6,3)</f>
        <v>0</v>
      </c>
      <c r="M50" s="18">
        <f ca="1">ROUND((K50*L50)/100,2)</f>
        <v>0</v>
      </c>
    </row>
    <row r="51" spans="1:13" ht="15.4" customHeight="1" thickBot="1">
      <c r="A51" s="20"/>
      <c r="B51" s="20"/>
      <c r="C51" s="20"/>
      <c r="D51" s="21" t="s">
        <v>71</v>
      </c>
      <c r="E51" s="20"/>
      <c r="F51" s="20"/>
      <c r="G51" s="20"/>
      <c r="H51" s="20"/>
      <c r="I51" s="20"/>
      <c r="J51" s="20"/>
      <c r="K51" s="22">
        <v>5.6</v>
      </c>
      <c r="L51" s="23">
        <f ca="1">ROUND((M47+M48+M49+M50)*(1+M2/100),2)</f>
        <v>0</v>
      </c>
      <c r="M51" s="23">
        <f ca="1">ROUND(K51*L51,2)</f>
        <v>0</v>
      </c>
    </row>
    <row r="52" spans="1:13" ht="15.4" customHeight="1" thickBot="1">
      <c r="A52" s="38"/>
      <c r="B52" s="38"/>
      <c r="C52" s="38"/>
      <c r="D52" s="39" t="s">
        <v>13</v>
      </c>
      <c r="E52" s="40"/>
      <c r="F52" s="40"/>
      <c r="G52" s="40"/>
      <c r="H52" s="40"/>
      <c r="I52" s="40"/>
      <c r="J52" s="40"/>
      <c r="K52" s="40"/>
      <c r="L52" s="41">
        <f ca="1">M6+M12+M17+M26+M32+M39+M43</f>
        <v>0</v>
      </c>
      <c r="M52" s="41">
        <f ca="1">ROUND(L52,2)</f>
        <v>0</v>
      </c>
    </row>
    <row r="53" spans="1:13" ht="15.4" customHeight="1" thickBot="1">
      <c r="A53" s="42" t="s">
        <v>76</v>
      </c>
      <c r="B53" s="42" t="s">
        <v>12</v>
      </c>
      <c r="C53" s="43"/>
      <c r="D53" s="66" t="s">
        <v>77</v>
      </c>
      <c r="E53" s="66"/>
      <c r="F53" s="66"/>
      <c r="G53" s="66"/>
      <c r="H53" s="66"/>
      <c r="I53" s="66"/>
      <c r="J53" s="66"/>
      <c r="K53" s="43"/>
      <c r="L53" s="44">
        <f ca="1">L252</f>
        <v>0</v>
      </c>
      <c r="M53" s="44">
        <f ca="1">ROUND(L53,2)</f>
        <v>0</v>
      </c>
    </row>
    <row r="54" spans="1:13" ht="15.4" customHeight="1" thickBot="1">
      <c r="A54" s="45" t="s">
        <v>78</v>
      </c>
      <c r="B54" s="45" t="s">
        <v>12</v>
      </c>
      <c r="C54" s="46"/>
      <c r="D54" s="67" t="s">
        <v>79</v>
      </c>
      <c r="E54" s="67"/>
      <c r="F54" s="67"/>
      <c r="G54" s="67"/>
      <c r="H54" s="67"/>
      <c r="I54" s="67"/>
      <c r="J54" s="67"/>
      <c r="K54" s="46"/>
      <c r="L54" s="47">
        <f ca="1">L143</f>
        <v>0</v>
      </c>
      <c r="M54" s="47">
        <f ca="1">ROUND(L54,2)</f>
        <v>0</v>
      </c>
    </row>
    <row r="55" spans="1:13" ht="15.4" customHeight="1" thickBot="1">
      <c r="A55" s="10" t="s">
        <v>80</v>
      </c>
      <c r="B55" s="5" t="s">
        <v>16</v>
      </c>
      <c r="C55" s="5" t="s">
        <v>81</v>
      </c>
      <c r="D55" s="64" t="s">
        <v>82</v>
      </c>
      <c r="E55" s="64"/>
      <c r="F55" s="64"/>
      <c r="G55" s="64"/>
      <c r="H55" s="64"/>
      <c r="I55" s="64"/>
      <c r="J55" s="64"/>
      <c r="K55" s="17">
        <f ca="1">ROUND(1,2)</f>
        <v>0</v>
      </c>
      <c r="L55" s="18">
        <f ca="1">ROUND(1165.049*(1+M2/100),2)</f>
        <v>0</v>
      </c>
      <c r="M55" s="18">
        <f ca="1">ROUND(K55*L55,2)</f>
        <v>0</v>
      </c>
    </row>
    <row r="56" spans="1:13" ht="49.15" customHeight="1" thickBot="1">
      <c r="A56" s="19"/>
      <c r="B56" s="19"/>
      <c r="C56" s="19"/>
      <c r="D56" s="64" t="s">
        <v>83</v>
      </c>
      <c r="E56" s="64"/>
      <c r="F56" s="64"/>
      <c r="G56" s="64"/>
      <c r="H56" s="64"/>
      <c r="I56" s="64"/>
      <c r="J56" s="64"/>
      <c r="K56" s="64"/>
      <c r="L56" s="64"/>
      <c r="M56" s="64"/>
    </row>
    <row r="57" spans="1:13" ht="15.4" customHeight="1" thickBot="1">
      <c r="A57" s="10" t="s">
        <v>84</v>
      </c>
      <c r="B57" s="5" t="s">
        <v>16</v>
      </c>
      <c r="C57" s="5" t="s">
        <v>85</v>
      </c>
      <c r="D57" s="64" t="s">
        <v>86</v>
      </c>
      <c r="E57" s="64"/>
      <c r="F57" s="64"/>
      <c r="G57" s="64"/>
      <c r="H57" s="64"/>
      <c r="I57" s="64"/>
      <c r="J57" s="64"/>
      <c r="K57" s="17">
        <f ca="1">ROUND(1,2)</f>
        <v>0</v>
      </c>
      <c r="L57" s="18">
        <f ca="1">L63</f>
        <v>0</v>
      </c>
      <c r="M57" s="18">
        <f ca="1">ROUND(K57*L57,2)</f>
        <v>0</v>
      </c>
    </row>
    <row r="58" spans="1:13" ht="39.75" customHeight="1" thickBot="1">
      <c r="A58" s="19"/>
      <c r="B58" s="19"/>
      <c r="C58" s="19"/>
      <c r="D58" s="64" t="s">
        <v>87</v>
      </c>
      <c r="E58" s="64"/>
      <c r="F58" s="64"/>
      <c r="G58" s="64"/>
      <c r="H58" s="64"/>
      <c r="I58" s="64"/>
      <c r="J58" s="64"/>
      <c r="K58" s="64"/>
      <c r="L58" s="64"/>
      <c r="M58" s="64"/>
    </row>
    <row r="59" spans="1:13" ht="15.2" customHeight="1" thickBot="1">
      <c r="A59" s="5" t="s">
        <v>88</v>
      </c>
      <c r="B59" s="5" t="s">
        <v>21</v>
      </c>
      <c r="C59" s="5" t="s">
        <v>22</v>
      </c>
      <c r="D59" s="64" t="s">
        <v>89</v>
      </c>
      <c r="E59" s="64"/>
      <c r="F59" s="64"/>
      <c r="G59" s="64"/>
      <c r="H59" s="64"/>
      <c r="I59" s="64"/>
      <c r="J59" s="64"/>
      <c r="K59" s="17">
        <v>1.5</v>
      </c>
      <c r="L59" s="17">
        <f ca="1">ROUND(24.23,3)</f>
        <v>0</v>
      </c>
      <c r="M59" s="18">
        <f ca="1">ROUND(K59*L59,2)</f>
        <v>0</v>
      </c>
    </row>
    <row r="60" spans="1:13" ht="15.2" customHeight="1" thickBot="1">
      <c r="A60" s="5" t="s">
        <v>90</v>
      </c>
      <c r="B60" s="5" t="s">
        <v>21</v>
      </c>
      <c r="C60" s="5" t="s">
        <v>22</v>
      </c>
      <c r="D60" s="64" t="s">
        <v>91</v>
      </c>
      <c r="E60" s="64"/>
      <c r="F60" s="64"/>
      <c r="G60" s="64"/>
      <c r="H60" s="64"/>
      <c r="I60" s="64"/>
      <c r="J60" s="64"/>
      <c r="K60" s="17">
        <v>1.5</v>
      </c>
      <c r="L60" s="17">
        <f ca="1">ROUND(28.11,3)</f>
        <v>0</v>
      </c>
      <c r="M60" s="18">
        <f ca="1">ROUND(K60*L60,2)</f>
        <v>0</v>
      </c>
    </row>
    <row r="61" spans="1:13" ht="15.2" customHeight="1" thickBot="1">
      <c r="A61" s="5" t="s">
        <v>92</v>
      </c>
      <c r="B61" s="5" t="s">
        <v>69</v>
      </c>
      <c r="C61" s="5" t="s">
        <v>85</v>
      </c>
      <c r="D61" s="64" t="s">
        <v>93</v>
      </c>
      <c r="E61" s="64"/>
      <c r="F61" s="64"/>
      <c r="G61" s="64"/>
      <c r="H61" s="64"/>
      <c r="I61" s="64"/>
      <c r="J61" s="64"/>
      <c r="K61" s="17">
        <v>1</v>
      </c>
      <c r="L61" s="17">
        <f ca="1">ROUND(543.33,3)</f>
        <v>0</v>
      </c>
      <c r="M61" s="18">
        <f ca="1">ROUND(K61*L61,2)</f>
        <v>0</v>
      </c>
    </row>
    <row r="62" spans="1:13" ht="15.2" customHeight="1" thickBot="1">
      <c r="A62" s="5" t="s">
        <v>34</v>
      </c>
      <c r="B62" s="5"/>
      <c r="C62" s="5" t="s">
        <v>26</v>
      </c>
      <c r="D62" s="64" t="s">
        <v>35</v>
      </c>
      <c r="E62" s="64"/>
      <c r="F62" s="64"/>
      <c r="G62" s="64"/>
      <c r="H62" s="64"/>
      <c r="I62" s="64"/>
      <c r="J62" s="64"/>
      <c r="K62" s="17">
        <v>1.5</v>
      </c>
      <c r="L62" s="17">
        <f ca="1">ROUND(78.52,3)</f>
        <v>0</v>
      </c>
      <c r="M62" s="18">
        <f ca="1">ROUND((K62*L62)/100,2)</f>
        <v>0</v>
      </c>
    </row>
    <row r="63" spans="1:13" ht="15.4" customHeight="1" thickBot="1">
      <c r="A63" s="20"/>
      <c r="B63" s="20"/>
      <c r="C63" s="20"/>
      <c r="D63" s="21" t="s">
        <v>84</v>
      </c>
      <c r="E63" s="20"/>
      <c r="F63" s="20"/>
      <c r="G63" s="20"/>
      <c r="H63" s="20"/>
      <c r="I63" s="20"/>
      <c r="J63" s="20"/>
      <c r="K63" s="22">
        <v>1</v>
      </c>
      <c r="L63" s="23">
        <f ca="1">ROUND((M59+M60+M61+M62)*(1+M2/100),2)</f>
        <v>0</v>
      </c>
      <c r="M63" s="23">
        <f ca="1">ROUND(K63*L63,2)</f>
        <v>0</v>
      </c>
    </row>
    <row r="64" spans="1:13" ht="15.4" customHeight="1" thickBot="1">
      <c r="A64" s="24" t="s">
        <v>94</v>
      </c>
      <c r="B64" s="25" t="s">
        <v>16</v>
      </c>
      <c r="C64" s="25" t="s">
        <v>85</v>
      </c>
      <c r="D64" s="65" t="s">
        <v>95</v>
      </c>
      <c r="E64" s="65"/>
      <c r="F64" s="65"/>
      <c r="G64" s="65"/>
      <c r="H64" s="65"/>
      <c r="I64" s="65"/>
      <c r="J64" s="65"/>
      <c r="K64" s="26">
        <f ca="1">ROUND(1,2)</f>
        <v>0</v>
      </c>
      <c r="L64" s="27">
        <f ca="1">L71</f>
        <v>0</v>
      </c>
      <c r="M64" s="27">
        <f ca="1">ROUND(K64*L64,2)</f>
        <v>0</v>
      </c>
    </row>
    <row r="65" spans="1:13" ht="12.2" customHeight="1" thickBot="1">
      <c r="A65" s="19"/>
      <c r="B65" s="19"/>
      <c r="C65" s="19"/>
      <c r="D65" s="64" t="s">
        <v>96</v>
      </c>
      <c r="E65" s="64"/>
      <c r="F65" s="64"/>
      <c r="G65" s="64"/>
      <c r="H65" s="64"/>
      <c r="I65" s="64"/>
      <c r="J65" s="64"/>
      <c r="K65" s="64"/>
      <c r="L65" s="64"/>
      <c r="M65" s="64"/>
    </row>
    <row r="66" spans="1:13" ht="15.2" customHeight="1" thickBot="1">
      <c r="A66" s="5" t="s">
        <v>88</v>
      </c>
      <c r="B66" s="5" t="s">
        <v>21</v>
      </c>
      <c r="C66" s="5" t="s">
        <v>22</v>
      </c>
      <c r="D66" s="64" t="s">
        <v>89</v>
      </c>
      <c r="E66" s="64"/>
      <c r="F66" s="64"/>
      <c r="G66" s="64"/>
      <c r="H66" s="64"/>
      <c r="I66" s="64"/>
      <c r="J66" s="64"/>
      <c r="K66" s="17">
        <v>2.5000000000000001E-2</v>
      </c>
      <c r="L66" s="17">
        <f ca="1">ROUND(24.23,3)</f>
        <v>0</v>
      </c>
      <c r="M66" s="18">
        <f ca="1">ROUND(K66*L66,2)</f>
        <v>0</v>
      </c>
    </row>
    <row r="67" spans="1:13" ht="15.2" customHeight="1" thickBot="1">
      <c r="A67" s="5" t="s">
        <v>90</v>
      </c>
      <c r="B67" s="5" t="s">
        <v>21</v>
      </c>
      <c r="C67" s="5" t="s">
        <v>22</v>
      </c>
      <c r="D67" s="64" t="s">
        <v>91</v>
      </c>
      <c r="E67" s="64"/>
      <c r="F67" s="64"/>
      <c r="G67" s="64"/>
      <c r="H67" s="64"/>
      <c r="I67" s="64"/>
      <c r="J67" s="64"/>
      <c r="K67" s="17">
        <v>2.5000000000000001E-2</v>
      </c>
      <c r="L67" s="17">
        <f ca="1">ROUND(28.11,3)</f>
        <v>0</v>
      </c>
      <c r="M67" s="18">
        <f ca="1">ROUND(K67*L67,2)</f>
        <v>0</v>
      </c>
    </row>
    <row r="68" spans="1:13" ht="15.2" customHeight="1" thickBot="1">
      <c r="A68" s="5" t="s">
        <v>97</v>
      </c>
      <c r="B68" s="5" t="s">
        <v>69</v>
      </c>
      <c r="C68" s="5" t="s">
        <v>85</v>
      </c>
      <c r="D68" s="64" t="s">
        <v>98</v>
      </c>
      <c r="E68" s="64"/>
      <c r="F68" s="64"/>
      <c r="G68" s="64"/>
      <c r="H68" s="64"/>
      <c r="I68" s="64"/>
      <c r="J68" s="64"/>
      <c r="K68" s="17">
        <v>1</v>
      </c>
      <c r="L68" s="17">
        <f ca="1">ROUND(180.39,3)</f>
        <v>0</v>
      </c>
      <c r="M68" s="18">
        <f ca="1">ROUND(K68*L68,2)</f>
        <v>0</v>
      </c>
    </row>
    <row r="69" spans="1:13" ht="15.2" customHeight="1" thickBot="1">
      <c r="A69" s="5" t="s">
        <v>99</v>
      </c>
      <c r="B69" s="5" t="s">
        <v>69</v>
      </c>
      <c r="C69" s="5" t="s">
        <v>85</v>
      </c>
      <c r="D69" s="64" t="s">
        <v>100</v>
      </c>
      <c r="E69" s="64"/>
      <c r="F69" s="64"/>
      <c r="G69" s="64"/>
      <c r="H69" s="64"/>
      <c r="I69" s="64"/>
      <c r="J69" s="64"/>
      <c r="K69" s="17">
        <v>1</v>
      </c>
      <c r="L69" s="17">
        <f ca="1">ROUND(1.44,3)</f>
        <v>0</v>
      </c>
      <c r="M69" s="18">
        <f ca="1">ROUND(K69*L69,2)</f>
        <v>0</v>
      </c>
    </row>
    <row r="70" spans="1:13" ht="15.2" customHeight="1" thickBot="1">
      <c r="A70" s="5" t="s">
        <v>34</v>
      </c>
      <c r="B70" s="5"/>
      <c r="C70" s="5" t="s">
        <v>26</v>
      </c>
      <c r="D70" s="64" t="s">
        <v>35</v>
      </c>
      <c r="E70" s="64"/>
      <c r="F70" s="64"/>
      <c r="G70" s="64"/>
      <c r="H70" s="64"/>
      <c r="I70" s="64"/>
      <c r="J70" s="64"/>
      <c r="K70" s="17">
        <v>1.5</v>
      </c>
      <c r="L70" s="17">
        <f ca="1">ROUND(1.31,3)</f>
        <v>0</v>
      </c>
      <c r="M70" s="18">
        <f ca="1">ROUND((K70*L70)/100,2)</f>
        <v>0</v>
      </c>
    </row>
    <row r="71" spans="1:13" ht="15.4" customHeight="1" thickBot="1">
      <c r="A71" s="20"/>
      <c r="B71" s="20"/>
      <c r="C71" s="20"/>
      <c r="D71" s="21" t="s">
        <v>94</v>
      </c>
      <c r="E71" s="20"/>
      <c r="F71" s="20"/>
      <c r="G71" s="20"/>
      <c r="H71" s="20"/>
      <c r="I71" s="20"/>
      <c r="J71" s="20"/>
      <c r="K71" s="22">
        <v>1</v>
      </c>
      <c r="L71" s="23">
        <f ca="1">ROUND((M66+M67+M68+M69+M70)*(1+M2/100),2)</f>
        <v>0</v>
      </c>
      <c r="M71" s="23">
        <f ca="1">ROUND(K71*L71,2)</f>
        <v>0</v>
      </c>
    </row>
    <row r="72" spans="1:13" ht="15.4" customHeight="1" thickBot="1">
      <c r="A72" s="24" t="s">
        <v>101</v>
      </c>
      <c r="B72" s="25" t="s">
        <v>16</v>
      </c>
      <c r="C72" s="25" t="s">
        <v>85</v>
      </c>
      <c r="D72" s="65" t="s">
        <v>102</v>
      </c>
      <c r="E72" s="65"/>
      <c r="F72" s="65"/>
      <c r="G72" s="65"/>
      <c r="H72" s="65"/>
      <c r="I72" s="65"/>
      <c r="J72" s="65"/>
      <c r="K72" s="26">
        <f ca="1">ROUND(1,2)</f>
        <v>0</v>
      </c>
      <c r="L72" s="27">
        <f ca="1">L79</f>
        <v>0</v>
      </c>
      <c r="M72" s="27">
        <f ca="1">ROUND(K72*L72,2)</f>
        <v>0</v>
      </c>
    </row>
    <row r="73" spans="1:13" ht="12.2" customHeight="1" thickBot="1">
      <c r="A73" s="19"/>
      <c r="B73" s="19"/>
      <c r="C73" s="19"/>
      <c r="D73" s="64" t="s">
        <v>103</v>
      </c>
      <c r="E73" s="64"/>
      <c r="F73" s="64"/>
      <c r="G73" s="64"/>
      <c r="H73" s="64"/>
      <c r="I73" s="64"/>
      <c r="J73" s="64"/>
      <c r="K73" s="64"/>
      <c r="L73" s="64"/>
      <c r="M73" s="64"/>
    </row>
    <row r="74" spans="1:13" ht="15.2" customHeight="1" thickBot="1">
      <c r="A74" s="5" t="s">
        <v>88</v>
      </c>
      <c r="B74" s="5" t="s">
        <v>21</v>
      </c>
      <c r="C74" s="5" t="s">
        <v>22</v>
      </c>
      <c r="D74" s="64" t="s">
        <v>89</v>
      </c>
      <c r="E74" s="64"/>
      <c r="F74" s="64"/>
      <c r="G74" s="64"/>
      <c r="H74" s="64"/>
      <c r="I74" s="64"/>
      <c r="J74" s="64"/>
      <c r="K74" s="17">
        <v>0.2</v>
      </c>
      <c r="L74" s="17">
        <f ca="1">ROUND(24.23,3)</f>
        <v>0</v>
      </c>
      <c r="M74" s="18">
        <f ca="1">ROUND(K74*L74,2)</f>
        <v>0</v>
      </c>
    </row>
    <row r="75" spans="1:13" ht="15.2" customHeight="1" thickBot="1">
      <c r="A75" s="5" t="s">
        <v>90</v>
      </c>
      <c r="B75" s="5" t="s">
        <v>21</v>
      </c>
      <c r="C75" s="5" t="s">
        <v>22</v>
      </c>
      <c r="D75" s="64" t="s">
        <v>91</v>
      </c>
      <c r="E75" s="64"/>
      <c r="F75" s="64"/>
      <c r="G75" s="64"/>
      <c r="H75" s="64"/>
      <c r="I75" s="64"/>
      <c r="J75" s="64"/>
      <c r="K75" s="17">
        <v>0.3</v>
      </c>
      <c r="L75" s="17">
        <f ca="1">ROUND(28.11,3)</f>
        <v>0</v>
      </c>
      <c r="M75" s="18">
        <f ca="1">ROUND(K75*L75,2)</f>
        <v>0</v>
      </c>
    </row>
    <row r="76" spans="1:13" ht="15.2" customHeight="1" thickBot="1">
      <c r="A76" s="5" t="s">
        <v>104</v>
      </c>
      <c r="B76" s="5" t="s">
        <v>69</v>
      </c>
      <c r="C76" s="5" t="s">
        <v>85</v>
      </c>
      <c r="D76" s="64" t="s">
        <v>105</v>
      </c>
      <c r="E76" s="64"/>
      <c r="F76" s="64"/>
      <c r="G76" s="64"/>
      <c r="H76" s="64"/>
      <c r="I76" s="64"/>
      <c r="J76" s="64"/>
      <c r="K76" s="17">
        <v>1</v>
      </c>
      <c r="L76" s="17">
        <f ca="1">ROUND(154.78,3)</f>
        <v>0</v>
      </c>
      <c r="M76" s="18">
        <f ca="1">ROUND(K76*L76,2)</f>
        <v>0</v>
      </c>
    </row>
    <row r="77" spans="1:13" ht="15.2" customHeight="1" thickBot="1">
      <c r="A77" s="5" t="s">
        <v>106</v>
      </c>
      <c r="B77" s="5" t="s">
        <v>69</v>
      </c>
      <c r="C77" s="5" t="s">
        <v>85</v>
      </c>
      <c r="D77" s="64" t="s">
        <v>107</v>
      </c>
      <c r="E77" s="64"/>
      <c r="F77" s="64"/>
      <c r="G77" s="64"/>
      <c r="H77" s="64"/>
      <c r="I77" s="64"/>
      <c r="J77" s="64"/>
      <c r="K77" s="17">
        <v>1</v>
      </c>
      <c r="L77" s="17">
        <f ca="1">ROUND(0.45,3)</f>
        <v>0</v>
      </c>
      <c r="M77" s="18">
        <f ca="1">ROUND(K77*L77,2)</f>
        <v>0</v>
      </c>
    </row>
    <row r="78" spans="1:13" ht="15.2" customHeight="1" thickBot="1">
      <c r="A78" s="5" t="s">
        <v>34</v>
      </c>
      <c r="B78" s="5"/>
      <c r="C78" s="5" t="s">
        <v>26</v>
      </c>
      <c r="D78" s="64" t="s">
        <v>35</v>
      </c>
      <c r="E78" s="64"/>
      <c r="F78" s="64"/>
      <c r="G78" s="64"/>
      <c r="H78" s="64"/>
      <c r="I78" s="64"/>
      <c r="J78" s="64"/>
      <c r="K78" s="17">
        <v>1.5</v>
      </c>
      <c r="L78" s="17">
        <f ca="1">ROUND(13.28,3)</f>
        <v>0</v>
      </c>
      <c r="M78" s="18">
        <f ca="1">ROUND((K78*L78)/100,2)</f>
        <v>0</v>
      </c>
    </row>
    <row r="79" spans="1:13" ht="15.4" customHeight="1" thickBot="1">
      <c r="A79" s="20"/>
      <c r="B79" s="20"/>
      <c r="C79" s="20"/>
      <c r="D79" s="21" t="s">
        <v>101</v>
      </c>
      <c r="E79" s="20"/>
      <c r="F79" s="20"/>
      <c r="G79" s="20"/>
      <c r="H79" s="20"/>
      <c r="I79" s="20"/>
      <c r="J79" s="20"/>
      <c r="K79" s="22">
        <v>1</v>
      </c>
      <c r="L79" s="23">
        <f ca="1">ROUND((M74+M75+M76+M77+M78)*(1+M2/100),2)</f>
        <v>0</v>
      </c>
      <c r="M79" s="23">
        <f ca="1">ROUND(K79*L79,2)</f>
        <v>0</v>
      </c>
    </row>
    <row r="80" spans="1:13" ht="15.4" customHeight="1" thickBot="1">
      <c r="A80" s="24" t="s">
        <v>108</v>
      </c>
      <c r="B80" s="25" t="s">
        <v>16</v>
      </c>
      <c r="C80" s="25" t="s">
        <v>85</v>
      </c>
      <c r="D80" s="65" t="s">
        <v>109</v>
      </c>
      <c r="E80" s="65"/>
      <c r="F80" s="65"/>
      <c r="G80" s="65"/>
      <c r="H80" s="65"/>
      <c r="I80" s="65"/>
      <c r="J80" s="65"/>
      <c r="K80" s="26">
        <f ca="1">ROUND(2,2)</f>
        <v>0</v>
      </c>
      <c r="L80" s="27">
        <f ca="1">L87</f>
        <v>0</v>
      </c>
      <c r="M80" s="27">
        <f ca="1">ROUND(K80*L80,2)</f>
        <v>0</v>
      </c>
    </row>
    <row r="81" spans="1:13" ht="21.4" customHeight="1" thickBot="1">
      <c r="A81" s="19"/>
      <c r="B81" s="19"/>
      <c r="C81" s="19"/>
      <c r="D81" s="64" t="s">
        <v>110</v>
      </c>
      <c r="E81" s="64"/>
      <c r="F81" s="64"/>
      <c r="G81" s="64"/>
      <c r="H81" s="64"/>
      <c r="I81" s="64"/>
      <c r="J81" s="64"/>
      <c r="K81" s="64"/>
      <c r="L81" s="64"/>
      <c r="M81" s="64"/>
    </row>
    <row r="82" spans="1:13" ht="15.2" customHeight="1" thickBot="1">
      <c r="A82" s="5" t="s">
        <v>88</v>
      </c>
      <c r="B82" s="5" t="s">
        <v>21</v>
      </c>
      <c r="C82" s="5" t="s">
        <v>22</v>
      </c>
      <c r="D82" s="64" t="s">
        <v>89</v>
      </c>
      <c r="E82" s="64"/>
      <c r="F82" s="64"/>
      <c r="G82" s="64"/>
      <c r="H82" s="64"/>
      <c r="I82" s="64"/>
      <c r="J82" s="64"/>
      <c r="K82" s="17">
        <v>0.2</v>
      </c>
      <c r="L82" s="17">
        <f ca="1">ROUND(24.23,3)</f>
        <v>0</v>
      </c>
      <c r="M82" s="18">
        <f ca="1">ROUND(K82*L82,2)</f>
        <v>0</v>
      </c>
    </row>
    <row r="83" spans="1:13" ht="15.2" customHeight="1" thickBot="1">
      <c r="A83" s="5" t="s">
        <v>90</v>
      </c>
      <c r="B83" s="5" t="s">
        <v>21</v>
      </c>
      <c r="C83" s="5" t="s">
        <v>22</v>
      </c>
      <c r="D83" s="64" t="s">
        <v>91</v>
      </c>
      <c r="E83" s="64"/>
      <c r="F83" s="64"/>
      <c r="G83" s="64"/>
      <c r="H83" s="64"/>
      <c r="I83" s="64"/>
      <c r="J83" s="64"/>
      <c r="K83" s="17">
        <v>0.33</v>
      </c>
      <c r="L83" s="17">
        <f ca="1">ROUND(28.11,3)</f>
        <v>0</v>
      </c>
      <c r="M83" s="18">
        <f ca="1">ROUND(K83*L83,2)</f>
        <v>0</v>
      </c>
    </row>
    <row r="84" spans="1:13" ht="15.2" customHeight="1" thickBot="1">
      <c r="A84" s="5" t="s">
        <v>111</v>
      </c>
      <c r="B84" s="5" t="s">
        <v>69</v>
      </c>
      <c r="C84" s="5" t="s">
        <v>85</v>
      </c>
      <c r="D84" s="64" t="s">
        <v>112</v>
      </c>
      <c r="E84" s="64"/>
      <c r="F84" s="64"/>
      <c r="G84" s="64"/>
      <c r="H84" s="64"/>
      <c r="I84" s="64"/>
      <c r="J84" s="64"/>
      <c r="K84" s="17">
        <v>1</v>
      </c>
      <c r="L84" s="17">
        <f ca="1">ROUND(241.84,3)</f>
        <v>0</v>
      </c>
      <c r="M84" s="18">
        <f ca="1">ROUND(K84*L84,2)</f>
        <v>0</v>
      </c>
    </row>
    <row r="85" spans="1:13" ht="15.2" customHeight="1" thickBot="1">
      <c r="A85" s="5" t="s">
        <v>113</v>
      </c>
      <c r="B85" s="5" t="s">
        <v>69</v>
      </c>
      <c r="C85" s="5" t="s">
        <v>85</v>
      </c>
      <c r="D85" s="64" t="s">
        <v>114</v>
      </c>
      <c r="E85" s="64"/>
      <c r="F85" s="64"/>
      <c r="G85" s="64"/>
      <c r="H85" s="64"/>
      <c r="I85" s="64"/>
      <c r="J85" s="64"/>
      <c r="K85" s="17">
        <v>1</v>
      </c>
      <c r="L85" s="17">
        <f ca="1">ROUND(0.45,3)</f>
        <v>0</v>
      </c>
      <c r="M85" s="18">
        <f ca="1">ROUND(K85*L85,2)</f>
        <v>0</v>
      </c>
    </row>
    <row r="86" spans="1:13" ht="15.2" customHeight="1" thickBot="1">
      <c r="A86" s="5" t="s">
        <v>34</v>
      </c>
      <c r="B86" s="5"/>
      <c r="C86" s="5" t="s">
        <v>26</v>
      </c>
      <c r="D86" s="64" t="s">
        <v>35</v>
      </c>
      <c r="E86" s="64"/>
      <c r="F86" s="64"/>
      <c r="G86" s="64"/>
      <c r="H86" s="64"/>
      <c r="I86" s="64"/>
      <c r="J86" s="64"/>
      <c r="K86" s="17">
        <v>1.5</v>
      </c>
      <c r="L86" s="17">
        <f ca="1">ROUND(14.13,3)</f>
        <v>0</v>
      </c>
      <c r="M86" s="18">
        <f ca="1">ROUND((K86*L86)/100,2)</f>
        <v>0</v>
      </c>
    </row>
    <row r="87" spans="1:13" ht="15.4" customHeight="1" thickBot="1">
      <c r="A87" s="20"/>
      <c r="B87" s="20"/>
      <c r="C87" s="20"/>
      <c r="D87" s="21" t="s">
        <v>108</v>
      </c>
      <c r="E87" s="20"/>
      <c r="F87" s="20"/>
      <c r="G87" s="20"/>
      <c r="H87" s="20"/>
      <c r="I87" s="20"/>
      <c r="J87" s="20"/>
      <c r="K87" s="22">
        <v>2</v>
      </c>
      <c r="L87" s="23">
        <f ca="1">ROUND((M82+M83+M84+M85+M86)*(1+M2/100),2)</f>
        <v>0</v>
      </c>
      <c r="M87" s="23">
        <f ca="1">ROUND(K87*L87,2)</f>
        <v>0</v>
      </c>
    </row>
    <row r="88" spans="1:13" ht="15.4" customHeight="1" thickBot="1">
      <c r="A88" s="24" t="s">
        <v>115</v>
      </c>
      <c r="B88" s="25" t="s">
        <v>16</v>
      </c>
      <c r="C88" s="25" t="s">
        <v>85</v>
      </c>
      <c r="D88" s="65" t="s">
        <v>116</v>
      </c>
      <c r="E88" s="65"/>
      <c r="F88" s="65"/>
      <c r="G88" s="65"/>
      <c r="H88" s="65"/>
      <c r="I88" s="65"/>
      <c r="J88" s="65"/>
      <c r="K88" s="26">
        <f ca="1">ROUND(0,2)</f>
        <v>0</v>
      </c>
      <c r="L88" s="27">
        <f ca="1">L95</f>
        <v>0</v>
      </c>
      <c r="M88" s="27">
        <f ca="1">ROUND(K88*L88,2)</f>
        <v>0</v>
      </c>
    </row>
    <row r="89" spans="1:13" ht="21.4" customHeight="1" thickBot="1">
      <c r="A89" s="19"/>
      <c r="B89" s="19"/>
      <c r="C89" s="19"/>
      <c r="D89" s="64" t="s">
        <v>117</v>
      </c>
      <c r="E89" s="64"/>
      <c r="F89" s="64"/>
      <c r="G89" s="64"/>
      <c r="H89" s="64"/>
      <c r="I89" s="64"/>
      <c r="J89" s="64"/>
      <c r="K89" s="64"/>
      <c r="L89" s="64"/>
      <c r="M89" s="64"/>
    </row>
    <row r="90" spans="1:13" ht="15.2" customHeight="1" thickBot="1">
      <c r="A90" s="5" t="s">
        <v>88</v>
      </c>
      <c r="B90" s="5" t="s">
        <v>21</v>
      </c>
      <c r="C90" s="5" t="s">
        <v>22</v>
      </c>
      <c r="D90" s="64" t="s">
        <v>89</v>
      </c>
      <c r="E90" s="64"/>
      <c r="F90" s="64"/>
      <c r="G90" s="64"/>
      <c r="H90" s="64"/>
      <c r="I90" s="64"/>
      <c r="J90" s="64"/>
      <c r="K90" s="17">
        <v>0.2</v>
      </c>
      <c r="L90" s="17">
        <f ca="1">ROUND(24.23,3)</f>
        <v>0</v>
      </c>
      <c r="M90" s="18">
        <f ca="1">ROUND(K90*L90,2)</f>
        <v>0</v>
      </c>
    </row>
    <row r="91" spans="1:13" ht="15.2" customHeight="1" thickBot="1">
      <c r="A91" s="5" t="s">
        <v>90</v>
      </c>
      <c r="B91" s="5" t="s">
        <v>21</v>
      </c>
      <c r="C91" s="5" t="s">
        <v>22</v>
      </c>
      <c r="D91" s="64" t="s">
        <v>91</v>
      </c>
      <c r="E91" s="64"/>
      <c r="F91" s="64"/>
      <c r="G91" s="64"/>
      <c r="H91" s="64"/>
      <c r="I91" s="64"/>
      <c r="J91" s="64"/>
      <c r="K91" s="17">
        <v>0.33</v>
      </c>
      <c r="L91" s="17">
        <f ca="1">ROUND(28.11,3)</f>
        <v>0</v>
      </c>
      <c r="M91" s="18">
        <f ca="1">ROUND(K91*L91,2)</f>
        <v>0</v>
      </c>
    </row>
    <row r="92" spans="1:13" ht="15.2" customHeight="1" thickBot="1">
      <c r="A92" s="5" t="s">
        <v>118</v>
      </c>
      <c r="B92" s="5" t="s">
        <v>69</v>
      </c>
      <c r="C92" s="5" t="s">
        <v>85</v>
      </c>
      <c r="D92" s="64" t="s">
        <v>119</v>
      </c>
      <c r="E92" s="64"/>
      <c r="F92" s="64"/>
      <c r="G92" s="64"/>
      <c r="H92" s="64"/>
      <c r="I92" s="64"/>
      <c r="J92" s="64"/>
      <c r="K92" s="17">
        <v>1</v>
      </c>
      <c r="L92" s="17">
        <f ca="1">ROUND(169.4,3)</f>
        <v>0</v>
      </c>
      <c r="M92" s="18">
        <f ca="1">ROUND(K92*L92,2)</f>
        <v>0</v>
      </c>
    </row>
    <row r="93" spans="1:13" ht="15.2" customHeight="1" thickBot="1">
      <c r="A93" s="5" t="s">
        <v>113</v>
      </c>
      <c r="B93" s="5" t="s">
        <v>69</v>
      </c>
      <c r="C93" s="5" t="s">
        <v>85</v>
      </c>
      <c r="D93" s="64" t="s">
        <v>114</v>
      </c>
      <c r="E93" s="64"/>
      <c r="F93" s="64"/>
      <c r="G93" s="64"/>
      <c r="H93" s="64"/>
      <c r="I93" s="64"/>
      <c r="J93" s="64"/>
      <c r="K93" s="17">
        <v>1</v>
      </c>
      <c r="L93" s="17">
        <f ca="1">ROUND(0.45,3)</f>
        <v>0</v>
      </c>
      <c r="M93" s="18">
        <f ca="1">ROUND(K93*L93,2)</f>
        <v>0</v>
      </c>
    </row>
    <row r="94" spans="1:13" ht="15.2" customHeight="1" thickBot="1">
      <c r="A94" s="5" t="s">
        <v>34</v>
      </c>
      <c r="B94" s="5"/>
      <c r="C94" s="5" t="s">
        <v>26</v>
      </c>
      <c r="D94" s="64" t="s">
        <v>35</v>
      </c>
      <c r="E94" s="64"/>
      <c r="F94" s="64"/>
      <c r="G94" s="64"/>
      <c r="H94" s="64"/>
      <c r="I94" s="64"/>
      <c r="J94" s="64"/>
      <c r="K94" s="17">
        <v>1.5</v>
      </c>
      <c r="L94" s="17">
        <f ca="1">ROUND(14.13,3)</f>
        <v>0</v>
      </c>
      <c r="M94" s="18">
        <f ca="1">ROUND((K94*L94)/100,2)</f>
        <v>0</v>
      </c>
    </row>
    <row r="95" spans="1:13" ht="15.4" customHeight="1" thickBot="1">
      <c r="A95" s="20"/>
      <c r="B95" s="20"/>
      <c r="C95" s="20"/>
      <c r="D95" s="21" t="s">
        <v>115</v>
      </c>
      <c r="E95" s="20"/>
      <c r="F95" s="20"/>
      <c r="G95" s="20"/>
      <c r="H95" s="20"/>
      <c r="I95" s="20"/>
      <c r="J95" s="20"/>
      <c r="K95" s="22">
        <v>0</v>
      </c>
      <c r="L95" s="23">
        <f ca="1">ROUND((M90+M91+M92+M93+M94)*(1+M2/100),2)</f>
        <v>0</v>
      </c>
      <c r="M95" s="23">
        <f ca="1">ROUND(K95*L95,2)</f>
        <v>0</v>
      </c>
    </row>
    <row r="96" spans="1:13" ht="15.4" customHeight="1" thickBot="1">
      <c r="A96" s="24" t="s">
        <v>120</v>
      </c>
      <c r="B96" s="25" t="s">
        <v>16</v>
      </c>
      <c r="C96" s="25" t="s">
        <v>85</v>
      </c>
      <c r="D96" s="65" t="s">
        <v>121</v>
      </c>
      <c r="E96" s="65"/>
      <c r="F96" s="65"/>
      <c r="G96" s="65"/>
      <c r="H96" s="65"/>
      <c r="I96" s="65"/>
      <c r="J96" s="65"/>
      <c r="K96" s="26">
        <f ca="1">ROUND(3,2)</f>
        <v>0</v>
      </c>
      <c r="L96" s="27">
        <f ca="1">L103</f>
        <v>0</v>
      </c>
      <c r="M96" s="27">
        <f ca="1">ROUND(K96*L96,2)</f>
        <v>0</v>
      </c>
    </row>
    <row r="97" spans="1:13" ht="21.4" customHeight="1" thickBot="1">
      <c r="A97" s="19"/>
      <c r="B97" s="19"/>
      <c r="C97" s="19"/>
      <c r="D97" s="64" t="s">
        <v>122</v>
      </c>
      <c r="E97" s="64"/>
      <c r="F97" s="64"/>
      <c r="G97" s="64"/>
      <c r="H97" s="64"/>
      <c r="I97" s="64"/>
      <c r="J97" s="64"/>
      <c r="K97" s="64"/>
      <c r="L97" s="64"/>
      <c r="M97" s="64"/>
    </row>
    <row r="98" spans="1:13" ht="15.2" customHeight="1" thickBot="1">
      <c r="A98" s="5" t="s">
        <v>88</v>
      </c>
      <c r="B98" s="5" t="s">
        <v>21</v>
      </c>
      <c r="C98" s="5" t="s">
        <v>22</v>
      </c>
      <c r="D98" s="64" t="s">
        <v>89</v>
      </c>
      <c r="E98" s="64"/>
      <c r="F98" s="64"/>
      <c r="G98" s="64"/>
      <c r="H98" s="64"/>
      <c r="I98" s="64"/>
      <c r="J98" s="64"/>
      <c r="K98" s="17">
        <v>0.2</v>
      </c>
      <c r="L98" s="17">
        <f ca="1">ROUND(24.23,3)</f>
        <v>0</v>
      </c>
      <c r="M98" s="18">
        <f ca="1">ROUND(K98*L98,2)</f>
        <v>0</v>
      </c>
    </row>
    <row r="99" spans="1:13" ht="15.2" customHeight="1" thickBot="1">
      <c r="A99" s="5" t="s">
        <v>90</v>
      </c>
      <c r="B99" s="5" t="s">
        <v>21</v>
      </c>
      <c r="C99" s="5" t="s">
        <v>22</v>
      </c>
      <c r="D99" s="64" t="s">
        <v>91</v>
      </c>
      <c r="E99" s="64"/>
      <c r="F99" s="64"/>
      <c r="G99" s="64"/>
      <c r="H99" s="64"/>
      <c r="I99" s="64"/>
      <c r="J99" s="64"/>
      <c r="K99" s="17">
        <v>0.23</v>
      </c>
      <c r="L99" s="17">
        <f ca="1">ROUND(28.11,3)</f>
        <v>0</v>
      </c>
      <c r="M99" s="18">
        <f ca="1">ROUND(K99*L99,2)</f>
        <v>0</v>
      </c>
    </row>
    <row r="100" spans="1:13" ht="15.2" customHeight="1" thickBot="1">
      <c r="A100" s="5" t="s">
        <v>123</v>
      </c>
      <c r="B100" s="5" t="s">
        <v>69</v>
      </c>
      <c r="C100" s="5" t="s">
        <v>85</v>
      </c>
      <c r="D100" s="64" t="s">
        <v>124</v>
      </c>
      <c r="E100" s="64"/>
      <c r="F100" s="64"/>
      <c r="G100" s="64"/>
      <c r="H100" s="64"/>
      <c r="I100" s="64"/>
      <c r="J100" s="64"/>
      <c r="K100" s="17">
        <v>1</v>
      </c>
      <c r="L100" s="17">
        <f ca="1">ROUND(67.45,3)</f>
        <v>0</v>
      </c>
      <c r="M100" s="18">
        <f ca="1">ROUND(K100*L100,2)</f>
        <v>0</v>
      </c>
    </row>
    <row r="101" spans="1:13" ht="15.2" customHeight="1" thickBot="1">
      <c r="A101" s="5" t="s">
        <v>113</v>
      </c>
      <c r="B101" s="5" t="s">
        <v>69</v>
      </c>
      <c r="C101" s="5" t="s">
        <v>85</v>
      </c>
      <c r="D101" s="64" t="s">
        <v>114</v>
      </c>
      <c r="E101" s="64"/>
      <c r="F101" s="64"/>
      <c r="G101" s="64"/>
      <c r="H101" s="64"/>
      <c r="I101" s="64"/>
      <c r="J101" s="64"/>
      <c r="K101" s="17">
        <v>1</v>
      </c>
      <c r="L101" s="17">
        <f ca="1">ROUND(0.45,3)</f>
        <v>0</v>
      </c>
      <c r="M101" s="18">
        <f ca="1">ROUND(K101*L101,2)</f>
        <v>0</v>
      </c>
    </row>
    <row r="102" spans="1:13" ht="15.2" customHeight="1" thickBot="1">
      <c r="A102" s="5" t="s">
        <v>34</v>
      </c>
      <c r="B102" s="5"/>
      <c r="C102" s="5" t="s">
        <v>26</v>
      </c>
      <c r="D102" s="64" t="s">
        <v>35</v>
      </c>
      <c r="E102" s="64"/>
      <c r="F102" s="64"/>
      <c r="G102" s="64"/>
      <c r="H102" s="64"/>
      <c r="I102" s="64"/>
      <c r="J102" s="64"/>
      <c r="K102" s="17">
        <v>1.5</v>
      </c>
      <c r="L102" s="17">
        <f ca="1">ROUND(11.32,3)</f>
        <v>0</v>
      </c>
      <c r="M102" s="18">
        <f ca="1">ROUND((K102*L102)/100,2)</f>
        <v>0</v>
      </c>
    </row>
    <row r="103" spans="1:13" ht="15.4" customHeight="1" thickBot="1">
      <c r="A103" s="20"/>
      <c r="B103" s="20"/>
      <c r="C103" s="20"/>
      <c r="D103" s="21" t="s">
        <v>120</v>
      </c>
      <c r="E103" s="20"/>
      <c r="F103" s="20"/>
      <c r="G103" s="20"/>
      <c r="H103" s="20"/>
      <c r="I103" s="20"/>
      <c r="J103" s="20"/>
      <c r="K103" s="22">
        <v>3</v>
      </c>
      <c r="L103" s="23">
        <f ca="1">ROUND((M98+M99+M100+M101+M102)*(1+M2/100),2)</f>
        <v>0</v>
      </c>
      <c r="M103" s="23">
        <f ca="1">ROUND(K103*L103,2)</f>
        <v>0</v>
      </c>
    </row>
    <row r="104" spans="1:13" ht="15.4" customHeight="1" thickBot="1">
      <c r="A104" s="24" t="s">
        <v>125</v>
      </c>
      <c r="B104" s="25" t="s">
        <v>16</v>
      </c>
      <c r="C104" s="25" t="s">
        <v>85</v>
      </c>
      <c r="D104" s="65" t="s">
        <v>126</v>
      </c>
      <c r="E104" s="65"/>
      <c r="F104" s="65"/>
      <c r="G104" s="65"/>
      <c r="H104" s="65"/>
      <c r="I104" s="65"/>
      <c r="J104" s="65"/>
      <c r="K104" s="26">
        <f ca="1">ROUND(0,2)</f>
        <v>0</v>
      </c>
      <c r="L104" s="27">
        <f ca="1">L111</f>
        <v>0</v>
      </c>
      <c r="M104" s="27">
        <f ca="1">ROUND(K104*L104,2)</f>
        <v>0</v>
      </c>
    </row>
    <row r="105" spans="1:13" ht="21.4" customHeight="1" thickBot="1">
      <c r="A105" s="19"/>
      <c r="B105" s="19"/>
      <c r="C105" s="19"/>
      <c r="D105" s="64" t="s">
        <v>127</v>
      </c>
      <c r="E105" s="64"/>
      <c r="F105" s="64"/>
      <c r="G105" s="64"/>
      <c r="H105" s="64"/>
      <c r="I105" s="64"/>
      <c r="J105" s="64"/>
      <c r="K105" s="64"/>
      <c r="L105" s="64"/>
      <c r="M105" s="64"/>
    </row>
    <row r="106" spans="1:13" ht="15.2" customHeight="1" thickBot="1">
      <c r="A106" s="5" t="s">
        <v>88</v>
      </c>
      <c r="B106" s="5" t="s">
        <v>21</v>
      </c>
      <c r="C106" s="5" t="s">
        <v>22</v>
      </c>
      <c r="D106" s="64" t="s">
        <v>89</v>
      </c>
      <c r="E106" s="64"/>
      <c r="F106" s="64"/>
      <c r="G106" s="64"/>
      <c r="H106" s="64"/>
      <c r="I106" s="64"/>
      <c r="J106" s="64"/>
      <c r="K106" s="17">
        <v>0.2</v>
      </c>
      <c r="L106" s="17">
        <f ca="1">ROUND(24.23,3)</f>
        <v>0</v>
      </c>
      <c r="M106" s="18">
        <f ca="1">ROUND(K106*L106,2)</f>
        <v>0</v>
      </c>
    </row>
    <row r="107" spans="1:13" ht="15.2" customHeight="1" thickBot="1">
      <c r="A107" s="5" t="s">
        <v>90</v>
      </c>
      <c r="B107" s="5" t="s">
        <v>21</v>
      </c>
      <c r="C107" s="5" t="s">
        <v>22</v>
      </c>
      <c r="D107" s="64" t="s">
        <v>91</v>
      </c>
      <c r="E107" s="64"/>
      <c r="F107" s="64"/>
      <c r="G107" s="64"/>
      <c r="H107" s="64"/>
      <c r="I107" s="64"/>
      <c r="J107" s="64"/>
      <c r="K107" s="17">
        <v>0.23</v>
      </c>
      <c r="L107" s="17">
        <f ca="1">ROUND(28.11,3)</f>
        <v>0</v>
      </c>
      <c r="M107" s="18">
        <f ca="1">ROUND(K107*L107,2)</f>
        <v>0</v>
      </c>
    </row>
    <row r="108" spans="1:13" ht="15.2" customHeight="1" thickBot="1">
      <c r="A108" s="5" t="s">
        <v>128</v>
      </c>
      <c r="B108" s="5" t="s">
        <v>69</v>
      </c>
      <c r="C108" s="5" t="s">
        <v>85</v>
      </c>
      <c r="D108" s="64" t="s">
        <v>129</v>
      </c>
      <c r="E108" s="64"/>
      <c r="F108" s="64"/>
      <c r="G108" s="64"/>
      <c r="H108" s="64"/>
      <c r="I108" s="64"/>
      <c r="J108" s="64"/>
      <c r="K108" s="17">
        <v>1</v>
      </c>
      <c r="L108" s="17">
        <f ca="1">ROUND(62.39,3)</f>
        <v>0</v>
      </c>
      <c r="M108" s="18">
        <f ca="1">ROUND(K108*L108,2)</f>
        <v>0</v>
      </c>
    </row>
    <row r="109" spans="1:13" ht="15.2" customHeight="1" thickBot="1">
      <c r="A109" s="5" t="s">
        <v>113</v>
      </c>
      <c r="B109" s="5" t="s">
        <v>69</v>
      </c>
      <c r="C109" s="5" t="s">
        <v>85</v>
      </c>
      <c r="D109" s="64" t="s">
        <v>114</v>
      </c>
      <c r="E109" s="64"/>
      <c r="F109" s="64"/>
      <c r="G109" s="64"/>
      <c r="H109" s="64"/>
      <c r="I109" s="64"/>
      <c r="J109" s="64"/>
      <c r="K109" s="17">
        <v>1</v>
      </c>
      <c r="L109" s="17">
        <f ca="1">ROUND(0.45,3)</f>
        <v>0</v>
      </c>
      <c r="M109" s="18">
        <f ca="1">ROUND(K109*L109,2)</f>
        <v>0</v>
      </c>
    </row>
    <row r="110" spans="1:13" ht="15.2" customHeight="1" thickBot="1">
      <c r="A110" s="5" t="s">
        <v>34</v>
      </c>
      <c r="B110" s="5"/>
      <c r="C110" s="5" t="s">
        <v>26</v>
      </c>
      <c r="D110" s="64" t="s">
        <v>35</v>
      </c>
      <c r="E110" s="64"/>
      <c r="F110" s="64"/>
      <c r="G110" s="64"/>
      <c r="H110" s="64"/>
      <c r="I110" s="64"/>
      <c r="J110" s="64"/>
      <c r="K110" s="17">
        <v>1.5</v>
      </c>
      <c r="L110" s="17">
        <f ca="1">ROUND(11.32,3)</f>
        <v>0</v>
      </c>
      <c r="M110" s="18">
        <f ca="1">ROUND((K110*L110)/100,2)</f>
        <v>0</v>
      </c>
    </row>
    <row r="111" spans="1:13" ht="15.4" customHeight="1" thickBot="1">
      <c r="A111" s="20"/>
      <c r="B111" s="20"/>
      <c r="C111" s="20"/>
      <c r="D111" s="21" t="s">
        <v>125</v>
      </c>
      <c r="E111" s="20"/>
      <c r="F111" s="20"/>
      <c r="G111" s="20"/>
      <c r="H111" s="20"/>
      <c r="I111" s="20"/>
      <c r="J111" s="20"/>
      <c r="K111" s="22">
        <v>0</v>
      </c>
      <c r="L111" s="23">
        <f ca="1">ROUND((M106+M107+M108+M109+M110)*(1+M2/100),2)</f>
        <v>0</v>
      </c>
      <c r="M111" s="23">
        <f ca="1">ROUND(K111*L111,2)</f>
        <v>0</v>
      </c>
    </row>
    <row r="112" spans="1:13" ht="15.4" customHeight="1" thickBot="1">
      <c r="A112" s="24" t="s">
        <v>130</v>
      </c>
      <c r="B112" s="25" t="s">
        <v>16</v>
      </c>
      <c r="C112" s="25" t="s">
        <v>85</v>
      </c>
      <c r="D112" s="65" t="s">
        <v>131</v>
      </c>
      <c r="E112" s="65"/>
      <c r="F112" s="65"/>
      <c r="G112" s="65"/>
      <c r="H112" s="65"/>
      <c r="I112" s="65"/>
      <c r="J112" s="65"/>
      <c r="K112" s="26">
        <f ca="1">ROUND(4,2)</f>
        <v>0</v>
      </c>
      <c r="L112" s="27">
        <f ca="1">L119</f>
        <v>0</v>
      </c>
      <c r="M112" s="27">
        <f ca="1">ROUND(K112*L112,2)</f>
        <v>0</v>
      </c>
    </row>
    <row r="113" spans="1:13" ht="21.4" customHeight="1" thickBot="1">
      <c r="A113" s="19"/>
      <c r="B113" s="19"/>
      <c r="C113" s="19"/>
      <c r="D113" s="64" t="s">
        <v>132</v>
      </c>
      <c r="E113" s="64"/>
      <c r="F113" s="64"/>
      <c r="G113" s="64"/>
      <c r="H113" s="64"/>
      <c r="I113" s="64"/>
      <c r="J113" s="64"/>
      <c r="K113" s="64"/>
      <c r="L113" s="64"/>
      <c r="M113" s="64"/>
    </row>
    <row r="114" spans="1:13" ht="15.2" customHeight="1" thickBot="1">
      <c r="A114" s="5" t="s">
        <v>88</v>
      </c>
      <c r="B114" s="5" t="s">
        <v>21</v>
      </c>
      <c r="C114" s="5" t="s">
        <v>22</v>
      </c>
      <c r="D114" s="64" t="s">
        <v>89</v>
      </c>
      <c r="E114" s="64"/>
      <c r="F114" s="64"/>
      <c r="G114" s="64"/>
      <c r="H114" s="64"/>
      <c r="I114" s="64"/>
      <c r="J114" s="64"/>
      <c r="K114" s="17">
        <v>0.2</v>
      </c>
      <c r="L114" s="17">
        <f ca="1">ROUND(24.23,3)</f>
        <v>0</v>
      </c>
      <c r="M114" s="18">
        <f ca="1">ROUND(K114*L114,2)</f>
        <v>0</v>
      </c>
    </row>
    <row r="115" spans="1:13" ht="15.2" customHeight="1" thickBot="1">
      <c r="A115" s="5" t="s">
        <v>90</v>
      </c>
      <c r="B115" s="5" t="s">
        <v>21</v>
      </c>
      <c r="C115" s="5" t="s">
        <v>22</v>
      </c>
      <c r="D115" s="64" t="s">
        <v>91</v>
      </c>
      <c r="E115" s="64"/>
      <c r="F115" s="64"/>
      <c r="G115" s="64"/>
      <c r="H115" s="64"/>
      <c r="I115" s="64"/>
      <c r="J115" s="64"/>
      <c r="K115" s="17">
        <v>0.2</v>
      </c>
      <c r="L115" s="17">
        <f ca="1">ROUND(28.11,3)</f>
        <v>0</v>
      </c>
      <c r="M115" s="18">
        <f ca="1">ROUND(K115*L115,2)</f>
        <v>0</v>
      </c>
    </row>
    <row r="116" spans="1:13" ht="15.2" customHeight="1" thickBot="1">
      <c r="A116" s="5" t="s">
        <v>133</v>
      </c>
      <c r="B116" s="5" t="s">
        <v>69</v>
      </c>
      <c r="C116" s="5" t="s">
        <v>85</v>
      </c>
      <c r="D116" s="64" t="s">
        <v>134</v>
      </c>
      <c r="E116" s="64"/>
      <c r="F116" s="64"/>
      <c r="G116" s="64"/>
      <c r="H116" s="64"/>
      <c r="I116" s="64"/>
      <c r="J116" s="64"/>
      <c r="K116" s="17">
        <v>1</v>
      </c>
      <c r="L116" s="17">
        <f ca="1">ROUND(10.12,3)</f>
        <v>0</v>
      </c>
      <c r="M116" s="18">
        <f ca="1">ROUND(K116*L116,2)</f>
        <v>0</v>
      </c>
    </row>
    <row r="117" spans="1:13" ht="15.2" customHeight="1" thickBot="1">
      <c r="A117" s="5" t="s">
        <v>113</v>
      </c>
      <c r="B117" s="5" t="s">
        <v>69</v>
      </c>
      <c r="C117" s="5" t="s">
        <v>85</v>
      </c>
      <c r="D117" s="64" t="s">
        <v>114</v>
      </c>
      <c r="E117" s="64"/>
      <c r="F117" s="64"/>
      <c r="G117" s="64"/>
      <c r="H117" s="64"/>
      <c r="I117" s="64"/>
      <c r="J117" s="64"/>
      <c r="K117" s="17">
        <v>1</v>
      </c>
      <c r="L117" s="17">
        <f ca="1">ROUND(0.45,3)</f>
        <v>0</v>
      </c>
      <c r="M117" s="18">
        <f ca="1">ROUND(K117*L117,2)</f>
        <v>0</v>
      </c>
    </row>
    <row r="118" spans="1:13" ht="15.2" customHeight="1" thickBot="1">
      <c r="A118" s="5" t="s">
        <v>34</v>
      </c>
      <c r="B118" s="5"/>
      <c r="C118" s="5" t="s">
        <v>26</v>
      </c>
      <c r="D118" s="64" t="s">
        <v>35</v>
      </c>
      <c r="E118" s="64"/>
      <c r="F118" s="64"/>
      <c r="G118" s="64"/>
      <c r="H118" s="64"/>
      <c r="I118" s="64"/>
      <c r="J118" s="64"/>
      <c r="K118" s="17">
        <v>1.5</v>
      </c>
      <c r="L118" s="17">
        <f ca="1">ROUND(10.47,3)</f>
        <v>0</v>
      </c>
      <c r="M118" s="18">
        <f ca="1">ROUND((K118*L118)/100,2)</f>
        <v>0</v>
      </c>
    </row>
    <row r="119" spans="1:13" ht="15.4" customHeight="1" thickBot="1">
      <c r="A119" s="20"/>
      <c r="B119" s="20"/>
      <c r="C119" s="20"/>
      <c r="D119" s="21" t="s">
        <v>130</v>
      </c>
      <c r="E119" s="20"/>
      <c r="F119" s="20"/>
      <c r="G119" s="20"/>
      <c r="H119" s="20"/>
      <c r="I119" s="20"/>
      <c r="J119" s="20"/>
      <c r="K119" s="22">
        <v>4</v>
      </c>
      <c r="L119" s="23">
        <f ca="1">ROUND((M114+M115+M116+M117+M118)*(1+M2/100),2)</f>
        <v>0</v>
      </c>
      <c r="M119" s="23">
        <f ca="1">ROUND(K119*L119,2)</f>
        <v>0</v>
      </c>
    </row>
    <row r="120" spans="1:13" ht="15.4" customHeight="1" thickBot="1">
      <c r="A120" s="24" t="s">
        <v>135</v>
      </c>
      <c r="B120" s="25" t="s">
        <v>16</v>
      </c>
      <c r="C120" s="25" t="s">
        <v>85</v>
      </c>
      <c r="D120" s="65" t="s">
        <v>136</v>
      </c>
      <c r="E120" s="65"/>
      <c r="F120" s="65"/>
      <c r="G120" s="65"/>
      <c r="H120" s="65"/>
      <c r="I120" s="65"/>
      <c r="J120" s="65"/>
      <c r="K120" s="26">
        <f ca="1">ROUND(3,2)</f>
        <v>0</v>
      </c>
      <c r="L120" s="27">
        <f ca="1">L127</f>
        <v>0</v>
      </c>
      <c r="M120" s="27">
        <f ca="1">ROUND(K120*L120,2)</f>
        <v>0</v>
      </c>
    </row>
    <row r="121" spans="1:13" ht="30.6" customHeight="1" thickBot="1">
      <c r="A121" s="19"/>
      <c r="B121" s="19"/>
      <c r="C121" s="19"/>
      <c r="D121" s="64" t="s">
        <v>137</v>
      </c>
      <c r="E121" s="64"/>
      <c r="F121" s="64"/>
      <c r="G121" s="64"/>
      <c r="H121" s="64"/>
      <c r="I121" s="64"/>
      <c r="J121" s="64"/>
      <c r="K121" s="64"/>
      <c r="L121" s="64"/>
      <c r="M121" s="64"/>
    </row>
    <row r="122" spans="1:13" ht="15.2" customHeight="1" thickBot="1">
      <c r="A122" s="5" t="s">
        <v>88</v>
      </c>
      <c r="B122" s="5" t="s">
        <v>21</v>
      </c>
      <c r="C122" s="5" t="s">
        <v>22</v>
      </c>
      <c r="D122" s="64" t="s">
        <v>89</v>
      </c>
      <c r="E122" s="64"/>
      <c r="F122" s="64"/>
      <c r="G122" s="64"/>
      <c r="H122" s="64"/>
      <c r="I122" s="64"/>
      <c r="J122" s="64"/>
      <c r="K122" s="17">
        <v>0.2</v>
      </c>
      <c r="L122" s="17">
        <f ca="1">ROUND(24.23,3)</f>
        <v>0</v>
      </c>
      <c r="M122" s="18">
        <f ca="1">ROUND(K122*L122,2)</f>
        <v>0</v>
      </c>
    </row>
    <row r="123" spans="1:13" ht="15.2" customHeight="1" thickBot="1">
      <c r="A123" s="5" t="s">
        <v>90</v>
      </c>
      <c r="B123" s="5" t="s">
        <v>21</v>
      </c>
      <c r="C123" s="5" t="s">
        <v>22</v>
      </c>
      <c r="D123" s="64" t="s">
        <v>91</v>
      </c>
      <c r="E123" s="64"/>
      <c r="F123" s="64"/>
      <c r="G123" s="64"/>
      <c r="H123" s="64"/>
      <c r="I123" s="64"/>
      <c r="J123" s="64"/>
      <c r="K123" s="17">
        <v>0.5</v>
      </c>
      <c r="L123" s="17">
        <f ca="1">ROUND(28.11,3)</f>
        <v>0</v>
      </c>
      <c r="M123" s="18">
        <f ca="1">ROUND(K123*L123,2)</f>
        <v>0</v>
      </c>
    </row>
    <row r="124" spans="1:13" ht="15.2" customHeight="1" thickBot="1">
      <c r="A124" s="5" t="s">
        <v>138</v>
      </c>
      <c r="B124" s="5" t="s">
        <v>69</v>
      </c>
      <c r="C124" s="5" t="s">
        <v>85</v>
      </c>
      <c r="D124" s="64" t="s">
        <v>139</v>
      </c>
      <c r="E124" s="64"/>
      <c r="F124" s="64"/>
      <c r="G124" s="64"/>
      <c r="H124" s="64"/>
      <c r="I124" s="64"/>
      <c r="J124" s="64"/>
      <c r="K124" s="17">
        <v>1</v>
      </c>
      <c r="L124" s="17">
        <f ca="1">ROUND(143.97,3)</f>
        <v>0</v>
      </c>
      <c r="M124" s="18">
        <f ca="1">ROUND(K124*L124,2)</f>
        <v>0</v>
      </c>
    </row>
    <row r="125" spans="1:13" ht="15.2" customHeight="1" thickBot="1">
      <c r="A125" s="5" t="s">
        <v>140</v>
      </c>
      <c r="B125" s="5" t="s">
        <v>69</v>
      </c>
      <c r="C125" s="5" t="s">
        <v>85</v>
      </c>
      <c r="D125" s="64" t="s">
        <v>141</v>
      </c>
      <c r="E125" s="64"/>
      <c r="F125" s="64"/>
      <c r="G125" s="64"/>
      <c r="H125" s="64"/>
      <c r="I125" s="64"/>
      <c r="J125" s="64"/>
      <c r="K125" s="17">
        <v>1</v>
      </c>
      <c r="L125" s="17">
        <f ca="1">ROUND(0.41,3)</f>
        <v>0</v>
      </c>
      <c r="M125" s="18">
        <f ca="1">ROUND(K125*L125,2)</f>
        <v>0</v>
      </c>
    </row>
    <row r="126" spans="1:13" ht="15.2" customHeight="1" thickBot="1">
      <c r="A126" s="5" t="s">
        <v>34</v>
      </c>
      <c r="B126" s="5"/>
      <c r="C126" s="5" t="s">
        <v>26</v>
      </c>
      <c r="D126" s="64" t="s">
        <v>35</v>
      </c>
      <c r="E126" s="64"/>
      <c r="F126" s="64"/>
      <c r="G126" s="64"/>
      <c r="H126" s="64"/>
      <c r="I126" s="64"/>
      <c r="J126" s="64"/>
      <c r="K126" s="17">
        <v>1.5</v>
      </c>
      <c r="L126" s="17">
        <f ca="1">ROUND(18.91,3)</f>
        <v>0</v>
      </c>
      <c r="M126" s="18">
        <f ca="1">ROUND((K126*L126)/100,2)</f>
        <v>0</v>
      </c>
    </row>
    <row r="127" spans="1:13" ht="15.4" customHeight="1" thickBot="1">
      <c r="A127" s="20"/>
      <c r="B127" s="20"/>
      <c r="C127" s="20"/>
      <c r="D127" s="21" t="s">
        <v>135</v>
      </c>
      <c r="E127" s="20"/>
      <c r="F127" s="20"/>
      <c r="G127" s="20"/>
      <c r="H127" s="20"/>
      <c r="I127" s="20"/>
      <c r="J127" s="20"/>
      <c r="K127" s="22">
        <v>3</v>
      </c>
      <c r="L127" s="23">
        <f ca="1">ROUND((M122+M123+M124+M125+M126)*(1+M2/100),2)</f>
        <v>0</v>
      </c>
      <c r="M127" s="23">
        <f ca="1">ROUND(K127*L127,2)</f>
        <v>0</v>
      </c>
    </row>
    <row r="128" spans="1:13" ht="15.4" customHeight="1" thickBot="1">
      <c r="A128" s="24" t="s">
        <v>142</v>
      </c>
      <c r="B128" s="25" t="s">
        <v>16</v>
      </c>
      <c r="C128" s="25" t="s">
        <v>85</v>
      </c>
      <c r="D128" s="65" t="s">
        <v>143</v>
      </c>
      <c r="E128" s="65"/>
      <c r="F128" s="65"/>
      <c r="G128" s="65"/>
      <c r="H128" s="65"/>
      <c r="I128" s="65"/>
      <c r="J128" s="65"/>
      <c r="K128" s="26">
        <f ca="1">ROUND(1,2)</f>
        <v>0</v>
      </c>
      <c r="L128" s="27">
        <f ca="1">L135</f>
        <v>0</v>
      </c>
      <c r="M128" s="27">
        <f ca="1">ROUND(K128*L128,2)</f>
        <v>0</v>
      </c>
    </row>
    <row r="129" spans="1:13" ht="30.6" customHeight="1" thickBot="1">
      <c r="A129" s="19"/>
      <c r="B129" s="19"/>
      <c r="C129" s="19"/>
      <c r="D129" s="64" t="s">
        <v>144</v>
      </c>
      <c r="E129" s="64"/>
      <c r="F129" s="64"/>
      <c r="G129" s="64"/>
      <c r="H129" s="64"/>
      <c r="I129" s="64"/>
      <c r="J129" s="64"/>
      <c r="K129" s="64"/>
      <c r="L129" s="64"/>
      <c r="M129" s="64"/>
    </row>
    <row r="130" spans="1:13" ht="15.2" customHeight="1" thickBot="1">
      <c r="A130" s="5" t="s">
        <v>88</v>
      </c>
      <c r="B130" s="5" t="s">
        <v>21</v>
      </c>
      <c r="C130" s="5" t="s">
        <v>22</v>
      </c>
      <c r="D130" s="64" t="s">
        <v>89</v>
      </c>
      <c r="E130" s="64"/>
      <c r="F130" s="64"/>
      <c r="G130" s="64"/>
      <c r="H130" s="64"/>
      <c r="I130" s="64"/>
      <c r="J130" s="64"/>
      <c r="K130" s="17">
        <v>0.2</v>
      </c>
      <c r="L130" s="17">
        <f ca="1">ROUND(24.23,3)</f>
        <v>0</v>
      </c>
      <c r="M130" s="18">
        <f ca="1">ROUND(K130*L130,2)</f>
        <v>0</v>
      </c>
    </row>
    <row r="131" spans="1:13" ht="15.2" customHeight="1" thickBot="1">
      <c r="A131" s="5" t="s">
        <v>90</v>
      </c>
      <c r="B131" s="5" t="s">
        <v>21</v>
      </c>
      <c r="C131" s="5" t="s">
        <v>22</v>
      </c>
      <c r="D131" s="64" t="s">
        <v>91</v>
      </c>
      <c r="E131" s="64"/>
      <c r="F131" s="64"/>
      <c r="G131" s="64"/>
      <c r="H131" s="64"/>
      <c r="I131" s="64"/>
      <c r="J131" s="64"/>
      <c r="K131" s="17">
        <v>0.35</v>
      </c>
      <c r="L131" s="17">
        <f ca="1">ROUND(28.11,3)</f>
        <v>0</v>
      </c>
      <c r="M131" s="18">
        <f ca="1">ROUND(K131*L131,2)</f>
        <v>0</v>
      </c>
    </row>
    <row r="132" spans="1:13" ht="15.2" customHeight="1" thickBot="1">
      <c r="A132" s="5" t="s">
        <v>145</v>
      </c>
      <c r="B132" s="5" t="s">
        <v>69</v>
      </c>
      <c r="C132" s="5" t="s">
        <v>85</v>
      </c>
      <c r="D132" s="64" t="s">
        <v>146</v>
      </c>
      <c r="E132" s="64"/>
      <c r="F132" s="64"/>
      <c r="G132" s="64"/>
      <c r="H132" s="64"/>
      <c r="I132" s="64"/>
      <c r="J132" s="64"/>
      <c r="K132" s="17">
        <v>1</v>
      </c>
      <c r="L132" s="17">
        <f ca="1">ROUND(27.44,3)</f>
        <v>0</v>
      </c>
      <c r="M132" s="18">
        <f ca="1">ROUND(K132*L132,2)</f>
        <v>0</v>
      </c>
    </row>
    <row r="133" spans="1:13" ht="15.2" customHeight="1" thickBot="1">
      <c r="A133" s="5" t="s">
        <v>140</v>
      </c>
      <c r="B133" s="5" t="s">
        <v>69</v>
      </c>
      <c r="C133" s="5" t="s">
        <v>85</v>
      </c>
      <c r="D133" s="64" t="s">
        <v>141</v>
      </c>
      <c r="E133" s="64"/>
      <c r="F133" s="64"/>
      <c r="G133" s="64"/>
      <c r="H133" s="64"/>
      <c r="I133" s="64"/>
      <c r="J133" s="64"/>
      <c r="K133" s="17">
        <v>1</v>
      </c>
      <c r="L133" s="17">
        <f ca="1">ROUND(0.41,3)</f>
        <v>0</v>
      </c>
      <c r="M133" s="18">
        <f ca="1">ROUND(K133*L133,2)</f>
        <v>0</v>
      </c>
    </row>
    <row r="134" spans="1:13" ht="15.2" customHeight="1" thickBot="1">
      <c r="A134" s="5" t="s">
        <v>34</v>
      </c>
      <c r="B134" s="5"/>
      <c r="C134" s="5" t="s">
        <v>26</v>
      </c>
      <c r="D134" s="64" t="s">
        <v>35</v>
      </c>
      <c r="E134" s="64"/>
      <c r="F134" s="64"/>
      <c r="G134" s="64"/>
      <c r="H134" s="64"/>
      <c r="I134" s="64"/>
      <c r="J134" s="64"/>
      <c r="K134" s="17">
        <v>1.5</v>
      </c>
      <c r="L134" s="17">
        <f ca="1">ROUND(14.69,3)</f>
        <v>0</v>
      </c>
      <c r="M134" s="18">
        <f ca="1">ROUND((K134*L134)/100,2)</f>
        <v>0</v>
      </c>
    </row>
    <row r="135" spans="1:13" ht="15.4" customHeight="1" thickBot="1">
      <c r="A135" s="20"/>
      <c r="B135" s="20"/>
      <c r="C135" s="20"/>
      <c r="D135" s="21" t="s">
        <v>142</v>
      </c>
      <c r="E135" s="20"/>
      <c r="F135" s="20"/>
      <c r="G135" s="20"/>
      <c r="H135" s="20"/>
      <c r="I135" s="20"/>
      <c r="J135" s="20"/>
      <c r="K135" s="22">
        <v>1</v>
      </c>
      <c r="L135" s="23">
        <f ca="1">ROUND((M130+M131+M132+M133+M134)*(1+M2/100),2)</f>
        <v>0</v>
      </c>
      <c r="M135" s="23">
        <f ca="1">ROUND(K135*L135,2)</f>
        <v>0</v>
      </c>
    </row>
    <row r="136" spans="1:13" ht="15.4" customHeight="1" thickBot="1">
      <c r="A136" s="24" t="s">
        <v>147</v>
      </c>
      <c r="B136" s="25" t="s">
        <v>16</v>
      </c>
      <c r="C136" s="25" t="s">
        <v>85</v>
      </c>
      <c r="D136" s="65" t="s">
        <v>148</v>
      </c>
      <c r="E136" s="65"/>
      <c r="F136" s="65"/>
      <c r="G136" s="65"/>
      <c r="H136" s="65"/>
      <c r="I136" s="65"/>
      <c r="J136" s="65"/>
      <c r="K136" s="26">
        <f ca="1">ROUND(3,2)</f>
        <v>0</v>
      </c>
      <c r="L136" s="27">
        <f ca="1">L142</f>
        <v>0</v>
      </c>
      <c r="M136" s="27">
        <f ca="1">ROUND(K136*L136,2)</f>
        <v>0</v>
      </c>
    </row>
    <row r="137" spans="1:13" ht="21.4" customHeight="1" thickBot="1">
      <c r="A137" s="19"/>
      <c r="B137" s="19"/>
      <c r="C137" s="19"/>
      <c r="D137" s="64" t="s">
        <v>149</v>
      </c>
      <c r="E137" s="64"/>
      <c r="F137" s="64"/>
      <c r="G137" s="64"/>
      <c r="H137" s="64"/>
      <c r="I137" s="64"/>
      <c r="J137" s="64"/>
      <c r="K137" s="64"/>
      <c r="L137" s="64"/>
      <c r="M137" s="64"/>
    </row>
    <row r="138" spans="1:13" ht="15.2" customHeight="1" thickBot="1">
      <c r="A138" s="5" t="s">
        <v>88</v>
      </c>
      <c r="B138" s="5" t="s">
        <v>21</v>
      </c>
      <c r="C138" s="5" t="s">
        <v>22</v>
      </c>
      <c r="D138" s="64" t="s">
        <v>89</v>
      </c>
      <c r="E138" s="64"/>
      <c r="F138" s="64"/>
      <c r="G138" s="64"/>
      <c r="H138" s="64"/>
      <c r="I138" s="64"/>
      <c r="J138" s="64"/>
      <c r="K138" s="17">
        <v>0.05</v>
      </c>
      <c r="L138" s="17">
        <f ca="1">ROUND(24.23,3)</f>
        <v>0</v>
      </c>
      <c r="M138" s="18">
        <f ca="1">ROUND(K138*L138,2)</f>
        <v>0</v>
      </c>
    </row>
    <row r="139" spans="1:13" ht="15.2" customHeight="1" thickBot="1">
      <c r="A139" s="5" t="s">
        <v>90</v>
      </c>
      <c r="B139" s="5" t="s">
        <v>21</v>
      </c>
      <c r="C139" s="5" t="s">
        <v>22</v>
      </c>
      <c r="D139" s="64" t="s">
        <v>91</v>
      </c>
      <c r="E139" s="64"/>
      <c r="F139" s="64"/>
      <c r="G139" s="64"/>
      <c r="H139" s="64"/>
      <c r="I139" s="64"/>
      <c r="J139" s="64"/>
      <c r="K139" s="17">
        <v>0.31</v>
      </c>
      <c r="L139" s="17">
        <f ca="1">ROUND(28.11,3)</f>
        <v>0</v>
      </c>
      <c r="M139" s="18">
        <f ca="1">ROUND(K139*L139,2)</f>
        <v>0</v>
      </c>
    </row>
    <row r="140" spans="1:13" ht="15.2" customHeight="1" thickBot="1">
      <c r="A140" s="5" t="s">
        <v>150</v>
      </c>
      <c r="B140" s="5" t="s">
        <v>69</v>
      </c>
      <c r="C140" s="5" t="s">
        <v>85</v>
      </c>
      <c r="D140" s="64" t="s">
        <v>151</v>
      </c>
      <c r="E140" s="64"/>
      <c r="F140" s="64"/>
      <c r="G140" s="64"/>
      <c r="H140" s="64"/>
      <c r="I140" s="64"/>
      <c r="J140" s="64"/>
      <c r="K140" s="17">
        <v>1</v>
      </c>
      <c r="L140" s="17">
        <f ca="1">ROUND(39.79,3)</f>
        <v>0</v>
      </c>
      <c r="M140" s="18">
        <f ca="1">ROUND(K140*L140,2)</f>
        <v>0</v>
      </c>
    </row>
    <row r="141" spans="1:13" ht="15.2" customHeight="1" thickBot="1">
      <c r="A141" s="5" t="s">
        <v>34</v>
      </c>
      <c r="B141" s="5"/>
      <c r="C141" s="5" t="s">
        <v>26</v>
      </c>
      <c r="D141" s="64" t="s">
        <v>35</v>
      </c>
      <c r="E141" s="64"/>
      <c r="F141" s="64"/>
      <c r="G141" s="64"/>
      <c r="H141" s="64"/>
      <c r="I141" s="64"/>
      <c r="J141" s="64"/>
      <c r="K141" s="17">
        <v>1.5</v>
      </c>
      <c r="L141" s="17">
        <f ca="1">ROUND(9.92,3)</f>
        <v>0</v>
      </c>
      <c r="M141" s="18">
        <f ca="1">ROUND((K141*L141)/100,2)</f>
        <v>0</v>
      </c>
    </row>
    <row r="142" spans="1:13" ht="15.4" customHeight="1" thickBot="1">
      <c r="A142" s="20"/>
      <c r="B142" s="20"/>
      <c r="C142" s="20"/>
      <c r="D142" s="21" t="s">
        <v>147</v>
      </c>
      <c r="E142" s="20"/>
      <c r="F142" s="20"/>
      <c r="G142" s="20"/>
      <c r="H142" s="20"/>
      <c r="I142" s="20"/>
      <c r="J142" s="20"/>
      <c r="K142" s="22">
        <v>3</v>
      </c>
      <c r="L142" s="23">
        <f ca="1">ROUND((M138+M139+M140+M141)*(1+M2/100),2)</f>
        <v>0</v>
      </c>
      <c r="M142" s="23">
        <f ca="1">ROUND(K142*L142,2)</f>
        <v>0</v>
      </c>
    </row>
    <row r="143" spans="1:13" ht="15.4" customHeight="1" thickBot="1">
      <c r="A143" s="38"/>
      <c r="B143" s="38"/>
      <c r="C143" s="38"/>
      <c r="D143" s="48" t="s">
        <v>78</v>
      </c>
      <c r="E143" s="49"/>
      <c r="F143" s="49"/>
      <c r="G143" s="49"/>
      <c r="H143" s="49"/>
      <c r="I143" s="49"/>
      <c r="J143" s="49"/>
      <c r="K143" s="49"/>
      <c r="L143" s="50">
        <f ca="1">M55+M57+M64+M72+M80+M88+M96+M104+M112+M120+M128+M136</f>
        <v>0</v>
      </c>
      <c r="M143" s="50">
        <f ca="1">ROUND(L143,2)</f>
        <v>0</v>
      </c>
    </row>
    <row r="144" spans="1:13" ht="15.4" customHeight="1" thickBot="1">
      <c r="A144" s="51" t="s">
        <v>152</v>
      </c>
      <c r="B144" s="51" t="s">
        <v>12</v>
      </c>
      <c r="C144" s="52"/>
      <c r="D144" s="68" t="s">
        <v>153</v>
      </c>
      <c r="E144" s="68"/>
      <c r="F144" s="68"/>
      <c r="G144" s="68"/>
      <c r="H144" s="68"/>
      <c r="I144" s="68"/>
      <c r="J144" s="68"/>
      <c r="K144" s="52"/>
      <c r="L144" s="53">
        <f ca="1">L242</f>
        <v>0</v>
      </c>
      <c r="M144" s="53">
        <f ca="1">ROUND(L144,2)</f>
        <v>0</v>
      </c>
    </row>
    <row r="145" spans="1:13" ht="15.4" customHeight="1" thickBot="1">
      <c r="A145" s="10" t="s">
        <v>154</v>
      </c>
      <c r="B145" s="5" t="s">
        <v>16</v>
      </c>
      <c r="C145" s="5" t="s">
        <v>155</v>
      </c>
      <c r="D145" s="64" t="s">
        <v>156</v>
      </c>
      <c r="E145" s="64"/>
      <c r="F145" s="64"/>
      <c r="G145" s="64"/>
      <c r="H145" s="64"/>
      <c r="I145" s="64"/>
      <c r="J145" s="64"/>
      <c r="K145" s="17">
        <f ca="1">ROUND(0,2)</f>
        <v>0</v>
      </c>
      <c r="L145" s="18">
        <f ca="1">L152</f>
        <v>0</v>
      </c>
      <c r="M145" s="18">
        <f ca="1">ROUND(K145*L145,2)</f>
        <v>0</v>
      </c>
    </row>
    <row r="146" spans="1:13" ht="21.4" customHeight="1" thickBot="1">
      <c r="A146" s="19"/>
      <c r="B146" s="19"/>
      <c r="C146" s="19"/>
      <c r="D146" s="64" t="s">
        <v>157</v>
      </c>
      <c r="E146" s="64"/>
      <c r="F146" s="64"/>
      <c r="G146" s="64"/>
      <c r="H146" s="64"/>
      <c r="I146" s="64"/>
      <c r="J146" s="64"/>
      <c r="K146" s="64"/>
      <c r="L146" s="64"/>
      <c r="M146" s="64"/>
    </row>
    <row r="147" spans="1:13" ht="15.2" customHeight="1" thickBot="1">
      <c r="A147" s="5" t="s">
        <v>88</v>
      </c>
      <c r="B147" s="5" t="s">
        <v>21</v>
      </c>
      <c r="C147" s="5" t="s">
        <v>22</v>
      </c>
      <c r="D147" s="64" t="s">
        <v>89</v>
      </c>
      <c r="E147" s="64"/>
      <c r="F147" s="64"/>
      <c r="G147" s="64"/>
      <c r="H147" s="64"/>
      <c r="I147" s="64"/>
      <c r="J147" s="64"/>
      <c r="K147" s="17">
        <v>0.05</v>
      </c>
      <c r="L147" s="17">
        <f ca="1">ROUND(24.23,3)</f>
        <v>0</v>
      </c>
      <c r="M147" s="18">
        <f ca="1">ROUND(K147*L147,2)</f>
        <v>0</v>
      </c>
    </row>
    <row r="148" spans="1:13" ht="15.2" customHeight="1" thickBot="1">
      <c r="A148" s="5" t="s">
        <v>90</v>
      </c>
      <c r="B148" s="5" t="s">
        <v>21</v>
      </c>
      <c r="C148" s="5" t="s">
        <v>22</v>
      </c>
      <c r="D148" s="64" t="s">
        <v>91</v>
      </c>
      <c r="E148" s="64"/>
      <c r="F148" s="64"/>
      <c r="G148" s="64"/>
      <c r="H148" s="64"/>
      <c r="I148" s="64"/>
      <c r="J148" s="64"/>
      <c r="K148" s="17">
        <v>3.6999999999999998E-2</v>
      </c>
      <c r="L148" s="17">
        <f ca="1">ROUND(28.11,3)</f>
        <v>0</v>
      </c>
      <c r="M148" s="18">
        <f ca="1">ROUND(K148*L148,2)</f>
        <v>0</v>
      </c>
    </row>
    <row r="149" spans="1:13" ht="15.2" customHeight="1" thickBot="1">
      <c r="A149" s="5" t="s">
        <v>158</v>
      </c>
      <c r="B149" s="5" t="s">
        <v>69</v>
      </c>
      <c r="C149" s="5" t="s">
        <v>155</v>
      </c>
      <c r="D149" s="64" t="s">
        <v>159</v>
      </c>
      <c r="E149" s="64"/>
      <c r="F149" s="64"/>
      <c r="G149" s="64"/>
      <c r="H149" s="64"/>
      <c r="I149" s="64"/>
      <c r="J149" s="64"/>
      <c r="K149" s="17">
        <v>1.02</v>
      </c>
      <c r="L149" s="17">
        <f ca="1">ROUND(0.99,3)</f>
        <v>0</v>
      </c>
      <c r="M149" s="18">
        <f ca="1">ROUND(K149*L149,2)</f>
        <v>0</v>
      </c>
    </row>
    <row r="150" spans="1:13" ht="15.2" customHeight="1" thickBot="1">
      <c r="A150" s="5" t="s">
        <v>160</v>
      </c>
      <c r="B150" s="5" t="s">
        <v>69</v>
      </c>
      <c r="C150" s="5" t="s">
        <v>85</v>
      </c>
      <c r="D150" s="64" t="s">
        <v>161</v>
      </c>
      <c r="E150" s="64"/>
      <c r="F150" s="64"/>
      <c r="G150" s="64"/>
      <c r="H150" s="64"/>
      <c r="I150" s="64"/>
      <c r="J150" s="64"/>
      <c r="K150" s="17">
        <v>1</v>
      </c>
      <c r="L150" s="17">
        <f ca="1">ROUND(0.15,3)</f>
        <v>0</v>
      </c>
      <c r="M150" s="18">
        <f ca="1">ROUND(K150*L150,2)</f>
        <v>0</v>
      </c>
    </row>
    <row r="151" spans="1:13" ht="15.2" customHeight="1" thickBot="1">
      <c r="A151" s="5" t="s">
        <v>34</v>
      </c>
      <c r="B151" s="5"/>
      <c r="C151" s="5" t="s">
        <v>26</v>
      </c>
      <c r="D151" s="64" t="s">
        <v>35</v>
      </c>
      <c r="E151" s="64"/>
      <c r="F151" s="64"/>
      <c r="G151" s="64"/>
      <c r="H151" s="64"/>
      <c r="I151" s="64"/>
      <c r="J151" s="64"/>
      <c r="K151" s="17">
        <v>1.5</v>
      </c>
      <c r="L151" s="17">
        <f ca="1">ROUND(2.25,3)</f>
        <v>0</v>
      </c>
      <c r="M151" s="18">
        <f ca="1">ROUND((K151*L151)/100,2)</f>
        <v>0</v>
      </c>
    </row>
    <row r="152" spans="1:13" ht="15.4" customHeight="1" thickBot="1">
      <c r="A152" s="20"/>
      <c r="B152" s="20"/>
      <c r="C152" s="20"/>
      <c r="D152" s="21" t="s">
        <v>154</v>
      </c>
      <c r="E152" s="20"/>
      <c r="F152" s="20"/>
      <c r="G152" s="20"/>
      <c r="H152" s="20"/>
      <c r="I152" s="20"/>
      <c r="J152" s="20"/>
      <c r="K152" s="22">
        <v>0</v>
      </c>
      <c r="L152" s="23">
        <f ca="1">ROUND((M147+M148+M149+M150+M151)*(1+M2/100),2)</f>
        <v>0</v>
      </c>
      <c r="M152" s="23">
        <f ca="1">ROUND(K152*L152,2)</f>
        <v>0</v>
      </c>
    </row>
    <row r="153" spans="1:13" ht="15.4" customHeight="1" thickBot="1">
      <c r="A153" s="24" t="s">
        <v>162</v>
      </c>
      <c r="B153" s="25" t="s">
        <v>16</v>
      </c>
      <c r="C153" s="25" t="s">
        <v>155</v>
      </c>
      <c r="D153" s="65" t="s">
        <v>163</v>
      </c>
      <c r="E153" s="65"/>
      <c r="F153" s="65"/>
      <c r="G153" s="65"/>
      <c r="H153" s="65"/>
      <c r="I153" s="65"/>
      <c r="J153" s="65"/>
      <c r="K153" s="26">
        <f ca="1">SUM(K156:K157)</f>
        <v>0</v>
      </c>
      <c r="L153" s="27">
        <f ca="1">L162</f>
        <v>0</v>
      </c>
      <c r="M153" s="27">
        <f ca="1">ROUND(K153*L153,2)</f>
        <v>0</v>
      </c>
    </row>
    <row r="154" spans="1:13" ht="21.4" customHeight="1" thickBot="1">
      <c r="A154" s="19"/>
      <c r="B154" s="19"/>
      <c r="C154" s="19"/>
      <c r="D154" s="64" t="s">
        <v>164</v>
      </c>
      <c r="E154" s="64"/>
      <c r="F154" s="64"/>
      <c r="G154" s="64"/>
      <c r="H154" s="64"/>
      <c r="I154" s="64"/>
      <c r="J154" s="64"/>
      <c r="K154" s="64"/>
      <c r="L154" s="64"/>
      <c r="M154" s="64"/>
    </row>
    <row r="155" spans="1:13" ht="15.2" customHeight="1" thickBot="1">
      <c r="A155" s="19"/>
      <c r="B155" s="19"/>
      <c r="C155" s="19"/>
      <c r="D155" s="19"/>
      <c r="E155" s="28"/>
      <c r="F155" s="29" t="s">
        <v>39</v>
      </c>
      <c r="G155" s="29" t="s">
        <v>40</v>
      </c>
      <c r="H155" s="29" t="s">
        <v>41</v>
      </c>
      <c r="I155" s="29" t="s">
        <v>42</v>
      </c>
      <c r="J155" s="29" t="s">
        <v>43</v>
      </c>
      <c r="K155" s="29" t="s">
        <v>44</v>
      </c>
      <c r="L155" s="19"/>
      <c r="M155" s="19"/>
    </row>
    <row r="156" spans="1:13" ht="15.2" customHeight="1" thickBot="1">
      <c r="A156" s="19"/>
      <c r="B156" s="19"/>
      <c r="C156" s="19"/>
      <c r="D156" s="30"/>
      <c r="E156" s="31"/>
      <c r="F156" s="32">
        <v>75</v>
      </c>
      <c r="G156" s="33"/>
      <c r="H156" s="33"/>
      <c r="I156" s="33"/>
      <c r="J156" s="35">
        <f ca="1">ROUND(F156,3)</f>
        <v>0</v>
      </c>
      <c r="K156" s="54"/>
      <c r="L156" s="19"/>
      <c r="M156" s="19"/>
    </row>
    <row r="157" spans="1:13" ht="15.2" customHeight="1" thickBot="1">
      <c r="A157" s="19"/>
      <c r="B157" s="19"/>
      <c r="C157" s="19"/>
      <c r="D157" s="30"/>
      <c r="E157" s="5"/>
      <c r="F157" s="3">
        <v>45</v>
      </c>
      <c r="G157" s="17"/>
      <c r="H157" s="17"/>
      <c r="I157" s="17"/>
      <c r="J157" s="34">
        <f ca="1">ROUND(F157,3)</f>
        <v>0</v>
      </c>
      <c r="K157" s="36">
        <f ca="1">SUM(J156:J157)</f>
        <v>0</v>
      </c>
      <c r="L157" s="19"/>
      <c r="M157" s="19"/>
    </row>
    <row r="158" spans="1:13" ht="15.2" customHeight="1" thickBot="1">
      <c r="A158" s="5" t="s">
        <v>88</v>
      </c>
      <c r="B158" s="5" t="s">
        <v>21</v>
      </c>
      <c r="C158" s="5" t="s">
        <v>22</v>
      </c>
      <c r="D158" s="64" t="s">
        <v>89</v>
      </c>
      <c r="E158" s="64"/>
      <c r="F158" s="64"/>
      <c r="G158" s="64"/>
      <c r="H158" s="64"/>
      <c r="I158" s="64"/>
      <c r="J158" s="64"/>
      <c r="K158" s="17">
        <v>0.02</v>
      </c>
      <c r="L158" s="17">
        <f ca="1">ROUND(24.23,3)</f>
        <v>0</v>
      </c>
      <c r="M158" s="18">
        <f ca="1">ROUND(K158*L158,2)</f>
        <v>0</v>
      </c>
    </row>
    <row r="159" spans="1:13" ht="15.2" customHeight="1" thickBot="1">
      <c r="A159" s="5" t="s">
        <v>90</v>
      </c>
      <c r="B159" s="5" t="s">
        <v>21</v>
      </c>
      <c r="C159" s="5" t="s">
        <v>22</v>
      </c>
      <c r="D159" s="64" t="s">
        <v>91</v>
      </c>
      <c r="E159" s="64"/>
      <c r="F159" s="64"/>
      <c r="G159" s="64"/>
      <c r="H159" s="64"/>
      <c r="I159" s="64"/>
      <c r="J159" s="64"/>
      <c r="K159" s="17">
        <v>1.6E-2</v>
      </c>
      <c r="L159" s="17">
        <f ca="1">ROUND(28.11,3)</f>
        <v>0</v>
      </c>
      <c r="M159" s="18">
        <f ca="1">ROUND(K159*L159,2)</f>
        <v>0</v>
      </c>
    </row>
    <row r="160" spans="1:13" ht="15.2" customHeight="1" thickBot="1">
      <c r="A160" s="5" t="s">
        <v>165</v>
      </c>
      <c r="B160" s="5" t="s">
        <v>69</v>
      </c>
      <c r="C160" s="5" t="s">
        <v>155</v>
      </c>
      <c r="D160" s="64" t="s">
        <v>166</v>
      </c>
      <c r="E160" s="64"/>
      <c r="F160" s="64"/>
      <c r="G160" s="64"/>
      <c r="H160" s="64"/>
      <c r="I160" s="64"/>
      <c r="J160" s="64"/>
      <c r="K160" s="17">
        <v>1.02</v>
      </c>
      <c r="L160" s="17">
        <f ca="1">ROUND(0.34,3)</f>
        <v>0</v>
      </c>
      <c r="M160" s="18">
        <f ca="1">ROUND(K160*L160,2)</f>
        <v>0</v>
      </c>
    </row>
    <row r="161" spans="1:13" ht="15.2" customHeight="1" thickBot="1">
      <c r="A161" s="5" t="s">
        <v>34</v>
      </c>
      <c r="B161" s="5"/>
      <c r="C161" s="5" t="s">
        <v>26</v>
      </c>
      <c r="D161" s="64" t="s">
        <v>35</v>
      </c>
      <c r="E161" s="64"/>
      <c r="F161" s="64"/>
      <c r="G161" s="64"/>
      <c r="H161" s="64"/>
      <c r="I161" s="64"/>
      <c r="J161" s="64"/>
      <c r="K161" s="17">
        <v>1.5</v>
      </c>
      <c r="L161" s="17">
        <f ca="1">ROUND(0.93,3)</f>
        <v>0</v>
      </c>
      <c r="M161" s="18">
        <f ca="1">ROUND((K161*L161)/100,2)</f>
        <v>0</v>
      </c>
    </row>
    <row r="162" spans="1:13" ht="15.4" customHeight="1" thickBot="1">
      <c r="A162" s="20"/>
      <c r="B162" s="20"/>
      <c r="C162" s="20"/>
      <c r="D162" s="21" t="s">
        <v>162</v>
      </c>
      <c r="E162" s="20"/>
      <c r="F162" s="20"/>
      <c r="G162" s="20"/>
      <c r="H162" s="20"/>
      <c r="I162" s="20"/>
      <c r="J162" s="20"/>
      <c r="K162" s="22">
        <v>120</v>
      </c>
      <c r="L162" s="23">
        <f ca="1">ROUND((M158+M159+M160+M161)*(1+M2/100),2)</f>
        <v>0</v>
      </c>
      <c r="M162" s="23">
        <f ca="1">ROUND(K162*L162,2)</f>
        <v>0</v>
      </c>
    </row>
    <row r="163" spans="1:13" ht="15.4" customHeight="1" thickBot="1">
      <c r="A163" s="24" t="s">
        <v>167</v>
      </c>
      <c r="B163" s="25" t="s">
        <v>16</v>
      </c>
      <c r="C163" s="25" t="s">
        <v>155</v>
      </c>
      <c r="D163" s="65" t="s">
        <v>168</v>
      </c>
      <c r="E163" s="65"/>
      <c r="F163" s="65"/>
      <c r="G163" s="65"/>
      <c r="H163" s="65"/>
      <c r="I163" s="65"/>
      <c r="J163" s="65"/>
      <c r="K163" s="26">
        <f ca="1">ROUND(0,2)</f>
        <v>0</v>
      </c>
      <c r="L163" s="27">
        <f ca="1">L170</f>
        <v>0</v>
      </c>
      <c r="M163" s="27">
        <f ca="1">ROUND(K163*L163,2)</f>
        <v>0</v>
      </c>
    </row>
    <row r="164" spans="1:13" ht="21.4" customHeight="1" thickBot="1">
      <c r="A164" s="19"/>
      <c r="B164" s="19"/>
      <c r="C164" s="19"/>
      <c r="D164" s="64" t="s">
        <v>169</v>
      </c>
      <c r="E164" s="64"/>
      <c r="F164" s="64"/>
      <c r="G164" s="64"/>
      <c r="H164" s="64"/>
      <c r="I164" s="64"/>
      <c r="J164" s="64"/>
      <c r="K164" s="64"/>
      <c r="L164" s="64"/>
      <c r="M164" s="64"/>
    </row>
    <row r="165" spans="1:13" ht="15.2" customHeight="1" thickBot="1">
      <c r="A165" s="5" t="s">
        <v>88</v>
      </c>
      <c r="B165" s="5" t="s">
        <v>21</v>
      </c>
      <c r="C165" s="5" t="s">
        <v>22</v>
      </c>
      <c r="D165" s="64" t="s">
        <v>89</v>
      </c>
      <c r="E165" s="64"/>
      <c r="F165" s="64"/>
      <c r="G165" s="64"/>
      <c r="H165" s="64"/>
      <c r="I165" s="64"/>
      <c r="J165" s="64"/>
      <c r="K165" s="17">
        <v>0.05</v>
      </c>
      <c r="L165" s="17">
        <f ca="1">ROUND(24.23,3)</f>
        <v>0</v>
      </c>
      <c r="M165" s="18">
        <f ca="1">ROUND(K165*L165,2)</f>
        <v>0</v>
      </c>
    </row>
    <row r="166" spans="1:13" ht="15.2" customHeight="1" thickBot="1">
      <c r="A166" s="5" t="s">
        <v>90</v>
      </c>
      <c r="B166" s="5" t="s">
        <v>21</v>
      </c>
      <c r="C166" s="5" t="s">
        <v>22</v>
      </c>
      <c r="D166" s="64" t="s">
        <v>91</v>
      </c>
      <c r="E166" s="64"/>
      <c r="F166" s="64"/>
      <c r="G166" s="64"/>
      <c r="H166" s="64"/>
      <c r="I166" s="64"/>
      <c r="J166" s="64"/>
      <c r="K166" s="17">
        <v>4.9000000000000002E-2</v>
      </c>
      <c r="L166" s="17">
        <f ca="1">ROUND(28.11,3)</f>
        <v>0</v>
      </c>
      <c r="M166" s="18">
        <f ca="1">ROUND(K166*L166,2)</f>
        <v>0</v>
      </c>
    </row>
    <row r="167" spans="1:13" ht="15.2" customHeight="1" thickBot="1">
      <c r="A167" s="5" t="s">
        <v>170</v>
      </c>
      <c r="B167" s="5" t="s">
        <v>69</v>
      </c>
      <c r="C167" s="5" t="s">
        <v>155</v>
      </c>
      <c r="D167" s="64" t="s">
        <v>171</v>
      </c>
      <c r="E167" s="64"/>
      <c r="F167" s="64"/>
      <c r="G167" s="64"/>
      <c r="H167" s="64"/>
      <c r="I167" s="64"/>
      <c r="J167" s="64"/>
      <c r="K167" s="17">
        <v>1.02</v>
      </c>
      <c r="L167" s="17">
        <f ca="1">ROUND(3.01,3)</f>
        <v>0</v>
      </c>
      <c r="M167" s="18">
        <f ca="1">ROUND(K167*L167,2)</f>
        <v>0</v>
      </c>
    </row>
    <row r="168" spans="1:13" ht="15.2" customHeight="1" thickBot="1">
      <c r="A168" s="5" t="s">
        <v>160</v>
      </c>
      <c r="B168" s="5" t="s">
        <v>69</v>
      </c>
      <c r="C168" s="5" t="s">
        <v>85</v>
      </c>
      <c r="D168" s="64" t="s">
        <v>161</v>
      </c>
      <c r="E168" s="64"/>
      <c r="F168" s="64"/>
      <c r="G168" s="64"/>
      <c r="H168" s="64"/>
      <c r="I168" s="64"/>
      <c r="J168" s="64"/>
      <c r="K168" s="17">
        <v>1</v>
      </c>
      <c r="L168" s="17">
        <f ca="1">ROUND(0.15,3)</f>
        <v>0</v>
      </c>
      <c r="M168" s="18">
        <f ca="1">ROUND(K168*L168,2)</f>
        <v>0</v>
      </c>
    </row>
    <row r="169" spans="1:13" ht="15.2" customHeight="1" thickBot="1">
      <c r="A169" s="5" t="s">
        <v>34</v>
      </c>
      <c r="B169" s="5"/>
      <c r="C169" s="5" t="s">
        <v>26</v>
      </c>
      <c r="D169" s="64" t="s">
        <v>35</v>
      </c>
      <c r="E169" s="64"/>
      <c r="F169" s="64"/>
      <c r="G169" s="64"/>
      <c r="H169" s="64"/>
      <c r="I169" s="64"/>
      <c r="J169" s="64"/>
      <c r="K169" s="17">
        <v>1.5</v>
      </c>
      <c r="L169" s="17">
        <f ca="1">ROUND(2.59,3)</f>
        <v>0</v>
      </c>
      <c r="M169" s="18">
        <f ca="1">ROUND((K169*L169)/100,2)</f>
        <v>0</v>
      </c>
    </row>
    <row r="170" spans="1:13" ht="15.4" customHeight="1" thickBot="1">
      <c r="A170" s="20"/>
      <c r="B170" s="20"/>
      <c r="C170" s="20"/>
      <c r="D170" s="21" t="s">
        <v>167</v>
      </c>
      <c r="E170" s="20"/>
      <c r="F170" s="20"/>
      <c r="G170" s="20"/>
      <c r="H170" s="20"/>
      <c r="I170" s="20"/>
      <c r="J170" s="20"/>
      <c r="K170" s="22">
        <v>0</v>
      </c>
      <c r="L170" s="23">
        <f ca="1">ROUND((M165+M166+M167+M168+M169)*(1+M2/100),2)</f>
        <v>0</v>
      </c>
      <c r="M170" s="23">
        <f ca="1">ROUND(K170*L170,2)</f>
        <v>0</v>
      </c>
    </row>
    <row r="171" spans="1:13" ht="15.4" customHeight="1" thickBot="1">
      <c r="A171" s="24" t="s">
        <v>172</v>
      </c>
      <c r="B171" s="25" t="s">
        <v>16</v>
      </c>
      <c r="C171" s="25" t="s">
        <v>155</v>
      </c>
      <c r="D171" s="65" t="s">
        <v>173</v>
      </c>
      <c r="E171" s="65"/>
      <c r="F171" s="65"/>
      <c r="G171" s="65"/>
      <c r="H171" s="65"/>
      <c r="I171" s="65"/>
      <c r="J171" s="65"/>
      <c r="K171" s="26">
        <f ca="1">SUM(K174:K174)</f>
        <v>0</v>
      </c>
      <c r="L171" s="27">
        <f ca="1">L179</f>
        <v>0</v>
      </c>
      <c r="M171" s="27">
        <f ca="1">ROUND(K171*L171,2)</f>
        <v>0</v>
      </c>
    </row>
    <row r="172" spans="1:13" ht="21.4" customHeight="1" thickBot="1">
      <c r="A172" s="19"/>
      <c r="B172" s="19"/>
      <c r="C172" s="19"/>
      <c r="D172" s="64" t="s">
        <v>174</v>
      </c>
      <c r="E172" s="64"/>
      <c r="F172" s="64"/>
      <c r="G172" s="64"/>
      <c r="H172" s="64"/>
      <c r="I172" s="64"/>
      <c r="J172" s="64"/>
      <c r="K172" s="64"/>
      <c r="L172" s="64"/>
      <c r="M172" s="64"/>
    </row>
    <row r="173" spans="1:13" ht="15.2" customHeight="1" thickBot="1">
      <c r="A173" s="19"/>
      <c r="B173" s="19"/>
      <c r="C173" s="19"/>
      <c r="D173" s="19"/>
      <c r="E173" s="28"/>
      <c r="F173" s="29" t="s">
        <v>39</v>
      </c>
      <c r="G173" s="29" t="s">
        <v>40</v>
      </c>
      <c r="H173" s="29" t="s">
        <v>41</v>
      </c>
      <c r="I173" s="29" t="s">
        <v>42</v>
      </c>
      <c r="J173" s="29" t="s">
        <v>43</v>
      </c>
      <c r="K173" s="29" t="s">
        <v>44</v>
      </c>
      <c r="L173" s="19"/>
      <c r="M173" s="19"/>
    </row>
    <row r="174" spans="1:13" ht="15.2" customHeight="1" thickBot="1">
      <c r="A174" s="19"/>
      <c r="B174" s="19"/>
      <c r="C174" s="19"/>
      <c r="D174" s="30"/>
      <c r="E174" s="31" t="s">
        <v>175</v>
      </c>
      <c r="F174" s="32">
        <v>70</v>
      </c>
      <c r="G174" s="33"/>
      <c r="H174" s="33"/>
      <c r="I174" s="33"/>
      <c r="J174" s="35">
        <f ca="1">ROUND(F174,3)</f>
        <v>0</v>
      </c>
      <c r="K174" s="37">
        <f ca="1">SUM(J174:J174)</f>
        <v>0</v>
      </c>
      <c r="L174" s="19"/>
      <c r="M174" s="19"/>
    </row>
    <row r="175" spans="1:13" ht="15.2" customHeight="1" thickBot="1">
      <c r="A175" s="5" t="s">
        <v>88</v>
      </c>
      <c r="B175" s="5" t="s">
        <v>21</v>
      </c>
      <c r="C175" s="5" t="s">
        <v>22</v>
      </c>
      <c r="D175" s="64" t="s">
        <v>89</v>
      </c>
      <c r="E175" s="64"/>
      <c r="F175" s="64"/>
      <c r="G175" s="64"/>
      <c r="H175" s="64"/>
      <c r="I175" s="64"/>
      <c r="J175" s="64"/>
      <c r="K175" s="17">
        <v>0.02</v>
      </c>
      <c r="L175" s="17">
        <f ca="1">ROUND(24.23,3)</f>
        <v>0</v>
      </c>
      <c r="M175" s="18">
        <f ca="1">ROUND(K175*L175,2)</f>
        <v>0</v>
      </c>
    </row>
    <row r="176" spans="1:13" ht="15.2" customHeight="1" thickBot="1">
      <c r="A176" s="5" t="s">
        <v>90</v>
      </c>
      <c r="B176" s="5" t="s">
        <v>21</v>
      </c>
      <c r="C176" s="5" t="s">
        <v>22</v>
      </c>
      <c r="D176" s="64" t="s">
        <v>91</v>
      </c>
      <c r="E176" s="64"/>
      <c r="F176" s="64"/>
      <c r="G176" s="64"/>
      <c r="H176" s="64"/>
      <c r="I176" s="64"/>
      <c r="J176" s="64"/>
      <c r="K176" s="17">
        <v>1.6E-2</v>
      </c>
      <c r="L176" s="17">
        <f ca="1">ROUND(28.11,3)</f>
        <v>0</v>
      </c>
      <c r="M176" s="18">
        <f ca="1">ROUND(K176*L176,2)</f>
        <v>0</v>
      </c>
    </row>
    <row r="177" spans="1:13" ht="15.2" customHeight="1" thickBot="1">
      <c r="A177" s="5" t="s">
        <v>176</v>
      </c>
      <c r="B177" s="5" t="s">
        <v>69</v>
      </c>
      <c r="C177" s="5" t="s">
        <v>155</v>
      </c>
      <c r="D177" s="64" t="s">
        <v>177</v>
      </c>
      <c r="E177" s="64"/>
      <c r="F177" s="64"/>
      <c r="G177" s="64"/>
      <c r="H177" s="64"/>
      <c r="I177" s="64"/>
      <c r="J177" s="64"/>
      <c r="K177" s="17">
        <v>1.02</v>
      </c>
      <c r="L177" s="17">
        <f ca="1">ROUND(1.22,3)</f>
        <v>0</v>
      </c>
      <c r="M177" s="18">
        <f ca="1">ROUND(K177*L177,2)</f>
        <v>0</v>
      </c>
    </row>
    <row r="178" spans="1:13" ht="15.2" customHeight="1" thickBot="1">
      <c r="A178" s="5" t="s">
        <v>34</v>
      </c>
      <c r="B178" s="5"/>
      <c r="C178" s="5" t="s">
        <v>26</v>
      </c>
      <c r="D178" s="64" t="s">
        <v>35</v>
      </c>
      <c r="E178" s="64"/>
      <c r="F178" s="64"/>
      <c r="G178" s="64"/>
      <c r="H178" s="64"/>
      <c r="I178" s="64"/>
      <c r="J178" s="64"/>
      <c r="K178" s="17">
        <v>1.5</v>
      </c>
      <c r="L178" s="17">
        <f ca="1">ROUND(0.93,3)</f>
        <v>0</v>
      </c>
      <c r="M178" s="18">
        <f ca="1">ROUND((K178*L178)/100,2)</f>
        <v>0</v>
      </c>
    </row>
    <row r="179" spans="1:13" ht="15.4" customHeight="1" thickBot="1">
      <c r="A179" s="20"/>
      <c r="B179" s="20"/>
      <c r="C179" s="20"/>
      <c r="D179" s="21" t="s">
        <v>172</v>
      </c>
      <c r="E179" s="20"/>
      <c r="F179" s="20"/>
      <c r="G179" s="20"/>
      <c r="H179" s="20"/>
      <c r="I179" s="20"/>
      <c r="J179" s="20"/>
      <c r="K179" s="22">
        <v>70</v>
      </c>
      <c r="L179" s="23">
        <f ca="1">ROUND((M175+M176+M177+M178)*(1+M2/100),2)</f>
        <v>0</v>
      </c>
      <c r="M179" s="23">
        <f ca="1">ROUND(K179*L179,2)</f>
        <v>0</v>
      </c>
    </row>
    <row r="180" spans="1:13" ht="15.4" customHeight="1" thickBot="1">
      <c r="A180" s="24" t="s">
        <v>178</v>
      </c>
      <c r="B180" s="25" t="s">
        <v>16</v>
      </c>
      <c r="C180" s="25" t="s">
        <v>155</v>
      </c>
      <c r="D180" s="65" t="s">
        <v>179</v>
      </c>
      <c r="E180" s="65"/>
      <c r="F180" s="65"/>
      <c r="G180" s="65"/>
      <c r="H180" s="65"/>
      <c r="I180" s="65"/>
      <c r="J180" s="65"/>
      <c r="K180" s="26">
        <f ca="1">ROUND(50,2)</f>
        <v>0</v>
      </c>
      <c r="L180" s="27">
        <f ca="1">L186</f>
        <v>0</v>
      </c>
      <c r="M180" s="27">
        <f ca="1">ROUND(K180*L180,2)</f>
        <v>0</v>
      </c>
    </row>
    <row r="181" spans="1:13" ht="21.4" customHeight="1" thickBot="1">
      <c r="A181" s="19"/>
      <c r="B181" s="19"/>
      <c r="C181" s="19"/>
      <c r="D181" s="64" t="s">
        <v>180</v>
      </c>
      <c r="E181" s="64"/>
      <c r="F181" s="64"/>
      <c r="G181" s="64"/>
      <c r="H181" s="64"/>
      <c r="I181" s="64"/>
      <c r="J181" s="64"/>
      <c r="K181" s="64"/>
      <c r="L181" s="64"/>
      <c r="M181" s="64"/>
    </row>
    <row r="182" spans="1:13" ht="15.2" customHeight="1" thickBot="1">
      <c r="A182" s="5" t="s">
        <v>88</v>
      </c>
      <c r="B182" s="5" t="s">
        <v>21</v>
      </c>
      <c r="C182" s="5" t="s">
        <v>22</v>
      </c>
      <c r="D182" s="64" t="s">
        <v>89</v>
      </c>
      <c r="E182" s="64"/>
      <c r="F182" s="64"/>
      <c r="G182" s="64"/>
      <c r="H182" s="64"/>
      <c r="I182" s="64"/>
      <c r="J182" s="64"/>
      <c r="K182" s="17">
        <v>0.02</v>
      </c>
      <c r="L182" s="17">
        <f ca="1">ROUND(24.23,3)</f>
        <v>0</v>
      </c>
      <c r="M182" s="18">
        <f ca="1">ROUND(K182*L182,2)</f>
        <v>0</v>
      </c>
    </row>
    <row r="183" spans="1:13" ht="15.2" customHeight="1" thickBot="1">
      <c r="A183" s="5" t="s">
        <v>90</v>
      </c>
      <c r="B183" s="5" t="s">
        <v>21</v>
      </c>
      <c r="C183" s="5" t="s">
        <v>22</v>
      </c>
      <c r="D183" s="64" t="s">
        <v>91</v>
      </c>
      <c r="E183" s="64"/>
      <c r="F183" s="64"/>
      <c r="G183" s="64"/>
      <c r="H183" s="64"/>
      <c r="I183" s="64"/>
      <c r="J183" s="64"/>
      <c r="K183" s="17">
        <v>3.3000000000000002E-2</v>
      </c>
      <c r="L183" s="17">
        <f ca="1">ROUND(28.11,3)</f>
        <v>0</v>
      </c>
      <c r="M183" s="18">
        <f ca="1">ROUND(K183*L183,2)</f>
        <v>0</v>
      </c>
    </row>
    <row r="184" spans="1:13" ht="15.2" customHeight="1" thickBot="1">
      <c r="A184" s="5" t="s">
        <v>181</v>
      </c>
      <c r="B184" s="5" t="s">
        <v>69</v>
      </c>
      <c r="C184" s="5" t="s">
        <v>155</v>
      </c>
      <c r="D184" s="64" t="s">
        <v>182</v>
      </c>
      <c r="E184" s="64"/>
      <c r="F184" s="64"/>
      <c r="G184" s="64"/>
      <c r="H184" s="64"/>
      <c r="I184" s="64"/>
      <c r="J184" s="64"/>
      <c r="K184" s="17">
        <v>1.02</v>
      </c>
      <c r="L184" s="17">
        <f ca="1">ROUND(2.45,3)</f>
        <v>0</v>
      </c>
      <c r="M184" s="18">
        <f ca="1">ROUND(K184*L184,2)</f>
        <v>0</v>
      </c>
    </row>
    <row r="185" spans="1:13" ht="15.2" customHeight="1" thickBot="1">
      <c r="A185" s="5" t="s">
        <v>34</v>
      </c>
      <c r="B185" s="5"/>
      <c r="C185" s="5" t="s">
        <v>26</v>
      </c>
      <c r="D185" s="64" t="s">
        <v>35</v>
      </c>
      <c r="E185" s="64"/>
      <c r="F185" s="64"/>
      <c r="G185" s="64"/>
      <c r="H185" s="64"/>
      <c r="I185" s="64"/>
      <c r="J185" s="64"/>
      <c r="K185" s="17">
        <v>1.5</v>
      </c>
      <c r="L185" s="17">
        <f ca="1">ROUND(1.41,3)</f>
        <v>0</v>
      </c>
      <c r="M185" s="18">
        <f ca="1">ROUND((K185*L185)/100,2)</f>
        <v>0</v>
      </c>
    </row>
    <row r="186" spans="1:13" ht="15.4" customHeight="1" thickBot="1">
      <c r="A186" s="20"/>
      <c r="B186" s="20"/>
      <c r="C186" s="20"/>
      <c r="D186" s="21" t="s">
        <v>178</v>
      </c>
      <c r="E186" s="20"/>
      <c r="F186" s="20"/>
      <c r="G186" s="20"/>
      <c r="H186" s="20"/>
      <c r="I186" s="20"/>
      <c r="J186" s="20"/>
      <c r="K186" s="22">
        <v>50</v>
      </c>
      <c r="L186" s="23">
        <f ca="1">ROUND((M182+M183+M184+M185)*(1+M2/100),2)</f>
        <v>0</v>
      </c>
      <c r="M186" s="23">
        <f ca="1">ROUND(K186*L186,2)</f>
        <v>0</v>
      </c>
    </row>
    <row r="187" spans="1:13" ht="15.4" customHeight="1" thickBot="1">
      <c r="A187" s="24" t="s">
        <v>183</v>
      </c>
      <c r="B187" s="25" t="s">
        <v>16</v>
      </c>
      <c r="C187" s="25" t="s">
        <v>155</v>
      </c>
      <c r="D187" s="65" t="s">
        <v>184</v>
      </c>
      <c r="E187" s="65"/>
      <c r="F187" s="65"/>
      <c r="G187" s="65"/>
      <c r="H187" s="65"/>
      <c r="I187" s="65"/>
      <c r="J187" s="65"/>
      <c r="K187" s="26">
        <f ca="1">ROUND(45,2)</f>
        <v>0</v>
      </c>
      <c r="L187" s="27">
        <f ca="1">L193</f>
        <v>0</v>
      </c>
      <c r="M187" s="27">
        <f ca="1">ROUND(K187*L187,2)</f>
        <v>0</v>
      </c>
    </row>
    <row r="188" spans="1:13" ht="21.4" customHeight="1" thickBot="1">
      <c r="A188" s="19"/>
      <c r="B188" s="19"/>
      <c r="C188" s="19"/>
      <c r="D188" s="64" t="s">
        <v>185</v>
      </c>
      <c r="E188" s="64"/>
      <c r="F188" s="64"/>
      <c r="G188" s="64"/>
      <c r="H188" s="64"/>
      <c r="I188" s="64"/>
      <c r="J188" s="64"/>
      <c r="K188" s="64"/>
      <c r="L188" s="64"/>
      <c r="M188" s="64"/>
    </row>
    <row r="189" spans="1:13" ht="15.2" customHeight="1" thickBot="1">
      <c r="A189" s="5" t="s">
        <v>88</v>
      </c>
      <c r="B189" s="5" t="s">
        <v>21</v>
      </c>
      <c r="C189" s="5" t="s">
        <v>22</v>
      </c>
      <c r="D189" s="64" t="s">
        <v>89</v>
      </c>
      <c r="E189" s="64"/>
      <c r="F189" s="64"/>
      <c r="G189" s="64"/>
      <c r="H189" s="64"/>
      <c r="I189" s="64"/>
      <c r="J189" s="64"/>
      <c r="K189" s="17">
        <v>1.4999999999999999E-2</v>
      </c>
      <c r="L189" s="17">
        <f ca="1">ROUND(24.23,3)</f>
        <v>0</v>
      </c>
      <c r="M189" s="18">
        <f ca="1">ROUND(K189*L189,2)</f>
        <v>0</v>
      </c>
    </row>
    <row r="190" spans="1:13" ht="15.2" customHeight="1" thickBot="1">
      <c r="A190" s="5" t="s">
        <v>90</v>
      </c>
      <c r="B190" s="5" t="s">
        <v>21</v>
      </c>
      <c r="C190" s="5" t="s">
        <v>22</v>
      </c>
      <c r="D190" s="64" t="s">
        <v>91</v>
      </c>
      <c r="E190" s="64"/>
      <c r="F190" s="64"/>
      <c r="G190" s="64"/>
      <c r="H190" s="64"/>
      <c r="I190" s="64"/>
      <c r="J190" s="64"/>
      <c r="K190" s="17">
        <v>1.4999999999999999E-2</v>
      </c>
      <c r="L190" s="17">
        <f ca="1">ROUND(28.11,3)</f>
        <v>0</v>
      </c>
      <c r="M190" s="18">
        <f ca="1">ROUND(K190*L190,2)</f>
        <v>0</v>
      </c>
    </row>
    <row r="191" spans="1:13" ht="15.2" customHeight="1" thickBot="1">
      <c r="A191" s="5" t="s">
        <v>186</v>
      </c>
      <c r="B191" s="5" t="s">
        <v>69</v>
      </c>
      <c r="C191" s="5" t="s">
        <v>155</v>
      </c>
      <c r="D191" s="64" t="s">
        <v>187</v>
      </c>
      <c r="E191" s="64"/>
      <c r="F191" s="64"/>
      <c r="G191" s="64"/>
      <c r="H191" s="64"/>
      <c r="I191" s="64"/>
      <c r="J191" s="64"/>
      <c r="K191" s="17">
        <v>1.02</v>
      </c>
      <c r="L191" s="17">
        <f ca="1">ROUND(1.23,3)</f>
        <v>0</v>
      </c>
      <c r="M191" s="18">
        <f ca="1">ROUND(K191*L191,2)</f>
        <v>0</v>
      </c>
    </row>
    <row r="192" spans="1:13" ht="15.2" customHeight="1" thickBot="1">
      <c r="A192" s="5" t="s">
        <v>34</v>
      </c>
      <c r="B192" s="5"/>
      <c r="C192" s="5" t="s">
        <v>26</v>
      </c>
      <c r="D192" s="64" t="s">
        <v>35</v>
      </c>
      <c r="E192" s="64"/>
      <c r="F192" s="64"/>
      <c r="G192" s="64"/>
      <c r="H192" s="64"/>
      <c r="I192" s="64"/>
      <c r="J192" s="64"/>
      <c r="K192" s="17">
        <v>1.5</v>
      </c>
      <c r="L192" s="17">
        <f ca="1">ROUND(0.78,3)</f>
        <v>0</v>
      </c>
      <c r="M192" s="18">
        <f ca="1">ROUND((K192*L192)/100,2)</f>
        <v>0</v>
      </c>
    </row>
    <row r="193" spans="1:13" ht="15.4" customHeight="1" thickBot="1">
      <c r="A193" s="20"/>
      <c r="B193" s="20"/>
      <c r="C193" s="20"/>
      <c r="D193" s="21" t="s">
        <v>183</v>
      </c>
      <c r="E193" s="20"/>
      <c r="F193" s="20"/>
      <c r="G193" s="20"/>
      <c r="H193" s="20"/>
      <c r="I193" s="20"/>
      <c r="J193" s="20"/>
      <c r="K193" s="22">
        <v>45</v>
      </c>
      <c r="L193" s="23">
        <f ca="1">ROUND((M189+M190+M191+M192)*(1+M2/100),2)</f>
        <v>0</v>
      </c>
      <c r="M193" s="23">
        <f ca="1">ROUND(K193*L193,2)</f>
        <v>0</v>
      </c>
    </row>
    <row r="194" spans="1:13" ht="15.4" customHeight="1" thickBot="1">
      <c r="A194" s="24" t="s">
        <v>188</v>
      </c>
      <c r="B194" s="25" t="s">
        <v>16</v>
      </c>
      <c r="C194" s="25" t="s">
        <v>155</v>
      </c>
      <c r="D194" s="65" t="s">
        <v>189</v>
      </c>
      <c r="E194" s="65"/>
      <c r="F194" s="65"/>
      <c r="G194" s="65"/>
      <c r="H194" s="65"/>
      <c r="I194" s="65"/>
      <c r="J194" s="65"/>
      <c r="K194" s="26">
        <f ca="1">ROUND(0,2)</f>
        <v>0</v>
      </c>
      <c r="L194" s="27">
        <f ca="1">L200</f>
        <v>0</v>
      </c>
      <c r="M194" s="27">
        <f ca="1">ROUND(K194*L194,2)</f>
        <v>0</v>
      </c>
    </row>
    <row r="195" spans="1:13" ht="21.4" customHeight="1" thickBot="1">
      <c r="A195" s="19"/>
      <c r="B195" s="19"/>
      <c r="C195" s="19"/>
      <c r="D195" s="64" t="s">
        <v>190</v>
      </c>
      <c r="E195" s="64"/>
      <c r="F195" s="64"/>
      <c r="G195" s="64"/>
      <c r="H195" s="64"/>
      <c r="I195" s="64"/>
      <c r="J195" s="64"/>
      <c r="K195" s="64"/>
      <c r="L195" s="64"/>
      <c r="M195" s="64"/>
    </row>
    <row r="196" spans="1:13" ht="15.2" customHeight="1" thickBot="1">
      <c r="A196" s="5" t="s">
        <v>88</v>
      </c>
      <c r="B196" s="5" t="s">
        <v>21</v>
      </c>
      <c r="C196" s="5" t="s">
        <v>22</v>
      </c>
      <c r="D196" s="64" t="s">
        <v>89</v>
      </c>
      <c r="E196" s="64"/>
      <c r="F196" s="64"/>
      <c r="G196" s="64"/>
      <c r="H196" s="64"/>
      <c r="I196" s="64"/>
      <c r="J196" s="64"/>
      <c r="K196" s="17">
        <v>1.4999999999999999E-2</v>
      </c>
      <c r="L196" s="17">
        <f ca="1">ROUND(24.23,3)</f>
        <v>0</v>
      </c>
      <c r="M196" s="18">
        <f ca="1">ROUND(K196*L196,2)</f>
        <v>0</v>
      </c>
    </row>
    <row r="197" spans="1:13" ht="15.2" customHeight="1" thickBot="1">
      <c r="A197" s="5" t="s">
        <v>90</v>
      </c>
      <c r="B197" s="5" t="s">
        <v>21</v>
      </c>
      <c r="C197" s="5" t="s">
        <v>22</v>
      </c>
      <c r="D197" s="64" t="s">
        <v>91</v>
      </c>
      <c r="E197" s="64"/>
      <c r="F197" s="64"/>
      <c r="G197" s="64"/>
      <c r="H197" s="64"/>
      <c r="I197" s="64"/>
      <c r="J197" s="64"/>
      <c r="K197" s="17">
        <v>1.4999999999999999E-2</v>
      </c>
      <c r="L197" s="17">
        <f ca="1">ROUND(28.11,3)</f>
        <v>0</v>
      </c>
      <c r="M197" s="18">
        <f ca="1">ROUND(K197*L197,2)</f>
        <v>0</v>
      </c>
    </row>
    <row r="198" spans="1:13" ht="15.2" customHeight="1" thickBot="1">
      <c r="A198" s="5" t="s">
        <v>191</v>
      </c>
      <c r="B198" s="5" t="s">
        <v>69</v>
      </c>
      <c r="C198" s="5" t="s">
        <v>155</v>
      </c>
      <c r="D198" s="64" t="s">
        <v>192</v>
      </c>
      <c r="E198" s="64"/>
      <c r="F198" s="64"/>
      <c r="G198" s="64"/>
      <c r="H198" s="64"/>
      <c r="I198" s="64"/>
      <c r="J198" s="64"/>
      <c r="K198" s="17">
        <v>1.02</v>
      </c>
      <c r="L198" s="17">
        <f ca="1">ROUND(1.91,3)</f>
        <v>0</v>
      </c>
      <c r="M198" s="18">
        <f ca="1">ROUND(K198*L198,2)</f>
        <v>0</v>
      </c>
    </row>
    <row r="199" spans="1:13" ht="15.2" customHeight="1" thickBot="1">
      <c r="A199" s="5" t="s">
        <v>34</v>
      </c>
      <c r="B199" s="5"/>
      <c r="C199" s="5" t="s">
        <v>26</v>
      </c>
      <c r="D199" s="64" t="s">
        <v>35</v>
      </c>
      <c r="E199" s="64"/>
      <c r="F199" s="64"/>
      <c r="G199" s="64"/>
      <c r="H199" s="64"/>
      <c r="I199" s="64"/>
      <c r="J199" s="64"/>
      <c r="K199" s="17">
        <v>1.5</v>
      </c>
      <c r="L199" s="17">
        <f ca="1">ROUND(0.78,3)</f>
        <v>0</v>
      </c>
      <c r="M199" s="18">
        <f ca="1">ROUND((K199*L199)/100,2)</f>
        <v>0</v>
      </c>
    </row>
    <row r="200" spans="1:13" ht="15.4" customHeight="1" thickBot="1">
      <c r="A200" s="20"/>
      <c r="B200" s="20"/>
      <c r="C200" s="20"/>
      <c r="D200" s="21" t="s">
        <v>188</v>
      </c>
      <c r="E200" s="20"/>
      <c r="F200" s="20"/>
      <c r="G200" s="20"/>
      <c r="H200" s="20"/>
      <c r="I200" s="20"/>
      <c r="J200" s="20"/>
      <c r="K200" s="22">
        <v>0</v>
      </c>
      <c r="L200" s="23">
        <f ca="1">ROUND((M196+M197+M198+M199)*(1+M2/100),2)</f>
        <v>0</v>
      </c>
      <c r="M200" s="23">
        <f ca="1">ROUND(K200*L200,2)</f>
        <v>0</v>
      </c>
    </row>
    <row r="201" spans="1:13" ht="15.4" customHeight="1" thickBot="1">
      <c r="A201" s="24" t="s">
        <v>193</v>
      </c>
      <c r="B201" s="25" t="s">
        <v>16</v>
      </c>
      <c r="C201" s="25" t="s">
        <v>155</v>
      </c>
      <c r="D201" s="65" t="s">
        <v>194</v>
      </c>
      <c r="E201" s="65"/>
      <c r="F201" s="65"/>
      <c r="G201" s="65"/>
      <c r="H201" s="65"/>
      <c r="I201" s="65"/>
      <c r="J201" s="65"/>
      <c r="K201" s="26">
        <f ca="1">SUM(K204:K204)</f>
        <v>0</v>
      </c>
      <c r="L201" s="27">
        <f ca="1">L209</f>
        <v>0</v>
      </c>
      <c r="M201" s="27">
        <f ca="1">ROUND(K201*L201,2)</f>
        <v>0</v>
      </c>
    </row>
    <row r="202" spans="1:13" ht="21.4" customHeight="1" thickBot="1">
      <c r="A202" s="19"/>
      <c r="B202" s="19"/>
      <c r="C202" s="19"/>
      <c r="D202" s="64" t="s">
        <v>195</v>
      </c>
      <c r="E202" s="64"/>
      <c r="F202" s="64"/>
      <c r="G202" s="64"/>
      <c r="H202" s="64"/>
      <c r="I202" s="64"/>
      <c r="J202" s="64"/>
      <c r="K202" s="64"/>
      <c r="L202" s="64"/>
      <c r="M202" s="64"/>
    </row>
    <row r="203" spans="1:13" ht="15.2" customHeight="1" thickBot="1">
      <c r="A203" s="19"/>
      <c r="B203" s="19"/>
      <c r="C203" s="19"/>
      <c r="D203" s="19"/>
      <c r="E203" s="28"/>
      <c r="F203" s="29" t="s">
        <v>39</v>
      </c>
      <c r="G203" s="29" t="s">
        <v>40</v>
      </c>
      <c r="H203" s="29" t="s">
        <v>41</v>
      </c>
      <c r="I203" s="29" t="s">
        <v>42</v>
      </c>
      <c r="J203" s="29" t="s">
        <v>43</v>
      </c>
      <c r="K203" s="29" t="s">
        <v>44</v>
      </c>
      <c r="L203" s="19"/>
      <c r="M203" s="19"/>
    </row>
    <row r="204" spans="1:13" ht="15.2" customHeight="1" thickBot="1">
      <c r="A204" s="19"/>
      <c r="B204" s="19"/>
      <c r="C204" s="19"/>
      <c r="D204" s="30"/>
      <c r="E204" s="31" t="s">
        <v>196</v>
      </c>
      <c r="F204" s="32">
        <v>3</v>
      </c>
      <c r="G204" s="33">
        <v>25</v>
      </c>
      <c r="H204" s="33"/>
      <c r="I204" s="33"/>
      <c r="J204" s="35">
        <f ca="1">ROUND(F204*G204,3)</f>
        <v>0</v>
      </c>
      <c r="K204" s="37">
        <f ca="1">SUM(J204:J204)</f>
        <v>0</v>
      </c>
      <c r="L204" s="19"/>
      <c r="M204" s="19"/>
    </row>
    <row r="205" spans="1:13" ht="15.2" customHeight="1" thickBot="1">
      <c r="A205" s="5" t="s">
        <v>88</v>
      </c>
      <c r="B205" s="5" t="s">
        <v>21</v>
      </c>
      <c r="C205" s="5" t="s">
        <v>22</v>
      </c>
      <c r="D205" s="64" t="s">
        <v>89</v>
      </c>
      <c r="E205" s="64"/>
      <c r="F205" s="64"/>
      <c r="G205" s="64"/>
      <c r="H205" s="64"/>
      <c r="I205" s="64"/>
      <c r="J205" s="64"/>
      <c r="K205" s="17">
        <v>1.4999999999999999E-2</v>
      </c>
      <c r="L205" s="17">
        <f ca="1">ROUND(24.23,3)</f>
        <v>0</v>
      </c>
      <c r="M205" s="18">
        <f ca="1">ROUND(K205*L205,2)</f>
        <v>0</v>
      </c>
    </row>
    <row r="206" spans="1:13" ht="15.2" customHeight="1" thickBot="1">
      <c r="A206" s="5" t="s">
        <v>90</v>
      </c>
      <c r="B206" s="5" t="s">
        <v>21</v>
      </c>
      <c r="C206" s="5" t="s">
        <v>22</v>
      </c>
      <c r="D206" s="64" t="s">
        <v>91</v>
      </c>
      <c r="E206" s="64"/>
      <c r="F206" s="64"/>
      <c r="G206" s="64"/>
      <c r="H206" s="64"/>
      <c r="I206" s="64"/>
      <c r="J206" s="64"/>
      <c r="K206" s="17">
        <v>1.4999999999999999E-2</v>
      </c>
      <c r="L206" s="17">
        <f ca="1">ROUND(28.11,3)</f>
        <v>0</v>
      </c>
      <c r="M206" s="18">
        <f ca="1">ROUND(K206*L206,2)</f>
        <v>0</v>
      </c>
    </row>
    <row r="207" spans="1:13" ht="15.2" customHeight="1" thickBot="1">
      <c r="A207" s="5" t="s">
        <v>197</v>
      </c>
      <c r="B207" s="5" t="s">
        <v>69</v>
      </c>
      <c r="C207" s="5" t="s">
        <v>155</v>
      </c>
      <c r="D207" s="64" t="s">
        <v>198</v>
      </c>
      <c r="E207" s="64"/>
      <c r="F207" s="64"/>
      <c r="G207" s="64"/>
      <c r="H207" s="64"/>
      <c r="I207" s="64"/>
      <c r="J207" s="64"/>
      <c r="K207" s="17">
        <v>1.02</v>
      </c>
      <c r="L207" s="17">
        <f ca="1">ROUND(3.8,3)</f>
        <v>0</v>
      </c>
      <c r="M207" s="18">
        <f ca="1">ROUND(K207*L207,2)</f>
        <v>0</v>
      </c>
    </row>
    <row r="208" spans="1:13" ht="15.2" customHeight="1" thickBot="1">
      <c r="A208" s="5" t="s">
        <v>34</v>
      </c>
      <c r="B208" s="5"/>
      <c r="C208" s="5" t="s">
        <v>26</v>
      </c>
      <c r="D208" s="64" t="s">
        <v>35</v>
      </c>
      <c r="E208" s="64"/>
      <c r="F208" s="64"/>
      <c r="G208" s="64"/>
      <c r="H208" s="64"/>
      <c r="I208" s="64"/>
      <c r="J208" s="64"/>
      <c r="K208" s="17">
        <v>1.5</v>
      </c>
      <c r="L208" s="17">
        <f ca="1">ROUND(0.78,3)</f>
        <v>0</v>
      </c>
      <c r="M208" s="18">
        <f ca="1">ROUND((K208*L208)/100,2)</f>
        <v>0</v>
      </c>
    </row>
    <row r="209" spans="1:13" ht="15.4" customHeight="1" thickBot="1">
      <c r="A209" s="20"/>
      <c r="B209" s="20"/>
      <c r="C209" s="20"/>
      <c r="D209" s="21" t="s">
        <v>193</v>
      </c>
      <c r="E209" s="20"/>
      <c r="F209" s="20"/>
      <c r="G209" s="20"/>
      <c r="H209" s="20"/>
      <c r="I209" s="20"/>
      <c r="J209" s="20"/>
      <c r="K209" s="22">
        <v>75</v>
      </c>
      <c r="L209" s="23">
        <f ca="1">ROUND((M205+M206+M207+M208)*(1+M2/100),2)</f>
        <v>0</v>
      </c>
      <c r="M209" s="23">
        <f ca="1">ROUND(K209*L209,2)</f>
        <v>0</v>
      </c>
    </row>
    <row r="210" spans="1:13" ht="15.4" customHeight="1" thickBot="1">
      <c r="A210" s="24" t="s">
        <v>199</v>
      </c>
      <c r="B210" s="25" t="s">
        <v>16</v>
      </c>
      <c r="C210" s="25" t="s">
        <v>155</v>
      </c>
      <c r="D210" s="65" t="s">
        <v>200</v>
      </c>
      <c r="E210" s="65"/>
      <c r="F210" s="65"/>
      <c r="G210" s="65"/>
      <c r="H210" s="65"/>
      <c r="I210" s="65"/>
      <c r="J210" s="65"/>
      <c r="K210" s="26">
        <f ca="1">ROUND(0,2)</f>
        <v>0</v>
      </c>
      <c r="L210" s="27">
        <f ca="1">L216</f>
        <v>0</v>
      </c>
      <c r="M210" s="27">
        <f ca="1">ROUND(K210*L210,2)</f>
        <v>0</v>
      </c>
    </row>
    <row r="211" spans="1:13" ht="21.4" customHeight="1" thickBot="1">
      <c r="A211" s="19"/>
      <c r="B211" s="19"/>
      <c r="C211" s="19"/>
      <c r="D211" s="64" t="s">
        <v>201</v>
      </c>
      <c r="E211" s="64"/>
      <c r="F211" s="64"/>
      <c r="G211" s="64"/>
      <c r="H211" s="64"/>
      <c r="I211" s="64"/>
      <c r="J211" s="64"/>
      <c r="K211" s="64"/>
      <c r="L211" s="64"/>
      <c r="M211" s="64"/>
    </row>
    <row r="212" spans="1:13" ht="15.2" customHeight="1" thickBot="1">
      <c r="A212" s="5" t="s">
        <v>88</v>
      </c>
      <c r="B212" s="5" t="s">
        <v>21</v>
      </c>
      <c r="C212" s="5" t="s">
        <v>22</v>
      </c>
      <c r="D212" s="64" t="s">
        <v>89</v>
      </c>
      <c r="E212" s="64"/>
      <c r="F212" s="64"/>
      <c r="G212" s="64"/>
      <c r="H212" s="64"/>
      <c r="I212" s="64"/>
      <c r="J212" s="64"/>
      <c r="K212" s="17">
        <v>0.04</v>
      </c>
      <c r="L212" s="17">
        <f ca="1">ROUND(24.23,3)</f>
        <v>0</v>
      </c>
      <c r="M212" s="18">
        <f ca="1">ROUND(K212*L212,2)</f>
        <v>0</v>
      </c>
    </row>
    <row r="213" spans="1:13" ht="15.2" customHeight="1" thickBot="1">
      <c r="A213" s="5" t="s">
        <v>90</v>
      </c>
      <c r="B213" s="5" t="s">
        <v>21</v>
      </c>
      <c r="C213" s="5" t="s">
        <v>22</v>
      </c>
      <c r="D213" s="64" t="s">
        <v>91</v>
      </c>
      <c r="E213" s="64"/>
      <c r="F213" s="64"/>
      <c r="G213" s="64"/>
      <c r="H213" s="64"/>
      <c r="I213" s="64"/>
      <c r="J213" s="64"/>
      <c r="K213" s="17">
        <v>0.04</v>
      </c>
      <c r="L213" s="17">
        <f ca="1">ROUND(28.11,3)</f>
        <v>0</v>
      </c>
      <c r="M213" s="18">
        <f ca="1">ROUND(K213*L213,2)</f>
        <v>0</v>
      </c>
    </row>
    <row r="214" spans="1:13" ht="15.2" customHeight="1" thickBot="1">
      <c r="A214" s="5" t="s">
        <v>202</v>
      </c>
      <c r="B214" s="5" t="s">
        <v>69</v>
      </c>
      <c r="C214" s="5" t="s">
        <v>155</v>
      </c>
      <c r="D214" s="64" t="s">
        <v>203</v>
      </c>
      <c r="E214" s="64"/>
      <c r="F214" s="64"/>
      <c r="G214" s="64"/>
      <c r="H214" s="64"/>
      <c r="I214" s="64"/>
      <c r="J214" s="64"/>
      <c r="K214" s="17">
        <v>1.02</v>
      </c>
      <c r="L214" s="17">
        <f ca="1">ROUND(7.95,3)</f>
        <v>0</v>
      </c>
      <c r="M214" s="18">
        <f ca="1">ROUND(K214*L214,2)</f>
        <v>0</v>
      </c>
    </row>
    <row r="215" spans="1:13" ht="15.2" customHeight="1" thickBot="1">
      <c r="A215" s="5" t="s">
        <v>34</v>
      </c>
      <c r="B215" s="5"/>
      <c r="C215" s="5" t="s">
        <v>26</v>
      </c>
      <c r="D215" s="64" t="s">
        <v>35</v>
      </c>
      <c r="E215" s="64"/>
      <c r="F215" s="64"/>
      <c r="G215" s="64"/>
      <c r="H215" s="64"/>
      <c r="I215" s="64"/>
      <c r="J215" s="64"/>
      <c r="K215" s="17">
        <v>1.5</v>
      </c>
      <c r="L215" s="17">
        <f ca="1">ROUND(2.09,3)</f>
        <v>0</v>
      </c>
      <c r="M215" s="18">
        <f ca="1">ROUND((K215*L215)/100,2)</f>
        <v>0</v>
      </c>
    </row>
    <row r="216" spans="1:13" ht="15.4" customHeight="1" thickBot="1">
      <c r="A216" s="20"/>
      <c r="B216" s="20"/>
      <c r="C216" s="20"/>
      <c r="D216" s="21" t="s">
        <v>199</v>
      </c>
      <c r="E216" s="20"/>
      <c r="F216" s="20"/>
      <c r="G216" s="20"/>
      <c r="H216" s="20"/>
      <c r="I216" s="20"/>
      <c r="J216" s="20"/>
      <c r="K216" s="22">
        <v>0</v>
      </c>
      <c r="L216" s="23">
        <f ca="1">ROUND((M212+M213+M214+M215)*(1+M2/100),2)</f>
        <v>0</v>
      </c>
      <c r="M216" s="23">
        <f ca="1">ROUND(K216*L216,2)</f>
        <v>0</v>
      </c>
    </row>
    <row r="217" spans="1:13" ht="15.4" customHeight="1" thickBot="1">
      <c r="A217" s="24" t="s">
        <v>204</v>
      </c>
      <c r="B217" s="25" t="s">
        <v>16</v>
      </c>
      <c r="C217" s="25" t="s">
        <v>155</v>
      </c>
      <c r="D217" s="65" t="s">
        <v>205</v>
      </c>
      <c r="E217" s="65"/>
      <c r="F217" s="65"/>
      <c r="G217" s="65"/>
      <c r="H217" s="65"/>
      <c r="I217" s="65"/>
      <c r="J217" s="65"/>
      <c r="K217" s="26">
        <f ca="1">SUM(K220:K220)</f>
        <v>0</v>
      </c>
      <c r="L217" s="27">
        <f ca="1">L225</f>
        <v>0</v>
      </c>
      <c r="M217" s="27">
        <f ca="1">ROUND(K217*L217,2)</f>
        <v>0</v>
      </c>
    </row>
    <row r="218" spans="1:13" ht="21.4" customHeight="1" thickBot="1">
      <c r="A218" s="19"/>
      <c r="B218" s="19"/>
      <c r="C218" s="19"/>
      <c r="D218" s="64" t="s">
        <v>206</v>
      </c>
      <c r="E218" s="64"/>
      <c r="F218" s="64"/>
      <c r="G218" s="64"/>
      <c r="H218" s="64"/>
      <c r="I218" s="64"/>
      <c r="J218" s="64"/>
      <c r="K218" s="64"/>
      <c r="L218" s="64"/>
      <c r="M218" s="64"/>
    </row>
    <row r="219" spans="1:13" ht="15.2" customHeight="1" thickBot="1">
      <c r="A219" s="19"/>
      <c r="B219" s="19"/>
      <c r="C219" s="19"/>
      <c r="D219" s="19"/>
      <c r="E219" s="28"/>
      <c r="F219" s="29" t="s">
        <v>39</v>
      </c>
      <c r="G219" s="29" t="s">
        <v>40</v>
      </c>
      <c r="H219" s="29" t="s">
        <v>41</v>
      </c>
      <c r="I219" s="29" t="s">
        <v>42</v>
      </c>
      <c r="J219" s="29" t="s">
        <v>43</v>
      </c>
      <c r="K219" s="29" t="s">
        <v>44</v>
      </c>
      <c r="L219" s="19"/>
      <c r="M219" s="19"/>
    </row>
    <row r="220" spans="1:13" ht="15.2" customHeight="1" thickBot="1">
      <c r="A220" s="19"/>
      <c r="B220" s="19"/>
      <c r="C220" s="19"/>
      <c r="D220" s="30"/>
      <c r="E220" s="31" t="s">
        <v>207</v>
      </c>
      <c r="F220" s="32">
        <v>50</v>
      </c>
      <c r="G220" s="33"/>
      <c r="H220" s="33"/>
      <c r="I220" s="33"/>
      <c r="J220" s="35">
        <f ca="1">ROUND(F220,3)</f>
        <v>0</v>
      </c>
      <c r="K220" s="37">
        <f ca="1">SUM(J220:J220)</f>
        <v>0</v>
      </c>
      <c r="L220" s="19"/>
      <c r="M220" s="19"/>
    </row>
    <row r="221" spans="1:13" ht="15.2" customHeight="1" thickBot="1">
      <c r="A221" s="5" t="s">
        <v>88</v>
      </c>
      <c r="B221" s="5" t="s">
        <v>21</v>
      </c>
      <c r="C221" s="5" t="s">
        <v>22</v>
      </c>
      <c r="D221" s="64" t="s">
        <v>89</v>
      </c>
      <c r="E221" s="64"/>
      <c r="F221" s="64"/>
      <c r="G221" s="64"/>
      <c r="H221" s="64"/>
      <c r="I221" s="64"/>
      <c r="J221" s="64"/>
      <c r="K221" s="17">
        <v>6.5000000000000002E-2</v>
      </c>
      <c r="L221" s="17">
        <f ca="1">ROUND(24.23,3)</f>
        <v>0</v>
      </c>
      <c r="M221" s="18">
        <f ca="1">ROUND(K221*L221,2)</f>
        <v>0</v>
      </c>
    </row>
    <row r="222" spans="1:13" ht="15.2" customHeight="1" thickBot="1">
      <c r="A222" s="5" t="s">
        <v>90</v>
      </c>
      <c r="B222" s="5" t="s">
        <v>21</v>
      </c>
      <c r="C222" s="5" t="s">
        <v>22</v>
      </c>
      <c r="D222" s="64" t="s">
        <v>91</v>
      </c>
      <c r="E222" s="64"/>
      <c r="F222" s="64"/>
      <c r="G222" s="64"/>
      <c r="H222" s="64"/>
      <c r="I222" s="64"/>
      <c r="J222" s="64"/>
      <c r="K222" s="17">
        <v>6.5000000000000002E-2</v>
      </c>
      <c r="L222" s="17">
        <f ca="1">ROUND(28.11,3)</f>
        <v>0</v>
      </c>
      <c r="M222" s="18">
        <f ca="1">ROUND(K222*L222,2)</f>
        <v>0</v>
      </c>
    </row>
    <row r="223" spans="1:13" ht="15.2" customHeight="1" thickBot="1">
      <c r="A223" s="5" t="s">
        <v>208</v>
      </c>
      <c r="B223" s="5" t="s">
        <v>69</v>
      </c>
      <c r="C223" s="5" t="s">
        <v>155</v>
      </c>
      <c r="D223" s="64" t="s">
        <v>209</v>
      </c>
      <c r="E223" s="64"/>
      <c r="F223" s="64"/>
      <c r="G223" s="64"/>
      <c r="H223" s="64"/>
      <c r="I223" s="64"/>
      <c r="J223" s="64"/>
      <c r="K223" s="17">
        <v>1.02</v>
      </c>
      <c r="L223" s="17">
        <f ca="1">ROUND(23.32,3)</f>
        <v>0</v>
      </c>
      <c r="M223" s="18">
        <f ca="1">ROUND(K223*L223,2)</f>
        <v>0</v>
      </c>
    </row>
    <row r="224" spans="1:13" ht="15.2" customHeight="1" thickBot="1">
      <c r="A224" s="5" t="s">
        <v>34</v>
      </c>
      <c r="B224" s="5"/>
      <c r="C224" s="5" t="s">
        <v>26</v>
      </c>
      <c r="D224" s="64" t="s">
        <v>35</v>
      </c>
      <c r="E224" s="64"/>
      <c r="F224" s="64"/>
      <c r="G224" s="64"/>
      <c r="H224" s="64"/>
      <c r="I224" s="64"/>
      <c r="J224" s="64"/>
      <c r="K224" s="17">
        <v>1.5</v>
      </c>
      <c r="L224" s="17">
        <f ca="1">ROUND(3.4,3)</f>
        <v>0</v>
      </c>
      <c r="M224" s="18">
        <f ca="1">ROUND((K224*L224)/100,2)</f>
        <v>0</v>
      </c>
    </row>
    <row r="225" spans="1:13" ht="15.4" customHeight="1" thickBot="1">
      <c r="A225" s="20"/>
      <c r="B225" s="20"/>
      <c r="C225" s="20"/>
      <c r="D225" s="21" t="s">
        <v>204</v>
      </c>
      <c r="E225" s="20"/>
      <c r="F225" s="20"/>
      <c r="G225" s="20"/>
      <c r="H225" s="20"/>
      <c r="I225" s="20"/>
      <c r="J225" s="20"/>
      <c r="K225" s="22">
        <v>50</v>
      </c>
      <c r="L225" s="23">
        <f ca="1">ROUND((M221+M222+M223+M224)*(1+M2/100),2)</f>
        <v>0</v>
      </c>
      <c r="M225" s="23">
        <f ca="1">ROUND(K225*L225,2)</f>
        <v>0</v>
      </c>
    </row>
    <row r="226" spans="1:13" ht="15.4" customHeight="1" thickBot="1">
      <c r="A226" s="24" t="s">
        <v>210</v>
      </c>
      <c r="B226" s="25" t="s">
        <v>16</v>
      </c>
      <c r="C226" s="25" t="s">
        <v>155</v>
      </c>
      <c r="D226" s="65" t="s">
        <v>211</v>
      </c>
      <c r="E226" s="65"/>
      <c r="F226" s="65"/>
      <c r="G226" s="65"/>
      <c r="H226" s="65"/>
      <c r="I226" s="65"/>
      <c r="J226" s="65"/>
      <c r="K226" s="26">
        <f ca="1">SUM(K229:K229)</f>
        <v>0</v>
      </c>
      <c r="L226" s="27">
        <f ca="1">L234</f>
        <v>0</v>
      </c>
      <c r="M226" s="27">
        <f ca="1">ROUND(K226*L226,2)</f>
        <v>0</v>
      </c>
    </row>
    <row r="227" spans="1:13" ht="21.4" customHeight="1" thickBot="1">
      <c r="A227" s="19"/>
      <c r="B227" s="19"/>
      <c r="C227" s="19"/>
      <c r="D227" s="64" t="s">
        <v>212</v>
      </c>
      <c r="E227" s="64"/>
      <c r="F227" s="64"/>
      <c r="G227" s="64"/>
      <c r="H227" s="64"/>
      <c r="I227" s="64"/>
      <c r="J227" s="64"/>
      <c r="K227" s="64"/>
      <c r="L227" s="64"/>
      <c r="M227" s="64"/>
    </row>
    <row r="228" spans="1:13" ht="15.2" customHeight="1" thickBot="1">
      <c r="A228" s="19"/>
      <c r="B228" s="19"/>
      <c r="C228" s="19"/>
      <c r="D228" s="19"/>
      <c r="E228" s="28"/>
      <c r="F228" s="29" t="s">
        <v>39</v>
      </c>
      <c r="G228" s="29" t="s">
        <v>40</v>
      </c>
      <c r="H228" s="29" t="s">
        <v>41</v>
      </c>
      <c r="I228" s="29" t="s">
        <v>42</v>
      </c>
      <c r="J228" s="29" t="s">
        <v>43</v>
      </c>
      <c r="K228" s="29" t="s">
        <v>44</v>
      </c>
      <c r="L228" s="19"/>
      <c r="M228" s="19"/>
    </row>
    <row r="229" spans="1:13" ht="15.2" customHeight="1" thickBot="1">
      <c r="A229" s="19"/>
      <c r="B229" s="19"/>
      <c r="C229" s="19"/>
      <c r="D229" s="30"/>
      <c r="E229" s="31" t="s">
        <v>175</v>
      </c>
      <c r="F229" s="32">
        <v>70</v>
      </c>
      <c r="G229" s="33"/>
      <c r="H229" s="33"/>
      <c r="I229" s="33"/>
      <c r="J229" s="35">
        <f ca="1">ROUND(F229,3)</f>
        <v>0</v>
      </c>
      <c r="K229" s="37">
        <f ca="1">SUM(J229:J229)</f>
        <v>0</v>
      </c>
      <c r="L229" s="19"/>
      <c r="M229" s="19"/>
    </row>
    <row r="230" spans="1:13" ht="15.2" customHeight="1" thickBot="1">
      <c r="A230" s="5" t="s">
        <v>88</v>
      </c>
      <c r="B230" s="5" t="s">
        <v>21</v>
      </c>
      <c r="C230" s="5" t="s">
        <v>22</v>
      </c>
      <c r="D230" s="64" t="s">
        <v>89</v>
      </c>
      <c r="E230" s="64"/>
      <c r="F230" s="64"/>
      <c r="G230" s="64"/>
      <c r="H230" s="64"/>
      <c r="I230" s="64"/>
      <c r="J230" s="64"/>
      <c r="K230" s="17">
        <v>6.5000000000000002E-2</v>
      </c>
      <c r="L230" s="17">
        <f ca="1">ROUND(24.23,3)</f>
        <v>0</v>
      </c>
      <c r="M230" s="18">
        <f ca="1">ROUND(K230*L230,2)</f>
        <v>0</v>
      </c>
    </row>
    <row r="231" spans="1:13" ht="15.2" customHeight="1" thickBot="1">
      <c r="A231" s="5" t="s">
        <v>90</v>
      </c>
      <c r="B231" s="5" t="s">
        <v>21</v>
      </c>
      <c r="C231" s="5" t="s">
        <v>22</v>
      </c>
      <c r="D231" s="64" t="s">
        <v>91</v>
      </c>
      <c r="E231" s="64"/>
      <c r="F231" s="64"/>
      <c r="G231" s="64"/>
      <c r="H231" s="64"/>
      <c r="I231" s="64"/>
      <c r="J231" s="64"/>
      <c r="K231" s="17">
        <v>6.5000000000000002E-2</v>
      </c>
      <c r="L231" s="17">
        <f ca="1">ROUND(28.11,3)</f>
        <v>0</v>
      </c>
      <c r="M231" s="18">
        <f ca="1">ROUND(K231*L231,2)</f>
        <v>0</v>
      </c>
    </row>
    <row r="232" spans="1:13" ht="15.2" customHeight="1" thickBot="1">
      <c r="A232" s="5" t="s">
        <v>213</v>
      </c>
      <c r="B232" s="5" t="s">
        <v>69</v>
      </c>
      <c r="C232" s="5" t="s">
        <v>155</v>
      </c>
      <c r="D232" s="64" t="s">
        <v>214</v>
      </c>
      <c r="E232" s="64"/>
      <c r="F232" s="64"/>
      <c r="G232" s="64"/>
      <c r="H232" s="64"/>
      <c r="I232" s="64"/>
      <c r="J232" s="64"/>
      <c r="K232" s="17">
        <v>1.02</v>
      </c>
      <c r="L232" s="17">
        <f ca="1">ROUND(29.84,3)</f>
        <v>0</v>
      </c>
      <c r="M232" s="18">
        <f ca="1">ROUND(K232*L232,2)</f>
        <v>0</v>
      </c>
    </row>
    <row r="233" spans="1:13" ht="15.2" customHeight="1" thickBot="1">
      <c r="A233" s="5" t="s">
        <v>34</v>
      </c>
      <c r="B233" s="5"/>
      <c r="C233" s="5" t="s">
        <v>26</v>
      </c>
      <c r="D233" s="64" t="s">
        <v>35</v>
      </c>
      <c r="E233" s="64"/>
      <c r="F233" s="64"/>
      <c r="G233" s="64"/>
      <c r="H233" s="64"/>
      <c r="I233" s="64"/>
      <c r="J233" s="64"/>
      <c r="K233" s="17">
        <v>1.5</v>
      </c>
      <c r="L233" s="17">
        <f ca="1">ROUND(3.4,3)</f>
        <v>0</v>
      </c>
      <c r="M233" s="18">
        <f ca="1">ROUND((K233*L233)/100,2)</f>
        <v>0</v>
      </c>
    </row>
    <row r="234" spans="1:13" ht="15.4" customHeight="1" thickBot="1">
      <c r="A234" s="20"/>
      <c r="B234" s="20"/>
      <c r="C234" s="20"/>
      <c r="D234" s="21" t="s">
        <v>210</v>
      </c>
      <c r="E234" s="20"/>
      <c r="F234" s="20"/>
      <c r="G234" s="20"/>
      <c r="H234" s="20"/>
      <c r="I234" s="20"/>
      <c r="J234" s="20"/>
      <c r="K234" s="22">
        <v>70</v>
      </c>
      <c r="L234" s="23">
        <f ca="1">ROUND((M230+M231+M232+M233)*(1+M2/100),2)</f>
        <v>0</v>
      </c>
      <c r="M234" s="23">
        <f ca="1">ROUND(K234*L234,2)</f>
        <v>0</v>
      </c>
    </row>
    <row r="235" spans="1:13" ht="15.4" customHeight="1" thickBot="1">
      <c r="A235" s="24" t="s">
        <v>215</v>
      </c>
      <c r="B235" s="25" t="s">
        <v>16</v>
      </c>
      <c r="C235" s="25" t="s">
        <v>155</v>
      </c>
      <c r="D235" s="65" t="s">
        <v>216</v>
      </c>
      <c r="E235" s="65"/>
      <c r="F235" s="65"/>
      <c r="G235" s="65"/>
      <c r="H235" s="65"/>
      <c r="I235" s="65"/>
      <c r="J235" s="65"/>
      <c r="K235" s="26">
        <f ca="1">ROUND(1,2)</f>
        <v>0</v>
      </c>
      <c r="L235" s="27">
        <f ca="1">L241</f>
        <v>0</v>
      </c>
      <c r="M235" s="27">
        <f ca="1">ROUND(K235*L235,2)</f>
        <v>0</v>
      </c>
    </row>
    <row r="236" spans="1:13" ht="21.4" customHeight="1" thickBot="1">
      <c r="A236" s="19"/>
      <c r="B236" s="19"/>
      <c r="C236" s="19"/>
      <c r="D236" s="64" t="s">
        <v>217</v>
      </c>
      <c r="E236" s="64"/>
      <c r="F236" s="64"/>
      <c r="G236" s="64"/>
      <c r="H236" s="64"/>
      <c r="I236" s="64"/>
      <c r="J236" s="64"/>
      <c r="K236" s="64"/>
      <c r="L236" s="64"/>
      <c r="M236" s="64"/>
    </row>
    <row r="237" spans="1:13" ht="15.2" customHeight="1" thickBot="1">
      <c r="A237" s="5" t="s">
        <v>88</v>
      </c>
      <c r="B237" s="5" t="s">
        <v>21</v>
      </c>
      <c r="C237" s="5" t="s">
        <v>22</v>
      </c>
      <c r="D237" s="64" t="s">
        <v>89</v>
      </c>
      <c r="E237" s="64"/>
      <c r="F237" s="64"/>
      <c r="G237" s="64"/>
      <c r="H237" s="64"/>
      <c r="I237" s="64"/>
      <c r="J237" s="64"/>
      <c r="K237" s="17">
        <v>6.5000000000000002E-2</v>
      </c>
      <c r="L237" s="17">
        <f ca="1">ROUND(24.23,3)</f>
        <v>0</v>
      </c>
      <c r="M237" s="18">
        <f ca="1">ROUND(K237*L237,2)</f>
        <v>0</v>
      </c>
    </row>
    <row r="238" spans="1:13" ht="15.2" customHeight="1" thickBot="1">
      <c r="A238" s="5" t="s">
        <v>90</v>
      </c>
      <c r="B238" s="5" t="s">
        <v>21</v>
      </c>
      <c r="C238" s="5" t="s">
        <v>22</v>
      </c>
      <c r="D238" s="64" t="s">
        <v>91</v>
      </c>
      <c r="E238" s="64"/>
      <c r="F238" s="64"/>
      <c r="G238" s="64"/>
      <c r="H238" s="64"/>
      <c r="I238" s="64"/>
      <c r="J238" s="64"/>
      <c r="K238" s="17">
        <v>6.5000000000000002E-2</v>
      </c>
      <c r="L238" s="17">
        <f ca="1">ROUND(28.11,3)</f>
        <v>0</v>
      </c>
      <c r="M238" s="18">
        <f ca="1">ROUND(K238*L238,2)</f>
        <v>0</v>
      </c>
    </row>
    <row r="239" spans="1:13" ht="15.2" customHeight="1" thickBot="1">
      <c r="A239" s="5" t="s">
        <v>218</v>
      </c>
      <c r="B239" s="5" t="s">
        <v>69</v>
      </c>
      <c r="C239" s="5" t="s">
        <v>155</v>
      </c>
      <c r="D239" s="64" t="s">
        <v>219</v>
      </c>
      <c r="E239" s="64"/>
      <c r="F239" s="64"/>
      <c r="G239" s="64"/>
      <c r="H239" s="64"/>
      <c r="I239" s="64"/>
      <c r="J239" s="64"/>
      <c r="K239" s="17">
        <v>1.02</v>
      </c>
      <c r="L239" s="17">
        <f ca="1">ROUND(32.57,3)</f>
        <v>0</v>
      </c>
      <c r="M239" s="18">
        <f ca="1">ROUND(K239*L239,2)</f>
        <v>0</v>
      </c>
    </row>
    <row r="240" spans="1:13" ht="15.2" customHeight="1" thickBot="1">
      <c r="A240" s="5" t="s">
        <v>34</v>
      </c>
      <c r="B240" s="5"/>
      <c r="C240" s="5" t="s">
        <v>26</v>
      </c>
      <c r="D240" s="64" t="s">
        <v>35</v>
      </c>
      <c r="E240" s="64"/>
      <c r="F240" s="64"/>
      <c r="G240" s="64"/>
      <c r="H240" s="64"/>
      <c r="I240" s="64"/>
      <c r="J240" s="64"/>
      <c r="K240" s="17">
        <v>1.5</v>
      </c>
      <c r="L240" s="17">
        <f ca="1">ROUND(3.4,3)</f>
        <v>0</v>
      </c>
      <c r="M240" s="18">
        <f ca="1">ROUND((K240*L240)/100,2)</f>
        <v>0</v>
      </c>
    </row>
    <row r="241" spans="1:13" ht="15.4" customHeight="1" thickBot="1">
      <c r="A241" s="20"/>
      <c r="B241" s="20"/>
      <c r="C241" s="20"/>
      <c r="D241" s="21" t="s">
        <v>215</v>
      </c>
      <c r="E241" s="20"/>
      <c r="F241" s="20"/>
      <c r="G241" s="20"/>
      <c r="H241" s="20"/>
      <c r="I241" s="20"/>
      <c r="J241" s="20"/>
      <c r="K241" s="22">
        <v>1</v>
      </c>
      <c r="L241" s="23">
        <f ca="1">ROUND((M237+M238+M239+M240)*(1+M2/100),2)</f>
        <v>0</v>
      </c>
      <c r="M241" s="23">
        <f ca="1">ROUND(K241*L241,2)</f>
        <v>0</v>
      </c>
    </row>
    <row r="242" spans="1:13" ht="15.4" customHeight="1" thickBot="1">
      <c r="A242" s="38"/>
      <c r="B242" s="38"/>
      <c r="C242" s="38"/>
      <c r="D242" s="48" t="s">
        <v>152</v>
      </c>
      <c r="E242" s="49"/>
      <c r="F242" s="49"/>
      <c r="G242" s="49"/>
      <c r="H242" s="49"/>
      <c r="I242" s="49"/>
      <c r="J242" s="49"/>
      <c r="K242" s="49"/>
      <c r="L242" s="50">
        <f ca="1">M145+M153+M163+M171+M180+M187+M194+M201+M210+M217+M226+M235</f>
        <v>0</v>
      </c>
      <c r="M242" s="50">
        <f ca="1">ROUND(L242,2)</f>
        <v>0</v>
      </c>
    </row>
    <row r="243" spans="1:13" ht="15.4" customHeight="1" thickBot="1">
      <c r="A243" s="51" t="s">
        <v>220</v>
      </c>
      <c r="B243" s="51" t="s">
        <v>12</v>
      </c>
      <c r="C243" s="52"/>
      <c r="D243" s="68" t="s">
        <v>221</v>
      </c>
      <c r="E243" s="68"/>
      <c r="F243" s="68"/>
      <c r="G243" s="68"/>
      <c r="H243" s="68"/>
      <c r="I243" s="68"/>
      <c r="J243" s="68"/>
      <c r="K243" s="52"/>
      <c r="L243" s="53">
        <f ca="1">L251</f>
        <v>0</v>
      </c>
      <c r="M243" s="53">
        <f ca="1">ROUND(L243,2)</f>
        <v>0</v>
      </c>
    </row>
    <row r="244" spans="1:13" ht="15.4" customHeight="1" thickBot="1">
      <c r="A244" s="10" t="s">
        <v>222</v>
      </c>
      <c r="B244" s="5" t="s">
        <v>16</v>
      </c>
      <c r="C244" s="5" t="s">
        <v>223</v>
      </c>
      <c r="D244" s="64" t="s">
        <v>224</v>
      </c>
      <c r="E244" s="64"/>
      <c r="F244" s="64"/>
      <c r="G244" s="64"/>
      <c r="H244" s="64"/>
      <c r="I244" s="64"/>
      <c r="J244" s="64"/>
      <c r="K244" s="17">
        <f ca="1">ROUND(1,2)</f>
        <v>0</v>
      </c>
      <c r="L244" s="18">
        <f ca="1">ROUND(2184.466*(1+M2/100),2)</f>
        <v>0</v>
      </c>
      <c r="M244" s="18">
        <f ca="1">ROUND(K244*L244,2)</f>
        <v>0</v>
      </c>
    </row>
    <row r="245" spans="1:13" ht="21.4" customHeight="1" thickBot="1">
      <c r="A245" s="19"/>
      <c r="B245" s="19"/>
      <c r="C245" s="19"/>
      <c r="D245" s="64" t="s">
        <v>225</v>
      </c>
      <c r="E245" s="64"/>
      <c r="F245" s="64"/>
      <c r="G245" s="64"/>
      <c r="H245" s="64"/>
      <c r="I245" s="64"/>
      <c r="J245" s="64"/>
      <c r="K245" s="64"/>
      <c r="L245" s="64"/>
      <c r="M245" s="64"/>
    </row>
    <row r="246" spans="1:13" ht="15.4" customHeight="1" thickBot="1">
      <c r="A246" s="10" t="s">
        <v>226</v>
      </c>
      <c r="B246" s="5" t="s">
        <v>16</v>
      </c>
      <c r="C246" s="5" t="s">
        <v>29</v>
      </c>
      <c r="D246" s="64" t="s">
        <v>227</v>
      </c>
      <c r="E246" s="64"/>
      <c r="F246" s="64"/>
      <c r="G246" s="64"/>
      <c r="H246" s="64"/>
      <c r="I246" s="64"/>
      <c r="J246" s="64"/>
      <c r="K246" s="17">
        <f ca="1">ROUND(140,2)</f>
        <v>0</v>
      </c>
      <c r="L246" s="18">
        <f ca="1">L250</f>
        <v>0</v>
      </c>
      <c r="M246" s="18">
        <f ca="1">ROUND(K246*L246,2)</f>
        <v>0</v>
      </c>
    </row>
    <row r="247" spans="1:13" ht="12.2" customHeight="1" thickBot="1">
      <c r="A247" s="19"/>
      <c r="B247" s="19"/>
      <c r="C247" s="19"/>
      <c r="D247" s="64" t="s">
        <v>228</v>
      </c>
      <c r="E247" s="64"/>
      <c r="F247" s="64"/>
      <c r="G247" s="64"/>
      <c r="H247" s="64"/>
      <c r="I247" s="64"/>
      <c r="J247" s="64"/>
      <c r="K247" s="64"/>
      <c r="L247" s="64"/>
      <c r="M247" s="64"/>
    </row>
    <row r="248" spans="1:13" ht="15.2" customHeight="1" thickBot="1">
      <c r="A248" s="5" t="s">
        <v>32</v>
      </c>
      <c r="B248" s="5" t="s">
        <v>21</v>
      </c>
      <c r="C248" s="5" t="s">
        <v>22</v>
      </c>
      <c r="D248" s="64" t="s">
        <v>33</v>
      </c>
      <c r="E248" s="64"/>
      <c r="F248" s="64"/>
      <c r="G248" s="64"/>
      <c r="H248" s="64"/>
      <c r="I248" s="64"/>
      <c r="J248" s="64"/>
      <c r="K248" s="17">
        <v>0.2</v>
      </c>
      <c r="L248" s="17">
        <f ca="1">ROUND(21.59,3)</f>
        <v>0</v>
      </c>
      <c r="M248" s="18">
        <f ca="1">ROUND(K248*L248,2)</f>
        <v>0</v>
      </c>
    </row>
    <row r="249" spans="1:13" ht="15.2" customHeight="1" thickBot="1">
      <c r="A249" s="5" t="s">
        <v>34</v>
      </c>
      <c r="B249" s="5"/>
      <c r="C249" s="5" t="s">
        <v>26</v>
      </c>
      <c r="D249" s="64" t="s">
        <v>35</v>
      </c>
      <c r="E249" s="64"/>
      <c r="F249" s="64"/>
      <c r="G249" s="64"/>
      <c r="H249" s="64"/>
      <c r="I249" s="64"/>
      <c r="J249" s="64"/>
      <c r="K249" s="17">
        <v>1.5</v>
      </c>
      <c r="L249" s="17">
        <f ca="1">ROUND(4.32,3)</f>
        <v>0</v>
      </c>
      <c r="M249" s="18">
        <f ca="1">ROUND((K249*L249)/100,2)</f>
        <v>0</v>
      </c>
    </row>
    <row r="250" spans="1:13" ht="15.4" customHeight="1" thickBot="1">
      <c r="A250" s="20"/>
      <c r="B250" s="20"/>
      <c r="C250" s="20"/>
      <c r="D250" s="21" t="s">
        <v>226</v>
      </c>
      <c r="E250" s="20"/>
      <c r="F250" s="20"/>
      <c r="G250" s="20"/>
      <c r="H250" s="20"/>
      <c r="I250" s="20"/>
      <c r="J250" s="20"/>
      <c r="K250" s="22">
        <v>140</v>
      </c>
      <c r="L250" s="23">
        <f ca="1">ROUND((M248+M249)*(1+M2/100),2)</f>
        <v>0</v>
      </c>
      <c r="M250" s="23">
        <f ca="1">ROUND(K250*L250,2)</f>
        <v>0</v>
      </c>
    </row>
    <row r="251" spans="1:13" ht="15.4" customHeight="1" thickBot="1">
      <c r="A251" s="38"/>
      <c r="B251" s="38"/>
      <c r="C251" s="38"/>
      <c r="D251" s="48" t="s">
        <v>220</v>
      </c>
      <c r="E251" s="49"/>
      <c r="F251" s="49"/>
      <c r="G251" s="49"/>
      <c r="H251" s="49"/>
      <c r="I251" s="49"/>
      <c r="J251" s="49"/>
      <c r="K251" s="49"/>
      <c r="L251" s="50">
        <f ca="1">M244+M246</f>
        <v>0</v>
      </c>
      <c r="M251" s="50">
        <f ca="1">ROUND(L251,2)</f>
        <v>0</v>
      </c>
    </row>
    <row r="252" spans="1:13" ht="15.4" customHeight="1" thickBot="1">
      <c r="A252" s="38"/>
      <c r="B252" s="38"/>
      <c r="C252" s="38"/>
      <c r="D252" s="39" t="s">
        <v>76</v>
      </c>
      <c r="E252" s="40"/>
      <c r="F252" s="40"/>
      <c r="G252" s="40"/>
      <c r="H252" s="40"/>
      <c r="I252" s="40"/>
      <c r="J252" s="40"/>
      <c r="K252" s="40"/>
      <c r="L252" s="41">
        <f ca="1">M143+M242+M251</f>
        <v>0</v>
      </c>
      <c r="M252" s="41">
        <f ca="1">ROUND(L252,2)</f>
        <v>0</v>
      </c>
    </row>
    <row r="253" spans="1:13" ht="15.4" customHeight="1" thickBot="1">
      <c r="A253" s="42" t="s">
        <v>229</v>
      </c>
      <c r="B253" s="42" t="s">
        <v>12</v>
      </c>
      <c r="C253" s="43"/>
      <c r="D253" s="66" t="s">
        <v>230</v>
      </c>
      <c r="E253" s="66"/>
      <c r="F253" s="66"/>
      <c r="G253" s="66"/>
      <c r="H253" s="66"/>
      <c r="I253" s="66"/>
      <c r="J253" s="66"/>
      <c r="K253" s="43"/>
      <c r="L253" s="44">
        <f ca="1">L497</f>
        <v>0</v>
      </c>
      <c r="M253" s="44">
        <f ca="1">ROUND(L253,2)</f>
        <v>0</v>
      </c>
    </row>
    <row r="254" spans="1:13" ht="15.4" customHeight="1" thickBot="1">
      <c r="A254" s="10" t="s">
        <v>231</v>
      </c>
      <c r="B254" s="5" t="s">
        <v>16</v>
      </c>
      <c r="C254" s="5" t="s">
        <v>85</v>
      </c>
      <c r="D254" s="64" t="s">
        <v>232</v>
      </c>
      <c r="E254" s="64"/>
      <c r="F254" s="64"/>
      <c r="G254" s="64"/>
      <c r="H254" s="64"/>
      <c r="I254" s="64"/>
      <c r="J254" s="64"/>
      <c r="K254" s="17">
        <f ca="1">ROUND(3,2)</f>
        <v>0</v>
      </c>
      <c r="L254" s="18">
        <f ca="1">L260</f>
        <v>0</v>
      </c>
      <c r="M254" s="18">
        <f ca="1">ROUND(K254*L254,2)</f>
        <v>0</v>
      </c>
    </row>
    <row r="255" spans="1:13" ht="95.25" customHeight="1" thickBot="1">
      <c r="A255" s="19"/>
      <c r="B255" s="19"/>
      <c r="C255" s="19"/>
      <c r="D255" s="64" t="s">
        <v>233</v>
      </c>
      <c r="E255" s="64"/>
      <c r="F255" s="64"/>
      <c r="G255" s="64"/>
      <c r="H255" s="64"/>
      <c r="I255" s="64"/>
      <c r="J255" s="64"/>
      <c r="K255" s="64"/>
      <c r="L255" s="64"/>
      <c r="M255" s="64"/>
    </row>
    <row r="256" spans="1:13" ht="15.2" customHeight="1" thickBot="1">
      <c r="A256" s="5" t="s">
        <v>234</v>
      </c>
      <c r="B256" s="5" t="s">
        <v>21</v>
      </c>
      <c r="C256" s="5" t="s">
        <v>22</v>
      </c>
      <c r="D256" s="64" t="s">
        <v>235</v>
      </c>
      <c r="E256" s="64"/>
      <c r="F256" s="64"/>
      <c r="G256" s="64"/>
      <c r="H256" s="64"/>
      <c r="I256" s="64"/>
      <c r="J256" s="64"/>
      <c r="K256" s="17">
        <v>10</v>
      </c>
      <c r="L256" s="17">
        <f ca="1">ROUND(21.56,3)</f>
        <v>0</v>
      </c>
      <c r="M256" s="18">
        <f ca="1">ROUND(K256*L256,2)</f>
        <v>0</v>
      </c>
    </row>
    <row r="257" spans="1:13" ht="15.2" customHeight="1" thickBot="1">
      <c r="A257" s="5" t="s">
        <v>236</v>
      </c>
      <c r="B257" s="5" t="s">
        <v>21</v>
      </c>
      <c r="C257" s="5" t="s">
        <v>22</v>
      </c>
      <c r="D257" s="64" t="s">
        <v>237</v>
      </c>
      <c r="E257" s="64"/>
      <c r="F257" s="64"/>
      <c r="G257" s="64"/>
      <c r="H257" s="64"/>
      <c r="I257" s="64"/>
      <c r="J257" s="64"/>
      <c r="K257" s="17">
        <v>10</v>
      </c>
      <c r="L257" s="17">
        <f ca="1">ROUND(25.01,3)</f>
        <v>0</v>
      </c>
      <c r="M257" s="18">
        <f ca="1">ROUND(K257*L257,2)</f>
        <v>0</v>
      </c>
    </row>
    <row r="258" spans="1:13" ht="15.2" customHeight="1" thickBot="1">
      <c r="A258" s="5" t="s">
        <v>238</v>
      </c>
      <c r="B258" s="5" t="s">
        <v>69</v>
      </c>
      <c r="C258" s="5"/>
      <c r="D258" s="64" t="s">
        <v>232</v>
      </c>
      <c r="E258" s="64"/>
      <c r="F258" s="64"/>
      <c r="G258" s="64"/>
      <c r="H258" s="64"/>
      <c r="I258" s="64"/>
      <c r="J258" s="64"/>
      <c r="K258" s="17">
        <v>1</v>
      </c>
      <c r="L258" s="17">
        <f ca="1">ROUND(11100,3)</f>
        <v>0</v>
      </c>
      <c r="M258" s="18">
        <f ca="1">ROUND(K258*L258,2)</f>
        <v>0</v>
      </c>
    </row>
    <row r="259" spans="1:13" ht="15.2" customHeight="1" thickBot="1">
      <c r="A259" s="5" t="s">
        <v>34</v>
      </c>
      <c r="B259" s="5"/>
      <c r="C259" s="5" t="s">
        <v>26</v>
      </c>
      <c r="D259" s="64" t="s">
        <v>35</v>
      </c>
      <c r="E259" s="64"/>
      <c r="F259" s="64"/>
      <c r="G259" s="64"/>
      <c r="H259" s="64"/>
      <c r="I259" s="64"/>
      <c r="J259" s="64"/>
      <c r="K259" s="17">
        <v>2.5</v>
      </c>
      <c r="L259" s="17">
        <f ca="1">ROUND(465.7,3)</f>
        <v>0</v>
      </c>
      <c r="M259" s="18">
        <f ca="1">ROUND((K259*L259)/100,2)</f>
        <v>0</v>
      </c>
    </row>
    <row r="260" spans="1:13" ht="15.4" customHeight="1" thickBot="1">
      <c r="A260" s="20"/>
      <c r="B260" s="20"/>
      <c r="C260" s="20"/>
      <c r="D260" s="21" t="s">
        <v>231</v>
      </c>
      <c r="E260" s="20"/>
      <c r="F260" s="20"/>
      <c r="G260" s="20"/>
      <c r="H260" s="20"/>
      <c r="I260" s="20"/>
      <c r="J260" s="20"/>
      <c r="K260" s="22">
        <v>3</v>
      </c>
      <c r="L260" s="23">
        <f ca="1">ROUND((M256+M257+M258+M259)*(1+M2/100),2)</f>
        <v>0</v>
      </c>
      <c r="M260" s="23">
        <f ca="1">ROUND(K260*L260,2)</f>
        <v>0</v>
      </c>
    </row>
    <row r="261" spans="1:13" ht="15.4" customHeight="1" thickBot="1">
      <c r="A261" s="24" t="s">
        <v>239</v>
      </c>
      <c r="B261" s="25" t="s">
        <v>16</v>
      </c>
      <c r="C261" s="25" t="s">
        <v>85</v>
      </c>
      <c r="D261" s="65" t="s">
        <v>240</v>
      </c>
      <c r="E261" s="65"/>
      <c r="F261" s="65"/>
      <c r="G261" s="65"/>
      <c r="H261" s="65"/>
      <c r="I261" s="65"/>
      <c r="J261" s="65"/>
      <c r="K261" s="26">
        <f ca="1">ROUND(3,2)</f>
        <v>0</v>
      </c>
      <c r="L261" s="27">
        <f ca="1">L267</f>
        <v>0</v>
      </c>
      <c r="M261" s="27">
        <f ca="1">ROUND(K261*L261,2)</f>
        <v>0</v>
      </c>
    </row>
    <row r="262" spans="1:13" ht="12.2" customHeight="1" thickBot="1">
      <c r="A262" s="19"/>
      <c r="B262" s="19"/>
      <c r="C262" s="19"/>
      <c r="D262" s="64" t="s">
        <v>241</v>
      </c>
      <c r="E262" s="64"/>
      <c r="F262" s="64"/>
      <c r="G262" s="64"/>
      <c r="H262" s="64"/>
      <c r="I262" s="64"/>
      <c r="J262" s="64"/>
      <c r="K262" s="64"/>
      <c r="L262" s="64"/>
      <c r="M262" s="64"/>
    </row>
    <row r="263" spans="1:13" ht="15.2" customHeight="1" thickBot="1">
      <c r="A263" s="5" t="s">
        <v>32</v>
      </c>
      <c r="B263" s="5" t="s">
        <v>21</v>
      </c>
      <c r="C263" s="5" t="s">
        <v>22</v>
      </c>
      <c r="D263" s="64" t="s">
        <v>33</v>
      </c>
      <c r="E263" s="64"/>
      <c r="F263" s="64"/>
      <c r="G263" s="64"/>
      <c r="H263" s="64"/>
      <c r="I263" s="64"/>
      <c r="J263" s="64"/>
      <c r="K263" s="17">
        <v>1</v>
      </c>
      <c r="L263" s="17">
        <f ca="1">ROUND(21.59,3)</f>
        <v>0</v>
      </c>
      <c r="M263" s="18">
        <f ca="1">ROUND(K263*L263,2)</f>
        <v>0</v>
      </c>
    </row>
    <row r="264" spans="1:13" ht="15.2" customHeight="1" thickBot="1">
      <c r="A264" s="5" t="s">
        <v>242</v>
      </c>
      <c r="B264" s="5" t="s">
        <v>21</v>
      </c>
      <c r="C264" s="5" t="s">
        <v>22</v>
      </c>
      <c r="D264" s="64" t="s">
        <v>243</v>
      </c>
      <c r="E264" s="64"/>
      <c r="F264" s="64"/>
      <c r="G264" s="64"/>
      <c r="H264" s="64"/>
      <c r="I264" s="64"/>
      <c r="J264" s="64"/>
      <c r="K264" s="17">
        <v>1</v>
      </c>
      <c r="L264" s="17">
        <f ca="1">ROUND(25.01,3)</f>
        <v>0</v>
      </c>
      <c r="M264" s="18">
        <f ca="1">ROUND(K264*L264,2)</f>
        <v>0</v>
      </c>
    </row>
    <row r="265" spans="1:13" ht="15.2" customHeight="1" thickBot="1">
      <c r="A265" s="5" t="s">
        <v>244</v>
      </c>
      <c r="B265" s="5" t="s">
        <v>69</v>
      </c>
      <c r="C265" s="5"/>
      <c r="D265" s="64" t="s">
        <v>240</v>
      </c>
      <c r="E265" s="64"/>
      <c r="F265" s="64"/>
      <c r="G265" s="64"/>
      <c r="H265" s="64"/>
      <c r="I265" s="64"/>
      <c r="J265" s="64"/>
      <c r="K265" s="17">
        <v>1</v>
      </c>
      <c r="L265" s="17">
        <f ca="1">ROUND(412,3)</f>
        <v>0</v>
      </c>
      <c r="M265" s="18">
        <f ca="1">ROUND(K265*L265,2)</f>
        <v>0</v>
      </c>
    </row>
    <row r="266" spans="1:13" ht="15.2" customHeight="1" thickBot="1">
      <c r="A266" s="5" t="s">
        <v>34</v>
      </c>
      <c r="B266" s="5"/>
      <c r="C266" s="5" t="s">
        <v>26</v>
      </c>
      <c r="D266" s="64" t="s">
        <v>35</v>
      </c>
      <c r="E266" s="64"/>
      <c r="F266" s="64"/>
      <c r="G266" s="64"/>
      <c r="H266" s="64"/>
      <c r="I266" s="64"/>
      <c r="J266" s="64"/>
      <c r="K266" s="17">
        <v>1.5</v>
      </c>
      <c r="L266" s="17">
        <f ca="1">ROUND(46.6,3)</f>
        <v>0</v>
      </c>
      <c r="M266" s="18">
        <f ca="1">ROUND((K266*L266)/100,2)</f>
        <v>0</v>
      </c>
    </row>
    <row r="267" spans="1:13" ht="15.4" customHeight="1" thickBot="1">
      <c r="A267" s="20"/>
      <c r="B267" s="20"/>
      <c r="C267" s="20"/>
      <c r="D267" s="21" t="s">
        <v>239</v>
      </c>
      <c r="E267" s="20"/>
      <c r="F267" s="20"/>
      <c r="G267" s="20"/>
      <c r="H267" s="20"/>
      <c r="I267" s="20"/>
      <c r="J267" s="20"/>
      <c r="K267" s="22">
        <v>3</v>
      </c>
      <c r="L267" s="23">
        <f ca="1">ROUND((M263+M264+M265+M266)*(1+M2/100),2)</f>
        <v>0</v>
      </c>
      <c r="M267" s="23">
        <f ca="1">ROUND(K267*L267,2)</f>
        <v>0</v>
      </c>
    </row>
    <row r="268" spans="1:13" ht="15.4" customHeight="1" thickBot="1">
      <c r="A268" s="24" t="s">
        <v>245</v>
      </c>
      <c r="B268" s="25" t="s">
        <v>16</v>
      </c>
      <c r="C268" s="25" t="s">
        <v>85</v>
      </c>
      <c r="D268" s="65" t="s">
        <v>246</v>
      </c>
      <c r="E268" s="65"/>
      <c r="F268" s="65"/>
      <c r="G268" s="65"/>
      <c r="H268" s="65"/>
      <c r="I268" s="65"/>
      <c r="J268" s="65"/>
      <c r="K268" s="26">
        <f ca="1">ROUND(3,2)</f>
        <v>0</v>
      </c>
      <c r="L268" s="27">
        <f ca="1">L274</f>
        <v>0</v>
      </c>
      <c r="M268" s="27">
        <f ca="1">ROUND(K268*L268,2)</f>
        <v>0</v>
      </c>
    </row>
    <row r="269" spans="1:13" ht="21.4" customHeight="1" thickBot="1">
      <c r="A269" s="19"/>
      <c r="B269" s="19"/>
      <c r="C269" s="19"/>
      <c r="D269" s="64" t="s">
        <v>247</v>
      </c>
      <c r="E269" s="64"/>
      <c r="F269" s="64"/>
      <c r="G269" s="64"/>
      <c r="H269" s="64"/>
      <c r="I269" s="64"/>
      <c r="J269" s="64"/>
      <c r="K269" s="64"/>
      <c r="L269" s="64"/>
      <c r="M269" s="64"/>
    </row>
    <row r="270" spans="1:13" ht="15.2" customHeight="1" thickBot="1">
      <c r="A270" s="5" t="s">
        <v>32</v>
      </c>
      <c r="B270" s="5" t="s">
        <v>21</v>
      </c>
      <c r="C270" s="5" t="s">
        <v>22</v>
      </c>
      <c r="D270" s="64" t="s">
        <v>33</v>
      </c>
      <c r="E270" s="64"/>
      <c r="F270" s="64"/>
      <c r="G270" s="64"/>
      <c r="H270" s="64"/>
      <c r="I270" s="64"/>
      <c r="J270" s="64"/>
      <c r="K270" s="17">
        <v>1</v>
      </c>
      <c r="L270" s="17">
        <f ca="1">ROUND(21.59,3)</f>
        <v>0</v>
      </c>
      <c r="M270" s="18">
        <f ca="1">ROUND(K270*L270,2)</f>
        <v>0</v>
      </c>
    </row>
    <row r="271" spans="1:13" ht="15.2" customHeight="1" thickBot="1">
      <c r="A271" s="5" t="s">
        <v>242</v>
      </c>
      <c r="B271" s="5" t="s">
        <v>21</v>
      </c>
      <c r="C271" s="5" t="s">
        <v>22</v>
      </c>
      <c r="D271" s="64" t="s">
        <v>243</v>
      </c>
      <c r="E271" s="64"/>
      <c r="F271" s="64"/>
      <c r="G271" s="64"/>
      <c r="H271" s="64"/>
      <c r="I271" s="64"/>
      <c r="J271" s="64"/>
      <c r="K271" s="17">
        <v>1</v>
      </c>
      <c r="L271" s="17">
        <f ca="1">ROUND(25.01,3)</f>
        <v>0</v>
      </c>
      <c r="M271" s="18">
        <f ca="1">ROUND(K271*L271,2)</f>
        <v>0</v>
      </c>
    </row>
    <row r="272" spans="1:13" ht="15.2" customHeight="1" thickBot="1">
      <c r="A272" s="5" t="s">
        <v>248</v>
      </c>
      <c r="B272" s="5" t="s">
        <v>69</v>
      </c>
      <c r="C272" s="5"/>
      <c r="D272" s="64" t="s">
        <v>249</v>
      </c>
      <c r="E272" s="64"/>
      <c r="F272" s="64"/>
      <c r="G272" s="64"/>
      <c r="H272" s="64"/>
      <c r="I272" s="64"/>
      <c r="J272" s="64"/>
      <c r="K272" s="17">
        <v>1</v>
      </c>
      <c r="L272" s="17">
        <f ca="1">ROUND(368.52,3)</f>
        <v>0</v>
      </c>
      <c r="M272" s="18">
        <f ca="1">ROUND(K272*L272,2)</f>
        <v>0</v>
      </c>
    </row>
    <row r="273" spans="1:13" ht="15.2" customHeight="1" thickBot="1">
      <c r="A273" s="5" t="s">
        <v>34</v>
      </c>
      <c r="B273" s="5"/>
      <c r="C273" s="5" t="s">
        <v>26</v>
      </c>
      <c r="D273" s="64" t="s">
        <v>35</v>
      </c>
      <c r="E273" s="64"/>
      <c r="F273" s="64"/>
      <c r="G273" s="64"/>
      <c r="H273" s="64"/>
      <c r="I273" s="64"/>
      <c r="J273" s="64"/>
      <c r="K273" s="17">
        <v>1.5</v>
      </c>
      <c r="L273" s="17">
        <f ca="1">ROUND(46.6,3)</f>
        <v>0</v>
      </c>
      <c r="M273" s="18">
        <f ca="1">ROUND((K273*L273)/100,2)</f>
        <v>0</v>
      </c>
    </row>
    <row r="274" spans="1:13" ht="15.4" customHeight="1" thickBot="1">
      <c r="A274" s="20"/>
      <c r="B274" s="20"/>
      <c r="C274" s="20"/>
      <c r="D274" s="21" t="s">
        <v>245</v>
      </c>
      <c r="E274" s="20"/>
      <c r="F274" s="20"/>
      <c r="G274" s="20"/>
      <c r="H274" s="20"/>
      <c r="I274" s="20"/>
      <c r="J274" s="20"/>
      <c r="K274" s="22">
        <v>3</v>
      </c>
      <c r="L274" s="23">
        <f ca="1">ROUND((M270+M271+M272+M273)*(1+M2/100),2)</f>
        <v>0</v>
      </c>
      <c r="M274" s="23">
        <f ca="1">ROUND(K274*L274,2)</f>
        <v>0</v>
      </c>
    </row>
    <row r="275" spans="1:13" ht="15.4" customHeight="1" thickBot="1">
      <c r="A275" s="24" t="s">
        <v>250</v>
      </c>
      <c r="B275" s="25" t="s">
        <v>16</v>
      </c>
      <c r="C275" s="25" t="s">
        <v>85</v>
      </c>
      <c r="D275" s="65" t="s">
        <v>251</v>
      </c>
      <c r="E275" s="65"/>
      <c r="F275" s="65"/>
      <c r="G275" s="65"/>
      <c r="H275" s="65"/>
      <c r="I275" s="65"/>
      <c r="J275" s="65"/>
      <c r="K275" s="26">
        <f ca="1">ROUND(3,2)</f>
        <v>0</v>
      </c>
      <c r="L275" s="27">
        <f ca="1">L281</f>
        <v>0</v>
      </c>
      <c r="M275" s="27">
        <f ca="1">ROUND(K275*L275,2)</f>
        <v>0</v>
      </c>
    </row>
    <row r="276" spans="1:13" ht="21.4" customHeight="1" thickBot="1">
      <c r="A276" s="19"/>
      <c r="B276" s="19"/>
      <c r="C276" s="19"/>
      <c r="D276" s="64" t="s">
        <v>252</v>
      </c>
      <c r="E276" s="64"/>
      <c r="F276" s="64"/>
      <c r="G276" s="64"/>
      <c r="H276" s="64"/>
      <c r="I276" s="64"/>
      <c r="J276" s="64"/>
      <c r="K276" s="64"/>
      <c r="L276" s="64"/>
      <c r="M276" s="64"/>
    </row>
    <row r="277" spans="1:13" ht="15.2" customHeight="1" thickBot="1">
      <c r="A277" s="5" t="s">
        <v>32</v>
      </c>
      <c r="B277" s="5" t="s">
        <v>21</v>
      </c>
      <c r="C277" s="5" t="s">
        <v>22</v>
      </c>
      <c r="D277" s="64" t="s">
        <v>33</v>
      </c>
      <c r="E277" s="64"/>
      <c r="F277" s="64"/>
      <c r="G277" s="64"/>
      <c r="H277" s="64"/>
      <c r="I277" s="64"/>
      <c r="J277" s="64"/>
      <c r="K277" s="17">
        <v>1</v>
      </c>
      <c r="L277" s="17">
        <f ca="1">ROUND(21.59,3)</f>
        <v>0</v>
      </c>
      <c r="M277" s="18">
        <f ca="1">ROUND(K277*L277,2)</f>
        <v>0</v>
      </c>
    </row>
    <row r="278" spans="1:13" ht="15.2" customHeight="1" thickBot="1">
      <c r="A278" s="5" t="s">
        <v>242</v>
      </c>
      <c r="B278" s="5" t="s">
        <v>21</v>
      </c>
      <c r="C278" s="5" t="s">
        <v>22</v>
      </c>
      <c r="D278" s="64" t="s">
        <v>243</v>
      </c>
      <c r="E278" s="64"/>
      <c r="F278" s="64"/>
      <c r="G278" s="64"/>
      <c r="H278" s="64"/>
      <c r="I278" s="64"/>
      <c r="J278" s="64"/>
      <c r="K278" s="17">
        <v>1</v>
      </c>
      <c r="L278" s="17">
        <f ca="1">ROUND(25.01,3)</f>
        <v>0</v>
      </c>
      <c r="M278" s="18">
        <f ca="1">ROUND(K278*L278,2)</f>
        <v>0</v>
      </c>
    </row>
    <row r="279" spans="1:13" ht="15.2" customHeight="1" thickBot="1">
      <c r="A279" s="5" t="s">
        <v>253</v>
      </c>
      <c r="B279" s="5" t="s">
        <v>69</v>
      </c>
      <c r="C279" s="5"/>
      <c r="D279" s="64" t="s">
        <v>251</v>
      </c>
      <c r="E279" s="64"/>
      <c r="F279" s="64"/>
      <c r="G279" s="64"/>
      <c r="H279" s="64"/>
      <c r="I279" s="64"/>
      <c r="J279" s="64"/>
      <c r="K279" s="17">
        <v>1</v>
      </c>
      <c r="L279" s="17">
        <f ca="1">ROUND(41.91,3)</f>
        <v>0</v>
      </c>
      <c r="M279" s="18">
        <f ca="1">ROUND(K279*L279,2)</f>
        <v>0</v>
      </c>
    </row>
    <row r="280" spans="1:13" ht="15.2" customHeight="1" thickBot="1">
      <c r="A280" s="5" t="s">
        <v>34</v>
      </c>
      <c r="B280" s="5"/>
      <c r="C280" s="5" t="s">
        <v>26</v>
      </c>
      <c r="D280" s="64" t="s">
        <v>35</v>
      </c>
      <c r="E280" s="64"/>
      <c r="F280" s="64"/>
      <c r="G280" s="64"/>
      <c r="H280" s="64"/>
      <c r="I280" s="64"/>
      <c r="J280" s="64"/>
      <c r="K280" s="17">
        <v>1.5</v>
      </c>
      <c r="L280" s="17">
        <f ca="1">ROUND(46.6,3)</f>
        <v>0</v>
      </c>
      <c r="M280" s="18">
        <f ca="1">ROUND((K280*L280)/100,2)</f>
        <v>0</v>
      </c>
    </row>
    <row r="281" spans="1:13" ht="15.4" customHeight="1" thickBot="1">
      <c r="A281" s="20"/>
      <c r="B281" s="20"/>
      <c r="C281" s="20"/>
      <c r="D281" s="21" t="s">
        <v>250</v>
      </c>
      <c r="E281" s="20"/>
      <c r="F281" s="20"/>
      <c r="G281" s="20"/>
      <c r="H281" s="20"/>
      <c r="I281" s="20"/>
      <c r="J281" s="20"/>
      <c r="K281" s="22">
        <v>3</v>
      </c>
      <c r="L281" s="23">
        <f ca="1">ROUND((M277+M278+M279+M280)*(1+M2/100),2)</f>
        <v>0</v>
      </c>
      <c r="M281" s="23">
        <f ca="1">ROUND(K281*L281,2)</f>
        <v>0</v>
      </c>
    </row>
    <row r="282" spans="1:13" ht="25.15" customHeight="1" thickBot="1">
      <c r="A282" s="24" t="s">
        <v>254</v>
      </c>
      <c r="B282" s="25" t="s">
        <v>16</v>
      </c>
      <c r="C282" s="25" t="s">
        <v>85</v>
      </c>
      <c r="D282" s="65" t="s">
        <v>255</v>
      </c>
      <c r="E282" s="65"/>
      <c r="F282" s="65"/>
      <c r="G282" s="65"/>
      <c r="H282" s="65"/>
      <c r="I282" s="65"/>
      <c r="J282" s="65"/>
      <c r="K282" s="26">
        <f ca="1">ROUND(6,2)</f>
        <v>0</v>
      </c>
      <c r="L282" s="27">
        <f ca="1">L288</f>
        <v>0</v>
      </c>
      <c r="M282" s="27">
        <f ca="1">ROUND(K282*L282,2)</f>
        <v>0</v>
      </c>
    </row>
    <row r="283" spans="1:13" ht="12.2" customHeight="1" thickBot="1">
      <c r="A283" s="19"/>
      <c r="B283" s="19"/>
      <c r="C283" s="19"/>
      <c r="D283" s="64" t="s">
        <v>255</v>
      </c>
      <c r="E283" s="64"/>
      <c r="F283" s="64"/>
      <c r="G283" s="64"/>
      <c r="H283" s="64"/>
      <c r="I283" s="64"/>
      <c r="J283" s="64"/>
      <c r="K283" s="64"/>
      <c r="L283" s="64"/>
      <c r="M283" s="64"/>
    </row>
    <row r="284" spans="1:13" ht="15.2" customHeight="1" thickBot="1">
      <c r="A284" s="5" t="s">
        <v>32</v>
      </c>
      <c r="B284" s="5" t="s">
        <v>21</v>
      </c>
      <c r="C284" s="5" t="s">
        <v>22</v>
      </c>
      <c r="D284" s="64" t="s">
        <v>33</v>
      </c>
      <c r="E284" s="64"/>
      <c r="F284" s="64"/>
      <c r="G284" s="64"/>
      <c r="H284" s="64"/>
      <c r="I284" s="64"/>
      <c r="J284" s="64"/>
      <c r="K284" s="17">
        <v>0.15</v>
      </c>
      <c r="L284" s="17">
        <f ca="1">ROUND(21.59,3)</f>
        <v>0</v>
      </c>
      <c r="M284" s="18">
        <f ca="1">ROUND(K284*L284,2)</f>
        <v>0</v>
      </c>
    </row>
    <row r="285" spans="1:13" ht="15.2" customHeight="1" thickBot="1">
      <c r="A285" s="5" t="s">
        <v>242</v>
      </c>
      <c r="B285" s="5" t="s">
        <v>21</v>
      </c>
      <c r="C285" s="5" t="s">
        <v>22</v>
      </c>
      <c r="D285" s="64" t="s">
        <v>243</v>
      </c>
      <c r="E285" s="64"/>
      <c r="F285" s="64"/>
      <c r="G285" s="64"/>
      <c r="H285" s="64"/>
      <c r="I285" s="64"/>
      <c r="J285" s="64"/>
      <c r="K285" s="17">
        <v>0.15</v>
      </c>
      <c r="L285" s="17">
        <f ca="1">ROUND(25.01,3)</f>
        <v>0</v>
      </c>
      <c r="M285" s="18">
        <f ca="1">ROUND(K285*L285,2)</f>
        <v>0</v>
      </c>
    </row>
    <row r="286" spans="1:13" ht="15.2" customHeight="1" thickBot="1">
      <c r="A286" s="5" t="s">
        <v>256</v>
      </c>
      <c r="B286" s="5" t="s">
        <v>69</v>
      </c>
      <c r="C286" s="5"/>
      <c r="D286" s="64" t="s">
        <v>257</v>
      </c>
      <c r="E286" s="64"/>
      <c r="F286" s="64"/>
      <c r="G286" s="64"/>
      <c r="H286" s="64"/>
      <c r="I286" s="64"/>
      <c r="J286" s="64"/>
      <c r="K286" s="17">
        <v>1</v>
      </c>
      <c r="L286" s="17">
        <f ca="1">ROUND(9.93,3)</f>
        <v>0</v>
      </c>
      <c r="M286" s="18">
        <f ca="1">ROUND(K286*L286,2)</f>
        <v>0</v>
      </c>
    </row>
    <row r="287" spans="1:13" ht="15.2" customHeight="1" thickBot="1">
      <c r="A287" s="5" t="s">
        <v>34</v>
      </c>
      <c r="B287" s="5"/>
      <c r="C287" s="5" t="s">
        <v>26</v>
      </c>
      <c r="D287" s="64" t="s">
        <v>35</v>
      </c>
      <c r="E287" s="64"/>
      <c r="F287" s="64"/>
      <c r="G287" s="64"/>
      <c r="H287" s="64"/>
      <c r="I287" s="64"/>
      <c r="J287" s="64"/>
      <c r="K287" s="17">
        <v>1.5</v>
      </c>
      <c r="L287" s="17">
        <f ca="1">ROUND(6.99,3)</f>
        <v>0</v>
      </c>
      <c r="M287" s="18">
        <f ca="1">ROUND((K287*L287)/100,2)</f>
        <v>0</v>
      </c>
    </row>
    <row r="288" spans="1:13" ht="15.4" customHeight="1" thickBot="1">
      <c r="A288" s="20"/>
      <c r="B288" s="20"/>
      <c r="C288" s="20"/>
      <c r="D288" s="21" t="s">
        <v>254</v>
      </c>
      <c r="E288" s="20"/>
      <c r="F288" s="20"/>
      <c r="G288" s="20"/>
      <c r="H288" s="20"/>
      <c r="I288" s="20"/>
      <c r="J288" s="20"/>
      <c r="K288" s="22">
        <v>6</v>
      </c>
      <c r="L288" s="23">
        <f ca="1">ROUND((M284+M285+M286+M287)*(1+M2/100),2)</f>
        <v>0</v>
      </c>
      <c r="M288" s="23">
        <f ca="1">ROUND(K288*L288,2)</f>
        <v>0</v>
      </c>
    </row>
    <row r="289" spans="1:13" ht="15.4" customHeight="1" thickBot="1">
      <c r="A289" s="24" t="s">
        <v>258</v>
      </c>
      <c r="B289" s="25" t="s">
        <v>16</v>
      </c>
      <c r="C289" s="25" t="s">
        <v>85</v>
      </c>
      <c r="D289" s="65" t="s">
        <v>259</v>
      </c>
      <c r="E289" s="65"/>
      <c r="F289" s="65"/>
      <c r="G289" s="65"/>
      <c r="H289" s="65"/>
      <c r="I289" s="65"/>
      <c r="J289" s="65"/>
      <c r="K289" s="26">
        <f ca="1">ROUND(2,2)</f>
        <v>0</v>
      </c>
      <c r="L289" s="27">
        <f ca="1">L295</f>
        <v>0</v>
      </c>
      <c r="M289" s="27">
        <f ca="1">ROUND(K289*L289,2)</f>
        <v>0</v>
      </c>
    </row>
    <row r="290" spans="1:13" ht="12.2" customHeight="1" thickBot="1">
      <c r="A290" s="19"/>
      <c r="B290" s="19"/>
      <c r="C290" s="19"/>
      <c r="D290" s="64" t="s">
        <v>260</v>
      </c>
      <c r="E290" s="64"/>
      <c r="F290" s="64"/>
      <c r="G290" s="64"/>
      <c r="H290" s="64"/>
      <c r="I290" s="64"/>
      <c r="J290" s="64"/>
      <c r="K290" s="64"/>
      <c r="L290" s="64"/>
      <c r="M290" s="64"/>
    </row>
    <row r="291" spans="1:13" ht="15.2" customHeight="1" thickBot="1">
      <c r="A291" s="5" t="s">
        <v>32</v>
      </c>
      <c r="B291" s="5" t="s">
        <v>21</v>
      </c>
      <c r="C291" s="5" t="s">
        <v>22</v>
      </c>
      <c r="D291" s="64" t="s">
        <v>33</v>
      </c>
      <c r="E291" s="64"/>
      <c r="F291" s="64"/>
      <c r="G291" s="64"/>
      <c r="H291" s="64"/>
      <c r="I291" s="64"/>
      <c r="J291" s="64"/>
      <c r="K291" s="17">
        <v>0.6</v>
      </c>
      <c r="L291" s="17">
        <f ca="1">ROUND(21.59,3)</f>
        <v>0</v>
      </c>
      <c r="M291" s="18">
        <f ca="1">ROUND(K291*L291,2)</f>
        <v>0</v>
      </c>
    </row>
    <row r="292" spans="1:13" ht="15.2" customHeight="1" thickBot="1">
      <c r="A292" s="5" t="s">
        <v>242</v>
      </c>
      <c r="B292" s="5" t="s">
        <v>21</v>
      </c>
      <c r="C292" s="5" t="s">
        <v>22</v>
      </c>
      <c r="D292" s="64" t="s">
        <v>243</v>
      </c>
      <c r="E292" s="64"/>
      <c r="F292" s="64"/>
      <c r="G292" s="64"/>
      <c r="H292" s="64"/>
      <c r="I292" s="64"/>
      <c r="J292" s="64"/>
      <c r="K292" s="17">
        <v>0.6</v>
      </c>
      <c r="L292" s="17">
        <f ca="1">ROUND(25.01,3)</f>
        <v>0</v>
      </c>
      <c r="M292" s="18">
        <f ca="1">ROUND(K292*L292,2)</f>
        <v>0</v>
      </c>
    </row>
    <row r="293" spans="1:13" ht="15.2" customHeight="1" thickBot="1">
      <c r="A293" s="5" t="s">
        <v>261</v>
      </c>
      <c r="B293" s="5" t="s">
        <v>69</v>
      </c>
      <c r="C293" s="5"/>
      <c r="D293" s="64" t="s">
        <v>262</v>
      </c>
      <c r="E293" s="64"/>
      <c r="F293" s="64"/>
      <c r="G293" s="64"/>
      <c r="H293" s="64"/>
      <c r="I293" s="64"/>
      <c r="J293" s="64"/>
      <c r="K293" s="17">
        <v>1</v>
      </c>
      <c r="L293" s="17">
        <f ca="1">ROUND(25.9,3)</f>
        <v>0</v>
      </c>
      <c r="M293" s="18">
        <f ca="1">ROUND(K293*L293,2)</f>
        <v>0</v>
      </c>
    </row>
    <row r="294" spans="1:13" ht="15.2" customHeight="1" thickBot="1">
      <c r="A294" s="5" t="s">
        <v>34</v>
      </c>
      <c r="B294" s="5"/>
      <c r="C294" s="5" t="s">
        <v>26</v>
      </c>
      <c r="D294" s="64" t="s">
        <v>35</v>
      </c>
      <c r="E294" s="64"/>
      <c r="F294" s="64"/>
      <c r="G294" s="64"/>
      <c r="H294" s="64"/>
      <c r="I294" s="64"/>
      <c r="J294" s="64"/>
      <c r="K294" s="17">
        <v>1.5</v>
      </c>
      <c r="L294" s="17">
        <f ca="1">ROUND(27.96,3)</f>
        <v>0</v>
      </c>
      <c r="M294" s="18">
        <f ca="1">ROUND((K294*L294)/100,2)</f>
        <v>0</v>
      </c>
    </row>
    <row r="295" spans="1:13" ht="15.4" customHeight="1" thickBot="1">
      <c r="A295" s="20"/>
      <c r="B295" s="20"/>
      <c r="C295" s="20"/>
      <c r="D295" s="21" t="s">
        <v>258</v>
      </c>
      <c r="E295" s="20"/>
      <c r="F295" s="20"/>
      <c r="G295" s="20"/>
      <c r="H295" s="20"/>
      <c r="I295" s="20"/>
      <c r="J295" s="20"/>
      <c r="K295" s="22">
        <v>2</v>
      </c>
      <c r="L295" s="23">
        <f ca="1">ROUND((M291+M292+M293+M294)*(1+M2/100),2)</f>
        <v>0</v>
      </c>
      <c r="M295" s="23">
        <f ca="1">ROUND(K295*L295,2)</f>
        <v>0</v>
      </c>
    </row>
    <row r="296" spans="1:13" ht="15.4" customHeight="1" thickBot="1">
      <c r="A296" s="24" t="s">
        <v>263</v>
      </c>
      <c r="B296" s="25" t="s">
        <v>16</v>
      </c>
      <c r="C296" s="25" t="s">
        <v>85</v>
      </c>
      <c r="D296" s="65" t="s">
        <v>264</v>
      </c>
      <c r="E296" s="65"/>
      <c r="F296" s="65"/>
      <c r="G296" s="65"/>
      <c r="H296" s="65"/>
      <c r="I296" s="65"/>
      <c r="J296" s="65"/>
      <c r="K296" s="26">
        <f ca="1">ROUND(1,2)</f>
        <v>0</v>
      </c>
      <c r="L296" s="27">
        <f ca="1">L302</f>
        <v>0</v>
      </c>
      <c r="M296" s="27">
        <f ca="1">ROUND(K296*L296,2)</f>
        <v>0</v>
      </c>
    </row>
    <row r="297" spans="1:13" ht="39.75" customHeight="1" thickBot="1">
      <c r="A297" s="19"/>
      <c r="B297" s="19"/>
      <c r="C297" s="19"/>
      <c r="D297" s="64" t="s">
        <v>265</v>
      </c>
      <c r="E297" s="64"/>
      <c r="F297" s="64"/>
      <c r="G297" s="64"/>
      <c r="H297" s="64"/>
      <c r="I297" s="64"/>
      <c r="J297" s="64"/>
      <c r="K297" s="64"/>
      <c r="L297" s="64"/>
      <c r="M297" s="64"/>
    </row>
    <row r="298" spans="1:13" ht="15.2" customHeight="1" thickBot="1">
      <c r="A298" s="5" t="s">
        <v>266</v>
      </c>
      <c r="B298" s="5" t="s">
        <v>21</v>
      </c>
      <c r="C298" s="5" t="s">
        <v>22</v>
      </c>
      <c r="D298" s="64" t="s">
        <v>267</v>
      </c>
      <c r="E298" s="64"/>
      <c r="F298" s="64"/>
      <c r="G298" s="64"/>
      <c r="H298" s="64"/>
      <c r="I298" s="64"/>
      <c r="J298" s="64"/>
      <c r="K298" s="17">
        <v>2</v>
      </c>
      <c r="L298" s="17">
        <f ca="1">ROUND(21.56,3)</f>
        <v>0</v>
      </c>
      <c r="M298" s="18">
        <f ca="1">ROUND(K298*L298,2)</f>
        <v>0</v>
      </c>
    </row>
    <row r="299" spans="1:13" ht="15.2" customHeight="1" thickBot="1">
      <c r="A299" s="5" t="s">
        <v>268</v>
      </c>
      <c r="B299" s="5" t="s">
        <v>21</v>
      </c>
      <c r="C299" s="5" t="s">
        <v>22</v>
      </c>
      <c r="D299" s="64" t="s">
        <v>269</v>
      </c>
      <c r="E299" s="64"/>
      <c r="F299" s="64"/>
      <c r="G299" s="64"/>
      <c r="H299" s="64"/>
      <c r="I299" s="64"/>
      <c r="J299" s="64"/>
      <c r="K299" s="17">
        <v>2</v>
      </c>
      <c r="L299" s="17">
        <f ca="1">ROUND(25.01,3)</f>
        <v>0</v>
      </c>
      <c r="M299" s="18">
        <f ca="1">ROUND(K299*L299,2)</f>
        <v>0</v>
      </c>
    </row>
    <row r="300" spans="1:13" ht="15.2" customHeight="1" thickBot="1">
      <c r="A300" s="5" t="s">
        <v>270</v>
      </c>
      <c r="B300" s="5" t="s">
        <v>69</v>
      </c>
      <c r="C300" s="5"/>
      <c r="D300" s="64" t="s">
        <v>271</v>
      </c>
      <c r="E300" s="64"/>
      <c r="F300" s="64"/>
      <c r="G300" s="64"/>
      <c r="H300" s="64"/>
      <c r="I300" s="64"/>
      <c r="J300" s="64"/>
      <c r="K300" s="17">
        <v>1</v>
      </c>
      <c r="L300" s="17">
        <f ca="1">ROUND(1972.5,3)</f>
        <v>0</v>
      </c>
      <c r="M300" s="18">
        <f ca="1">ROUND(K300*L300,2)</f>
        <v>0</v>
      </c>
    </row>
    <row r="301" spans="1:13" ht="15.2" customHeight="1" thickBot="1">
      <c r="A301" s="5" t="s">
        <v>34</v>
      </c>
      <c r="B301" s="5"/>
      <c r="C301" s="5" t="s">
        <v>26</v>
      </c>
      <c r="D301" s="64" t="s">
        <v>35</v>
      </c>
      <c r="E301" s="64"/>
      <c r="F301" s="64"/>
      <c r="G301" s="64"/>
      <c r="H301" s="64"/>
      <c r="I301" s="64"/>
      <c r="J301" s="64"/>
      <c r="K301" s="17">
        <v>2.5</v>
      </c>
      <c r="L301" s="17">
        <f ca="1">ROUND(93.14,3)</f>
        <v>0</v>
      </c>
      <c r="M301" s="18">
        <f ca="1">ROUND((K301*L301)/100,2)</f>
        <v>0</v>
      </c>
    </row>
    <row r="302" spans="1:13" ht="15.4" customHeight="1" thickBot="1">
      <c r="A302" s="20"/>
      <c r="B302" s="20"/>
      <c r="C302" s="20"/>
      <c r="D302" s="21" t="s">
        <v>263</v>
      </c>
      <c r="E302" s="20"/>
      <c r="F302" s="20"/>
      <c r="G302" s="20"/>
      <c r="H302" s="20"/>
      <c r="I302" s="20"/>
      <c r="J302" s="20"/>
      <c r="K302" s="22">
        <v>1</v>
      </c>
      <c r="L302" s="23">
        <f ca="1">ROUND((M298+M299+M300+M301)*(1+M2/100),2)</f>
        <v>0</v>
      </c>
      <c r="M302" s="23">
        <f ca="1">ROUND(K302*L302,2)</f>
        <v>0</v>
      </c>
    </row>
    <row r="303" spans="1:13" ht="15.4" customHeight="1" thickBot="1">
      <c r="A303" s="24" t="s">
        <v>272</v>
      </c>
      <c r="B303" s="25" t="s">
        <v>16</v>
      </c>
      <c r="C303" s="25" t="s">
        <v>85</v>
      </c>
      <c r="D303" s="65" t="s">
        <v>273</v>
      </c>
      <c r="E303" s="65"/>
      <c r="F303" s="65"/>
      <c r="G303" s="65"/>
      <c r="H303" s="65"/>
      <c r="I303" s="65"/>
      <c r="J303" s="65"/>
      <c r="K303" s="26">
        <f ca="1">ROUND(2,2)</f>
        <v>0</v>
      </c>
      <c r="L303" s="27">
        <f ca="1">L309</f>
        <v>0</v>
      </c>
      <c r="M303" s="27">
        <f ca="1">ROUND(K303*L303,2)</f>
        <v>0</v>
      </c>
    </row>
    <row r="304" spans="1:13" ht="12.2" customHeight="1" thickBot="1">
      <c r="A304" s="19"/>
      <c r="B304" s="19"/>
      <c r="C304" s="19"/>
      <c r="D304" s="64" t="s">
        <v>274</v>
      </c>
      <c r="E304" s="64"/>
      <c r="F304" s="64"/>
      <c r="G304" s="64"/>
      <c r="H304" s="64"/>
      <c r="I304" s="64"/>
      <c r="J304" s="64"/>
      <c r="K304" s="64"/>
      <c r="L304" s="64"/>
      <c r="M304" s="64"/>
    </row>
    <row r="305" spans="1:13" ht="15.2" customHeight="1" thickBot="1">
      <c r="A305" s="5" t="s">
        <v>234</v>
      </c>
      <c r="B305" s="5" t="s">
        <v>21</v>
      </c>
      <c r="C305" s="5" t="s">
        <v>22</v>
      </c>
      <c r="D305" s="64" t="s">
        <v>235</v>
      </c>
      <c r="E305" s="64"/>
      <c r="F305" s="64"/>
      <c r="G305" s="64"/>
      <c r="H305" s="64"/>
      <c r="I305" s="64"/>
      <c r="J305" s="64"/>
      <c r="K305" s="17">
        <v>7.4999999999999997E-2</v>
      </c>
      <c r="L305" s="17">
        <f ca="1">ROUND(21.56,3)</f>
        <v>0</v>
      </c>
      <c r="M305" s="18">
        <f ca="1">ROUND(K305*L305,2)</f>
        <v>0</v>
      </c>
    </row>
    <row r="306" spans="1:13" ht="15.2" customHeight="1" thickBot="1">
      <c r="A306" s="5" t="s">
        <v>236</v>
      </c>
      <c r="B306" s="5" t="s">
        <v>21</v>
      </c>
      <c r="C306" s="5" t="s">
        <v>22</v>
      </c>
      <c r="D306" s="64" t="s">
        <v>237</v>
      </c>
      <c r="E306" s="64"/>
      <c r="F306" s="64"/>
      <c r="G306" s="64"/>
      <c r="H306" s="64"/>
      <c r="I306" s="64"/>
      <c r="J306" s="64"/>
      <c r="K306" s="17">
        <v>0.3</v>
      </c>
      <c r="L306" s="17">
        <f ca="1">ROUND(25.01,3)</f>
        <v>0</v>
      </c>
      <c r="M306" s="18">
        <f ca="1">ROUND(K306*L306,2)</f>
        <v>0</v>
      </c>
    </row>
    <row r="307" spans="1:13" ht="24.4" customHeight="1" thickBot="1">
      <c r="A307" s="5" t="s">
        <v>275</v>
      </c>
      <c r="B307" s="5" t="s">
        <v>69</v>
      </c>
      <c r="C307" s="5"/>
      <c r="D307" s="64" t="s">
        <v>276</v>
      </c>
      <c r="E307" s="64"/>
      <c r="F307" s="64"/>
      <c r="G307" s="64"/>
      <c r="H307" s="64"/>
      <c r="I307" s="64"/>
      <c r="J307" s="64"/>
      <c r="K307" s="17">
        <v>1</v>
      </c>
      <c r="L307" s="17">
        <f ca="1">ROUND(59.12,3)</f>
        <v>0</v>
      </c>
      <c r="M307" s="18">
        <f ca="1">ROUND(K307*L307,2)</f>
        <v>0</v>
      </c>
    </row>
    <row r="308" spans="1:13" ht="15.2" customHeight="1" thickBot="1">
      <c r="A308" s="5" t="s">
        <v>34</v>
      </c>
      <c r="B308" s="5"/>
      <c r="C308" s="5" t="s">
        <v>26</v>
      </c>
      <c r="D308" s="64" t="s">
        <v>35</v>
      </c>
      <c r="E308" s="64"/>
      <c r="F308" s="64"/>
      <c r="G308" s="64"/>
      <c r="H308" s="64"/>
      <c r="I308" s="64"/>
      <c r="J308" s="64"/>
      <c r="K308" s="17">
        <v>1.5</v>
      </c>
      <c r="L308" s="17">
        <f ca="1">ROUND(9.12,3)</f>
        <v>0</v>
      </c>
      <c r="M308" s="18">
        <f ca="1">ROUND((K308*L308)/100,2)</f>
        <v>0</v>
      </c>
    </row>
    <row r="309" spans="1:13" ht="15.4" customHeight="1" thickBot="1">
      <c r="A309" s="20"/>
      <c r="B309" s="20"/>
      <c r="C309" s="20"/>
      <c r="D309" s="21" t="s">
        <v>272</v>
      </c>
      <c r="E309" s="20"/>
      <c r="F309" s="20"/>
      <c r="G309" s="20"/>
      <c r="H309" s="20"/>
      <c r="I309" s="20"/>
      <c r="J309" s="20"/>
      <c r="K309" s="22">
        <v>2</v>
      </c>
      <c r="L309" s="23">
        <f ca="1">ROUND((M305+M306+M307+M308)*(1+M2/100),2)</f>
        <v>0</v>
      </c>
      <c r="M309" s="23">
        <f ca="1">ROUND(K309*L309,2)</f>
        <v>0</v>
      </c>
    </row>
    <row r="310" spans="1:13" ht="15.4" customHeight="1" thickBot="1">
      <c r="A310" s="24" t="s">
        <v>277</v>
      </c>
      <c r="B310" s="25" t="s">
        <v>16</v>
      </c>
      <c r="C310" s="25" t="s">
        <v>85</v>
      </c>
      <c r="D310" s="65" t="s">
        <v>278</v>
      </c>
      <c r="E310" s="65"/>
      <c r="F310" s="65"/>
      <c r="G310" s="65"/>
      <c r="H310" s="65"/>
      <c r="I310" s="65"/>
      <c r="J310" s="65"/>
      <c r="K310" s="26">
        <f ca="1">ROUND(2,2)</f>
        <v>0</v>
      </c>
      <c r="L310" s="27">
        <f ca="1">L316</f>
        <v>0</v>
      </c>
      <c r="M310" s="27">
        <f ca="1">ROUND(K310*L310,2)</f>
        <v>0</v>
      </c>
    </row>
    <row r="311" spans="1:13" ht="12.2" customHeight="1" thickBot="1">
      <c r="A311" s="19"/>
      <c r="B311" s="19"/>
      <c r="C311" s="19"/>
      <c r="D311" s="64" t="s">
        <v>279</v>
      </c>
      <c r="E311" s="64"/>
      <c r="F311" s="64"/>
      <c r="G311" s="64"/>
      <c r="H311" s="64"/>
      <c r="I311" s="64"/>
      <c r="J311" s="64"/>
      <c r="K311" s="64"/>
      <c r="L311" s="64"/>
      <c r="M311" s="64"/>
    </row>
    <row r="312" spans="1:13" ht="15.2" customHeight="1" thickBot="1">
      <c r="A312" s="5" t="s">
        <v>32</v>
      </c>
      <c r="B312" s="5" t="s">
        <v>21</v>
      </c>
      <c r="C312" s="5" t="s">
        <v>22</v>
      </c>
      <c r="D312" s="64" t="s">
        <v>33</v>
      </c>
      <c r="E312" s="64"/>
      <c r="F312" s="64"/>
      <c r="G312" s="64"/>
      <c r="H312" s="64"/>
      <c r="I312" s="64"/>
      <c r="J312" s="64"/>
      <c r="K312" s="17">
        <v>0.16500000000000001</v>
      </c>
      <c r="L312" s="17">
        <f ca="1">ROUND(21.59,3)</f>
        <v>0</v>
      </c>
      <c r="M312" s="18">
        <f ca="1">ROUND(K312*L312,2)</f>
        <v>0</v>
      </c>
    </row>
    <row r="313" spans="1:13" ht="15.2" customHeight="1" thickBot="1">
      <c r="A313" s="5" t="s">
        <v>242</v>
      </c>
      <c r="B313" s="5" t="s">
        <v>21</v>
      </c>
      <c r="C313" s="5" t="s">
        <v>22</v>
      </c>
      <c r="D313" s="64" t="s">
        <v>243</v>
      </c>
      <c r="E313" s="64"/>
      <c r="F313" s="64"/>
      <c r="G313" s="64"/>
      <c r="H313" s="64"/>
      <c r="I313" s="64"/>
      <c r="J313" s="64"/>
      <c r="K313" s="17">
        <v>0.16500000000000001</v>
      </c>
      <c r="L313" s="17">
        <f ca="1">ROUND(25.01,3)</f>
        <v>0</v>
      </c>
      <c r="M313" s="18">
        <f ca="1">ROUND(K313*L313,2)</f>
        <v>0</v>
      </c>
    </row>
    <row r="314" spans="1:13" ht="15.2" customHeight="1" thickBot="1">
      <c r="A314" s="5" t="s">
        <v>280</v>
      </c>
      <c r="B314" s="5" t="s">
        <v>69</v>
      </c>
      <c r="C314" s="5" t="s">
        <v>85</v>
      </c>
      <c r="D314" s="64" t="s">
        <v>281</v>
      </c>
      <c r="E314" s="64"/>
      <c r="F314" s="64"/>
      <c r="G314" s="64"/>
      <c r="H314" s="64"/>
      <c r="I314" s="64"/>
      <c r="J314" s="64"/>
      <c r="K314" s="17">
        <v>1</v>
      </c>
      <c r="L314" s="17">
        <f ca="1">ROUND(12.58,3)</f>
        <v>0</v>
      </c>
      <c r="M314" s="18">
        <f ca="1">ROUND(K314*L314,2)</f>
        <v>0</v>
      </c>
    </row>
    <row r="315" spans="1:13" ht="15.2" customHeight="1" thickBot="1">
      <c r="A315" s="5" t="s">
        <v>34</v>
      </c>
      <c r="B315" s="5"/>
      <c r="C315" s="5" t="s">
        <v>26</v>
      </c>
      <c r="D315" s="64" t="s">
        <v>35</v>
      </c>
      <c r="E315" s="64"/>
      <c r="F315" s="64"/>
      <c r="G315" s="64"/>
      <c r="H315" s="64"/>
      <c r="I315" s="64"/>
      <c r="J315" s="64"/>
      <c r="K315" s="17">
        <v>1.5</v>
      </c>
      <c r="L315" s="17">
        <f ca="1">ROUND(7.69,3)</f>
        <v>0</v>
      </c>
      <c r="M315" s="18">
        <f ca="1">ROUND((K315*L315)/100,2)</f>
        <v>0</v>
      </c>
    </row>
    <row r="316" spans="1:13" ht="15.4" customHeight="1" thickBot="1">
      <c r="A316" s="20"/>
      <c r="B316" s="20"/>
      <c r="C316" s="20"/>
      <c r="D316" s="21" t="s">
        <v>277</v>
      </c>
      <c r="E316" s="20"/>
      <c r="F316" s="20"/>
      <c r="G316" s="20"/>
      <c r="H316" s="20"/>
      <c r="I316" s="20"/>
      <c r="J316" s="20"/>
      <c r="K316" s="22">
        <v>2</v>
      </c>
      <c r="L316" s="23">
        <f ca="1">ROUND((M312+M313+M314+M315)*(1+M2/100),2)</f>
        <v>0</v>
      </c>
      <c r="M316" s="23">
        <f ca="1">ROUND(K316*L316,2)</f>
        <v>0</v>
      </c>
    </row>
    <row r="317" spans="1:13" ht="15.4" customHeight="1" thickBot="1">
      <c r="A317" s="24" t="s">
        <v>282</v>
      </c>
      <c r="B317" s="25" t="s">
        <v>16</v>
      </c>
      <c r="C317" s="25" t="s">
        <v>85</v>
      </c>
      <c r="D317" s="65" t="s">
        <v>283</v>
      </c>
      <c r="E317" s="65"/>
      <c r="F317" s="65"/>
      <c r="G317" s="65"/>
      <c r="H317" s="65"/>
      <c r="I317" s="65"/>
      <c r="J317" s="65"/>
      <c r="K317" s="26">
        <f ca="1">ROUND(2,2)</f>
        <v>0</v>
      </c>
      <c r="L317" s="27">
        <f ca="1">L323</f>
        <v>0</v>
      </c>
      <c r="M317" s="27">
        <f ca="1">ROUND(K317*L317,2)</f>
        <v>0</v>
      </c>
    </row>
    <row r="318" spans="1:13" ht="12.2" customHeight="1" thickBot="1">
      <c r="A318" s="19"/>
      <c r="B318" s="19"/>
      <c r="C318" s="19"/>
      <c r="D318" s="64" t="s">
        <v>284</v>
      </c>
      <c r="E318" s="64"/>
      <c r="F318" s="64"/>
      <c r="G318" s="64"/>
      <c r="H318" s="64"/>
      <c r="I318" s="64"/>
      <c r="J318" s="64"/>
      <c r="K318" s="64"/>
      <c r="L318" s="64"/>
      <c r="M318" s="64"/>
    </row>
    <row r="319" spans="1:13" ht="15.2" customHeight="1" thickBot="1">
      <c r="A319" s="5" t="s">
        <v>32</v>
      </c>
      <c r="B319" s="5" t="s">
        <v>21</v>
      </c>
      <c r="C319" s="5" t="s">
        <v>22</v>
      </c>
      <c r="D319" s="64" t="s">
        <v>33</v>
      </c>
      <c r="E319" s="64"/>
      <c r="F319" s="64"/>
      <c r="G319" s="64"/>
      <c r="H319" s="64"/>
      <c r="I319" s="64"/>
      <c r="J319" s="64"/>
      <c r="K319" s="17">
        <v>0.16500000000000001</v>
      </c>
      <c r="L319" s="17">
        <f ca="1">ROUND(21.59,3)</f>
        <v>0</v>
      </c>
      <c r="M319" s="18">
        <f ca="1">ROUND(K319*L319,2)</f>
        <v>0</v>
      </c>
    </row>
    <row r="320" spans="1:13" ht="15.2" customHeight="1" thickBot="1">
      <c r="A320" s="5" t="s">
        <v>242</v>
      </c>
      <c r="B320" s="5" t="s">
        <v>21</v>
      </c>
      <c r="C320" s="5" t="s">
        <v>22</v>
      </c>
      <c r="D320" s="64" t="s">
        <v>243</v>
      </c>
      <c r="E320" s="64"/>
      <c r="F320" s="64"/>
      <c r="G320" s="64"/>
      <c r="H320" s="64"/>
      <c r="I320" s="64"/>
      <c r="J320" s="64"/>
      <c r="K320" s="17">
        <v>0.16500000000000001</v>
      </c>
      <c r="L320" s="17">
        <f ca="1">ROUND(25.01,3)</f>
        <v>0</v>
      </c>
      <c r="M320" s="18">
        <f ca="1">ROUND(K320*L320,2)</f>
        <v>0</v>
      </c>
    </row>
    <row r="321" spans="1:13" ht="15.2" customHeight="1" thickBot="1">
      <c r="A321" s="5" t="s">
        <v>285</v>
      </c>
      <c r="B321" s="5" t="s">
        <v>69</v>
      </c>
      <c r="C321" s="5" t="s">
        <v>85</v>
      </c>
      <c r="D321" s="64" t="s">
        <v>286</v>
      </c>
      <c r="E321" s="64"/>
      <c r="F321" s="64"/>
      <c r="G321" s="64"/>
      <c r="H321" s="64"/>
      <c r="I321" s="64"/>
      <c r="J321" s="64"/>
      <c r="K321" s="17">
        <v>1</v>
      </c>
      <c r="L321" s="17">
        <f ca="1">ROUND(9.97,3)</f>
        <v>0</v>
      </c>
      <c r="M321" s="18">
        <f ca="1">ROUND(K321*L321,2)</f>
        <v>0</v>
      </c>
    </row>
    <row r="322" spans="1:13" ht="15.2" customHeight="1" thickBot="1">
      <c r="A322" s="5" t="s">
        <v>34</v>
      </c>
      <c r="B322" s="5"/>
      <c r="C322" s="5" t="s">
        <v>26</v>
      </c>
      <c r="D322" s="64" t="s">
        <v>35</v>
      </c>
      <c r="E322" s="64"/>
      <c r="F322" s="64"/>
      <c r="G322" s="64"/>
      <c r="H322" s="64"/>
      <c r="I322" s="64"/>
      <c r="J322" s="64"/>
      <c r="K322" s="17">
        <v>1.5</v>
      </c>
      <c r="L322" s="17">
        <f ca="1">ROUND(7.69,3)</f>
        <v>0</v>
      </c>
      <c r="M322" s="18">
        <f ca="1">ROUND((K322*L322)/100,2)</f>
        <v>0</v>
      </c>
    </row>
    <row r="323" spans="1:13" ht="15.4" customHeight="1" thickBot="1">
      <c r="A323" s="20"/>
      <c r="B323" s="20"/>
      <c r="C323" s="20"/>
      <c r="D323" s="21" t="s">
        <v>282</v>
      </c>
      <c r="E323" s="20"/>
      <c r="F323" s="20"/>
      <c r="G323" s="20"/>
      <c r="H323" s="20"/>
      <c r="I323" s="20"/>
      <c r="J323" s="20"/>
      <c r="K323" s="22">
        <v>2</v>
      </c>
      <c r="L323" s="23">
        <f ca="1">ROUND((M319+M320+M321+M322)*(1+M2/100),2)</f>
        <v>0</v>
      </c>
      <c r="M323" s="23">
        <f ca="1">ROUND(K323*L323,2)</f>
        <v>0</v>
      </c>
    </row>
    <row r="324" spans="1:13" ht="15.4" customHeight="1" thickBot="1">
      <c r="A324" s="24" t="s">
        <v>287</v>
      </c>
      <c r="B324" s="25" t="s">
        <v>16</v>
      </c>
      <c r="C324" s="25" t="s">
        <v>85</v>
      </c>
      <c r="D324" s="65" t="s">
        <v>288</v>
      </c>
      <c r="E324" s="65"/>
      <c r="F324" s="65"/>
      <c r="G324" s="65"/>
      <c r="H324" s="65"/>
      <c r="I324" s="65"/>
      <c r="J324" s="65"/>
      <c r="K324" s="26">
        <f ca="1">ROUND(6,2)</f>
        <v>0</v>
      </c>
      <c r="L324" s="27">
        <f ca="1">L330</f>
        <v>0</v>
      </c>
      <c r="M324" s="27">
        <f ca="1">ROUND(K324*L324,2)</f>
        <v>0</v>
      </c>
    </row>
    <row r="325" spans="1:13" ht="12.2" customHeight="1" thickBot="1">
      <c r="A325" s="19"/>
      <c r="B325" s="19"/>
      <c r="C325" s="19"/>
      <c r="D325" s="64" t="s">
        <v>289</v>
      </c>
      <c r="E325" s="64"/>
      <c r="F325" s="64"/>
      <c r="G325" s="64"/>
      <c r="H325" s="64"/>
      <c r="I325" s="64"/>
      <c r="J325" s="64"/>
      <c r="K325" s="64"/>
      <c r="L325" s="64"/>
      <c r="M325" s="64"/>
    </row>
    <row r="326" spans="1:13" ht="15.2" customHeight="1" thickBot="1">
      <c r="A326" s="5" t="s">
        <v>32</v>
      </c>
      <c r="B326" s="5" t="s">
        <v>21</v>
      </c>
      <c r="C326" s="5" t="s">
        <v>22</v>
      </c>
      <c r="D326" s="64" t="s">
        <v>33</v>
      </c>
      <c r="E326" s="64"/>
      <c r="F326" s="64"/>
      <c r="G326" s="64"/>
      <c r="H326" s="64"/>
      <c r="I326" s="64"/>
      <c r="J326" s="64"/>
      <c r="K326" s="17">
        <v>0.3</v>
      </c>
      <c r="L326" s="17">
        <f ca="1">ROUND(21.59,3)</f>
        <v>0</v>
      </c>
      <c r="M326" s="18">
        <f ca="1">ROUND(K326*L326,2)</f>
        <v>0</v>
      </c>
    </row>
    <row r="327" spans="1:13" ht="15.2" customHeight="1" thickBot="1">
      <c r="A327" s="5" t="s">
        <v>242</v>
      </c>
      <c r="B327" s="5" t="s">
        <v>21</v>
      </c>
      <c r="C327" s="5" t="s">
        <v>22</v>
      </c>
      <c r="D327" s="64" t="s">
        <v>243</v>
      </c>
      <c r="E327" s="64"/>
      <c r="F327" s="64"/>
      <c r="G327" s="64"/>
      <c r="H327" s="64"/>
      <c r="I327" s="64"/>
      <c r="J327" s="64"/>
      <c r="K327" s="17">
        <v>0.3</v>
      </c>
      <c r="L327" s="17">
        <f ca="1">ROUND(25.01,3)</f>
        <v>0</v>
      </c>
      <c r="M327" s="18">
        <f ca="1">ROUND(K327*L327,2)</f>
        <v>0</v>
      </c>
    </row>
    <row r="328" spans="1:13" ht="15.2" customHeight="1" thickBot="1">
      <c r="A328" s="5" t="s">
        <v>290</v>
      </c>
      <c r="B328" s="5" t="s">
        <v>69</v>
      </c>
      <c r="C328" s="5" t="s">
        <v>85</v>
      </c>
      <c r="D328" s="64" t="s">
        <v>291</v>
      </c>
      <c r="E328" s="64"/>
      <c r="F328" s="64"/>
      <c r="G328" s="64"/>
      <c r="H328" s="64"/>
      <c r="I328" s="64"/>
      <c r="J328" s="64"/>
      <c r="K328" s="17">
        <v>1</v>
      </c>
      <c r="L328" s="17">
        <f ca="1">ROUND(66,3)</f>
        <v>0</v>
      </c>
      <c r="M328" s="18">
        <f ca="1">ROUND(K328*L328,2)</f>
        <v>0</v>
      </c>
    </row>
    <row r="329" spans="1:13" ht="15.2" customHeight="1" thickBot="1">
      <c r="A329" s="5" t="s">
        <v>34</v>
      </c>
      <c r="B329" s="5"/>
      <c r="C329" s="5" t="s">
        <v>26</v>
      </c>
      <c r="D329" s="64" t="s">
        <v>35</v>
      </c>
      <c r="E329" s="64"/>
      <c r="F329" s="64"/>
      <c r="G329" s="64"/>
      <c r="H329" s="64"/>
      <c r="I329" s="64"/>
      <c r="J329" s="64"/>
      <c r="K329" s="17">
        <v>1.5</v>
      </c>
      <c r="L329" s="17">
        <f ca="1">ROUND(13.98,3)</f>
        <v>0</v>
      </c>
      <c r="M329" s="18">
        <f ca="1">ROUND((K329*L329)/100,2)</f>
        <v>0</v>
      </c>
    </row>
    <row r="330" spans="1:13" ht="15.4" customHeight="1" thickBot="1">
      <c r="A330" s="20"/>
      <c r="B330" s="20"/>
      <c r="C330" s="20"/>
      <c r="D330" s="21" t="s">
        <v>287</v>
      </c>
      <c r="E330" s="20"/>
      <c r="F330" s="20"/>
      <c r="G330" s="20"/>
      <c r="H330" s="20"/>
      <c r="I330" s="20"/>
      <c r="J330" s="20"/>
      <c r="K330" s="22">
        <v>6</v>
      </c>
      <c r="L330" s="23">
        <f ca="1">ROUND((M326+M327+M328+M329)*(1+M2/100),2)</f>
        <v>0</v>
      </c>
      <c r="M330" s="23">
        <f ca="1">ROUND(K330*L330,2)</f>
        <v>0</v>
      </c>
    </row>
    <row r="331" spans="1:13" ht="15.4" customHeight="1" thickBot="1">
      <c r="A331" s="24" t="s">
        <v>292</v>
      </c>
      <c r="B331" s="25" t="s">
        <v>16</v>
      </c>
      <c r="C331" s="25" t="s">
        <v>85</v>
      </c>
      <c r="D331" s="65" t="s">
        <v>293</v>
      </c>
      <c r="E331" s="65"/>
      <c r="F331" s="65"/>
      <c r="G331" s="65"/>
      <c r="H331" s="65"/>
      <c r="I331" s="65"/>
      <c r="J331" s="65"/>
      <c r="K331" s="26">
        <f ca="1">ROUND(4,2)</f>
        <v>0</v>
      </c>
      <c r="L331" s="27">
        <f ca="1">L337</f>
        <v>0</v>
      </c>
      <c r="M331" s="27">
        <f ca="1">ROUND(K331*L331,2)</f>
        <v>0</v>
      </c>
    </row>
    <row r="332" spans="1:13" ht="12.2" customHeight="1" thickBot="1">
      <c r="A332" s="19"/>
      <c r="B332" s="19"/>
      <c r="C332" s="19"/>
      <c r="D332" s="64" t="s">
        <v>294</v>
      </c>
      <c r="E332" s="64"/>
      <c r="F332" s="64"/>
      <c r="G332" s="64"/>
      <c r="H332" s="64"/>
      <c r="I332" s="64"/>
      <c r="J332" s="64"/>
      <c r="K332" s="64"/>
      <c r="L332" s="64"/>
      <c r="M332" s="64"/>
    </row>
    <row r="333" spans="1:13" ht="15.2" customHeight="1" thickBot="1">
      <c r="A333" s="5" t="s">
        <v>32</v>
      </c>
      <c r="B333" s="5" t="s">
        <v>21</v>
      </c>
      <c r="C333" s="5" t="s">
        <v>22</v>
      </c>
      <c r="D333" s="64" t="s">
        <v>33</v>
      </c>
      <c r="E333" s="64"/>
      <c r="F333" s="64"/>
      <c r="G333" s="64"/>
      <c r="H333" s="64"/>
      <c r="I333" s="64"/>
      <c r="J333" s="64"/>
      <c r="K333" s="17">
        <v>0.33</v>
      </c>
      <c r="L333" s="17">
        <f ca="1">ROUND(21.59,3)</f>
        <v>0</v>
      </c>
      <c r="M333" s="18">
        <f ca="1">ROUND(K333*L333,2)</f>
        <v>0</v>
      </c>
    </row>
    <row r="334" spans="1:13" ht="15.2" customHeight="1" thickBot="1">
      <c r="A334" s="5" t="s">
        <v>242</v>
      </c>
      <c r="B334" s="5" t="s">
        <v>21</v>
      </c>
      <c r="C334" s="5" t="s">
        <v>22</v>
      </c>
      <c r="D334" s="64" t="s">
        <v>243</v>
      </c>
      <c r="E334" s="64"/>
      <c r="F334" s="64"/>
      <c r="G334" s="64"/>
      <c r="H334" s="64"/>
      <c r="I334" s="64"/>
      <c r="J334" s="64"/>
      <c r="K334" s="17">
        <v>0.33</v>
      </c>
      <c r="L334" s="17">
        <f ca="1">ROUND(25.01,3)</f>
        <v>0</v>
      </c>
      <c r="M334" s="18">
        <f ca="1">ROUND(K334*L334,2)</f>
        <v>0</v>
      </c>
    </row>
    <row r="335" spans="1:13" ht="15.2" customHeight="1" thickBot="1">
      <c r="A335" s="5" t="s">
        <v>295</v>
      </c>
      <c r="B335" s="5" t="s">
        <v>69</v>
      </c>
      <c r="C335" s="5" t="s">
        <v>85</v>
      </c>
      <c r="D335" s="64" t="s">
        <v>296</v>
      </c>
      <c r="E335" s="64"/>
      <c r="F335" s="64"/>
      <c r="G335" s="64"/>
      <c r="H335" s="64"/>
      <c r="I335" s="64"/>
      <c r="J335" s="64"/>
      <c r="K335" s="17">
        <v>1</v>
      </c>
      <c r="L335" s="17">
        <f ca="1">ROUND(187.7,3)</f>
        <v>0</v>
      </c>
      <c r="M335" s="18">
        <f ca="1">ROUND(K335*L335,2)</f>
        <v>0</v>
      </c>
    </row>
    <row r="336" spans="1:13" ht="15.2" customHeight="1" thickBot="1">
      <c r="A336" s="5" t="s">
        <v>34</v>
      </c>
      <c r="B336" s="5"/>
      <c r="C336" s="5" t="s">
        <v>26</v>
      </c>
      <c r="D336" s="64" t="s">
        <v>35</v>
      </c>
      <c r="E336" s="64"/>
      <c r="F336" s="64"/>
      <c r="G336" s="64"/>
      <c r="H336" s="64"/>
      <c r="I336" s="64"/>
      <c r="J336" s="64"/>
      <c r="K336" s="17">
        <v>1.5</v>
      </c>
      <c r="L336" s="17">
        <f ca="1">ROUND(15.37,3)</f>
        <v>0</v>
      </c>
      <c r="M336" s="18">
        <f ca="1">ROUND((K336*L336)/100,2)</f>
        <v>0</v>
      </c>
    </row>
    <row r="337" spans="1:13" ht="15.4" customHeight="1" thickBot="1">
      <c r="A337" s="20"/>
      <c r="B337" s="20"/>
      <c r="C337" s="20"/>
      <c r="D337" s="21" t="s">
        <v>292</v>
      </c>
      <c r="E337" s="20"/>
      <c r="F337" s="20"/>
      <c r="G337" s="20"/>
      <c r="H337" s="20"/>
      <c r="I337" s="20"/>
      <c r="J337" s="20"/>
      <c r="K337" s="22">
        <v>4</v>
      </c>
      <c r="L337" s="23">
        <f ca="1">ROUND((M333+M334+M335+M336)*(1+M2/100),2)</f>
        <v>0</v>
      </c>
      <c r="M337" s="23">
        <f ca="1">ROUND(K337*L337,2)</f>
        <v>0</v>
      </c>
    </row>
    <row r="338" spans="1:13" ht="15.4" customHeight="1" thickBot="1">
      <c r="A338" s="24" t="s">
        <v>297</v>
      </c>
      <c r="B338" s="25" t="s">
        <v>16</v>
      </c>
      <c r="C338" s="25" t="s">
        <v>85</v>
      </c>
      <c r="D338" s="65" t="s">
        <v>298</v>
      </c>
      <c r="E338" s="65"/>
      <c r="F338" s="65"/>
      <c r="G338" s="65"/>
      <c r="H338" s="65"/>
      <c r="I338" s="65"/>
      <c r="J338" s="65"/>
      <c r="K338" s="26">
        <f ca="1">ROUND(1,2)</f>
        <v>0</v>
      </c>
      <c r="L338" s="27">
        <f ca="1">L344</f>
        <v>0</v>
      </c>
      <c r="M338" s="27">
        <f ca="1">ROUND(K338*L338,2)</f>
        <v>0</v>
      </c>
    </row>
    <row r="339" spans="1:13" ht="12.2" customHeight="1" thickBot="1">
      <c r="A339" s="19"/>
      <c r="B339" s="19"/>
      <c r="C339" s="19"/>
      <c r="D339" s="64" t="s">
        <v>299</v>
      </c>
      <c r="E339" s="64"/>
      <c r="F339" s="64"/>
      <c r="G339" s="64"/>
      <c r="H339" s="64"/>
      <c r="I339" s="64"/>
      <c r="J339" s="64"/>
      <c r="K339" s="64"/>
      <c r="L339" s="64"/>
      <c r="M339" s="64"/>
    </row>
    <row r="340" spans="1:13" ht="15.2" customHeight="1" thickBot="1">
      <c r="A340" s="5" t="s">
        <v>32</v>
      </c>
      <c r="B340" s="5" t="s">
        <v>21</v>
      </c>
      <c r="C340" s="5" t="s">
        <v>22</v>
      </c>
      <c r="D340" s="64" t="s">
        <v>33</v>
      </c>
      <c r="E340" s="64"/>
      <c r="F340" s="64"/>
      <c r="G340" s="64"/>
      <c r="H340" s="64"/>
      <c r="I340" s="64"/>
      <c r="J340" s="64"/>
      <c r="K340" s="17">
        <v>0.2</v>
      </c>
      <c r="L340" s="17">
        <f ca="1">ROUND(21.59,3)</f>
        <v>0</v>
      </c>
      <c r="M340" s="18">
        <f ca="1">ROUND(K340*L340,2)</f>
        <v>0</v>
      </c>
    </row>
    <row r="341" spans="1:13" ht="15.2" customHeight="1" thickBot="1">
      <c r="A341" s="5" t="s">
        <v>242</v>
      </c>
      <c r="B341" s="5" t="s">
        <v>21</v>
      </c>
      <c r="C341" s="5" t="s">
        <v>22</v>
      </c>
      <c r="D341" s="64" t="s">
        <v>243</v>
      </c>
      <c r="E341" s="64"/>
      <c r="F341" s="64"/>
      <c r="G341" s="64"/>
      <c r="H341" s="64"/>
      <c r="I341" s="64"/>
      <c r="J341" s="64"/>
      <c r="K341" s="17">
        <v>0.2</v>
      </c>
      <c r="L341" s="17">
        <f ca="1">ROUND(25.01,3)</f>
        <v>0</v>
      </c>
      <c r="M341" s="18">
        <f ca="1">ROUND(K341*L341,2)</f>
        <v>0</v>
      </c>
    </row>
    <row r="342" spans="1:13" ht="15.2" customHeight="1" thickBot="1">
      <c r="A342" s="5" t="s">
        <v>300</v>
      </c>
      <c r="B342" s="5" t="s">
        <v>69</v>
      </c>
      <c r="C342" s="5" t="s">
        <v>85</v>
      </c>
      <c r="D342" s="64" t="s">
        <v>301</v>
      </c>
      <c r="E342" s="64"/>
      <c r="F342" s="64"/>
      <c r="G342" s="64"/>
      <c r="H342" s="64"/>
      <c r="I342" s="64"/>
      <c r="J342" s="64"/>
      <c r="K342" s="17">
        <v>1</v>
      </c>
      <c r="L342" s="17">
        <f ca="1">ROUND(17.85,3)</f>
        <v>0</v>
      </c>
      <c r="M342" s="18">
        <f ca="1">ROUND(K342*L342,2)</f>
        <v>0</v>
      </c>
    </row>
    <row r="343" spans="1:13" ht="15.2" customHeight="1" thickBot="1">
      <c r="A343" s="5" t="s">
        <v>34</v>
      </c>
      <c r="B343" s="5"/>
      <c r="C343" s="5" t="s">
        <v>26</v>
      </c>
      <c r="D343" s="64" t="s">
        <v>35</v>
      </c>
      <c r="E343" s="64"/>
      <c r="F343" s="64"/>
      <c r="G343" s="64"/>
      <c r="H343" s="64"/>
      <c r="I343" s="64"/>
      <c r="J343" s="64"/>
      <c r="K343" s="17">
        <v>1.5</v>
      </c>
      <c r="L343" s="17">
        <f ca="1">ROUND(9.32,3)</f>
        <v>0</v>
      </c>
      <c r="M343" s="18">
        <f ca="1">ROUND((K343*L343)/100,2)</f>
        <v>0</v>
      </c>
    </row>
    <row r="344" spans="1:13" ht="15.4" customHeight="1" thickBot="1">
      <c r="A344" s="20"/>
      <c r="B344" s="20"/>
      <c r="C344" s="20"/>
      <c r="D344" s="21" t="s">
        <v>297</v>
      </c>
      <c r="E344" s="20"/>
      <c r="F344" s="20"/>
      <c r="G344" s="20"/>
      <c r="H344" s="20"/>
      <c r="I344" s="20"/>
      <c r="J344" s="20"/>
      <c r="K344" s="22">
        <v>1</v>
      </c>
      <c r="L344" s="23">
        <f ca="1">ROUND((M340+M341+M342+M343)*(1+M2/100),2)</f>
        <v>0</v>
      </c>
      <c r="M344" s="23">
        <f ca="1">ROUND(K344*L344,2)</f>
        <v>0</v>
      </c>
    </row>
    <row r="345" spans="1:13" ht="15.4" customHeight="1" thickBot="1">
      <c r="A345" s="24" t="s">
        <v>302</v>
      </c>
      <c r="B345" s="25" t="s">
        <v>16</v>
      </c>
      <c r="C345" s="25" t="s">
        <v>85</v>
      </c>
      <c r="D345" s="65" t="s">
        <v>303</v>
      </c>
      <c r="E345" s="65"/>
      <c r="F345" s="65"/>
      <c r="G345" s="65"/>
      <c r="H345" s="65"/>
      <c r="I345" s="65"/>
      <c r="J345" s="65"/>
      <c r="K345" s="26">
        <f ca="1">ROUND(1,2)</f>
        <v>0</v>
      </c>
      <c r="L345" s="27">
        <f ca="1">L351</f>
        <v>0</v>
      </c>
      <c r="M345" s="27">
        <f ca="1">ROUND(K345*L345,2)</f>
        <v>0</v>
      </c>
    </row>
    <row r="346" spans="1:13" ht="12.2" customHeight="1" thickBot="1">
      <c r="A346" s="19"/>
      <c r="B346" s="19"/>
      <c r="C346" s="19"/>
      <c r="D346" s="64" t="s">
        <v>304</v>
      </c>
      <c r="E346" s="64"/>
      <c r="F346" s="64"/>
      <c r="G346" s="64"/>
      <c r="H346" s="64"/>
      <c r="I346" s="64"/>
      <c r="J346" s="64"/>
      <c r="K346" s="64"/>
      <c r="L346" s="64"/>
      <c r="M346" s="64"/>
    </row>
    <row r="347" spans="1:13" ht="15.2" customHeight="1" thickBot="1">
      <c r="A347" s="5" t="s">
        <v>32</v>
      </c>
      <c r="B347" s="5" t="s">
        <v>21</v>
      </c>
      <c r="C347" s="5" t="s">
        <v>22</v>
      </c>
      <c r="D347" s="64" t="s">
        <v>33</v>
      </c>
      <c r="E347" s="64"/>
      <c r="F347" s="64"/>
      <c r="G347" s="64"/>
      <c r="H347" s="64"/>
      <c r="I347" s="64"/>
      <c r="J347" s="64"/>
      <c r="K347" s="17">
        <v>0.2</v>
      </c>
      <c r="L347" s="17">
        <f ca="1">ROUND(21.59,3)</f>
        <v>0</v>
      </c>
      <c r="M347" s="18">
        <f ca="1">ROUND(K347*L347,2)</f>
        <v>0</v>
      </c>
    </row>
    <row r="348" spans="1:13" ht="15.2" customHeight="1" thickBot="1">
      <c r="A348" s="5" t="s">
        <v>242</v>
      </c>
      <c r="B348" s="5" t="s">
        <v>21</v>
      </c>
      <c r="C348" s="5" t="s">
        <v>22</v>
      </c>
      <c r="D348" s="64" t="s">
        <v>243</v>
      </c>
      <c r="E348" s="64"/>
      <c r="F348" s="64"/>
      <c r="G348" s="64"/>
      <c r="H348" s="64"/>
      <c r="I348" s="64"/>
      <c r="J348" s="64"/>
      <c r="K348" s="17">
        <v>0.2</v>
      </c>
      <c r="L348" s="17">
        <f ca="1">ROUND(25.01,3)</f>
        <v>0</v>
      </c>
      <c r="M348" s="18">
        <f ca="1">ROUND(K348*L348,2)</f>
        <v>0</v>
      </c>
    </row>
    <row r="349" spans="1:13" ht="15.2" customHeight="1" thickBot="1">
      <c r="A349" s="5" t="s">
        <v>305</v>
      </c>
      <c r="B349" s="5" t="s">
        <v>69</v>
      </c>
      <c r="C349" s="5" t="s">
        <v>85</v>
      </c>
      <c r="D349" s="64" t="s">
        <v>306</v>
      </c>
      <c r="E349" s="64"/>
      <c r="F349" s="64"/>
      <c r="G349" s="64"/>
      <c r="H349" s="64"/>
      <c r="I349" s="64"/>
      <c r="J349" s="64"/>
      <c r="K349" s="17">
        <v>1</v>
      </c>
      <c r="L349" s="17">
        <f ca="1">ROUND(18.78,3)</f>
        <v>0</v>
      </c>
      <c r="M349" s="18">
        <f ca="1">ROUND(K349*L349,2)</f>
        <v>0</v>
      </c>
    </row>
    <row r="350" spans="1:13" ht="15.2" customHeight="1" thickBot="1">
      <c r="A350" s="5" t="s">
        <v>34</v>
      </c>
      <c r="B350" s="5"/>
      <c r="C350" s="5" t="s">
        <v>26</v>
      </c>
      <c r="D350" s="64" t="s">
        <v>35</v>
      </c>
      <c r="E350" s="64"/>
      <c r="F350" s="64"/>
      <c r="G350" s="64"/>
      <c r="H350" s="64"/>
      <c r="I350" s="64"/>
      <c r="J350" s="64"/>
      <c r="K350" s="17">
        <v>1.5</v>
      </c>
      <c r="L350" s="17">
        <f ca="1">ROUND(9.32,3)</f>
        <v>0</v>
      </c>
      <c r="M350" s="18">
        <f ca="1">ROUND((K350*L350)/100,2)</f>
        <v>0</v>
      </c>
    </row>
    <row r="351" spans="1:13" ht="15.4" customHeight="1" thickBot="1">
      <c r="A351" s="20"/>
      <c r="B351" s="20"/>
      <c r="C351" s="20"/>
      <c r="D351" s="21" t="s">
        <v>302</v>
      </c>
      <c r="E351" s="20"/>
      <c r="F351" s="20"/>
      <c r="G351" s="20"/>
      <c r="H351" s="20"/>
      <c r="I351" s="20"/>
      <c r="J351" s="20"/>
      <c r="K351" s="22">
        <v>1</v>
      </c>
      <c r="L351" s="23">
        <f ca="1">ROUND((M347+M348+M349+M350)*(1+M2/100),2)</f>
        <v>0</v>
      </c>
      <c r="M351" s="23">
        <f ca="1">ROUND(K351*L351,2)</f>
        <v>0</v>
      </c>
    </row>
    <row r="352" spans="1:13" ht="15.4" customHeight="1" thickBot="1">
      <c r="A352" s="24" t="s">
        <v>307</v>
      </c>
      <c r="B352" s="25" t="s">
        <v>16</v>
      </c>
      <c r="C352" s="25" t="s">
        <v>85</v>
      </c>
      <c r="D352" s="65" t="s">
        <v>308</v>
      </c>
      <c r="E352" s="65"/>
      <c r="F352" s="65"/>
      <c r="G352" s="65"/>
      <c r="H352" s="65"/>
      <c r="I352" s="65"/>
      <c r="J352" s="65"/>
      <c r="K352" s="26">
        <f ca="1">ROUND(7,2)</f>
        <v>0</v>
      </c>
      <c r="L352" s="27">
        <f ca="1">L358</f>
        <v>0</v>
      </c>
      <c r="M352" s="27">
        <f ca="1">ROUND(K352*L352,2)</f>
        <v>0</v>
      </c>
    </row>
    <row r="353" spans="1:13" ht="12.2" customHeight="1" thickBot="1">
      <c r="A353" s="19"/>
      <c r="B353" s="19"/>
      <c r="C353" s="19"/>
      <c r="D353" s="64" t="s">
        <v>309</v>
      </c>
      <c r="E353" s="64"/>
      <c r="F353" s="64"/>
      <c r="G353" s="64"/>
      <c r="H353" s="64"/>
      <c r="I353" s="64"/>
      <c r="J353" s="64"/>
      <c r="K353" s="64"/>
      <c r="L353" s="64"/>
      <c r="M353" s="64"/>
    </row>
    <row r="354" spans="1:13" ht="15.2" customHeight="1" thickBot="1">
      <c r="A354" s="5" t="s">
        <v>32</v>
      </c>
      <c r="B354" s="5" t="s">
        <v>21</v>
      </c>
      <c r="C354" s="5" t="s">
        <v>22</v>
      </c>
      <c r="D354" s="64" t="s">
        <v>33</v>
      </c>
      <c r="E354" s="64"/>
      <c r="F354" s="64"/>
      <c r="G354" s="64"/>
      <c r="H354" s="64"/>
      <c r="I354" s="64"/>
      <c r="J354" s="64"/>
      <c r="K354" s="17">
        <v>0.2</v>
      </c>
      <c r="L354" s="17">
        <f ca="1">ROUND(21.59,3)</f>
        <v>0</v>
      </c>
      <c r="M354" s="18">
        <f ca="1">ROUND(K354*L354,2)</f>
        <v>0</v>
      </c>
    </row>
    <row r="355" spans="1:13" ht="15.2" customHeight="1" thickBot="1">
      <c r="A355" s="5" t="s">
        <v>242</v>
      </c>
      <c r="B355" s="5" t="s">
        <v>21</v>
      </c>
      <c r="C355" s="5" t="s">
        <v>22</v>
      </c>
      <c r="D355" s="64" t="s">
        <v>243</v>
      </c>
      <c r="E355" s="64"/>
      <c r="F355" s="64"/>
      <c r="G355" s="64"/>
      <c r="H355" s="64"/>
      <c r="I355" s="64"/>
      <c r="J355" s="64"/>
      <c r="K355" s="17">
        <v>0.2</v>
      </c>
      <c r="L355" s="17">
        <f ca="1">ROUND(25.01,3)</f>
        <v>0</v>
      </c>
      <c r="M355" s="18">
        <f ca="1">ROUND(K355*L355,2)</f>
        <v>0</v>
      </c>
    </row>
    <row r="356" spans="1:13" ht="15.2" customHeight="1" thickBot="1">
      <c r="A356" s="5" t="s">
        <v>310</v>
      </c>
      <c r="B356" s="5" t="s">
        <v>69</v>
      </c>
      <c r="C356" s="5" t="s">
        <v>85</v>
      </c>
      <c r="D356" s="64" t="s">
        <v>311</v>
      </c>
      <c r="E356" s="64"/>
      <c r="F356" s="64"/>
      <c r="G356" s="64"/>
      <c r="H356" s="64"/>
      <c r="I356" s="64"/>
      <c r="J356" s="64"/>
      <c r="K356" s="17">
        <v>1</v>
      </c>
      <c r="L356" s="17">
        <f ca="1">ROUND(17.62,3)</f>
        <v>0</v>
      </c>
      <c r="M356" s="18">
        <f ca="1">ROUND(K356*L356,2)</f>
        <v>0</v>
      </c>
    </row>
    <row r="357" spans="1:13" ht="15.2" customHeight="1" thickBot="1">
      <c r="A357" s="5" t="s">
        <v>34</v>
      </c>
      <c r="B357" s="5"/>
      <c r="C357" s="5" t="s">
        <v>26</v>
      </c>
      <c r="D357" s="64" t="s">
        <v>35</v>
      </c>
      <c r="E357" s="64"/>
      <c r="F357" s="64"/>
      <c r="G357" s="64"/>
      <c r="H357" s="64"/>
      <c r="I357" s="64"/>
      <c r="J357" s="64"/>
      <c r="K357" s="17">
        <v>1.5</v>
      </c>
      <c r="L357" s="17">
        <f ca="1">ROUND(9.32,3)</f>
        <v>0</v>
      </c>
      <c r="M357" s="18">
        <f ca="1">ROUND((K357*L357)/100,2)</f>
        <v>0</v>
      </c>
    </row>
    <row r="358" spans="1:13" ht="15.4" customHeight="1" thickBot="1">
      <c r="A358" s="20"/>
      <c r="B358" s="20"/>
      <c r="C358" s="20"/>
      <c r="D358" s="21" t="s">
        <v>307</v>
      </c>
      <c r="E358" s="20"/>
      <c r="F358" s="20"/>
      <c r="G358" s="20"/>
      <c r="H358" s="20"/>
      <c r="I358" s="20"/>
      <c r="J358" s="20"/>
      <c r="K358" s="22">
        <v>7</v>
      </c>
      <c r="L358" s="23">
        <f ca="1">ROUND((M354+M355+M356+M357)*(1+M2/100),2)</f>
        <v>0</v>
      </c>
      <c r="M358" s="23">
        <f ca="1">ROUND(K358*L358,2)</f>
        <v>0</v>
      </c>
    </row>
    <row r="359" spans="1:13" ht="15.4" customHeight="1" thickBot="1">
      <c r="A359" s="24" t="s">
        <v>312</v>
      </c>
      <c r="B359" s="25" t="s">
        <v>16</v>
      </c>
      <c r="C359" s="25" t="s">
        <v>85</v>
      </c>
      <c r="D359" s="65" t="s">
        <v>313</v>
      </c>
      <c r="E359" s="65"/>
      <c r="F359" s="65"/>
      <c r="G359" s="65"/>
      <c r="H359" s="65"/>
      <c r="I359" s="65"/>
      <c r="J359" s="65"/>
      <c r="K359" s="26">
        <f ca="1">ROUND(1,2)</f>
        <v>0</v>
      </c>
      <c r="L359" s="27">
        <f ca="1">L365</f>
        <v>0</v>
      </c>
      <c r="M359" s="27">
        <f ca="1">ROUND(K359*L359,2)</f>
        <v>0</v>
      </c>
    </row>
    <row r="360" spans="1:13" ht="21.4" customHeight="1" thickBot="1">
      <c r="A360" s="19"/>
      <c r="B360" s="19"/>
      <c r="C360" s="19"/>
      <c r="D360" s="64" t="s">
        <v>314</v>
      </c>
      <c r="E360" s="64"/>
      <c r="F360" s="64"/>
      <c r="G360" s="64"/>
      <c r="H360" s="64"/>
      <c r="I360" s="64"/>
      <c r="J360" s="64"/>
      <c r="K360" s="64"/>
      <c r="L360" s="64"/>
      <c r="M360" s="64"/>
    </row>
    <row r="361" spans="1:13" ht="15.2" customHeight="1" thickBot="1">
      <c r="A361" s="5" t="s">
        <v>32</v>
      </c>
      <c r="B361" s="5" t="s">
        <v>21</v>
      </c>
      <c r="C361" s="5" t="s">
        <v>22</v>
      </c>
      <c r="D361" s="64" t="s">
        <v>33</v>
      </c>
      <c r="E361" s="64"/>
      <c r="F361" s="64"/>
      <c r="G361" s="64"/>
      <c r="H361" s="64"/>
      <c r="I361" s="64"/>
      <c r="J361" s="64"/>
      <c r="K361" s="17">
        <v>0.18</v>
      </c>
      <c r="L361" s="17">
        <f ca="1">ROUND(21.59,3)</f>
        <v>0</v>
      </c>
      <c r="M361" s="18">
        <f ca="1">ROUND(K361*L361,2)</f>
        <v>0</v>
      </c>
    </row>
    <row r="362" spans="1:13" ht="15.2" customHeight="1" thickBot="1">
      <c r="A362" s="5" t="s">
        <v>242</v>
      </c>
      <c r="B362" s="5" t="s">
        <v>21</v>
      </c>
      <c r="C362" s="5" t="s">
        <v>22</v>
      </c>
      <c r="D362" s="64" t="s">
        <v>243</v>
      </c>
      <c r="E362" s="64"/>
      <c r="F362" s="64"/>
      <c r="G362" s="64"/>
      <c r="H362" s="64"/>
      <c r="I362" s="64"/>
      <c r="J362" s="64"/>
      <c r="K362" s="17">
        <v>0.18</v>
      </c>
      <c r="L362" s="17">
        <f ca="1">ROUND(25.01,3)</f>
        <v>0</v>
      </c>
      <c r="M362" s="18">
        <f ca="1">ROUND(K362*L362,2)</f>
        <v>0</v>
      </c>
    </row>
    <row r="363" spans="1:13" ht="15.2" customHeight="1" thickBot="1">
      <c r="A363" s="5" t="s">
        <v>315</v>
      </c>
      <c r="B363" s="5" t="s">
        <v>69</v>
      </c>
      <c r="C363" s="5" t="s">
        <v>85</v>
      </c>
      <c r="D363" s="64" t="s">
        <v>316</v>
      </c>
      <c r="E363" s="64"/>
      <c r="F363" s="64"/>
      <c r="G363" s="64"/>
      <c r="H363" s="64"/>
      <c r="I363" s="64"/>
      <c r="J363" s="64"/>
      <c r="K363" s="17">
        <v>1</v>
      </c>
      <c r="L363" s="17">
        <f ca="1">ROUND(38.19,3)</f>
        <v>0</v>
      </c>
      <c r="M363" s="18">
        <f ca="1">ROUND(K363*L363,2)</f>
        <v>0</v>
      </c>
    </row>
    <row r="364" spans="1:13" ht="15.2" customHeight="1" thickBot="1">
      <c r="A364" s="5" t="s">
        <v>34</v>
      </c>
      <c r="B364" s="5"/>
      <c r="C364" s="5" t="s">
        <v>26</v>
      </c>
      <c r="D364" s="64" t="s">
        <v>35</v>
      </c>
      <c r="E364" s="64"/>
      <c r="F364" s="64"/>
      <c r="G364" s="64"/>
      <c r="H364" s="64"/>
      <c r="I364" s="64"/>
      <c r="J364" s="64"/>
      <c r="K364" s="17">
        <v>1.5</v>
      </c>
      <c r="L364" s="17">
        <f ca="1">ROUND(8.39,3)</f>
        <v>0</v>
      </c>
      <c r="M364" s="18">
        <f ca="1">ROUND((K364*L364)/100,2)</f>
        <v>0</v>
      </c>
    </row>
    <row r="365" spans="1:13" ht="15.4" customHeight="1" thickBot="1">
      <c r="A365" s="20"/>
      <c r="B365" s="20"/>
      <c r="C365" s="20"/>
      <c r="D365" s="21" t="s">
        <v>312</v>
      </c>
      <c r="E365" s="20"/>
      <c r="F365" s="20"/>
      <c r="G365" s="20"/>
      <c r="H365" s="20"/>
      <c r="I365" s="20"/>
      <c r="J365" s="20"/>
      <c r="K365" s="22">
        <v>1</v>
      </c>
      <c r="L365" s="23">
        <f ca="1">ROUND((M361+M362+M363+M364)*(1+M2/100),2)</f>
        <v>0</v>
      </c>
      <c r="M365" s="23">
        <f ca="1">ROUND(K365*L365,2)</f>
        <v>0</v>
      </c>
    </row>
    <row r="366" spans="1:13" ht="15.4" customHeight="1" thickBot="1">
      <c r="A366" s="24" t="s">
        <v>317</v>
      </c>
      <c r="B366" s="25" t="s">
        <v>16</v>
      </c>
      <c r="C366" s="25" t="s">
        <v>85</v>
      </c>
      <c r="D366" s="65" t="s">
        <v>318</v>
      </c>
      <c r="E366" s="65"/>
      <c r="F366" s="65"/>
      <c r="G366" s="65"/>
      <c r="H366" s="65"/>
      <c r="I366" s="65"/>
      <c r="J366" s="65"/>
      <c r="K366" s="26">
        <f ca="1">ROUND(8,2)</f>
        <v>0</v>
      </c>
      <c r="L366" s="27">
        <f ca="1">L371</f>
        <v>0</v>
      </c>
      <c r="M366" s="27">
        <f ca="1">ROUND(K366*L366,2)</f>
        <v>0</v>
      </c>
    </row>
    <row r="367" spans="1:13" ht="12.2" customHeight="1" thickBot="1">
      <c r="A367" s="19"/>
      <c r="B367" s="19"/>
      <c r="C367" s="19"/>
      <c r="D367" s="64" t="s">
        <v>319</v>
      </c>
      <c r="E367" s="64"/>
      <c r="F367" s="64"/>
      <c r="G367" s="64"/>
      <c r="H367" s="64"/>
      <c r="I367" s="64"/>
      <c r="J367" s="64"/>
      <c r="K367" s="64"/>
      <c r="L367" s="64"/>
      <c r="M367" s="64"/>
    </row>
    <row r="368" spans="1:13" ht="15.2" customHeight="1" thickBot="1">
      <c r="A368" s="5" t="s">
        <v>242</v>
      </c>
      <c r="B368" s="5" t="s">
        <v>21</v>
      </c>
      <c r="C368" s="5" t="s">
        <v>22</v>
      </c>
      <c r="D368" s="64" t="s">
        <v>243</v>
      </c>
      <c r="E368" s="64"/>
      <c r="F368" s="64"/>
      <c r="G368" s="64"/>
      <c r="H368" s="64"/>
      <c r="I368" s="64"/>
      <c r="J368" s="64"/>
      <c r="K368" s="17">
        <v>0.25</v>
      </c>
      <c r="L368" s="17">
        <f ca="1">ROUND(25.01,3)</f>
        <v>0</v>
      </c>
      <c r="M368" s="18">
        <f ca="1">ROUND(K368*L368,2)</f>
        <v>0</v>
      </c>
    </row>
    <row r="369" spans="1:13" ht="15.2" customHeight="1" thickBot="1">
      <c r="A369" s="5" t="s">
        <v>320</v>
      </c>
      <c r="B369" s="5" t="s">
        <v>69</v>
      </c>
      <c r="C369" s="5" t="s">
        <v>85</v>
      </c>
      <c r="D369" s="64" t="s">
        <v>321</v>
      </c>
      <c r="E369" s="64"/>
      <c r="F369" s="64"/>
      <c r="G369" s="64"/>
      <c r="H369" s="64"/>
      <c r="I369" s="64"/>
      <c r="J369" s="64"/>
      <c r="K369" s="17">
        <v>1</v>
      </c>
      <c r="L369" s="17">
        <f ca="1">ROUND(12.48,3)</f>
        <v>0</v>
      </c>
      <c r="M369" s="18">
        <f ca="1">ROUND(K369*L369,2)</f>
        <v>0</v>
      </c>
    </row>
    <row r="370" spans="1:13" ht="15.2" customHeight="1" thickBot="1">
      <c r="A370" s="5" t="s">
        <v>34</v>
      </c>
      <c r="B370" s="5"/>
      <c r="C370" s="5" t="s">
        <v>26</v>
      </c>
      <c r="D370" s="64" t="s">
        <v>35</v>
      </c>
      <c r="E370" s="64"/>
      <c r="F370" s="64"/>
      <c r="G370" s="64"/>
      <c r="H370" s="64"/>
      <c r="I370" s="64"/>
      <c r="J370" s="64"/>
      <c r="K370" s="17">
        <v>1.5</v>
      </c>
      <c r="L370" s="17">
        <f ca="1">ROUND(6.25,3)</f>
        <v>0</v>
      </c>
      <c r="M370" s="18">
        <f ca="1">ROUND((K370*L370)/100,2)</f>
        <v>0</v>
      </c>
    </row>
    <row r="371" spans="1:13" ht="15.4" customHeight="1" thickBot="1">
      <c r="A371" s="20"/>
      <c r="B371" s="20"/>
      <c r="C371" s="20"/>
      <c r="D371" s="21" t="s">
        <v>317</v>
      </c>
      <c r="E371" s="20"/>
      <c r="F371" s="20"/>
      <c r="G371" s="20"/>
      <c r="H371" s="20"/>
      <c r="I371" s="20"/>
      <c r="J371" s="20"/>
      <c r="K371" s="22">
        <v>8</v>
      </c>
      <c r="L371" s="23">
        <f ca="1">ROUND((M368+M369+M370)*(1+M2/100),2)</f>
        <v>0</v>
      </c>
      <c r="M371" s="23">
        <f ca="1">ROUND(K371*L371,2)</f>
        <v>0</v>
      </c>
    </row>
    <row r="372" spans="1:13" ht="15.4" customHeight="1" thickBot="1">
      <c r="A372" s="24" t="s">
        <v>322</v>
      </c>
      <c r="B372" s="25" t="s">
        <v>16</v>
      </c>
      <c r="C372" s="25" t="s">
        <v>85</v>
      </c>
      <c r="D372" s="65" t="s">
        <v>323</v>
      </c>
      <c r="E372" s="65"/>
      <c r="F372" s="65"/>
      <c r="G372" s="65"/>
      <c r="H372" s="65"/>
      <c r="I372" s="65"/>
      <c r="J372" s="65"/>
      <c r="K372" s="26">
        <f ca="1">ROUND(1,2)</f>
        <v>0</v>
      </c>
      <c r="L372" s="27">
        <f ca="1">L378</f>
        <v>0</v>
      </c>
      <c r="M372" s="27">
        <f ca="1">ROUND(K372*L372,2)</f>
        <v>0</v>
      </c>
    </row>
    <row r="373" spans="1:13" ht="12.2" customHeight="1" thickBot="1">
      <c r="A373" s="19"/>
      <c r="B373" s="19"/>
      <c r="C373" s="19"/>
      <c r="D373" s="64" t="s">
        <v>324</v>
      </c>
      <c r="E373" s="64"/>
      <c r="F373" s="64"/>
      <c r="G373" s="64"/>
      <c r="H373" s="64"/>
      <c r="I373" s="64"/>
      <c r="J373" s="64"/>
      <c r="K373" s="64"/>
      <c r="L373" s="64"/>
      <c r="M373" s="64"/>
    </row>
    <row r="374" spans="1:13" ht="15.2" customHeight="1" thickBot="1">
      <c r="A374" s="5" t="s">
        <v>234</v>
      </c>
      <c r="B374" s="5" t="s">
        <v>21</v>
      </c>
      <c r="C374" s="5" t="s">
        <v>22</v>
      </c>
      <c r="D374" s="64" t="s">
        <v>235</v>
      </c>
      <c r="E374" s="64"/>
      <c r="F374" s="64"/>
      <c r="G374" s="64"/>
      <c r="H374" s="64"/>
      <c r="I374" s="64"/>
      <c r="J374" s="64"/>
      <c r="K374" s="17">
        <v>0.25</v>
      </c>
      <c r="L374" s="17">
        <f ca="1">ROUND(21.56,3)</f>
        <v>0</v>
      </c>
      <c r="M374" s="18">
        <f ca="1">ROUND(K374*L374,2)</f>
        <v>0</v>
      </c>
    </row>
    <row r="375" spans="1:13" ht="15.2" customHeight="1" thickBot="1">
      <c r="A375" s="5" t="s">
        <v>236</v>
      </c>
      <c r="B375" s="5" t="s">
        <v>21</v>
      </c>
      <c r="C375" s="5" t="s">
        <v>22</v>
      </c>
      <c r="D375" s="64" t="s">
        <v>237</v>
      </c>
      <c r="E375" s="64"/>
      <c r="F375" s="64"/>
      <c r="G375" s="64"/>
      <c r="H375" s="64"/>
      <c r="I375" s="64"/>
      <c r="J375" s="64"/>
      <c r="K375" s="17">
        <v>0.25</v>
      </c>
      <c r="L375" s="17">
        <f ca="1">ROUND(25.01,3)</f>
        <v>0</v>
      </c>
      <c r="M375" s="18">
        <f ca="1">ROUND(K375*L375,2)</f>
        <v>0</v>
      </c>
    </row>
    <row r="376" spans="1:13" ht="15.2" customHeight="1" thickBot="1">
      <c r="A376" s="5" t="s">
        <v>325</v>
      </c>
      <c r="B376" s="5" t="s">
        <v>69</v>
      </c>
      <c r="C376" s="5"/>
      <c r="D376" s="64" t="s">
        <v>326</v>
      </c>
      <c r="E376" s="64"/>
      <c r="F376" s="64"/>
      <c r="G376" s="64"/>
      <c r="H376" s="64"/>
      <c r="I376" s="64"/>
      <c r="J376" s="64"/>
      <c r="K376" s="17">
        <v>1</v>
      </c>
      <c r="L376" s="17">
        <f ca="1">ROUND(108.68,3)</f>
        <v>0</v>
      </c>
      <c r="M376" s="18">
        <f ca="1">ROUND(K376*L376,2)</f>
        <v>0</v>
      </c>
    </row>
    <row r="377" spans="1:13" ht="15.2" customHeight="1" thickBot="1">
      <c r="A377" s="5" t="s">
        <v>34</v>
      </c>
      <c r="B377" s="5"/>
      <c r="C377" s="5" t="s">
        <v>26</v>
      </c>
      <c r="D377" s="64" t="s">
        <v>35</v>
      </c>
      <c r="E377" s="64"/>
      <c r="F377" s="64"/>
      <c r="G377" s="64"/>
      <c r="H377" s="64"/>
      <c r="I377" s="64"/>
      <c r="J377" s="64"/>
      <c r="K377" s="17">
        <v>1.5</v>
      </c>
      <c r="L377" s="17">
        <f ca="1">ROUND(11.64,3)</f>
        <v>0</v>
      </c>
      <c r="M377" s="18">
        <f ca="1">ROUND((K377*L377)/100,2)</f>
        <v>0</v>
      </c>
    </row>
    <row r="378" spans="1:13" ht="15.4" customHeight="1" thickBot="1">
      <c r="A378" s="20"/>
      <c r="B378" s="20"/>
      <c r="C378" s="20"/>
      <c r="D378" s="21" t="s">
        <v>322</v>
      </c>
      <c r="E378" s="20"/>
      <c r="F378" s="20"/>
      <c r="G378" s="20"/>
      <c r="H378" s="20"/>
      <c r="I378" s="20"/>
      <c r="J378" s="20"/>
      <c r="K378" s="22">
        <v>1</v>
      </c>
      <c r="L378" s="23">
        <f ca="1">ROUND((M374+M375+M376+M377)*(1+M2/100),2)</f>
        <v>0</v>
      </c>
      <c r="M378" s="23">
        <f ca="1">ROUND(K378*L378,2)</f>
        <v>0</v>
      </c>
    </row>
    <row r="379" spans="1:13" ht="15.4" customHeight="1" thickBot="1">
      <c r="A379" s="24" t="s">
        <v>327</v>
      </c>
      <c r="B379" s="25" t="s">
        <v>16</v>
      </c>
      <c r="C379" s="25" t="s">
        <v>85</v>
      </c>
      <c r="D379" s="65" t="s">
        <v>328</v>
      </c>
      <c r="E379" s="65"/>
      <c r="F379" s="65"/>
      <c r="G379" s="65"/>
      <c r="H379" s="65"/>
      <c r="I379" s="65"/>
      <c r="J379" s="65"/>
      <c r="K379" s="26">
        <f ca="1">ROUND(1,2)</f>
        <v>0</v>
      </c>
      <c r="L379" s="27">
        <f ca="1">L385</f>
        <v>0</v>
      </c>
      <c r="M379" s="27">
        <f ca="1">ROUND(K379*L379,2)</f>
        <v>0</v>
      </c>
    </row>
    <row r="380" spans="1:13" ht="12.2" customHeight="1" thickBot="1">
      <c r="A380" s="19"/>
      <c r="B380" s="19"/>
      <c r="C380" s="19"/>
      <c r="D380" s="64" t="s">
        <v>329</v>
      </c>
      <c r="E380" s="64"/>
      <c r="F380" s="64"/>
      <c r="G380" s="64"/>
      <c r="H380" s="64"/>
      <c r="I380" s="64"/>
      <c r="J380" s="64"/>
      <c r="K380" s="64"/>
      <c r="L380" s="64"/>
      <c r="M380" s="64"/>
    </row>
    <row r="381" spans="1:13" ht="15.2" customHeight="1" thickBot="1">
      <c r="A381" s="5" t="s">
        <v>234</v>
      </c>
      <c r="B381" s="5" t="s">
        <v>21</v>
      </c>
      <c r="C381" s="5" t="s">
        <v>22</v>
      </c>
      <c r="D381" s="64" t="s">
        <v>235</v>
      </c>
      <c r="E381" s="64"/>
      <c r="F381" s="64"/>
      <c r="G381" s="64"/>
      <c r="H381" s="64"/>
      <c r="I381" s="64"/>
      <c r="J381" s="64"/>
      <c r="K381" s="17">
        <v>0.5</v>
      </c>
      <c r="L381" s="17">
        <f ca="1">ROUND(21.56,3)</f>
        <v>0</v>
      </c>
      <c r="M381" s="18">
        <f ca="1">ROUND(K381*L381,2)</f>
        <v>0</v>
      </c>
    </row>
    <row r="382" spans="1:13" ht="15.2" customHeight="1" thickBot="1">
      <c r="A382" s="5" t="s">
        <v>236</v>
      </c>
      <c r="B382" s="5" t="s">
        <v>21</v>
      </c>
      <c r="C382" s="5" t="s">
        <v>22</v>
      </c>
      <c r="D382" s="64" t="s">
        <v>237</v>
      </c>
      <c r="E382" s="64"/>
      <c r="F382" s="64"/>
      <c r="G382" s="64"/>
      <c r="H382" s="64"/>
      <c r="I382" s="64"/>
      <c r="J382" s="64"/>
      <c r="K382" s="17">
        <v>0.5</v>
      </c>
      <c r="L382" s="17">
        <f ca="1">ROUND(25.01,3)</f>
        <v>0</v>
      </c>
      <c r="M382" s="18">
        <f ca="1">ROUND(K382*L382,2)</f>
        <v>0</v>
      </c>
    </row>
    <row r="383" spans="1:13" ht="15.2" customHeight="1" thickBot="1">
      <c r="A383" s="5" t="s">
        <v>330</v>
      </c>
      <c r="B383" s="5" t="s">
        <v>69</v>
      </c>
      <c r="C383" s="5"/>
      <c r="D383" s="64" t="s">
        <v>331</v>
      </c>
      <c r="E383" s="64"/>
      <c r="F383" s="64"/>
      <c r="G383" s="64"/>
      <c r="H383" s="64"/>
      <c r="I383" s="64"/>
      <c r="J383" s="64"/>
      <c r="K383" s="17">
        <v>1</v>
      </c>
      <c r="L383" s="17">
        <f ca="1">ROUND(392.43,3)</f>
        <v>0</v>
      </c>
      <c r="M383" s="18">
        <f ca="1">ROUND(K383*L383,2)</f>
        <v>0</v>
      </c>
    </row>
    <row r="384" spans="1:13" ht="15.2" customHeight="1" thickBot="1">
      <c r="A384" s="5" t="s">
        <v>34</v>
      </c>
      <c r="B384" s="5"/>
      <c r="C384" s="5" t="s">
        <v>26</v>
      </c>
      <c r="D384" s="64" t="s">
        <v>35</v>
      </c>
      <c r="E384" s="64"/>
      <c r="F384" s="64"/>
      <c r="G384" s="64"/>
      <c r="H384" s="64"/>
      <c r="I384" s="64"/>
      <c r="J384" s="64"/>
      <c r="K384" s="17">
        <v>1.5</v>
      </c>
      <c r="L384" s="17">
        <f ca="1">ROUND(23.29,3)</f>
        <v>0</v>
      </c>
      <c r="M384" s="18">
        <f ca="1">ROUND((K384*L384)/100,2)</f>
        <v>0</v>
      </c>
    </row>
    <row r="385" spans="1:13" ht="15.4" customHeight="1" thickBot="1">
      <c r="A385" s="20"/>
      <c r="B385" s="20"/>
      <c r="C385" s="20"/>
      <c r="D385" s="21" t="s">
        <v>327</v>
      </c>
      <c r="E385" s="20"/>
      <c r="F385" s="20"/>
      <c r="G385" s="20"/>
      <c r="H385" s="20"/>
      <c r="I385" s="20"/>
      <c r="J385" s="20"/>
      <c r="K385" s="22">
        <v>1</v>
      </c>
      <c r="L385" s="23">
        <f ca="1">ROUND((M381+M382+M383+M384)*(1+M2/100),2)</f>
        <v>0</v>
      </c>
      <c r="M385" s="23">
        <f ca="1">ROUND(K385*L385,2)</f>
        <v>0</v>
      </c>
    </row>
    <row r="386" spans="1:13" ht="15.4" customHeight="1" thickBot="1">
      <c r="A386" s="24" t="s">
        <v>332</v>
      </c>
      <c r="B386" s="25" t="s">
        <v>16</v>
      </c>
      <c r="C386" s="25" t="s">
        <v>85</v>
      </c>
      <c r="D386" s="65" t="s">
        <v>333</v>
      </c>
      <c r="E386" s="65"/>
      <c r="F386" s="65"/>
      <c r="G386" s="65"/>
      <c r="H386" s="65"/>
      <c r="I386" s="65"/>
      <c r="J386" s="65"/>
      <c r="K386" s="26">
        <f ca="1">ROUND(1,2)</f>
        <v>0</v>
      </c>
      <c r="L386" s="27">
        <f ca="1">L392</f>
        <v>0</v>
      </c>
      <c r="M386" s="27">
        <f ca="1">ROUND(K386*L386,2)</f>
        <v>0</v>
      </c>
    </row>
    <row r="387" spans="1:13" ht="39.75" customHeight="1" thickBot="1">
      <c r="A387" s="19"/>
      <c r="B387" s="19"/>
      <c r="C387" s="19"/>
      <c r="D387" s="64" t="s">
        <v>334</v>
      </c>
      <c r="E387" s="64"/>
      <c r="F387" s="64"/>
      <c r="G387" s="64"/>
      <c r="H387" s="64"/>
      <c r="I387" s="64"/>
      <c r="J387" s="64"/>
      <c r="K387" s="64"/>
      <c r="L387" s="64"/>
      <c r="M387" s="64"/>
    </row>
    <row r="388" spans="1:13" ht="15.2" customHeight="1" thickBot="1">
      <c r="A388" s="5" t="s">
        <v>266</v>
      </c>
      <c r="B388" s="5" t="s">
        <v>21</v>
      </c>
      <c r="C388" s="5" t="s">
        <v>22</v>
      </c>
      <c r="D388" s="64" t="s">
        <v>267</v>
      </c>
      <c r="E388" s="64"/>
      <c r="F388" s="64"/>
      <c r="G388" s="64"/>
      <c r="H388" s="64"/>
      <c r="I388" s="64"/>
      <c r="J388" s="64"/>
      <c r="K388" s="17">
        <v>7</v>
      </c>
      <c r="L388" s="17">
        <f ca="1">ROUND(21.56,3)</f>
        <v>0</v>
      </c>
      <c r="M388" s="18">
        <f ca="1">ROUND(K388*L388,2)</f>
        <v>0</v>
      </c>
    </row>
    <row r="389" spans="1:13" ht="15.2" customHeight="1" thickBot="1">
      <c r="A389" s="5" t="s">
        <v>268</v>
      </c>
      <c r="B389" s="5" t="s">
        <v>21</v>
      </c>
      <c r="C389" s="5" t="s">
        <v>22</v>
      </c>
      <c r="D389" s="64" t="s">
        <v>269</v>
      </c>
      <c r="E389" s="64"/>
      <c r="F389" s="64"/>
      <c r="G389" s="64"/>
      <c r="H389" s="64"/>
      <c r="I389" s="64"/>
      <c r="J389" s="64"/>
      <c r="K389" s="17">
        <v>7</v>
      </c>
      <c r="L389" s="17">
        <f ca="1">ROUND(25.01,3)</f>
        <v>0</v>
      </c>
      <c r="M389" s="18">
        <f ca="1">ROUND(K389*L389,2)</f>
        <v>0</v>
      </c>
    </row>
    <row r="390" spans="1:13" ht="15.2" customHeight="1" thickBot="1">
      <c r="A390" s="5" t="s">
        <v>335</v>
      </c>
      <c r="B390" s="5" t="s">
        <v>69</v>
      </c>
      <c r="C390" s="5"/>
      <c r="D390" s="64" t="s">
        <v>336</v>
      </c>
      <c r="E390" s="64"/>
      <c r="F390" s="64"/>
      <c r="G390" s="64"/>
      <c r="H390" s="64"/>
      <c r="I390" s="64"/>
      <c r="J390" s="64"/>
      <c r="K390" s="17">
        <v>1</v>
      </c>
      <c r="L390" s="17">
        <f ca="1">ROUND(8125,3)</f>
        <v>0</v>
      </c>
      <c r="M390" s="18">
        <f ca="1">ROUND(K390*L390,2)</f>
        <v>0</v>
      </c>
    </row>
    <row r="391" spans="1:13" ht="15.2" customHeight="1" thickBot="1">
      <c r="A391" s="5" t="s">
        <v>34</v>
      </c>
      <c r="B391" s="5"/>
      <c r="C391" s="5" t="s">
        <v>26</v>
      </c>
      <c r="D391" s="64" t="s">
        <v>35</v>
      </c>
      <c r="E391" s="64"/>
      <c r="F391" s="64"/>
      <c r="G391" s="64"/>
      <c r="H391" s="64"/>
      <c r="I391" s="64"/>
      <c r="J391" s="64"/>
      <c r="K391" s="17">
        <v>2.5</v>
      </c>
      <c r="L391" s="17">
        <f ca="1">ROUND(325.99,3)</f>
        <v>0</v>
      </c>
      <c r="M391" s="18">
        <f ca="1">ROUND((K391*L391)/100,2)</f>
        <v>0</v>
      </c>
    </row>
    <row r="392" spans="1:13" ht="15.4" customHeight="1" thickBot="1">
      <c r="A392" s="20"/>
      <c r="B392" s="20"/>
      <c r="C392" s="20"/>
      <c r="D392" s="21" t="s">
        <v>332</v>
      </c>
      <c r="E392" s="20"/>
      <c r="F392" s="20"/>
      <c r="G392" s="20"/>
      <c r="H392" s="20"/>
      <c r="I392" s="20"/>
      <c r="J392" s="20"/>
      <c r="K392" s="22">
        <v>1</v>
      </c>
      <c r="L392" s="23">
        <f ca="1">ROUND((M388+M389+M390+M391)*(1+M2/100),2)</f>
        <v>0</v>
      </c>
      <c r="M392" s="23">
        <f ca="1">ROUND(K392*L392,2)</f>
        <v>0</v>
      </c>
    </row>
    <row r="393" spans="1:13" ht="15.4" customHeight="1" thickBot="1">
      <c r="A393" s="24" t="s">
        <v>337</v>
      </c>
      <c r="B393" s="25" t="s">
        <v>16</v>
      </c>
      <c r="C393" s="25" t="s">
        <v>85</v>
      </c>
      <c r="D393" s="65" t="s">
        <v>338</v>
      </c>
      <c r="E393" s="65"/>
      <c r="F393" s="65"/>
      <c r="G393" s="65"/>
      <c r="H393" s="65"/>
      <c r="I393" s="65"/>
      <c r="J393" s="65"/>
      <c r="K393" s="26">
        <f ca="1">ROUND(1,2)</f>
        <v>0</v>
      </c>
      <c r="L393" s="27">
        <f ca="1">L399</f>
        <v>0</v>
      </c>
      <c r="M393" s="27">
        <f ca="1">ROUND(K393*L393,2)</f>
        <v>0</v>
      </c>
    </row>
    <row r="394" spans="1:13" ht="30.6" customHeight="1" thickBot="1">
      <c r="A394" s="19"/>
      <c r="B394" s="19"/>
      <c r="C394" s="19"/>
      <c r="D394" s="64" t="s">
        <v>339</v>
      </c>
      <c r="E394" s="64"/>
      <c r="F394" s="64"/>
      <c r="G394" s="64"/>
      <c r="H394" s="64"/>
      <c r="I394" s="64"/>
      <c r="J394" s="64"/>
      <c r="K394" s="64"/>
      <c r="L394" s="64"/>
      <c r="M394" s="64"/>
    </row>
    <row r="395" spans="1:13" ht="15.2" customHeight="1" thickBot="1">
      <c r="A395" s="5" t="s">
        <v>32</v>
      </c>
      <c r="B395" s="5" t="s">
        <v>21</v>
      </c>
      <c r="C395" s="5" t="s">
        <v>22</v>
      </c>
      <c r="D395" s="64" t="s">
        <v>33</v>
      </c>
      <c r="E395" s="64"/>
      <c r="F395" s="64"/>
      <c r="G395" s="64"/>
      <c r="H395" s="64"/>
      <c r="I395" s="64"/>
      <c r="J395" s="64"/>
      <c r="K395" s="17">
        <v>0.2</v>
      </c>
      <c r="L395" s="17">
        <f ca="1">ROUND(21.59,3)</f>
        <v>0</v>
      </c>
      <c r="M395" s="18">
        <f ca="1">ROUND(K395*L395,2)</f>
        <v>0</v>
      </c>
    </row>
    <row r="396" spans="1:13" ht="15.2" customHeight="1" thickBot="1">
      <c r="A396" s="5" t="s">
        <v>242</v>
      </c>
      <c r="B396" s="5" t="s">
        <v>21</v>
      </c>
      <c r="C396" s="5" t="s">
        <v>22</v>
      </c>
      <c r="D396" s="64" t="s">
        <v>243</v>
      </c>
      <c r="E396" s="64"/>
      <c r="F396" s="64"/>
      <c r="G396" s="64"/>
      <c r="H396" s="64"/>
      <c r="I396" s="64"/>
      <c r="J396" s="64"/>
      <c r="K396" s="17">
        <v>0.2</v>
      </c>
      <c r="L396" s="17">
        <f ca="1">ROUND(25.01,3)</f>
        <v>0</v>
      </c>
      <c r="M396" s="18">
        <f ca="1">ROUND(K396*L396,2)</f>
        <v>0</v>
      </c>
    </row>
    <row r="397" spans="1:13" ht="15.2" customHeight="1" thickBot="1">
      <c r="A397" s="5" t="s">
        <v>340</v>
      </c>
      <c r="B397" s="5" t="s">
        <v>69</v>
      </c>
      <c r="C397" s="5"/>
      <c r="D397" s="64" t="s">
        <v>338</v>
      </c>
      <c r="E397" s="64"/>
      <c r="F397" s="64"/>
      <c r="G397" s="64"/>
      <c r="H397" s="64"/>
      <c r="I397" s="64"/>
      <c r="J397" s="64"/>
      <c r="K397" s="17">
        <v>1</v>
      </c>
      <c r="L397" s="17">
        <f ca="1">ROUND(125.86,3)</f>
        <v>0</v>
      </c>
      <c r="M397" s="18">
        <f ca="1">ROUND(K397*L397,2)</f>
        <v>0</v>
      </c>
    </row>
    <row r="398" spans="1:13" ht="15.2" customHeight="1" thickBot="1">
      <c r="A398" s="5" t="s">
        <v>34</v>
      </c>
      <c r="B398" s="5"/>
      <c r="C398" s="5" t="s">
        <v>26</v>
      </c>
      <c r="D398" s="64" t="s">
        <v>35</v>
      </c>
      <c r="E398" s="64"/>
      <c r="F398" s="64"/>
      <c r="G398" s="64"/>
      <c r="H398" s="64"/>
      <c r="I398" s="64"/>
      <c r="J398" s="64"/>
      <c r="K398" s="17">
        <v>1.5</v>
      </c>
      <c r="L398" s="17">
        <f ca="1">ROUND(9.32,3)</f>
        <v>0</v>
      </c>
      <c r="M398" s="18">
        <f ca="1">ROUND((K398*L398)/100,2)</f>
        <v>0</v>
      </c>
    </row>
    <row r="399" spans="1:13" ht="15.4" customHeight="1" thickBot="1">
      <c r="A399" s="20"/>
      <c r="B399" s="20"/>
      <c r="C399" s="20"/>
      <c r="D399" s="21" t="s">
        <v>337</v>
      </c>
      <c r="E399" s="20"/>
      <c r="F399" s="20"/>
      <c r="G399" s="20"/>
      <c r="H399" s="20"/>
      <c r="I399" s="20"/>
      <c r="J399" s="20"/>
      <c r="K399" s="22">
        <v>1</v>
      </c>
      <c r="L399" s="23">
        <f ca="1">ROUND((M395+M396+M397+M398)*(1+M2/100),2)</f>
        <v>0</v>
      </c>
      <c r="M399" s="23">
        <f ca="1">ROUND(K399*L399,2)</f>
        <v>0</v>
      </c>
    </row>
    <row r="400" spans="1:13" ht="15.4" customHeight="1" thickBot="1">
      <c r="A400" s="24" t="s">
        <v>341</v>
      </c>
      <c r="B400" s="25" t="s">
        <v>16</v>
      </c>
      <c r="C400" s="25" t="s">
        <v>85</v>
      </c>
      <c r="D400" s="65" t="s">
        <v>342</v>
      </c>
      <c r="E400" s="65"/>
      <c r="F400" s="65"/>
      <c r="G400" s="65"/>
      <c r="H400" s="65"/>
      <c r="I400" s="65"/>
      <c r="J400" s="65"/>
      <c r="K400" s="26">
        <f ca="1">ROUND(1,2)</f>
        <v>0</v>
      </c>
      <c r="L400" s="27">
        <f ca="1">L406</f>
        <v>0</v>
      </c>
      <c r="M400" s="27">
        <f ca="1">ROUND(K400*L400,2)</f>
        <v>0</v>
      </c>
    </row>
    <row r="401" spans="1:13" ht="30.6" customHeight="1" thickBot="1">
      <c r="A401" s="19"/>
      <c r="B401" s="19"/>
      <c r="C401" s="19"/>
      <c r="D401" s="64" t="s">
        <v>343</v>
      </c>
      <c r="E401" s="64"/>
      <c r="F401" s="64"/>
      <c r="G401" s="64"/>
      <c r="H401" s="64"/>
      <c r="I401" s="64"/>
      <c r="J401" s="64"/>
      <c r="K401" s="64"/>
      <c r="L401" s="64"/>
      <c r="M401" s="64"/>
    </row>
    <row r="402" spans="1:13" ht="15.2" customHeight="1" thickBot="1">
      <c r="A402" s="5" t="s">
        <v>32</v>
      </c>
      <c r="B402" s="5" t="s">
        <v>21</v>
      </c>
      <c r="C402" s="5" t="s">
        <v>22</v>
      </c>
      <c r="D402" s="64" t="s">
        <v>33</v>
      </c>
      <c r="E402" s="64"/>
      <c r="F402" s="64"/>
      <c r="G402" s="64"/>
      <c r="H402" s="64"/>
      <c r="I402" s="64"/>
      <c r="J402" s="64"/>
      <c r="K402" s="17">
        <v>0.2</v>
      </c>
      <c r="L402" s="17">
        <f ca="1">ROUND(21.59,3)</f>
        <v>0</v>
      </c>
      <c r="M402" s="18">
        <f ca="1">ROUND(K402*L402,2)</f>
        <v>0</v>
      </c>
    </row>
    <row r="403" spans="1:13" ht="15.2" customHeight="1" thickBot="1">
      <c r="A403" s="5" t="s">
        <v>242</v>
      </c>
      <c r="B403" s="5" t="s">
        <v>21</v>
      </c>
      <c r="C403" s="5" t="s">
        <v>22</v>
      </c>
      <c r="D403" s="64" t="s">
        <v>243</v>
      </c>
      <c r="E403" s="64"/>
      <c r="F403" s="64"/>
      <c r="G403" s="64"/>
      <c r="H403" s="64"/>
      <c r="I403" s="64"/>
      <c r="J403" s="64"/>
      <c r="K403" s="17">
        <v>0.2</v>
      </c>
      <c r="L403" s="17">
        <f ca="1">ROUND(25.01,3)</f>
        <v>0</v>
      </c>
      <c r="M403" s="18">
        <f ca="1">ROUND(K403*L403,2)</f>
        <v>0</v>
      </c>
    </row>
    <row r="404" spans="1:13" ht="15.2" customHeight="1" thickBot="1">
      <c r="A404" s="5" t="s">
        <v>34</v>
      </c>
      <c r="B404" s="5"/>
      <c r="C404" s="5" t="s">
        <v>26</v>
      </c>
      <c r="D404" s="64" t="s">
        <v>35</v>
      </c>
      <c r="E404" s="64"/>
      <c r="F404" s="64"/>
      <c r="G404" s="64"/>
      <c r="H404" s="64"/>
      <c r="I404" s="64"/>
      <c r="J404" s="64"/>
      <c r="K404" s="17">
        <v>1.5</v>
      </c>
      <c r="L404" s="17">
        <f ca="1">ROUND(9.32,3)</f>
        <v>0</v>
      </c>
      <c r="M404" s="18">
        <f ca="1">ROUND((K404*L404)/100,2)</f>
        <v>0</v>
      </c>
    </row>
    <row r="405" spans="1:13" ht="15.2" customHeight="1" thickBot="1">
      <c r="A405" s="5" t="s">
        <v>344</v>
      </c>
      <c r="B405" s="5" t="s">
        <v>69</v>
      </c>
      <c r="C405" s="5"/>
      <c r="D405" s="64" t="s">
        <v>342</v>
      </c>
      <c r="E405" s="64"/>
      <c r="F405" s="64"/>
      <c r="G405" s="64"/>
      <c r="H405" s="64"/>
      <c r="I405" s="64"/>
      <c r="J405" s="64"/>
      <c r="K405" s="17">
        <v>1</v>
      </c>
      <c r="L405" s="17">
        <f ca="1">ROUND(201.53,3)</f>
        <v>0</v>
      </c>
      <c r="M405" s="18">
        <f ca="1">ROUND(K405*L405,2)</f>
        <v>0</v>
      </c>
    </row>
    <row r="406" spans="1:13" ht="15.4" customHeight="1" thickBot="1">
      <c r="A406" s="20"/>
      <c r="B406" s="20"/>
      <c r="C406" s="20"/>
      <c r="D406" s="21" t="s">
        <v>341</v>
      </c>
      <c r="E406" s="20"/>
      <c r="F406" s="20"/>
      <c r="G406" s="20"/>
      <c r="H406" s="20"/>
      <c r="I406" s="20"/>
      <c r="J406" s="20"/>
      <c r="K406" s="22">
        <v>1</v>
      </c>
      <c r="L406" s="23">
        <f ca="1">ROUND((M402+M403+M404+M405)*(1+M2/100),2)</f>
        <v>0</v>
      </c>
      <c r="M406" s="23">
        <f ca="1">ROUND(K406*L406,2)</f>
        <v>0</v>
      </c>
    </row>
    <row r="407" spans="1:13" ht="21.4" customHeight="1" thickBot="1">
      <c r="A407" s="24" t="s">
        <v>345</v>
      </c>
      <c r="B407" s="25" t="s">
        <v>16</v>
      </c>
      <c r="C407" s="25" t="s">
        <v>85</v>
      </c>
      <c r="D407" s="65" t="s">
        <v>346</v>
      </c>
      <c r="E407" s="65"/>
      <c r="F407" s="65"/>
      <c r="G407" s="65"/>
      <c r="H407" s="65"/>
      <c r="I407" s="65"/>
      <c r="J407" s="65"/>
      <c r="K407" s="26">
        <f ca="1">ROUND(1,2)</f>
        <v>0</v>
      </c>
      <c r="L407" s="27">
        <f ca="1">L414</f>
        <v>0</v>
      </c>
      <c r="M407" s="27">
        <f ca="1">ROUND(K407*L407,2)</f>
        <v>0</v>
      </c>
    </row>
    <row r="408" spans="1:13" ht="58.35" customHeight="1" thickBot="1">
      <c r="A408" s="19"/>
      <c r="B408" s="19"/>
      <c r="C408" s="19"/>
      <c r="D408" s="64" t="s">
        <v>347</v>
      </c>
      <c r="E408" s="64"/>
      <c r="F408" s="64"/>
      <c r="G408" s="64"/>
      <c r="H408" s="64"/>
      <c r="I408" s="64"/>
      <c r="J408" s="64"/>
      <c r="K408" s="64"/>
      <c r="L408" s="64"/>
      <c r="M408" s="64"/>
    </row>
    <row r="409" spans="1:13" ht="15.2" customHeight="1" thickBot="1">
      <c r="A409" s="5" t="s">
        <v>266</v>
      </c>
      <c r="B409" s="5" t="s">
        <v>21</v>
      </c>
      <c r="C409" s="5" t="s">
        <v>22</v>
      </c>
      <c r="D409" s="64" t="s">
        <v>267</v>
      </c>
      <c r="E409" s="64"/>
      <c r="F409" s="64"/>
      <c r="G409" s="64"/>
      <c r="H409" s="64"/>
      <c r="I409" s="64"/>
      <c r="J409" s="64"/>
      <c r="K409" s="17">
        <v>0.52500000000000002</v>
      </c>
      <c r="L409" s="17">
        <f ca="1">ROUND(21.56,3)</f>
        <v>0</v>
      </c>
      <c r="M409" s="18">
        <f ca="1">ROUND(K409*L409,2)</f>
        <v>0</v>
      </c>
    </row>
    <row r="410" spans="1:13" ht="15.2" customHeight="1" thickBot="1">
      <c r="A410" s="5" t="s">
        <v>268</v>
      </c>
      <c r="B410" s="5" t="s">
        <v>21</v>
      </c>
      <c r="C410" s="5" t="s">
        <v>22</v>
      </c>
      <c r="D410" s="64" t="s">
        <v>269</v>
      </c>
      <c r="E410" s="64"/>
      <c r="F410" s="64"/>
      <c r="G410" s="64"/>
      <c r="H410" s="64"/>
      <c r="I410" s="64"/>
      <c r="J410" s="64"/>
      <c r="K410" s="17">
        <v>0.52500000000000002</v>
      </c>
      <c r="L410" s="17">
        <f ca="1">ROUND(25.01,3)</f>
        <v>0</v>
      </c>
      <c r="M410" s="18">
        <f ca="1">ROUND(K410*L410,2)</f>
        <v>0</v>
      </c>
    </row>
    <row r="411" spans="1:13" ht="15.2" customHeight="1" thickBot="1">
      <c r="A411" s="5" t="s">
        <v>348</v>
      </c>
      <c r="B411" s="5" t="s">
        <v>69</v>
      </c>
      <c r="C411" s="5"/>
      <c r="D411" s="64" t="s">
        <v>349</v>
      </c>
      <c r="E411" s="64"/>
      <c r="F411" s="64"/>
      <c r="G411" s="64"/>
      <c r="H411" s="64"/>
      <c r="I411" s="64"/>
      <c r="J411" s="64"/>
      <c r="K411" s="17">
        <v>1</v>
      </c>
      <c r="L411" s="17">
        <f ca="1">ROUND(2632.86,3)</f>
        <v>0</v>
      </c>
      <c r="M411" s="18">
        <f ca="1">ROUND(K411*L411,2)</f>
        <v>0</v>
      </c>
    </row>
    <row r="412" spans="1:13" ht="15.2" customHeight="1" thickBot="1">
      <c r="A412" s="5" t="s">
        <v>350</v>
      </c>
      <c r="B412" s="5" t="s">
        <v>69</v>
      </c>
      <c r="C412" s="5"/>
      <c r="D412" s="64" t="s">
        <v>351</v>
      </c>
      <c r="E412" s="64"/>
      <c r="F412" s="64"/>
      <c r="G412" s="64"/>
      <c r="H412" s="64"/>
      <c r="I412" s="64"/>
      <c r="J412" s="64"/>
      <c r="K412" s="17">
        <v>1</v>
      </c>
      <c r="L412" s="17">
        <f ca="1">ROUND(364.43,3)</f>
        <v>0</v>
      </c>
      <c r="M412" s="18">
        <f ca="1">ROUND(K412*L412,2)</f>
        <v>0</v>
      </c>
    </row>
    <row r="413" spans="1:13" ht="15.2" customHeight="1" thickBot="1">
      <c r="A413" s="5" t="s">
        <v>34</v>
      </c>
      <c r="B413" s="5"/>
      <c r="C413" s="5" t="s">
        <v>26</v>
      </c>
      <c r="D413" s="64" t="s">
        <v>35</v>
      </c>
      <c r="E413" s="64"/>
      <c r="F413" s="64"/>
      <c r="G413" s="64"/>
      <c r="H413" s="64"/>
      <c r="I413" s="64"/>
      <c r="J413" s="64"/>
      <c r="K413" s="17">
        <v>1.5</v>
      </c>
      <c r="L413" s="17">
        <f ca="1">ROUND(24.45,3)</f>
        <v>0</v>
      </c>
      <c r="M413" s="18">
        <f ca="1">ROUND((K413*L413)/100,2)</f>
        <v>0</v>
      </c>
    </row>
    <row r="414" spans="1:13" ht="15.4" customHeight="1" thickBot="1">
      <c r="A414" s="20"/>
      <c r="B414" s="20"/>
      <c r="C414" s="20"/>
      <c r="D414" s="21" t="s">
        <v>345</v>
      </c>
      <c r="E414" s="20"/>
      <c r="F414" s="20"/>
      <c r="G414" s="20"/>
      <c r="H414" s="20"/>
      <c r="I414" s="20"/>
      <c r="J414" s="20"/>
      <c r="K414" s="22">
        <v>1</v>
      </c>
      <c r="L414" s="23">
        <f ca="1">ROUND((M409+M410+M411+M412+M413)*(1+M2/100),2)</f>
        <v>0</v>
      </c>
      <c r="M414" s="23">
        <f ca="1">ROUND(K414*L414,2)</f>
        <v>0</v>
      </c>
    </row>
    <row r="415" spans="1:13" ht="15.4" customHeight="1" thickBot="1">
      <c r="A415" s="24" t="s">
        <v>352</v>
      </c>
      <c r="B415" s="25" t="s">
        <v>16</v>
      </c>
      <c r="C415" s="25" t="s">
        <v>85</v>
      </c>
      <c r="D415" s="65" t="s">
        <v>353</v>
      </c>
      <c r="E415" s="65"/>
      <c r="F415" s="65"/>
      <c r="G415" s="65"/>
      <c r="H415" s="65"/>
      <c r="I415" s="65"/>
      <c r="J415" s="65"/>
      <c r="K415" s="26">
        <f ca="1">ROUND(2,2)</f>
        <v>0</v>
      </c>
      <c r="L415" s="27">
        <f ca="1">L421</f>
        <v>0</v>
      </c>
      <c r="M415" s="27">
        <f ca="1">ROUND(K415*L415,2)</f>
        <v>0</v>
      </c>
    </row>
    <row r="416" spans="1:13" ht="12.2" customHeight="1" thickBot="1">
      <c r="A416" s="19"/>
      <c r="B416" s="19"/>
      <c r="C416" s="19"/>
      <c r="D416" s="64" t="s">
        <v>353</v>
      </c>
      <c r="E416" s="64"/>
      <c r="F416" s="64"/>
      <c r="G416" s="64"/>
      <c r="H416" s="64"/>
      <c r="I416" s="64"/>
      <c r="J416" s="64"/>
      <c r="K416" s="64"/>
      <c r="L416" s="64"/>
      <c r="M416" s="64"/>
    </row>
    <row r="417" spans="1:13" ht="15.2" customHeight="1" thickBot="1">
      <c r="A417" s="5" t="s">
        <v>32</v>
      </c>
      <c r="B417" s="5" t="s">
        <v>21</v>
      </c>
      <c r="C417" s="5" t="s">
        <v>22</v>
      </c>
      <c r="D417" s="64" t="s">
        <v>33</v>
      </c>
      <c r="E417" s="64"/>
      <c r="F417" s="64"/>
      <c r="G417" s="64"/>
      <c r="H417" s="64"/>
      <c r="I417" s="64"/>
      <c r="J417" s="64"/>
      <c r="K417" s="17">
        <v>3</v>
      </c>
      <c r="L417" s="17">
        <f ca="1">ROUND(21.59,3)</f>
        <v>0</v>
      </c>
      <c r="M417" s="18">
        <f ca="1">ROUND(K417*L417,2)</f>
        <v>0</v>
      </c>
    </row>
    <row r="418" spans="1:13" ht="15.2" customHeight="1" thickBot="1">
      <c r="A418" s="5" t="s">
        <v>242</v>
      </c>
      <c r="B418" s="5" t="s">
        <v>21</v>
      </c>
      <c r="C418" s="5" t="s">
        <v>22</v>
      </c>
      <c r="D418" s="64" t="s">
        <v>243</v>
      </c>
      <c r="E418" s="64"/>
      <c r="F418" s="64"/>
      <c r="G418" s="64"/>
      <c r="H418" s="64"/>
      <c r="I418" s="64"/>
      <c r="J418" s="64"/>
      <c r="K418" s="17">
        <v>3</v>
      </c>
      <c r="L418" s="17">
        <f ca="1">ROUND(25.01,3)</f>
        <v>0</v>
      </c>
      <c r="M418" s="18">
        <f ca="1">ROUND(K418*L418,2)</f>
        <v>0</v>
      </c>
    </row>
    <row r="419" spans="1:13" ht="15.2" customHeight="1" thickBot="1">
      <c r="A419" s="5" t="s">
        <v>354</v>
      </c>
      <c r="B419" s="5" t="s">
        <v>69</v>
      </c>
      <c r="C419" s="5"/>
      <c r="D419" s="64" t="s">
        <v>355</v>
      </c>
      <c r="E419" s="64"/>
      <c r="F419" s="64"/>
      <c r="G419" s="64"/>
      <c r="H419" s="64"/>
      <c r="I419" s="64"/>
      <c r="J419" s="64"/>
      <c r="K419" s="17">
        <v>1</v>
      </c>
      <c r="L419" s="17">
        <f ca="1">ROUND(3692,3)</f>
        <v>0</v>
      </c>
      <c r="M419" s="18">
        <f ca="1">ROUND(K419*L419,2)</f>
        <v>0</v>
      </c>
    </row>
    <row r="420" spans="1:13" ht="15.2" customHeight="1" thickBot="1">
      <c r="A420" s="5" t="s">
        <v>34</v>
      </c>
      <c r="B420" s="5"/>
      <c r="C420" s="5" t="s">
        <v>26</v>
      </c>
      <c r="D420" s="64" t="s">
        <v>35</v>
      </c>
      <c r="E420" s="64"/>
      <c r="F420" s="64"/>
      <c r="G420" s="64"/>
      <c r="H420" s="64"/>
      <c r="I420" s="64"/>
      <c r="J420" s="64"/>
      <c r="K420" s="17">
        <v>1.5</v>
      </c>
      <c r="L420" s="17">
        <f ca="1">ROUND(139.8,3)</f>
        <v>0</v>
      </c>
      <c r="M420" s="18">
        <f ca="1">ROUND((K420*L420)/100,2)</f>
        <v>0</v>
      </c>
    </row>
    <row r="421" spans="1:13" ht="15.4" customHeight="1" thickBot="1">
      <c r="A421" s="20"/>
      <c r="B421" s="20"/>
      <c r="C421" s="20"/>
      <c r="D421" s="21" t="s">
        <v>352</v>
      </c>
      <c r="E421" s="20"/>
      <c r="F421" s="20"/>
      <c r="G421" s="20"/>
      <c r="H421" s="20"/>
      <c r="I421" s="20"/>
      <c r="J421" s="20"/>
      <c r="K421" s="22">
        <v>2</v>
      </c>
      <c r="L421" s="23">
        <f ca="1">ROUND((M417+M418+M419+M420)*(1+M2/100),2)</f>
        <v>0</v>
      </c>
      <c r="M421" s="23">
        <f ca="1">ROUND(K421*L421,2)</f>
        <v>0</v>
      </c>
    </row>
    <row r="422" spans="1:13" ht="15.4" customHeight="1" thickBot="1">
      <c r="A422" s="24" t="s">
        <v>356</v>
      </c>
      <c r="B422" s="25" t="s">
        <v>16</v>
      </c>
      <c r="C422" s="25" t="s">
        <v>85</v>
      </c>
      <c r="D422" s="65" t="s">
        <v>357</v>
      </c>
      <c r="E422" s="65"/>
      <c r="F422" s="65"/>
      <c r="G422" s="65"/>
      <c r="H422" s="65"/>
      <c r="I422" s="65"/>
      <c r="J422" s="65"/>
      <c r="K422" s="26">
        <f ca="1">ROUND(2,2)</f>
        <v>0</v>
      </c>
      <c r="L422" s="27">
        <f ca="1">L429</f>
        <v>0</v>
      </c>
      <c r="M422" s="27">
        <f ca="1">ROUND(K422*L422,2)</f>
        <v>0</v>
      </c>
    </row>
    <row r="423" spans="1:13" ht="12.2" customHeight="1" thickBot="1">
      <c r="A423" s="19"/>
      <c r="B423" s="19"/>
      <c r="C423" s="19"/>
      <c r="D423" s="64" t="s">
        <v>358</v>
      </c>
      <c r="E423" s="64"/>
      <c r="F423" s="64"/>
      <c r="G423" s="64"/>
      <c r="H423" s="64"/>
      <c r="I423" s="64"/>
      <c r="J423" s="64"/>
      <c r="K423" s="64"/>
      <c r="L423" s="64"/>
      <c r="M423" s="64"/>
    </row>
    <row r="424" spans="1:13" ht="15.2" customHeight="1" thickBot="1">
      <c r="A424" s="5" t="s">
        <v>32</v>
      </c>
      <c r="B424" s="5" t="s">
        <v>21</v>
      </c>
      <c r="C424" s="5" t="s">
        <v>22</v>
      </c>
      <c r="D424" s="64" t="s">
        <v>33</v>
      </c>
      <c r="E424" s="64"/>
      <c r="F424" s="64"/>
      <c r="G424" s="64"/>
      <c r="H424" s="64"/>
      <c r="I424" s="64"/>
      <c r="J424" s="64"/>
      <c r="K424" s="17">
        <v>0.2</v>
      </c>
      <c r="L424" s="17">
        <f ca="1">ROUND(21.59,3)</f>
        <v>0</v>
      </c>
      <c r="M424" s="18">
        <f ca="1">ROUND(K424*L424,2)</f>
        <v>0</v>
      </c>
    </row>
    <row r="425" spans="1:13" ht="15.2" customHeight="1" thickBot="1">
      <c r="A425" s="5" t="s">
        <v>242</v>
      </c>
      <c r="B425" s="5" t="s">
        <v>21</v>
      </c>
      <c r="C425" s="5" t="s">
        <v>22</v>
      </c>
      <c r="D425" s="64" t="s">
        <v>243</v>
      </c>
      <c r="E425" s="64"/>
      <c r="F425" s="64"/>
      <c r="G425" s="64"/>
      <c r="H425" s="64"/>
      <c r="I425" s="64"/>
      <c r="J425" s="64"/>
      <c r="K425" s="17">
        <v>0.2</v>
      </c>
      <c r="L425" s="17">
        <f ca="1">ROUND(25.01,3)</f>
        <v>0</v>
      </c>
      <c r="M425" s="18">
        <f ca="1">ROUND(K425*L425,2)</f>
        <v>0</v>
      </c>
    </row>
    <row r="426" spans="1:13" ht="15.2" customHeight="1" thickBot="1">
      <c r="A426" s="5" t="s">
        <v>359</v>
      </c>
      <c r="B426" s="5" t="s">
        <v>69</v>
      </c>
      <c r="C426" s="5"/>
      <c r="D426" s="64" t="s">
        <v>360</v>
      </c>
      <c r="E426" s="64"/>
      <c r="F426" s="64"/>
      <c r="G426" s="64"/>
      <c r="H426" s="64"/>
      <c r="I426" s="64"/>
      <c r="J426" s="64"/>
      <c r="K426" s="17">
        <v>1</v>
      </c>
      <c r="L426" s="17">
        <f ca="1">ROUND(34.4,3)</f>
        <v>0</v>
      </c>
      <c r="M426" s="18">
        <f ca="1">ROUND(K426*L426,2)</f>
        <v>0</v>
      </c>
    </row>
    <row r="427" spans="1:13" ht="15.2" customHeight="1" thickBot="1">
      <c r="A427" s="5" t="s">
        <v>361</v>
      </c>
      <c r="B427" s="5" t="s">
        <v>69</v>
      </c>
      <c r="C427" s="5"/>
      <c r="D427" s="64" t="s">
        <v>362</v>
      </c>
      <c r="E427" s="64"/>
      <c r="F427" s="64"/>
      <c r="G427" s="64"/>
      <c r="H427" s="64"/>
      <c r="I427" s="64"/>
      <c r="J427" s="64"/>
      <c r="K427" s="17">
        <v>1</v>
      </c>
      <c r="L427" s="17">
        <f ca="1">ROUND(30.4,3)</f>
        <v>0</v>
      </c>
      <c r="M427" s="18">
        <f ca="1">ROUND(K427*L427,2)</f>
        <v>0</v>
      </c>
    </row>
    <row r="428" spans="1:13" ht="15.2" customHeight="1" thickBot="1">
      <c r="A428" s="5" t="s">
        <v>34</v>
      </c>
      <c r="B428" s="5"/>
      <c r="C428" s="5" t="s">
        <v>26</v>
      </c>
      <c r="D428" s="64" t="s">
        <v>35</v>
      </c>
      <c r="E428" s="64"/>
      <c r="F428" s="64"/>
      <c r="G428" s="64"/>
      <c r="H428" s="64"/>
      <c r="I428" s="64"/>
      <c r="J428" s="64"/>
      <c r="K428" s="17">
        <v>1.5</v>
      </c>
      <c r="L428" s="17">
        <f ca="1">ROUND(9.32,3)</f>
        <v>0</v>
      </c>
      <c r="M428" s="18">
        <f ca="1">ROUND((K428*L428)/100,2)</f>
        <v>0</v>
      </c>
    </row>
    <row r="429" spans="1:13" ht="15.4" customHeight="1" thickBot="1">
      <c r="A429" s="20"/>
      <c r="B429" s="20"/>
      <c r="C429" s="20"/>
      <c r="D429" s="21" t="s">
        <v>356</v>
      </c>
      <c r="E429" s="20"/>
      <c r="F429" s="20"/>
      <c r="G429" s="20"/>
      <c r="H429" s="20"/>
      <c r="I429" s="20"/>
      <c r="J429" s="20"/>
      <c r="K429" s="22">
        <v>2</v>
      </c>
      <c r="L429" s="23">
        <f ca="1">ROUND((M424+M425+M426+M427+M428)*(1+M2/100),2)</f>
        <v>0</v>
      </c>
      <c r="M429" s="23">
        <f ca="1">ROUND(K429*L429,2)</f>
        <v>0</v>
      </c>
    </row>
    <row r="430" spans="1:13" ht="15.4" customHeight="1" thickBot="1">
      <c r="A430" s="24" t="s">
        <v>363</v>
      </c>
      <c r="B430" s="25" t="s">
        <v>16</v>
      </c>
      <c r="C430" s="25" t="s">
        <v>85</v>
      </c>
      <c r="D430" s="65" t="s">
        <v>364</v>
      </c>
      <c r="E430" s="65"/>
      <c r="F430" s="65"/>
      <c r="G430" s="65"/>
      <c r="H430" s="65"/>
      <c r="I430" s="65"/>
      <c r="J430" s="65"/>
      <c r="K430" s="26">
        <f ca="1">ROUND(1,2)</f>
        <v>0</v>
      </c>
      <c r="L430" s="27">
        <f ca="1">L436</f>
        <v>0</v>
      </c>
      <c r="M430" s="27">
        <f ca="1">ROUND(K430*L430,2)</f>
        <v>0</v>
      </c>
    </row>
    <row r="431" spans="1:13" ht="21.4" customHeight="1" thickBot="1">
      <c r="A431" s="19"/>
      <c r="B431" s="19"/>
      <c r="C431" s="19"/>
      <c r="D431" s="64" t="s">
        <v>365</v>
      </c>
      <c r="E431" s="64"/>
      <c r="F431" s="64"/>
      <c r="G431" s="64"/>
      <c r="H431" s="64"/>
      <c r="I431" s="64"/>
      <c r="J431" s="64"/>
      <c r="K431" s="64"/>
      <c r="L431" s="64"/>
      <c r="M431" s="64"/>
    </row>
    <row r="432" spans="1:13" ht="15.2" customHeight="1" thickBot="1">
      <c r="A432" s="5" t="s">
        <v>266</v>
      </c>
      <c r="B432" s="5" t="s">
        <v>21</v>
      </c>
      <c r="C432" s="5" t="s">
        <v>22</v>
      </c>
      <c r="D432" s="64" t="s">
        <v>267</v>
      </c>
      <c r="E432" s="64"/>
      <c r="F432" s="64"/>
      <c r="G432" s="64"/>
      <c r="H432" s="64"/>
      <c r="I432" s="64"/>
      <c r="J432" s="64"/>
      <c r="K432" s="17">
        <v>0.25</v>
      </c>
      <c r="L432" s="17">
        <f ca="1">ROUND(21.56,3)</f>
        <v>0</v>
      </c>
      <c r="M432" s="18">
        <f ca="1">ROUND(K432*L432,2)</f>
        <v>0</v>
      </c>
    </row>
    <row r="433" spans="1:13" ht="15.2" customHeight="1" thickBot="1">
      <c r="A433" s="5" t="s">
        <v>268</v>
      </c>
      <c r="B433" s="5" t="s">
        <v>21</v>
      </c>
      <c r="C433" s="5" t="s">
        <v>22</v>
      </c>
      <c r="D433" s="64" t="s">
        <v>269</v>
      </c>
      <c r="E433" s="64"/>
      <c r="F433" s="64"/>
      <c r="G433" s="64"/>
      <c r="H433" s="64"/>
      <c r="I433" s="64"/>
      <c r="J433" s="64"/>
      <c r="K433" s="17">
        <v>0.25</v>
      </c>
      <c r="L433" s="17">
        <f ca="1">ROUND(25.01,3)</f>
        <v>0</v>
      </c>
      <c r="M433" s="18">
        <f ca="1">ROUND(K433*L433,2)</f>
        <v>0</v>
      </c>
    </row>
    <row r="434" spans="1:13" ht="15.2" customHeight="1" thickBot="1">
      <c r="A434" s="5" t="s">
        <v>366</v>
      </c>
      <c r="B434" s="5" t="s">
        <v>69</v>
      </c>
      <c r="C434" s="5"/>
      <c r="D434" s="64" t="s">
        <v>364</v>
      </c>
      <c r="E434" s="64"/>
      <c r="F434" s="64"/>
      <c r="G434" s="64"/>
      <c r="H434" s="64"/>
      <c r="I434" s="64"/>
      <c r="J434" s="64"/>
      <c r="K434" s="17">
        <v>1</v>
      </c>
      <c r="L434" s="17">
        <f ca="1">ROUND(124.06,3)</f>
        <v>0</v>
      </c>
      <c r="M434" s="18">
        <f ca="1">ROUND(K434*L434,2)</f>
        <v>0</v>
      </c>
    </row>
    <row r="435" spans="1:13" ht="15.2" customHeight="1" thickBot="1">
      <c r="A435" s="5" t="s">
        <v>34</v>
      </c>
      <c r="B435" s="5"/>
      <c r="C435" s="5" t="s">
        <v>26</v>
      </c>
      <c r="D435" s="64" t="s">
        <v>35</v>
      </c>
      <c r="E435" s="64"/>
      <c r="F435" s="64"/>
      <c r="G435" s="64"/>
      <c r="H435" s="64"/>
      <c r="I435" s="64"/>
      <c r="J435" s="64"/>
      <c r="K435" s="17">
        <v>1.5</v>
      </c>
      <c r="L435" s="17">
        <f ca="1">ROUND(11.64,3)</f>
        <v>0</v>
      </c>
      <c r="M435" s="18">
        <f ca="1">ROUND((K435*L435)/100,2)</f>
        <v>0</v>
      </c>
    </row>
    <row r="436" spans="1:13" ht="15.4" customHeight="1" thickBot="1">
      <c r="A436" s="20"/>
      <c r="B436" s="20"/>
      <c r="C436" s="20"/>
      <c r="D436" s="21" t="s">
        <v>363</v>
      </c>
      <c r="E436" s="20"/>
      <c r="F436" s="20"/>
      <c r="G436" s="20"/>
      <c r="H436" s="20"/>
      <c r="I436" s="20"/>
      <c r="J436" s="20"/>
      <c r="K436" s="22">
        <v>1</v>
      </c>
      <c r="L436" s="23">
        <f ca="1">ROUND((M432+M433+M434+M435)*(1+M2/100),2)</f>
        <v>0</v>
      </c>
      <c r="M436" s="23">
        <f ca="1">ROUND(K436*L436,2)</f>
        <v>0</v>
      </c>
    </row>
    <row r="437" spans="1:13" ht="15.4" customHeight="1" thickBot="1">
      <c r="A437" s="24" t="s">
        <v>367</v>
      </c>
      <c r="B437" s="25" t="s">
        <v>16</v>
      </c>
      <c r="C437" s="25" t="s">
        <v>85</v>
      </c>
      <c r="D437" s="65" t="s">
        <v>368</v>
      </c>
      <c r="E437" s="65"/>
      <c r="F437" s="65"/>
      <c r="G437" s="65"/>
      <c r="H437" s="65"/>
      <c r="I437" s="65"/>
      <c r="J437" s="65"/>
      <c r="K437" s="26">
        <f ca="1">ROUND(1,2)</f>
        <v>0</v>
      </c>
      <c r="L437" s="27">
        <f ca="1">L443</f>
        <v>0</v>
      </c>
      <c r="M437" s="27">
        <f ca="1">ROUND(K437*L437,2)</f>
        <v>0</v>
      </c>
    </row>
    <row r="438" spans="1:13" ht="12.2" customHeight="1" thickBot="1">
      <c r="A438" s="19"/>
      <c r="B438" s="19"/>
      <c r="C438" s="19"/>
      <c r="D438" s="64" t="s">
        <v>368</v>
      </c>
      <c r="E438" s="64"/>
      <c r="F438" s="64"/>
      <c r="G438" s="64"/>
      <c r="H438" s="64"/>
      <c r="I438" s="64"/>
      <c r="J438" s="64"/>
      <c r="K438" s="64"/>
      <c r="L438" s="64"/>
      <c r="M438" s="64"/>
    </row>
    <row r="439" spans="1:13" ht="15.2" customHeight="1" thickBot="1">
      <c r="A439" s="5" t="s">
        <v>266</v>
      </c>
      <c r="B439" s="5" t="s">
        <v>21</v>
      </c>
      <c r="C439" s="5" t="s">
        <v>22</v>
      </c>
      <c r="D439" s="64" t="s">
        <v>267</v>
      </c>
      <c r="E439" s="64"/>
      <c r="F439" s="64"/>
      <c r="G439" s="64"/>
      <c r="H439" s="64"/>
      <c r="I439" s="64"/>
      <c r="J439" s="64"/>
      <c r="K439" s="17">
        <v>0.25</v>
      </c>
      <c r="L439" s="17">
        <f ca="1">ROUND(21.56,3)</f>
        <v>0</v>
      </c>
      <c r="M439" s="18">
        <f ca="1">ROUND(K439*L439,2)</f>
        <v>0</v>
      </c>
    </row>
    <row r="440" spans="1:13" ht="15.2" customHeight="1" thickBot="1">
      <c r="A440" s="5" t="s">
        <v>268</v>
      </c>
      <c r="B440" s="5" t="s">
        <v>21</v>
      </c>
      <c r="C440" s="5" t="s">
        <v>22</v>
      </c>
      <c r="D440" s="64" t="s">
        <v>269</v>
      </c>
      <c r="E440" s="64"/>
      <c r="F440" s="64"/>
      <c r="G440" s="64"/>
      <c r="H440" s="64"/>
      <c r="I440" s="64"/>
      <c r="J440" s="64"/>
      <c r="K440" s="17">
        <v>0.25</v>
      </c>
      <c r="L440" s="17">
        <f ca="1">ROUND(25.01,3)</f>
        <v>0</v>
      </c>
      <c r="M440" s="18">
        <f ca="1">ROUND(K440*L440,2)</f>
        <v>0</v>
      </c>
    </row>
    <row r="441" spans="1:13" ht="15.2" customHeight="1" thickBot="1">
      <c r="A441" s="5" t="s">
        <v>34</v>
      </c>
      <c r="B441" s="5"/>
      <c r="C441" s="5" t="s">
        <v>26</v>
      </c>
      <c r="D441" s="64" t="s">
        <v>35</v>
      </c>
      <c r="E441" s="64"/>
      <c r="F441" s="64"/>
      <c r="G441" s="64"/>
      <c r="H441" s="64"/>
      <c r="I441" s="64"/>
      <c r="J441" s="64"/>
      <c r="K441" s="17">
        <v>1.5</v>
      </c>
      <c r="L441" s="17">
        <f ca="1">ROUND(11.64,3)</f>
        <v>0</v>
      </c>
      <c r="M441" s="18">
        <f ca="1">ROUND((K441*L441)/100,2)</f>
        <v>0</v>
      </c>
    </row>
    <row r="442" spans="1:13" ht="15.2" customHeight="1" thickBot="1">
      <c r="A442" s="5" t="s">
        <v>369</v>
      </c>
      <c r="B442" s="5" t="s">
        <v>69</v>
      </c>
      <c r="C442" s="5"/>
      <c r="D442" s="64" t="s">
        <v>368</v>
      </c>
      <c r="E442" s="64"/>
      <c r="F442" s="64"/>
      <c r="G442" s="64"/>
      <c r="H442" s="64"/>
      <c r="I442" s="64"/>
      <c r="J442" s="64"/>
      <c r="K442" s="17">
        <v>1</v>
      </c>
      <c r="L442" s="17">
        <f ca="1">ROUND(49.5,3)</f>
        <v>0</v>
      </c>
      <c r="M442" s="18">
        <f ca="1">ROUND(K442*L442,2)</f>
        <v>0</v>
      </c>
    </row>
    <row r="443" spans="1:13" ht="15.4" customHeight="1" thickBot="1">
      <c r="A443" s="20"/>
      <c r="B443" s="20"/>
      <c r="C443" s="20"/>
      <c r="D443" s="21" t="s">
        <v>367</v>
      </c>
      <c r="E443" s="20"/>
      <c r="F443" s="20"/>
      <c r="G443" s="20"/>
      <c r="H443" s="20"/>
      <c r="I443" s="20"/>
      <c r="J443" s="20"/>
      <c r="K443" s="22">
        <v>1</v>
      </c>
      <c r="L443" s="23">
        <f ca="1">ROUND((M439+M440+M441+M442)*(1+M2/100),2)</f>
        <v>0</v>
      </c>
      <c r="M443" s="23">
        <f ca="1">ROUND(K443*L443,2)</f>
        <v>0</v>
      </c>
    </row>
    <row r="444" spans="1:13" ht="21.4" customHeight="1" thickBot="1">
      <c r="A444" s="24" t="s">
        <v>370</v>
      </c>
      <c r="B444" s="25" t="s">
        <v>16</v>
      </c>
      <c r="C444" s="25" t="s">
        <v>85</v>
      </c>
      <c r="D444" s="65" t="s">
        <v>371</v>
      </c>
      <c r="E444" s="65"/>
      <c r="F444" s="65"/>
      <c r="G444" s="65"/>
      <c r="H444" s="65"/>
      <c r="I444" s="65"/>
      <c r="J444" s="65"/>
      <c r="K444" s="26">
        <f ca="1">ROUND(1,2)</f>
        <v>0</v>
      </c>
      <c r="L444" s="27">
        <f ca="1">L450</f>
        <v>0</v>
      </c>
      <c r="M444" s="27">
        <f ca="1">ROUND(K444*L444,2)</f>
        <v>0</v>
      </c>
    </row>
    <row r="445" spans="1:13" ht="30.6" customHeight="1" thickBot="1">
      <c r="A445" s="19"/>
      <c r="B445" s="19"/>
      <c r="C445" s="19"/>
      <c r="D445" s="64" t="s">
        <v>372</v>
      </c>
      <c r="E445" s="64"/>
      <c r="F445" s="64"/>
      <c r="G445" s="64"/>
      <c r="H445" s="64"/>
      <c r="I445" s="64"/>
      <c r="J445" s="64"/>
      <c r="K445" s="64"/>
      <c r="L445" s="64"/>
      <c r="M445" s="64"/>
    </row>
    <row r="446" spans="1:13" ht="15.2" customHeight="1" thickBot="1">
      <c r="A446" s="5" t="s">
        <v>266</v>
      </c>
      <c r="B446" s="5" t="s">
        <v>21</v>
      </c>
      <c r="C446" s="5" t="s">
        <v>22</v>
      </c>
      <c r="D446" s="64" t="s">
        <v>267</v>
      </c>
      <c r="E446" s="64"/>
      <c r="F446" s="64"/>
      <c r="G446" s="64"/>
      <c r="H446" s="64"/>
      <c r="I446" s="64"/>
      <c r="J446" s="64"/>
      <c r="K446" s="17">
        <v>0.05</v>
      </c>
      <c r="L446" s="17">
        <f ca="1">ROUND(21.56,3)</f>
        <v>0</v>
      </c>
      <c r="M446" s="18">
        <f ca="1">ROUND(K446*L446,2)</f>
        <v>0</v>
      </c>
    </row>
    <row r="447" spans="1:13" ht="15.2" customHeight="1" thickBot="1">
      <c r="A447" s="5" t="s">
        <v>268</v>
      </c>
      <c r="B447" s="5" t="s">
        <v>21</v>
      </c>
      <c r="C447" s="5" t="s">
        <v>22</v>
      </c>
      <c r="D447" s="64" t="s">
        <v>269</v>
      </c>
      <c r="E447" s="64"/>
      <c r="F447" s="64"/>
      <c r="G447" s="64"/>
      <c r="H447" s="64"/>
      <c r="I447" s="64"/>
      <c r="J447" s="64"/>
      <c r="K447" s="17">
        <v>0.2</v>
      </c>
      <c r="L447" s="17">
        <f ca="1">ROUND(25.01,3)</f>
        <v>0</v>
      </c>
      <c r="M447" s="18">
        <f ca="1">ROUND(K447*L447,2)</f>
        <v>0</v>
      </c>
    </row>
    <row r="448" spans="1:13" ht="21.4" customHeight="1" thickBot="1">
      <c r="A448" s="5" t="s">
        <v>373</v>
      </c>
      <c r="B448" s="5" t="s">
        <v>69</v>
      </c>
      <c r="C448" s="5" t="s">
        <v>85</v>
      </c>
      <c r="D448" s="64" t="s">
        <v>374</v>
      </c>
      <c r="E448" s="64"/>
      <c r="F448" s="64"/>
      <c r="G448" s="64"/>
      <c r="H448" s="64"/>
      <c r="I448" s="64"/>
      <c r="J448" s="64"/>
      <c r="K448" s="17">
        <v>1</v>
      </c>
      <c r="L448" s="17">
        <f ca="1">ROUND(68.64,3)</f>
        <v>0</v>
      </c>
      <c r="M448" s="18">
        <f ca="1">ROUND(K448*L448,2)</f>
        <v>0</v>
      </c>
    </row>
    <row r="449" spans="1:13" ht="15.2" customHeight="1" thickBot="1">
      <c r="A449" s="5" t="s">
        <v>34</v>
      </c>
      <c r="B449" s="5"/>
      <c r="C449" s="5" t="s">
        <v>26</v>
      </c>
      <c r="D449" s="64" t="s">
        <v>35</v>
      </c>
      <c r="E449" s="64"/>
      <c r="F449" s="64"/>
      <c r="G449" s="64"/>
      <c r="H449" s="64"/>
      <c r="I449" s="64"/>
      <c r="J449" s="64"/>
      <c r="K449" s="17">
        <v>1.5</v>
      </c>
      <c r="L449" s="17">
        <f ca="1">ROUND(6.08,3)</f>
        <v>0</v>
      </c>
      <c r="M449" s="18">
        <f ca="1">ROUND((K449*L449)/100,2)</f>
        <v>0</v>
      </c>
    </row>
    <row r="450" spans="1:13" ht="15.4" customHeight="1" thickBot="1">
      <c r="A450" s="20"/>
      <c r="B450" s="20"/>
      <c r="C450" s="20"/>
      <c r="D450" s="21" t="s">
        <v>370</v>
      </c>
      <c r="E450" s="20"/>
      <c r="F450" s="20"/>
      <c r="G450" s="20"/>
      <c r="H450" s="20"/>
      <c r="I450" s="20"/>
      <c r="J450" s="20"/>
      <c r="K450" s="22">
        <v>1</v>
      </c>
      <c r="L450" s="23">
        <f ca="1">ROUND((M446+M447+M448+M449)*(1+M2/100),2)</f>
        <v>0</v>
      </c>
      <c r="M450" s="23">
        <f ca="1">ROUND(K450*L450,2)</f>
        <v>0</v>
      </c>
    </row>
    <row r="451" spans="1:13" ht="15.4" customHeight="1" thickBot="1">
      <c r="A451" s="24" t="s">
        <v>375</v>
      </c>
      <c r="B451" s="25" t="s">
        <v>16</v>
      </c>
      <c r="C451" s="25" t="s">
        <v>155</v>
      </c>
      <c r="D451" s="65" t="s">
        <v>376</v>
      </c>
      <c r="E451" s="65"/>
      <c r="F451" s="65"/>
      <c r="G451" s="65"/>
      <c r="H451" s="65"/>
      <c r="I451" s="65"/>
      <c r="J451" s="65"/>
      <c r="K451" s="26">
        <f ca="1">ROUND(16,2)</f>
        <v>0</v>
      </c>
      <c r="L451" s="27">
        <f ca="1">L461</f>
        <v>0</v>
      </c>
      <c r="M451" s="27">
        <f ca="1">ROUND(K451*L451,2)</f>
        <v>0</v>
      </c>
    </row>
    <row r="452" spans="1:13" ht="76.900000000000006" customHeight="1" thickBot="1">
      <c r="A452" s="19"/>
      <c r="B452" s="19"/>
      <c r="C452" s="19"/>
      <c r="D452" s="64" t="s">
        <v>377</v>
      </c>
      <c r="E452" s="64"/>
      <c r="F452" s="64"/>
      <c r="G452" s="64"/>
      <c r="H452" s="64"/>
      <c r="I452" s="64"/>
      <c r="J452" s="64"/>
      <c r="K452" s="64"/>
      <c r="L452" s="64"/>
      <c r="M452" s="64"/>
    </row>
    <row r="453" spans="1:13" ht="21.4" customHeight="1" thickBot="1">
      <c r="A453" s="5" t="s">
        <v>378</v>
      </c>
      <c r="B453" s="5" t="s">
        <v>69</v>
      </c>
      <c r="C453" s="5" t="s">
        <v>6</v>
      </c>
      <c r="D453" s="64" t="s">
        <v>379</v>
      </c>
      <c r="E453" s="64"/>
      <c r="F453" s="64"/>
      <c r="G453" s="64"/>
      <c r="H453" s="64"/>
      <c r="I453" s="64"/>
      <c r="J453" s="64"/>
      <c r="K453" s="17">
        <v>1</v>
      </c>
      <c r="L453" s="17">
        <f ca="1">ROUND(4.39,3)</f>
        <v>0</v>
      </c>
      <c r="M453" s="18">
        <f ca="1">ROUND(K453*L453,2)</f>
        <v>0</v>
      </c>
    </row>
    <row r="454" spans="1:13" ht="30.6" customHeight="1" thickBot="1">
      <c r="A454" s="5" t="s">
        <v>380</v>
      </c>
      <c r="B454" s="5" t="s">
        <v>69</v>
      </c>
      <c r="C454" s="5" t="s">
        <v>155</v>
      </c>
      <c r="D454" s="64" t="s">
        <v>381</v>
      </c>
      <c r="E454" s="64"/>
      <c r="F454" s="64"/>
      <c r="G454" s="64"/>
      <c r="H454" s="64"/>
      <c r="I454" s="64"/>
      <c r="J454" s="64"/>
      <c r="K454" s="17">
        <v>1</v>
      </c>
      <c r="L454" s="17">
        <f ca="1">ROUND(32,3)</f>
        <v>0</v>
      </c>
      <c r="M454" s="18">
        <f ca="1">ROUND(K454*L454,2)</f>
        <v>0</v>
      </c>
    </row>
    <row r="455" spans="1:13" ht="21.4" customHeight="1" thickBot="1">
      <c r="A455" s="5" t="s">
        <v>382</v>
      </c>
      <c r="B455" s="5" t="s">
        <v>69</v>
      </c>
      <c r="C455" s="5" t="s">
        <v>155</v>
      </c>
      <c r="D455" s="64" t="s">
        <v>383</v>
      </c>
      <c r="E455" s="64"/>
      <c r="F455" s="64"/>
      <c r="G455" s="64"/>
      <c r="H455" s="64"/>
      <c r="I455" s="64"/>
      <c r="J455" s="64"/>
      <c r="K455" s="17">
        <v>1</v>
      </c>
      <c r="L455" s="17">
        <f ca="1">ROUND(13.64,3)</f>
        <v>0</v>
      </c>
      <c r="M455" s="18">
        <f ca="1">ROUND(K455*L455,2)</f>
        <v>0</v>
      </c>
    </row>
    <row r="456" spans="1:13" ht="15.2" customHeight="1" thickBot="1">
      <c r="A456" s="5" t="s">
        <v>384</v>
      </c>
      <c r="B456" s="5" t="s">
        <v>69</v>
      </c>
      <c r="C456" s="5" t="s">
        <v>385</v>
      </c>
      <c r="D456" s="64" t="s">
        <v>386</v>
      </c>
      <c r="E456" s="64"/>
      <c r="F456" s="64"/>
      <c r="G456" s="64"/>
      <c r="H456" s="64"/>
      <c r="I456" s="64"/>
      <c r="J456" s="64"/>
      <c r="K456" s="17">
        <v>1.008</v>
      </c>
      <c r="L456" s="17">
        <f ca="1">ROUND(2.06,3)</f>
        <v>0</v>
      </c>
      <c r="M456" s="18">
        <f ca="1">ROUND(K456*L456,2)</f>
        <v>0</v>
      </c>
    </row>
    <row r="457" spans="1:13" ht="15.2" customHeight="1" thickBot="1">
      <c r="A457" s="5" t="s">
        <v>387</v>
      </c>
      <c r="B457" s="5" t="s">
        <v>69</v>
      </c>
      <c r="C457" s="5" t="s">
        <v>385</v>
      </c>
      <c r="D457" s="64" t="s">
        <v>388</v>
      </c>
      <c r="E457" s="64"/>
      <c r="F457" s="64"/>
      <c r="G457" s="64"/>
      <c r="H457" s="64"/>
      <c r="I457" s="64"/>
      <c r="J457" s="64"/>
      <c r="K457" s="17">
        <v>8.4000000000000005E-2</v>
      </c>
      <c r="L457" s="17">
        <f ca="1">ROUND(24.41,3)</f>
        <v>0</v>
      </c>
      <c r="M457" s="18">
        <f ca="1">ROUND(K457*L457,2)</f>
        <v>0</v>
      </c>
    </row>
    <row r="458" spans="1:13" ht="15.2" customHeight="1" thickBot="1">
      <c r="A458" s="5" t="s">
        <v>389</v>
      </c>
      <c r="B458" s="5" t="s">
        <v>21</v>
      </c>
      <c r="C458" s="5" t="s">
        <v>22</v>
      </c>
      <c r="D458" s="64" t="s">
        <v>390</v>
      </c>
      <c r="E458" s="64"/>
      <c r="F458" s="64"/>
      <c r="G458" s="64"/>
      <c r="H458" s="64"/>
      <c r="I458" s="64"/>
      <c r="J458" s="64"/>
      <c r="K458" s="17">
        <v>0.22</v>
      </c>
      <c r="L458" s="17">
        <f ca="1">ROUND(24.84,3)</f>
        <v>0</v>
      </c>
      <c r="M458" s="18">
        <f ca="1">ROUND(K458*L458,2)</f>
        <v>0</v>
      </c>
    </row>
    <row r="459" spans="1:13" ht="15.2" customHeight="1" thickBot="1">
      <c r="A459" s="5" t="s">
        <v>391</v>
      </c>
      <c r="B459" s="5" t="s">
        <v>21</v>
      </c>
      <c r="C459" s="5" t="s">
        <v>22</v>
      </c>
      <c r="D459" s="64" t="s">
        <v>392</v>
      </c>
      <c r="E459" s="64"/>
      <c r="F459" s="64"/>
      <c r="G459" s="64"/>
      <c r="H459" s="64"/>
      <c r="I459" s="64"/>
      <c r="J459" s="64"/>
      <c r="K459" s="17">
        <v>0.22</v>
      </c>
      <c r="L459" s="17">
        <f ca="1">ROUND(21.49,3)</f>
        <v>0</v>
      </c>
      <c r="M459" s="18">
        <f ca="1">ROUND(K459*L459,2)</f>
        <v>0</v>
      </c>
    </row>
    <row r="460" spans="1:13" ht="15.2" customHeight="1" thickBot="1">
      <c r="A460" s="5" t="s">
        <v>26</v>
      </c>
      <c r="B460" s="5"/>
      <c r="C460" s="5" t="s">
        <v>26</v>
      </c>
      <c r="D460" s="64" t="s">
        <v>27</v>
      </c>
      <c r="E460" s="64"/>
      <c r="F460" s="64"/>
      <c r="G460" s="64"/>
      <c r="H460" s="64"/>
      <c r="I460" s="64"/>
      <c r="J460" s="64"/>
      <c r="K460" s="17">
        <v>2</v>
      </c>
      <c r="L460" s="17">
        <f ca="1">ROUND(64.35,3)</f>
        <v>0</v>
      </c>
      <c r="M460" s="18">
        <f ca="1">ROUND((K460*L460)/100,2)</f>
        <v>0</v>
      </c>
    </row>
    <row r="461" spans="1:13" ht="15.4" customHeight="1" thickBot="1">
      <c r="A461" s="20"/>
      <c r="B461" s="20"/>
      <c r="C461" s="20"/>
      <c r="D461" s="21" t="s">
        <v>375</v>
      </c>
      <c r="E461" s="20"/>
      <c r="F461" s="20"/>
      <c r="G461" s="20"/>
      <c r="H461" s="20"/>
      <c r="I461" s="20"/>
      <c r="J461" s="20"/>
      <c r="K461" s="22">
        <v>16</v>
      </c>
      <c r="L461" s="23">
        <f ca="1">ROUND((M453+M454+M455+M456+M457+M458+M459+M460)*(1+M2/100),2)</f>
        <v>0</v>
      </c>
      <c r="M461" s="23">
        <f ca="1">ROUND(K461*L461,2)</f>
        <v>0</v>
      </c>
    </row>
    <row r="462" spans="1:13" ht="15.4" customHeight="1" thickBot="1">
      <c r="A462" s="24" t="s">
        <v>393</v>
      </c>
      <c r="B462" s="25" t="s">
        <v>16</v>
      </c>
      <c r="C462" s="25" t="s">
        <v>155</v>
      </c>
      <c r="D462" s="65" t="s">
        <v>376</v>
      </c>
      <c r="E462" s="65"/>
      <c r="F462" s="65"/>
      <c r="G462" s="65"/>
      <c r="H462" s="65"/>
      <c r="I462" s="65"/>
      <c r="J462" s="65"/>
      <c r="K462" s="26">
        <f ca="1">ROUND(16,2)</f>
        <v>0</v>
      </c>
      <c r="L462" s="27">
        <f ca="1">L471</f>
        <v>0</v>
      </c>
      <c r="M462" s="27">
        <f ca="1">ROUND(K462*L462,2)</f>
        <v>0</v>
      </c>
    </row>
    <row r="463" spans="1:13" ht="58.35" customHeight="1" thickBot="1">
      <c r="A463" s="19"/>
      <c r="B463" s="19"/>
      <c r="C463" s="19"/>
      <c r="D463" s="64" t="s">
        <v>394</v>
      </c>
      <c r="E463" s="64"/>
      <c r="F463" s="64"/>
      <c r="G463" s="64"/>
      <c r="H463" s="64"/>
      <c r="I463" s="64"/>
      <c r="J463" s="64"/>
      <c r="K463" s="64"/>
      <c r="L463" s="64"/>
      <c r="M463" s="64"/>
    </row>
    <row r="464" spans="1:13" ht="21.4" customHeight="1" thickBot="1">
      <c r="A464" s="5" t="s">
        <v>378</v>
      </c>
      <c r="B464" s="5" t="s">
        <v>69</v>
      </c>
      <c r="C464" s="5" t="s">
        <v>6</v>
      </c>
      <c r="D464" s="64" t="s">
        <v>379</v>
      </c>
      <c r="E464" s="64"/>
      <c r="F464" s="64"/>
      <c r="G464" s="64"/>
      <c r="H464" s="64"/>
      <c r="I464" s="64"/>
      <c r="J464" s="64"/>
      <c r="K464" s="17">
        <v>1</v>
      </c>
      <c r="L464" s="17">
        <f ca="1">ROUND(4.39,3)</f>
        <v>0</v>
      </c>
      <c r="M464" s="18">
        <f ca="1">ROUND(K464*L464,2)</f>
        <v>0</v>
      </c>
    </row>
    <row r="465" spans="1:13" ht="30.6" customHeight="1" thickBot="1">
      <c r="A465" s="5" t="s">
        <v>380</v>
      </c>
      <c r="B465" s="5" t="s">
        <v>69</v>
      </c>
      <c r="C465" s="5" t="s">
        <v>155</v>
      </c>
      <c r="D465" s="64" t="s">
        <v>381</v>
      </c>
      <c r="E465" s="64"/>
      <c r="F465" s="64"/>
      <c r="G465" s="64"/>
      <c r="H465" s="64"/>
      <c r="I465" s="64"/>
      <c r="J465" s="64"/>
      <c r="K465" s="17">
        <v>1</v>
      </c>
      <c r="L465" s="17">
        <f ca="1">ROUND(32,3)</f>
        <v>0</v>
      </c>
      <c r="M465" s="18">
        <f ca="1">ROUND(K465*L465,2)</f>
        <v>0</v>
      </c>
    </row>
    <row r="466" spans="1:13" ht="21.4" customHeight="1" thickBot="1">
      <c r="A466" s="5" t="s">
        <v>395</v>
      </c>
      <c r="B466" s="5" t="s">
        <v>69</v>
      </c>
      <c r="C466" s="5" t="s">
        <v>155</v>
      </c>
      <c r="D466" s="64" t="s">
        <v>396</v>
      </c>
      <c r="E466" s="64"/>
      <c r="F466" s="64"/>
      <c r="G466" s="64"/>
      <c r="H466" s="64"/>
      <c r="I466" s="64"/>
      <c r="J466" s="64"/>
      <c r="K466" s="17">
        <v>1</v>
      </c>
      <c r="L466" s="17">
        <f ca="1">ROUND(40.33,3)</f>
        <v>0</v>
      </c>
      <c r="M466" s="18">
        <f ca="1">ROUND(K466*L466,2)</f>
        <v>0</v>
      </c>
    </row>
    <row r="467" spans="1:13" ht="15.2" customHeight="1" thickBot="1">
      <c r="A467" s="5" t="s">
        <v>397</v>
      </c>
      <c r="B467" s="5" t="s">
        <v>69</v>
      </c>
      <c r="C467" s="5" t="s">
        <v>398</v>
      </c>
      <c r="D467" s="64" t="s">
        <v>399</v>
      </c>
      <c r="E467" s="64"/>
      <c r="F467" s="64"/>
      <c r="G467" s="64"/>
      <c r="H467" s="64"/>
      <c r="I467" s="64"/>
      <c r="J467" s="64"/>
      <c r="K467" s="17">
        <v>0.17499999999999999</v>
      </c>
      <c r="L467" s="17">
        <f ca="1">ROUND(19.2,3)</f>
        <v>0</v>
      </c>
      <c r="M467" s="18">
        <f ca="1">ROUND(K467*L467,2)</f>
        <v>0</v>
      </c>
    </row>
    <row r="468" spans="1:13" ht="15.2" customHeight="1" thickBot="1">
      <c r="A468" s="5" t="s">
        <v>389</v>
      </c>
      <c r="B468" s="5" t="s">
        <v>21</v>
      </c>
      <c r="C468" s="5" t="s">
        <v>22</v>
      </c>
      <c r="D468" s="64" t="s">
        <v>390</v>
      </c>
      <c r="E468" s="64"/>
      <c r="F468" s="64"/>
      <c r="G468" s="64"/>
      <c r="H468" s="64"/>
      <c r="I468" s="64"/>
      <c r="J468" s="64"/>
      <c r="K468" s="17">
        <v>0.159</v>
      </c>
      <c r="L468" s="17">
        <f ca="1">ROUND(24.84,3)</f>
        <v>0</v>
      </c>
      <c r="M468" s="18">
        <f ca="1">ROUND(K468*L468,2)</f>
        <v>0</v>
      </c>
    </row>
    <row r="469" spans="1:13" ht="15.2" customHeight="1" thickBot="1">
      <c r="A469" s="5" t="s">
        <v>391</v>
      </c>
      <c r="B469" s="5" t="s">
        <v>21</v>
      </c>
      <c r="C469" s="5" t="s">
        <v>22</v>
      </c>
      <c r="D469" s="64" t="s">
        <v>392</v>
      </c>
      <c r="E469" s="64"/>
      <c r="F469" s="64"/>
      <c r="G469" s="64"/>
      <c r="H469" s="64"/>
      <c r="I469" s="64"/>
      <c r="J469" s="64"/>
      <c r="K469" s="17">
        <v>0.159</v>
      </c>
      <c r="L469" s="17">
        <f ca="1">ROUND(21.49,3)</f>
        <v>0</v>
      </c>
      <c r="M469" s="18">
        <f ca="1">ROUND(K469*L469,2)</f>
        <v>0</v>
      </c>
    </row>
    <row r="470" spans="1:13" ht="15.2" customHeight="1" thickBot="1">
      <c r="A470" s="5" t="s">
        <v>26</v>
      </c>
      <c r="B470" s="5"/>
      <c r="C470" s="5" t="s">
        <v>26</v>
      </c>
      <c r="D470" s="64" t="s">
        <v>27</v>
      </c>
      <c r="E470" s="64"/>
      <c r="F470" s="64"/>
      <c r="G470" s="64"/>
      <c r="H470" s="64"/>
      <c r="I470" s="64"/>
      <c r="J470" s="64"/>
      <c r="K470" s="17">
        <v>2</v>
      </c>
      <c r="L470" s="17">
        <f ca="1">ROUND(87.45,3)</f>
        <v>0</v>
      </c>
      <c r="M470" s="18">
        <f ca="1">ROUND((K470*L470)/100,2)</f>
        <v>0</v>
      </c>
    </row>
    <row r="471" spans="1:13" ht="15.4" customHeight="1" thickBot="1">
      <c r="A471" s="20"/>
      <c r="B471" s="20"/>
      <c r="C471" s="20"/>
      <c r="D471" s="21" t="s">
        <v>393</v>
      </c>
      <c r="E471" s="20"/>
      <c r="F471" s="20"/>
      <c r="G471" s="20"/>
      <c r="H471" s="20"/>
      <c r="I471" s="20"/>
      <c r="J471" s="20"/>
      <c r="K471" s="22">
        <v>16</v>
      </c>
      <c r="L471" s="23">
        <f ca="1">ROUND((M464+M465+M466+M467+M468+M469+M470)*(1+M2/100),2)</f>
        <v>0</v>
      </c>
      <c r="M471" s="23">
        <f ca="1">ROUND(K471*L471,2)</f>
        <v>0</v>
      </c>
    </row>
    <row r="472" spans="1:13" ht="15.4" customHeight="1" thickBot="1">
      <c r="A472" s="24" t="s">
        <v>400</v>
      </c>
      <c r="B472" s="25" t="s">
        <v>16</v>
      </c>
      <c r="C472" s="25" t="s">
        <v>155</v>
      </c>
      <c r="D472" s="65" t="s">
        <v>376</v>
      </c>
      <c r="E472" s="65"/>
      <c r="F472" s="65"/>
      <c r="G472" s="65"/>
      <c r="H472" s="65"/>
      <c r="I472" s="65"/>
      <c r="J472" s="65"/>
      <c r="K472" s="26">
        <f ca="1">ROUND(6,2)</f>
        <v>0</v>
      </c>
      <c r="L472" s="27">
        <f ca="1">L482</f>
        <v>0</v>
      </c>
      <c r="M472" s="27">
        <f ca="1">ROUND(K472*L472,2)</f>
        <v>0</v>
      </c>
    </row>
    <row r="473" spans="1:13" ht="76.900000000000006" customHeight="1" thickBot="1">
      <c r="A473" s="19"/>
      <c r="B473" s="19"/>
      <c r="C473" s="19"/>
      <c r="D473" s="64" t="s">
        <v>401</v>
      </c>
      <c r="E473" s="64"/>
      <c r="F473" s="64"/>
      <c r="G473" s="64"/>
      <c r="H473" s="64"/>
      <c r="I473" s="64"/>
      <c r="J473" s="64"/>
      <c r="K473" s="64"/>
      <c r="L473" s="64"/>
      <c r="M473" s="64"/>
    </row>
    <row r="474" spans="1:13" ht="21.4" customHeight="1" thickBot="1">
      <c r="A474" s="5" t="s">
        <v>402</v>
      </c>
      <c r="B474" s="5" t="s">
        <v>69</v>
      </c>
      <c r="C474" s="5" t="s">
        <v>6</v>
      </c>
      <c r="D474" s="64" t="s">
        <v>403</v>
      </c>
      <c r="E474" s="64"/>
      <c r="F474" s="64"/>
      <c r="G474" s="64"/>
      <c r="H474" s="64"/>
      <c r="I474" s="64"/>
      <c r="J474" s="64"/>
      <c r="K474" s="17">
        <v>1</v>
      </c>
      <c r="L474" s="17">
        <f ca="1">ROUND(2.03,3)</f>
        <v>0</v>
      </c>
      <c r="M474" s="18">
        <f ca="1">ROUND(K474*L474,2)</f>
        <v>0</v>
      </c>
    </row>
    <row r="475" spans="1:13" ht="30.6" customHeight="1" thickBot="1">
      <c r="A475" s="5" t="s">
        <v>404</v>
      </c>
      <c r="B475" s="5" t="s">
        <v>69</v>
      </c>
      <c r="C475" s="5" t="s">
        <v>155</v>
      </c>
      <c r="D475" s="64" t="s">
        <v>405</v>
      </c>
      <c r="E475" s="64"/>
      <c r="F475" s="64"/>
      <c r="G475" s="64"/>
      <c r="H475" s="64"/>
      <c r="I475" s="64"/>
      <c r="J475" s="64"/>
      <c r="K475" s="17">
        <v>1</v>
      </c>
      <c r="L475" s="17">
        <f ca="1">ROUND(15.59,3)</f>
        <v>0</v>
      </c>
      <c r="M475" s="18">
        <f ca="1">ROUND(K475*L475,2)</f>
        <v>0</v>
      </c>
    </row>
    <row r="476" spans="1:13" ht="21.4" customHeight="1" thickBot="1">
      <c r="A476" s="5" t="s">
        <v>406</v>
      </c>
      <c r="B476" s="5" t="s">
        <v>69</v>
      </c>
      <c r="C476" s="5" t="s">
        <v>155</v>
      </c>
      <c r="D476" s="64" t="s">
        <v>407</v>
      </c>
      <c r="E476" s="64"/>
      <c r="F476" s="64"/>
      <c r="G476" s="64"/>
      <c r="H476" s="64"/>
      <c r="I476" s="64"/>
      <c r="J476" s="64"/>
      <c r="K476" s="17">
        <v>1</v>
      </c>
      <c r="L476" s="17">
        <f ca="1">ROUND(8.76,3)</f>
        <v>0</v>
      </c>
      <c r="M476" s="18">
        <f ca="1">ROUND(K476*L476,2)</f>
        <v>0</v>
      </c>
    </row>
    <row r="477" spans="1:13" ht="15.2" customHeight="1" thickBot="1">
      <c r="A477" s="5" t="s">
        <v>384</v>
      </c>
      <c r="B477" s="5" t="s">
        <v>69</v>
      </c>
      <c r="C477" s="5" t="s">
        <v>385</v>
      </c>
      <c r="D477" s="64" t="s">
        <v>386</v>
      </c>
      <c r="E477" s="64"/>
      <c r="F477" s="64"/>
      <c r="G477" s="64"/>
      <c r="H477" s="64"/>
      <c r="I477" s="64"/>
      <c r="J477" s="64"/>
      <c r="K477" s="17">
        <v>0.73499999999999999</v>
      </c>
      <c r="L477" s="17">
        <f ca="1">ROUND(2.06,3)</f>
        <v>0</v>
      </c>
      <c r="M477" s="18">
        <f ca="1">ROUND(K477*L477,2)</f>
        <v>0</v>
      </c>
    </row>
    <row r="478" spans="1:13" ht="15.2" customHeight="1" thickBot="1">
      <c r="A478" s="5" t="s">
        <v>387</v>
      </c>
      <c r="B478" s="5" t="s">
        <v>69</v>
      </c>
      <c r="C478" s="5" t="s">
        <v>385</v>
      </c>
      <c r="D478" s="64" t="s">
        <v>388</v>
      </c>
      <c r="E478" s="64"/>
      <c r="F478" s="64"/>
      <c r="G478" s="64"/>
      <c r="H478" s="64"/>
      <c r="I478" s="64"/>
      <c r="J478" s="64"/>
      <c r="K478" s="17">
        <v>6.0999999999999999E-2</v>
      </c>
      <c r="L478" s="17">
        <f ca="1">ROUND(24.41,3)</f>
        <v>0</v>
      </c>
      <c r="M478" s="18">
        <f ca="1">ROUND(K478*L478,2)</f>
        <v>0</v>
      </c>
    </row>
    <row r="479" spans="1:13" ht="15.2" customHeight="1" thickBot="1">
      <c r="A479" s="5" t="s">
        <v>389</v>
      </c>
      <c r="B479" s="5" t="s">
        <v>21</v>
      </c>
      <c r="C479" s="5" t="s">
        <v>22</v>
      </c>
      <c r="D479" s="64" t="s">
        <v>390</v>
      </c>
      <c r="E479" s="64"/>
      <c r="F479" s="64"/>
      <c r="G479" s="64"/>
      <c r="H479" s="64"/>
      <c r="I479" s="64"/>
      <c r="J479" s="64"/>
      <c r="K479" s="17">
        <v>0.21099999999999999</v>
      </c>
      <c r="L479" s="17">
        <f ca="1">ROUND(24.84,3)</f>
        <v>0</v>
      </c>
      <c r="M479" s="18">
        <f ca="1">ROUND(K479*L479,2)</f>
        <v>0</v>
      </c>
    </row>
    <row r="480" spans="1:13" ht="15.2" customHeight="1" thickBot="1">
      <c r="A480" s="5" t="s">
        <v>391</v>
      </c>
      <c r="B480" s="5" t="s">
        <v>21</v>
      </c>
      <c r="C480" s="5" t="s">
        <v>22</v>
      </c>
      <c r="D480" s="64" t="s">
        <v>392</v>
      </c>
      <c r="E480" s="64"/>
      <c r="F480" s="64"/>
      <c r="G480" s="64"/>
      <c r="H480" s="64"/>
      <c r="I480" s="64"/>
      <c r="J480" s="64"/>
      <c r="K480" s="17">
        <v>0.21099999999999999</v>
      </c>
      <c r="L480" s="17">
        <f ca="1">ROUND(21.49,3)</f>
        <v>0</v>
      </c>
      <c r="M480" s="18">
        <f ca="1">ROUND(K480*L480,2)</f>
        <v>0</v>
      </c>
    </row>
    <row r="481" spans="1:13" ht="15.2" customHeight="1" thickBot="1">
      <c r="A481" s="5" t="s">
        <v>26</v>
      </c>
      <c r="B481" s="5"/>
      <c r="C481" s="5" t="s">
        <v>26</v>
      </c>
      <c r="D481" s="64" t="s">
        <v>27</v>
      </c>
      <c r="E481" s="64"/>
      <c r="F481" s="64"/>
      <c r="G481" s="64"/>
      <c r="H481" s="64"/>
      <c r="I481" s="64"/>
      <c r="J481" s="64"/>
      <c r="K481" s="17">
        <v>2</v>
      </c>
      <c r="L481" s="17">
        <f ca="1">ROUND(39.15,3)</f>
        <v>0</v>
      </c>
      <c r="M481" s="18">
        <f ca="1">ROUND((K481*L481)/100,2)</f>
        <v>0</v>
      </c>
    </row>
    <row r="482" spans="1:13" ht="15.4" customHeight="1" thickBot="1">
      <c r="A482" s="20"/>
      <c r="B482" s="20"/>
      <c r="C482" s="20"/>
      <c r="D482" s="21" t="s">
        <v>400</v>
      </c>
      <c r="E482" s="20"/>
      <c r="F482" s="20"/>
      <c r="G482" s="20"/>
      <c r="H482" s="20"/>
      <c r="I482" s="20"/>
      <c r="J482" s="20"/>
      <c r="K482" s="22">
        <v>6</v>
      </c>
      <c r="L482" s="23">
        <f ca="1">ROUND((M474+M475+M476+M477+M478+M479+M480+M481)*(1+M2/100),2)</f>
        <v>0</v>
      </c>
      <c r="M482" s="23">
        <f ca="1">ROUND(K482*L482,2)</f>
        <v>0</v>
      </c>
    </row>
    <row r="483" spans="1:13" ht="15.4" customHeight="1" thickBot="1">
      <c r="A483" s="24" t="s">
        <v>408</v>
      </c>
      <c r="B483" s="25" t="s">
        <v>16</v>
      </c>
      <c r="C483" s="25" t="s">
        <v>155</v>
      </c>
      <c r="D483" s="65" t="s">
        <v>376</v>
      </c>
      <c r="E483" s="65"/>
      <c r="F483" s="65"/>
      <c r="G483" s="65"/>
      <c r="H483" s="65"/>
      <c r="I483" s="65"/>
      <c r="J483" s="65"/>
      <c r="K483" s="26">
        <f ca="1">ROUND(25,2)</f>
        <v>0</v>
      </c>
      <c r="L483" s="27">
        <f ca="1">L492</f>
        <v>0</v>
      </c>
      <c r="M483" s="27">
        <f ca="1">ROUND(K483*L483,2)</f>
        <v>0</v>
      </c>
    </row>
    <row r="484" spans="1:13" ht="58.35" customHeight="1" thickBot="1">
      <c r="A484" s="19"/>
      <c r="B484" s="19"/>
      <c r="C484" s="19"/>
      <c r="D484" s="64" t="s">
        <v>409</v>
      </c>
      <c r="E484" s="64"/>
      <c r="F484" s="64"/>
      <c r="G484" s="64"/>
      <c r="H484" s="64"/>
      <c r="I484" s="64"/>
      <c r="J484" s="64"/>
      <c r="K484" s="64"/>
      <c r="L484" s="64"/>
      <c r="M484" s="64"/>
    </row>
    <row r="485" spans="1:13" ht="21.4" customHeight="1" thickBot="1">
      <c r="A485" s="5" t="s">
        <v>402</v>
      </c>
      <c r="B485" s="5" t="s">
        <v>69</v>
      </c>
      <c r="C485" s="5" t="s">
        <v>6</v>
      </c>
      <c r="D485" s="64" t="s">
        <v>403</v>
      </c>
      <c r="E485" s="64"/>
      <c r="F485" s="64"/>
      <c r="G485" s="64"/>
      <c r="H485" s="64"/>
      <c r="I485" s="64"/>
      <c r="J485" s="64"/>
      <c r="K485" s="17">
        <v>1</v>
      </c>
      <c r="L485" s="17">
        <f ca="1">ROUND(2.03,3)</f>
        <v>0</v>
      </c>
      <c r="M485" s="18">
        <f ca="1">ROUND(K485*L485,2)</f>
        <v>0</v>
      </c>
    </row>
    <row r="486" spans="1:13" ht="30.6" customHeight="1" thickBot="1">
      <c r="A486" s="5" t="s">
        <v>404</v>
      </c>
      <c r="B486" s="5" t="s">
        <v>69</v>
      </c>
      <c r="C486" s="5" t="s">
        <v>155</v>
      </c>
      <c r="D486" s="64" t="s">
        <v>405</v>
      </c>
      <c r="E486" s="64"/>
      <c r="F486" s="64"/>
      <c r="G486" s="64"/>
      <c r="H486" s="64"/>
      <c r="I486" s="64"/>
      <c r="J486" s="64"/>
      <c r="K486" s="17">
        <v>1</v>
      </c>
      <c r="L486" s="17">
        <f ca="1">ROUND(15.59,3)</f>
        <v>0</v>
      </c>
      <c r="M486" s="18">
        <f ca="1">ROUND(K486*L486,2)</f>
        <v>0</v>
      </c>
    </row>
    <row r="487" spans="1:13" ht="21.4" customHeight="1" thickBot="1">
      <c r="A487" s="5" t="s">
        <v>410</v>
      </c>
      <c r="B487" s="5" t="s">
        <v>69</v>
      </c>
      <c r="C487" s="5" t="s">
        <v>155</v>
      </c>
      <c r="D487" s="64" t="s">
        <v>411</v>
      </c>
      <c r="E487" s="64"/>
      <c r="F487" s="64"/>
      <c r="G487" s="64"/>
      <c r="H487" s="64"/>
      <c r="I487" s="64"/>
      <c r="J487" s="64"/>
      <c r="K487" s="17">
        <v>1</v>
      </c>
      <c r="L487" s="17">
        <f ca="1">ROUND(21.08,3)</f>
        <v>0</v>
      </c>
      <c r="M487" s="18">
        <f ca="1">ROUND(K487*L487,2)</f>
        <v>0</v>
      </c>
    </row>
    <row r="488" spans="1:13" ht="15.2" customHeight="1" thickBot="1">
      <c r="A488" s="5" t="s">
        <v>397</v>
      </c>
      <c r="B488" s="5" t="s">
        <v>69</v>
      </c>
      <c r="C488" s="5" t="s">
        <v>398</v>
      </c>
      <c r="D488" s="64" t="s">
        <v>399</v>
      </c>
      <c r="E488" s="64"/>
      <c r="F488" s="64"/>
      <c r="G488" s="64"/>
      <c r="H488" s="64"/>
      <c r="I488" s="64"/>
      <c r="J488" s="64"/>
      <c r="K488" s="17">
        <v>0.13700000000000001</v>
      </c>
      <c r="L488" s="17">
        <f ca="1">ROUND(19.2,3)</f>
        <v>0</v>
      </c>
      <c r="M488" s="18">
        <f ca="1">ROUND(K488*L488,2)</f>
        <v>0</v>
      </c>
    </row>
    <row r="489" spans="1:13" ht="15.2" customHeight="1" thickBot="1">
      <c r="A489" s="5" t="s">
        <v>389</v>
      </c>
      <c r="B489" s="5" t="s">
        <v>21</v>
      </c>
      <c r="C489" s="5" t="s">
        <v>22</v>
      </c>
      <c r="D489" s="64" t="s">
        <v>390</v>
      </c>
      <c r="E489" s="64"/>
      <c r="F489" s="64"/>
      <c r="G489" s="64"/>
      <c r="H489" s="64"/>
      <c r="I489" s="64"/>
      <c r="J489" s="64"/>
      <c r="K489" s="17">
        <v>0.153</v>
      </c>
      <c r="L489" s="17">
        <f ca="1">ROUND(24.84,3)</f>
        <v>0</v>
      </c>
      <c r="M489" s="18">
        <f ca="1">ROUND(K489*L489,2)</f>
        <v>0</v>
      </c>
    </row>
    <row r="490" spans="1:13" ht="15.2" customHeight="1" thickBot="1">
      <c r="A490" s="5" t="s">
        <v>391</v>
      </c>
      <c r="B490" s="5" t="s">
        <v>21</v>
      </c>
      <c r="C490" s="5" t="s">
        <v>22</v>
      </c>
      <c r="D490" s="64" t="s">
        <v>392</v>
      </c>
      <c r="E490" s="64"/>
      <c r="F490" s="64"/>
      <c r="G490" s="64"/>
      <c r="H490" s="64"/>
      <c r="I490" s="64"/>
      <c r="J490" s="64"/>
      <c r="K490" s="17">
        <v>0.153</v>
      </c>
      <c r="L490" s="17">
        <f ca="1">ROUND(21.49,3)</f>
        <v>0</v>
      </c>
      <c r="M490" s="18">
        <f ca="1">ROUND(K490*L490,2)</f>
        <v>0</v>
      </c>
    </row>
    <row r="491" spans="1:13" ht="15.2" customHeight="1" thickBot="1">
      <c r="A491" s="5" t="s">
        <v>26</v>
      </c>
      <c r="B491" s="5"/>
      <c r="C491" s="5" t="s">
        <v>26</v>
      </c>
      <c r="D491" s="64" t="s">
        <v>27</v>
      </c>
      <c r="E491" s="64"/>
      <c r="F491" s="64"/>
      <c r="G491" s="64"/>
      <c r="H491" s="64"/>
      <c r="I491" s="64"/>
      <c r="J491" s="64"/>
      <c r="K491" s="17">
        <v>2</v>
      </c>
      <c r="L491" s="17">
        <f ca="1">ROUND(48.42,3)</f>
        <v>0</v>
      </c>
      <c r="M491" s="18">
        <f ca="1">ROUND((K491*L491)/100,2)</f>
        <v>0</v>
      </c>
    </row>
    <row r="492" spans="1:13" ht="15.4" customHeight="1" thickBot="1">
      <c r="A492" s="20"/>
      <c r="B492" s="20"/>
      <c r="C492" s="20"/>
      <c r="D492" s="21" t="s">
        <v>408</v>
      </c>
      <c r="E492" s="20"/>
      <c r="F492" s="20"/>
      <c r="G492" s="20"/>
      <c r="H492" s="20"/>
      <c r="I492" s="20"/>
      <c r="J492" s="20"/>
      <c r="K492" s="22">
        <v>25</v>
      </c>
      <c r="L492" s="23">
        <f ca="1">ROUND((M485+M486+M487+M488+M489+M490+M491)*(1+M2/100),2)</f>
        <v>0</v>
      </c>
      <c r="M492" s="23">
        <f ca="1">ROUND(K492*L492,2)</f>
        <v>0</v>
      </c>
    </row>
    <row r="493" spans="1:13" ht="15.4" customHeight="1" thickBot="1">
      <c r="A493" s="24" t="s">
        <v>412</v>
      </c>
      <c r="B493" s="25" t="s">
        <v>16</v>
      </c>
      <c r="C493" s="25" t="s">
        <v>223</v>
      </c>
      <c r="D493" s="65" t="s">
        <v>413</v>
      </c>
      <c r="E493" s="65"/>
      <c r="F493" s="65"/>
      <c r="G493" s="65"/>
      <c r="H493" s="65"/>
      <c r="I493" s="65"/>
      <c r="J493" s="65"/>
      <c r="K493" s="26">
        <f ca="1">ROUND(3,2)</f>
        <v>0</v>
      </c>
      <c r="L493" s="27">
        <f ca="1">ROUND(223.301*(1+M2/100),2)</f>
        <v>0</v>
      </c>
      <c r="M493" s="27">
        <f ca="1">ROUND(K493*L493,2)</f>
        <v>0</v>
      </c>
    </row>
    <row r="494" spans="1:13" ht="12.2" customHeight="1" thickBot="1">
      <c r="A494" s="19"/>
      <c r="B494" s="19"/>
      <c r="C494" s="19"/>
      <c r="D494" s="64" t="s">
        <v>414</v>
      </c>
      <c r="E494" s="64"/>
      <c r="F494" s="64"/>
      <c r="G494" s="64"/>
      <c r="H494" s="64"/>
      <c r="I494" s="64"/>
      <c r="J494" s="64"/>
      <c r="K494" s="64"/>
      <c r="L494" s="64"/>
      <c r="M494" s="64"/>
    </row>
    <row r="495" spans="1:13" ht="15.4" customHeight="1" thickBot="1">
      <c r="A495" s="10" t="s">
        <v>415</v>
      </c>
      <c r="B495" s="5" t="s">
        <v>16</v>
      </c>
      <c r="C495" s="5" t="s">
        <v>223</v>
      </c>
      <c r="D495" s="64" t="s">
        <v>416</v>
      </c>
      <c r="E495" s="64"/>
      <c r="F495" s="64"/>
      <c r="G495" s="64"/>
      <c r="H495" s="64"/>
      <c r="I495" s="64"/>
      <c r="J495" s="64"/>
      <c r="K495" s="17">
        <f ca="1">ROUND(1,2)</f>
        <v>0</v>
      </c>
      <c r="L495" s="18">
        <f ca="1">ROUND(1456.311*(1+M2/100),2)</f>
        <v>0</v>
      </c>
      <c r="M495" s="18">
        <f ca="1">ROUND(K495*L495,2)</f>
        <v>0</v>
      </c>
    </row>
    <row r="496" spans="1:13" ht="21.4" customHeight="1" thickBot="1">
      <c r="A496" s="19"/>
      <c r="B496" s="19"/>
      <c r="C496" s="19"/>
      <c r="D496" s="64" t="s">
        <v>417</v>
      </c>
      <c r="E496" s="64"/>
      <c r="F496" s="64"/>
      <c r="G496" s="64"/>
      <c r="H496" s="64"/>
      <c r="I496" s="64"/>
      <c r="J496" s="64"/>
      <c r="K496" s="64"/>
      <c r="L496" s="64"/>
      <c r="M496" s="64"/>
    </row>
    <row r="497" spans="1:13" ht="15.4" customHeight="1" thickBot="1">
      <c r="A497" s="20"/>
      <c r="B497" s="20"/>
      <c r="C497" s="20"/>
      <c r="D497" s="55" t="s">
        <v>229</v>
      </c>
      <c r="E497" s="56"/>
      <c r="F497" s="56"/>
      <c r="G497" s="56"/>
      <c r="H497" s="56"/>
      <c r="I497" s="56"/>
      <c r="J497" s="56"/>
      <c r="K497" s="56"/>
      <c r="L497" s="57">
        <f ca="1">M254+M261+M268+M275+M282+M289+M296+M303+M310+M317+M324+M331+M338+M345+M352+M359+M366+M372+M379+M386+M393+M400+M407+M415+M422+M430+M437+M444+M451+M462+M472+M483+M493+M495</f>
        <v>0</v>
      </c>
      <c r="M497" s="57">
        <f ca="1">ROUND(L497,2)</f>
        <v>0</v>
      </c>
    </row>
    <row r="498" spans="1:13" ht="15.4" customHeight="1" thickBot="1">
      <c r="A498" s="42" t="s">
        <v>418</v>
      </c>
      <c r="B498" s="42" t="s">
        <v>12</v>
      </c>
      <c r="C498" s="43"/>
      <c r="D498" s="66" t="s">
        <v>221</v>
      </c>
      <c r="E498" s="66"/>
      <c r="F498" s="66"/>
      <c r="G498" s="66"/>
      <c r="H498" s="66"/>
      <c r="I498" s="66"/>
      <c r="J498" s="66"/>
      <c r="K498" s="43"/>
      <c r="L498" s="44">
        <f ca="1">L505</f>
        <v>0</v>
      </c>
      <c r="M498" s="44">
        <f ca="1">ROUND(L498,2)</f>
        <v>0</v>
      </c>
    </row>
    <row r="499" spans="1:13" ht="15.4" customHeight="1" thickBot="1">
      <c r="A499" s="10" t="s">
        <v>419</v>
      </c>
      <c r="B499" s="5" t="s">
        <v>16</v>
      </c>
      <c r="C499" s="5" t="s">
        <v>81</v>
      </c>
      <c r="D499" s="64" t="s">
        <v>420</v>
      </c>
      <c r="E499" s="64"/>
      <c r="F499" s="64"/>
      <c r="G499" s="64"/>
      <c r="H499" s="64"/>
      <c r="I499" s="64"/>
      <c r="J499" s="64"/>
      <c r="K499" s="17">
        <f ca="1">ROUND(1,2)</f>
        <v>0</v>
      </c>
      <c r="L499" s="18">
        <f ca="1">ROUND(970.874*(1+M2/100),2)</f>
        <v>0</v>
      </c>
      <c r="M499" s="18">
        <f ca="1">ROUND(K499*L499,2)</f>
        <v>0</v>
      </c>
    </row>
    <row r="500" spans="1:13" ht="12.2" customHeight="1" thickBot="1">
      <c r="A500" s="19"/>
      <c r="B500" s="19"/>
      <c r="C500" s="19"/>
      <c r="D500" s="64" t="s">
        <v>421</v>
      </c>
      <c r="E500" s="64"/>
      <c r="F500" s="64"/>
      <c r="G500" s="64"/>
      <c r="H500" s="64"/>
      <c r="I500" s="64"/>
      <c r="J500" s="64"/>
      <c r="K500" s="64"/>
      <c r="L500" s="64"/>
      <c r="M500" s="64"/>
    </row>
    <row r="501" spans="1:13" ht="15.4" customHeight="1" thickBot="1">
      <c r="A501" s="10" t="s">
        <v>422</v>
      </c>
      <c r="B501" s="5" t="s">
        <v>16</v>
      </c>
      <c r="C501" s="5" t="s">
        <v>81</v>
      </c>
      <c r="D501" s="64" t="s">
        <v>423</v>
      </c>
      <c r="E501" s="64"/>
      <c r="F501" s="64"/>
      <c r="G501" s="64"/>
      <c r="H501" s="64"/>
      <c r="I501" s="64"/>
      <c r="J501" s="64"/>
      <c r="K501" s="17">
        <f ca="1">ROUND(1,2)</f>
        <v>0</v>
      </c>
      <c r="L501" s="18">
        <f ca="1">ROUND(3883.495*(1+M2/100),2)</f>
        <v>0</v>
      </c>
      <c r="M501" s="18">
        <f ca="1">ROUND(K501*L501,2)</f>
        <v>0</v>
      </c>
    </row>
    <row r="502" spans="1:13" ht="12.2" customHeight="1" thickBot="1">
      <c r="A502" s="19"/>
      <c r="B502" s="19"/>
      <c r="C502" s="19"/>
      <c r="D502" s="64" t="s">
        <v>424</v>
      </c>
      <c r="E502" s="64"/>
      <c r="F502" s="64"/>
      <c r="G502" s="64"/>
      <c r="H502" s="64"/>
      <c r="I502" s="64"/>
      <c r="J502" s="64"/>
      <c r="K502" s="64"/>
      <c r="L502" s="64"/>
      <c r="M502" s="64"/>
    </row>
    <row r="503" spans="1:13" ht="15.4" customHeight="1" thickBot="1">
      <c r="A503" s="10" t="s">
        <v>425</v>
      </c>
      <c r="B503" s="5" t="s">
        <v>16</v>
      </c>
      <c r="C503" s="5" t="s">
        <v>17</v>
      </c>
      <c r="D503" s="64" t="s">
        <v>426</v>
      </c>
      <c r="E503" s="64"/>
      <c r="F503" s="64"/>
      <c r="G503" s="64"/>
      <c r="H503" s="64"/>
      <c r="I503" s="64"/>
      <c r="J503" s="64"/>
      <c r="K503" s="17">
        <f ca="1">ROUND(1,2)</f>
        <v>0</v>
      </c>
      <c r="L503" s="18">
        <f ca="1">ROUND(1000*(1+M2/100),2)</f>
        <v>0</v>
      </c>
      <c r="M503" s="18">
        <f ca="1">ROUND(K503*L503,2)</f>
        <v>0</v>
      </c>
    </row>
    <row r="504" spans="1:13" ht="12.2" customHeight="1" thickBot="1">
      <c r="A504" s="19"/>
      <c r="B504" s="19"/>
      <c r="C504" s="19"/>
      <c r="D504" s="64" t="s">
        <v>427</v>
      </c>
      <c r="E504" s="64"/>
      <c r="F504" s="64"/>
      <c r="G504" s="64"/>
      <c r="H504" s="64"/>
      <c r="I504" s="64"/>
      <c r="J504" s="64"/>
      <c r="K504" s="64"/>
      <c r="L504" s="64"/>
      <c r="M504" s="64"/>
    </row>
    <row r="505" spans="1:13" ht="15.4" customHeight="1" thickBot="1">
      <c r="A505" s="20"/>
      <c r="B505" s="20"/>
      <c r="C505" s="20"/>
      <c r="D505" s="55" t="s">
        <v>418</v>
      </c>
      <c r="E505" s="56"/>
      <c r="F505" s="56"/>
      <c r="G505" s="56"/>
      <c r="H505" s="56"/>
      <c r="I505" s="56"/>
      <c r="J505" s="56"/>
      <c r="K505" s="56"/>
      <c r="L505" s="57">
        <f ca="1">M499+M501+M503</f>
        <v>0</v>
      </c>
      <c r="M505" s="57">
        <f ca="1">ROUND(L505,2)</f>
        <v>0</v>
      </c>
    </row>
    <row r="506" spans="1:13" ht="15.4" customHeight="1" thickBot="1">
      <c r="A506" s="42" t="s">
        <v>428</v>
      </c>
      <c r="B506" s="42" t="s">
        <v>12</v>
      </c>
      <c r="C506" s="43"/>
      <c r="D506" s="66" t="s">
        <v>429</v>
      </c>
      <c r="E506" s="66"/>
      <c r="F506" s="66"/>
      <c r="G506" s="66"/>
      <c r="H506" s="66"/>
      <c r="I506" s="66"/>
      <c r="J506" s="66"/>
      <c r="K506" s="43"/>
      <c r="L506" s="44">
        <f ca="1">L518</f>
        <v>0</v>
      </c>
      <c r="M506" s="44">
        <f ca="1">ROUND(L506,2)</f>
        <v>0</v>
      </c>
    </row>
    <row r="507" spans="1:13" ht="15.4" customHeight="1" thickBot="1">
      <c r="A507" s="10" t="s">
        <v>430</v>
      </c>
      <c r="B507" s="5" t="s">
        <v>16</v>
      </c>
      <c r="C507" s="5" t="s">
        <v>29</v>
      </c>
      <c r="D507" s="64" t="s">
        <v>431</v>
      </c>
      <c r="E507" s="64"/>
      <c r="F507" s="64"/>
      <c r="G507" s="64"/>
      <c r="H507" s="64"/>
      <c r="I507" s="64"/>
      <c r="J507" s="64"/>
      <c r="K507" s="17">
        <f ca="1">SUM(K510:K510)</f>
        <v>0</v>
      </c>
      <c r="L507" s="18">
        <f ca="1">L517</f>
        <v>0</v>
      </c>
      <c r="M507" s="18">
        <f ca="1">ROUND(K507*L507,2)</f>
        <v>0</v>
      </c>
    </row>
    <row r="508" spans="1:13" ht="21.4" customHeight="1" thickBot="1">
      <c r="A508" s="19"/>
      <c r="B508" s="19"/>
      <c r="C508" s="19"/>
      <c r="D508" s="64" t="s">
        <v>432</v>
      </c>
      <c r="E508" s="64"/>
      <c r="F508" s="64"/>
      <c r="G508" s="64"/>
      <c r="H508" s="64"/>
      <c r="I508" s="64"/>
      <c r="J508" s="64"/>
      <c r="K508" s="64"/>
      <c r="L508" s="64"/>
      <c r="M508" s="64"/>
    </row>
    <row r="509" spans="1:13" ht="15.2" customHeight="1" thickBot="1">
      <c r="A509" s="19"/>
      <c r="B509" s="19"/>
      <c r="C509" s="19"/>
      <c r="D509" s="19"/>
      <c r="E509" s="28"/>
      <c r="F509" s="29" t="s">
        <v>39</v>
      </c>
      <c r="G509" s="29" t="s">
        <v>40</v>
      </c>
      <c r="H509" s="29" t="s">
        <v>41</v>
      </c>
      <c r="I509" s="29" t="s">
        <v>42</v>
      </c>
      <c r="J509" s="29" t="s">
        <v>43</v>
      </c>
      <c r="K509" s="29" t="s">
        <v>44</v>
      </c>
      <c r="L509" s="19"/>
      <c r="M509" s="19"/>
    </row>
    <row r="510" spans="1:13" ht="15.2" customHeight="1" thickBot="1">
      <c r="A510" s="19"/>
      <c r="B510" s="19"/>
      <c r="C510" s="19"/>
      <c r="D510" s="30"/>
      <c r="E510" s="31"/>
      <c r="F510" s="32">
        <v>1</v>
      </c>
      <c r="G510" s="33">
        <v>50</v>
      </c>
      <c r="H510" s="33">
        <v>0.4</v>
      </c>
      <c r="I510" s="33"/>
      <c r="J510" s="35">
        <f ca="1">ROUND(F510*G510*H510,3)</f>
        <v>0</v>
      </c>
      <c r="K510" s="37">
        <f ca="1">SUM(J510:J510)</f>
        <v>0</v>
      </c>
      <c r="L510" s="19"/>
      <c r="M510" s="19"/>
    </row>
    <row r="511" spans="1:13" ht="15.2" customHeight="1" thickBot="1">
      <c r="A511" s="5" t="s">
        <v>433</v>
      </c>
      <c r="B511" s="5" t="s">
        <v>21</v>
      </c>
      <c r="C511" s="5" t="s">
        <v>22</v>
      </c>
      <c r="D511" s="64" t="s">
        <v>434</v>
      </c>
      <c r="E511" s="64"/>
      <c r="F511" s="64"/>
      <c r="G511" s="64"/>
      <c r="H511" s="64"/>
      <c r="I511" s="64"/>
      <c r="J511" s="64"/>
      <c r="K511" s="17">
        <v>0.22</v>
      </c>
      <c r="L511" s="17">
        <f ca="1">ROUND(20.16,3)</f>
        <v>0</v>
      </c>
      <c r="M511" s="18">
        <f ca="1">ROUND(K511*L511,2)</f>
        <v>0</v>
      </c>
    </row>
    <row r="512" spans="1:13" ht="15.2" customHeight="1" thickBot="1">
      <c r="A512" s="5" t="s">
        <v>435</v>
      </c>
      <c r="B512" s="5" t="s">
        <v>21</v>
      </c>
      <c r="C512" s="5" t="s">
        <v>22</v>
      </c>
      <c r="D512" s="64" t="s">
        <v>436</v>
      </c>
      <c r="E512" s="64"/>
      <c r="F512" s="64"/>
      <c r="G512" s="64"/>
      <c r="H512" s="64"/>
      <c r="I512" s="64"/>
      <c r="J512" s="64"/>
      <c r="K512" s="17">
        <v>0.15</v>
      </c>
      <c r="L512" s="17">
        <f ca="1">ROUND(24.2,3)</f>
        <v>0</v>
      </c>
      <c r="M512" s="18">
        <f ca="1">ROUND(K512*L512,2)</f>
        <v>0</v>
      </c>
    </row>
    <row r="513" spans="1:13" ht="15.2" customHeight="1" thickBot="1">
      <c r="A513" s="5" t="s">
        <v>437</v>
      </c>
      <c r="B513" s="5" t="s">
        <v>69</v>
      </c>
      <c r="C513" s="5" t="s">
        <v>53</v>
      </c>
      <c r="D513" s="64" t="s">
        <v>438</v>
      </c>
      <c r="E513" s="64"/>
      <c r="F513" s="64"/>
      <c r="G513" s="64"/>
      <c r="H513" s="64"/>
      <c r="I513" s="64"/>
      <c r="J513" s="64"/>
      <c r="K513" s="17">
        <v>0.158</v>
      </c>
      <c r="L513" s="17">
        <f ca="1">ROUND(122.06,3)</f>
        <v>0</v>
      </c>
      <c r="M513" s="18">
        <f ca="1">ROUND(K513*L513,2)</f>
        <v>0</v>
      </c>
    </row>
    <row r="514" spans="1:13" ht="15.2" customHeight="1" thickBot="1">
      <c r="A514" s="5" t="s">
        <v>439</v>
      </c>
      <c r="B514" s="5" t="s">
        <v>69</v>
      </c>
      <c r="C514" s="5" t="s">
        <v>29</v>
      </c>
      <c r="D514" s="64" t="s">
        <v>440</v>
      </c>
      <c r="E514" s="64"/>
      <c r="F514" s="64"/>
      <c r="G514" s="64"/>
      <c r="H514" s="64"/>
      <c r="I514" s="64"/>
      <c r="J514" s="64"/>
      <c r="K514" s="17">
        <v>1.2</v>
      </c>
      <c r="L514" s="17">
        <f ca="1">ROUND(1.47,3)</f>
        <v>0</v>
      </c>
      <c r="M514" s="18">
        <f ca="1">ROUND(K514*L514,2)</f>
        <v>0</v>
      </c>
    </row>
    <row r="515" spans="1:13" ht="15.2" customHeight="1" thickBot="1">
      <c r="A515" s="5" t="s">
        <v>441</v>
      </c>
      <c r="B515" s="5" t="s">
        <v>48</v>
      </c>
      <c r="C515" s="5" t="s">
        <v>22</v>
      </c>
      <c r="D515" s="64" t="s">
        <v>442</v>
      </c>
      <c r="E515" s="64"/>
      <c r="F515" s="64"/>
      <c r="G515" s="64"/>
      <c r="H515" s="64"/>
      <c r="I515" s="64"/>
      <c r="J515" s="64"/>
      <c r="K515" s="17">
        <v>0.05</v>
      </c>
      <c r="L515" s="17">
        <f ca="1">ROUND(5.86,3)</f>
        <v>0</v>
      </c>
      <c r="M515" s="18">
        <f ca="1">ROUND(K515*L515,2)</f>
        <v>0</v>
      </c>
    </row>
    <row r="516" spans="1:13" ht="15.2" customHeight="1" thickBot="1">
      <c r="A516" s="5" t="s">
        <v>34</v>
      </c>
      <c r="B516" s="5"/>
      <c r="C516" s="5" t="s">
        <v>26</v>
      </c>
      <c r="D516" s="64" t="s">
        <v>35</v>
      </c>
      <c r="E516" s="64"/>
      <c r="F516" s="64"/>
      <c r="G516" s="64"/>
      <c r="H516" s="64"/>
      <c r="I516" s="64"/>
      <c r="J516" s="64"/>
      <c r="K516" s="17">
        <v>1.5</v>
      </c>
      <c r="L516" s="17">
        <f ca="1">ROUND(8.07,3)</f>
        <v>0</v>
      </c>
      <c r="M516" s="18">
        <f ca="1">ROUND((K516*L516)/100,2)</f>
        <v>0</v>
      </c>
    </row>
    <row r="517" spans="1:13" ht="15.4" customHeight="1" thickBot="1">
      <c r="A517" s="20"/>
      <c r="B517" s="20"/>
      <c r="C517" s="20"/>
      <c r="D517" s="21" t="s">
        <v>430</v>
      </c>
      <c r="E517" s="20"/>
      <c r="F517" s="20"/>
      <c r="G517" s="20"/>
      <c r="H517" s="20"/>
      <c r="I517" s="20"/>
      <c r="J517" s="20"/>
      <c r="K517" s="22">
        <v>20</v>
      </c>
      <c r="L517" s="23">
        <f ca="1">ROUND((M511+M512+M513+M514+M515+M516)*(1+M2/100),2)</f>
        <v>0</v>
      </c>
      <c r="M517" s="23">
        <f ca="1">ROUND(K517*L517,2)</f>
        <v>0</v>
      </c>
    </row>
    <row r="518" spans="1:13" ht="15.4" customHeight="1" thickBot="1">
      <c r="A518" s="38"/>
      <c r="B518" s="38"/>
      <c r="C518" s="38"/>
      <c r="D518" s="39" t="s">
        <v>428</v>
      </c>
      <c r="E518" s="40"/>
      <c r="F518" s="40"/>
      <c r="G518" s="40"/>
      <c r="H518" s="40"/>
      <c r="I518" s="40"/>
      <c r="J518" s="40"/>
      <c r="K518" s="40"/>
      <c r="L518" s="41">
        <f ca="1">M507</f>
        <v>0</v>
      </c>
      <c r="M518" s="41">
        <f ca="1">ROUND(L518,2)</f>
        <v>0</v>
      </c>
    </row>
    <row r="519" spans="1:13" ht="15.4" customHeight="1" thickBot="1">
      <c r="A519" s="42" t="s">
        <v>443</v>
      </c>
      <c r="B519" s="42" t="s">
        <v>12</v>
      </c>
      <c r="C519" s="43"/>
      <c r="D519" s="66" t="s">
        <v>444</v>
      </c>
      <c r="E519" s="66"/>
      <c r="F519" s="66"/>
      <c r="G519" s="66"/>
      <c r="H519" s="66"/>
      <c r="I519" s="66"/>
      <c r="J519" s="66"/>
      <c r="K519" s="43"/>
      <c r="L519" s="44">
        <f ca="1">L524</f>
        <v>0</v>
      </c>
      <c r="M519" s="44">
        <f ca="1">ROUND(L519,2)</f>
        <v>0</v>
      </c>
    </row>
    <row r="520" spans="1:13" ht="15.4" customHeight="1" thickBot="1">
      <c r="A520" s="10" t="s">
        <v>445</v>
      </c>
      <c r="B520" s="5" t="s">
        <v>16</v>
      </c>
      <c r="C520" s="5" t="s">
        <v>85</v>
      </c>
      <c r="D520" s="64" t="s">
        <v>446</v>
      </c>
      <c r="E520" s="64"/>
      <c r="F520" s="64"/>
      <c r="G520" s="64"/>
      <c r="H520" s="64"/>
      <c r="I520" s="64"/>
      <c r="J520" s="64"/>
      <c r="K520" s="17">
        <f ca="1">ROUND(1,2)</f>
        <v>0</v>
      </c>
      <c r="L520" s="18">
        <f ca="1">L523</f>
        <v>0</v>
      </c>
      <c r="M520" s="18">
        <f ca="1">ROUND(K520*L520,2)</f>
        <v>0</v>
      </c>
    </row>
    <row r="521" spans="1:13" ht="12.2" customHeight="1" thickBot="1">
      <c r="A521" s="19"/>
      <c r="B521" s="19"/>
      <c r="C521" s="19"/>
      <c r="D521" s="64" t="s">
        <v>446</v>
      </c>
      <c r="E521" s="64"/>
      <c r="F521" s="64"/>
      <c r="G521" s="64"/>
      <c r="H521" s="64"/>
      <c r="I521" s="64"/>
      <c r="J521" s="64"/>
      <c r="K521" s="64"/>
      <c r="L521" s="64"/>
      <c r="M521" s="64"/>
    </row>
    <row r="522" spans="1:13" ht="15.2" customHeight="1" thickBot="1">
      <c r="A522" s="5" t="s">
        <v>447</v>
      </c>
      <c r="B522" s="5" t="s">
        <v>69</v>
      </c>
      <c r="C522" s="5" t="s">
        <v>85</v>
      </c>
      <c r="D522" s="64" t="s">
        <v>446</v>
      </c>
      <c r="E522" s="64"/>
      <c r="F522" s="64"/>
      <c r="G522" s="64"/>
      <c r="H522" s="64"/>
      <c r="I522" s="64"/>
      <c r="J522" s="64"/>
      <c r="K522" s="17">
        <v>1</v>
      </c>
      <c r="L522" s="17">
        <f ca="1">ROUND(142,3)</f>
        <v>0</v>
      </c>
      <c r="M522" s="18">
        <f ca="1">ROUND(K522*L522,2)</f>
        <v>0</v>
      </c>
    </row>
    <row r="523" spans="1:13" ht="15.4" customHeight="1" thickBot="1">
      <c r="A523" s="20"/>
      <c r="B523" s="20"/>
      <c r="C523" s="20"/>
      <c r="D523" s="21" t="s">
        <v>445</v>
      </c>
      <c r="E523" s="20"/>
      <c r="F523" s="20"/>
      <c r="G523" s="20"/>
      <c r="H523" s="20"/>
      <c r="I523" s="20"/>
      <c r="J523" s="20"/>
      <c r="K523" s="22">
        <v>1</v>
      </c>
      <c r="L523" s="23">
        <f ca="1">ROUND((M522)*(1+M2/100),2)</f>
        <v>0</v>
      </c>
      <c r="M523" s="23">
        <f ca="1">ROUND(K523*L523,2)</f>
        <v>0</v>
      </c>
    </row>
    <row r="524" spans="1:13" ht="15.4" customHeight="1" thickBot="1">
      <c r="A524" s="38"/>
      <c r="B524" s="38"/>
      <c r="C524" s="38"/>
      <c r="D524" s="39" t="s">
        <v>443</v>
      </c>
      <c r="E524" s="40"/>
      <c r="F524" s="40"/>
      <c r="G524" s="40"/>
      <c r="H524" s="40"/>
      <c r="I524" s="40"/>
      <c r="J524" s="40"/>
      <c r="K524" s="40"/>
      <c r="L524" s="41">
        <f ca="1">M520</f>
        <v>0</v>
      </c>
      <c r="M524" s="41">
        <f ca="1">ROUND(L524,2)</f>
        <v>0</v>
      </c>
    </row>
    <row r="525" spans="1:13" ht="15.4" customHeight="1" thickBot="1">
      <c r="A525" s="38"/>
      <c r="B525" s="38"/>
      <c r="C525" s="38"/>
      <c r="D525" s="58" t="s">
        <v>11</v>
      </c>
      <c r="E525" s="59"/>
      <c r="F525" s="59"/>
      <c r="G525" s="59"/>
      <c r="H525" s="59"/>
      <c r="I525" s="59"/>
      <c r="J525" s="59"/>
      <c r="K525" s="59"/>
      <c r="L525" s="60">
        <f ca="1">M52+M252+M497+M505+M518+M524</f>
        <v>0</v>
      </c>
      <c r="M525" s="60">
        <f ca="1">ROUND(L525,2)</f>
        <v>0</v>
      </c>
    </row>
  </sheetData>
  <mergeCells count="428">
    <mergeCell ref="D516:J516"/>
    <mergeCell ref="D519:J519"/>
    <mergeCell ref="D520:J520"/>
    <mergeCell ref="D521:M521"/>
    <mergeCell ref="D522:J522"/>
    <mergeCell ref="D504:M504"/>
    <mergeCell ref="D506:J506"/>
    <mergeCell ref="D507:J507"/>
    <mergeCell ref="D508:M508"/>
    <mergeCell ref="D511:J511"/>
    <mergeCell ref="D512:J512"/>
    <mergeCell ref="D513:J513"/>
    <mergeCell ref="D514:J514"/>
    <mergeCell ref="D515:J515"/>
    <mergeCell ref="D494:M494"/>
    <mergeCell ref="D495:J495"/>
    <mergeCell ref="D496:M496"/>
    <mergeCell ref="D498:J498"/>
    <mergeCell ref="D499:J499"/>
    <mergeCell ref="D500:M500"/>
    <mergeCell ref="D501:J501"/>
    <mergeCell ref="D502:M502"/>
    <mergeCell ref="D503:J503"/>
    <mergeCell ref="D484:M484"/>
    <mergeCell ref="D485:J485"/>
    <mergeCell ref="D486:J486"/>
    <mergeCell ref="D487:J487"/>
    <mergeCell ref="D488:J488"/>
    <mergeCell ref="D489:J489"/>
    <mergeCell ref="D490:J490"/>
    <mergeCell ref="D491:J491"/>
    <mergeCell ref="D493:J493"/>
    <mergeCell ref="D474:J474"/>
    <mergeCell ref="D475:J475"/>
    <mergeCell ref="D476:J476"/>
    <mergeCell ref="D477:J477"/>
    <mergeCell ref="D478:J478"/>
    <mergeCell ref="D479:J479"/>
    <mergeCell ref="D480:J480"/>
    <mergeCell ref="D481:J481"/>
    <mergeCell ref="D483:J483"/>
    <mergeCell ref="D464:J464"/>
    <mergeCell ref="D465:J465"/>
    <mergeCell ref="D466:J466"/>
    <mergeCell ref="D467:J467"/>
    <mergeCell ref="D468:J468"/>
    <mergeCell ref="D469:J469"/>
    <mergeCell ref="D470:J470"/>
    <mergeCell ref="D472:J472"/>
    <mergeCell ref="D473:M473"/>
    <mergeCell ref="D454:J454"/>
    <mergeCell ref="D455:J455"/>
    <mergeCell ref="D456:J456"/>
    <mergeCell ref="D457:J457"/>
    <mergeCell ref="D458:J458"/>
    <mergeCell ref="D459:J459"/>
    <mergeCell ref="D460:J460"/>
    <mergeCell ref="D462:J462"/>
    <mergeCell ref="D463:M463"/>
    <mergeCell ref="D444:J444"/>
    <mergeCell ref="D445:M445"/>
    <mergeCell ref="D446:J446"/>
    <mergeCell ref="D447:J447"/>
    <mergeCell ref="D448:J448"/>
    <mergeCell ref="D449:J449"/>
    <mergeCell ref="D451:J451"/>
    <mergeCell ref="D452:M452"/>
    <mergeCell ref="D453:J453"/>
    <mergeCell ref="D433:J433"/>
    <mergeCell ref="D434:J434"/>
    <mergeCell ref="D435:J435"/>
    <mergeCell ref="D437:J437"/>
    <mergeCell ref="D438:M438"/>
    <mergeCell ref="D439:J439"/>
    <mergeCell ref="D440:J440"/>
    <mergeCell ref="D441:J441"/>
    <mergeCell ref="D442:J442"/>
    <mergeCell ref="D423:M423"/>
    <mergeCell ref="D424:J424"/>
    <mergeCell ref="D425:J425"/>
    <mergeCell ref="D426:J426"/>
    <mergeCell ref="D427:J427"/>
    <mergeCell ref="D428:J428"/>
    <mergeCell ref="D430:J430"/>
    <mergeCell ref="D431:M431"/>
    <mergeCell ref="D432:J432"/>
    <mergeCell ref="D412:J412"/>
    <mergeCell ref="D413:J413"/>
    <mergeCell ref="D415:J415"/>
    <mergeCell ref="D416:M416"/>
    <mergeCell ref="D417:J417"/>
    <mergeCell ref="D418:J418"/>
    <mergeCell ref="D419:J419"/>
    <mergeCell ref="D420:J420"/>
    <mergeCell ref="D422:J422"/>
    <mergeCell ref="D402:J402"/>
    <mergeCell ref="D403:J403"/>
    <mergeCell ref="D404:J404"/>
    <mergeCell ref="D405:J405"/>
    <mergeCell ref="D407:J407"/>
    <mergeCell ref="D408:M408"/>
    <mergeCell ref="D409:J409"/>
    <mergeCell ref="D410:J410"/>
    <mergeCell ref="D411:J411"/>
    <mergeCell ref="D391:J391"/>
    <mergeCell ref="D393:J393"/>
    <mergeCell ref="D394:M394"/>
    <mergeCell ref="D395:J395"/>
    <mergeCell ref="D396:J396"/>
    <mergeCell ref="D397:J397"/>
    <mergeCell ref="D398:J398"/>
    <mergeCell ref="D400:J400"/>
    <mergeCell ref="D401:M401"/>
    <mergeCell ref="D381:J381"/>
    <mergeCell ref="D382:J382"/>
    <mergeCell ref="D383:J383"/>
    <mergeCell ref="D384:J384"/>
    <mergeCell ref="D386:J386"/>
    <mergeCell ref="D387:M387"/>
    <mergeCell ref="D388:J388"/>
    <mergeCell ref="D389:J389"/>
    <mergeCell ref="D390:J390"/>
    <mergeCell ref="D370:J370"/>
    <mergeCell ref="D372:J372"/>
    <mergeCell ref="D373:M373"/>
    <mergeCell ref="D374:J374"/>
    <mergeCell ref="D375:J375"/>
    <mergeCell ref="D376:J376"/>
    <mergeCell ref="D377:J377"/>
    <mergeCell ref="D379:J379"/>
    <mergeCell ref="D380:M380"/>
    <mergeCell ref="D360:M360"/>
    <mergeCell ref="D361:J361"/>
    <mergeCell ref="D362:J362"/>
    <mergeCell ref="D363:J363"/>
    <mergeCell ref="D364:J364"/>
    <mergeCell ref="D366:J366"/>
    <mergeCell ref="D367:M367"/>
    <mergeCell ref="D368:J368"/>
    <mergeCell ref="D369:J369"/>
    <mergeCell ref="D349:J349"/>
    <mergeCell ref="D350:J350"/>
    <mergeCell ref="D352:J352"/>
    <mergeCell ref="D353:M353"/>
    <mergeCell ref="D354:J354"/>
    <mergeCell ref="D355:J355"/>
    <mergeCell ref="D356:J356"/>
    <mergeCell ref="D357:J357"/>
    <mergeCell ref="D359:J359"/>
    <mergeCell ref="D339:M339"/>
    <mergeCell ref="D340:J340"/>
    <mergeCell ref="D341:J341"/>
    <mergeCell ref="D342:J342"/>
    <mergeCell ref="D343:J343"/>
    <mergeCell ref="D345:J345"/>
    <mergeCell ref="D346:M346"/>
    <mergeCell ref="D347:J347"/>
    <mergeCell ref="D348:J348"/>
    <mergeCell ref="D328:J328"/>
    <mergeCell ref="D329:J329"/>
    <mergeCell ref="D331:J331"/>
    <mergeCell ref="D332:M332"/>
    <mergeCell ref="D333:J333"/>
    <mergeCell ref="D334:J334"/>
    <mergeCell ref="D335:J335"/>
    <mergeCell ref="D336:J336"/>
    <mergeCell ref="D338:J338"/>
    <mergeCell ref="D318:M318"/>
    <mergeCell ref="D319:J319"/>
    <mergeCell ref="D320:J320"/>
    <mergeCell ref="D321:J321"/>
    <mergeCell ref="D322:J322"/>
    <mergeCell ref="D324:J324"/>
    <mergeCell ref="D325:M325"/>
    <mergeCell ref="D326:J326"/>
    <mergeCell ref="D327:J327"/>
    <mergeCell ref="D307:J307"/>
    <mergeCell ref="D308:J308"/>
    <mergeCell ref="D310:J310"/>
    <mergeCell ref="D311:M311"/>
    <mergeCell ref="D312:J312"/>
    <mergeCell ref="D313:J313"/>
    <mergeCell ref="D314:J314"/>
    <mergeCell ref="D315:J315"/>
    <mergeCell ref="D317:J317"/>
    <mergeCell ref="D297:M297"/>
    <mergeCell ref="D298:J298"/>
    <mergeCell ref="D299:J299"/>
    <mergeCell ref="D300:J300"/>
    <mergeCell ref="D301:J301"/>
    <mergeCell ref="D303:J303"/>
    <mergeCell ref="D304:M304"/>
    <mergeCell ref="D305:J305"/>
    <mergeCell ref="D306:J306"/>
    <mergeCell ref="D286:J286"/>
    <mergeCell ref="D287:J287"/>
    <mergeCell ref="D289:J289"/>
    <mergeCell ref="D290:M290"/>
    <mergeCell ref="D291:J291"/>
    <mergeCell ref="D292:J292"/>
    <mergeCell ref="D293:J293"/>
    <mergeCell ref="D294:J294"/>
    <mergeCell ref="D296:J296"/>
    <mergeCell ref="D276:M276"/>
    <mergeCell ref="D277:J277"/>
    <mergeCell ref="D278:J278"/>
    <mergeCell ref="D279:J279"/>
    <mergeCell ref="D280:J280"/>
    <mergeCell ref="D282:J282"/>
    <mergeCell ref="D283:M283"/>
    <mergeCell ref="D284:J284"/>
    <mergeCell ref="D285:J285"/>
    <mergeCell ref="D265:J265"/>
    <mergeCell ref="D266:J266"/>
    <mergeCell ref="D268:J268"/>
    <mergeCell ref="D269:M269"/>
    <mergeCell ref="D270:J270"/>
    <mergeCell ref="D271:J271"/>
    <mergeCell ref="D272:J272"/>
    <mergeCell ref="D273:J273"/>
    <mergeCell ref="D275:J275"/>
    <mergeCell ref="D255:M255"/>
    <mergeCell ref="D256:J256"/>
    <mergeCell ref="D257:J257"/>
    <mergeCell ref="D258:J258"/>
    <mergeCell ref="D259:J259"/>
    <mergeCell ref="D261:J261"/>
    <mergeCell ref="D262:M262"/>
    <mergeCell ref="D263:J263"/>
    <mergeCell ref="D264:J264"/>
    <mergeCell ref="D243:J243"/>
    <mergeCell ref="D244:J244"/>
    <mergeCell ref="D245:M245"/>
    <mergeCell ref="D246:J246"/>
    <mergeCell ref="D247:M247"/>
    <mergeCell ref="D248:J248"/>
    <mergeCell ref="D249:J249"/>
    <mergeCell ref="D253:J253"/>
    <mergeCell ref="D254:J254"/>
    <mergeCell ref="D231:J231"/>
    <mergeCell ref="D232:J232"/>
    <mergeCell ref="D233:J233"/>
    <mergeCell ref="D235:J235"/>
    <mergeCell ref="D236:M236"/>
    <mergeCell ref="D237:J237"/>
    <mergeCell ref="D238:J238"/>
    <mergeCell ref="D239:J239"/>
    <mergeCell ref="D240:J240"/>
    <mergeCell ref="D217:J217"/>
    <mergeCell ref="D218:M218"/>
    <mergeCell ref="D221:J221"/>
    <mergeCell ref="D222:J222"/>
    <mergeCell ref="D223:J223"/>
    <mergeCell ref="D224:J224"/>
    <mergeCell ref="D226:J226"/>
    <mergeCell ref="D227:M227"/>
    <mergeCell ref="D230:J230"/>
    <mergeCell ref="D206:J206"/>
    <mergeCell ref="D207:J207"/>
    <mergeCell ref="D208:J208"/>
    <mergeCell ref="D210:J210"/>
    <mergeCell ref="D211:M211"/>
    <mergeCell ref="D212:J212"/>
    <mergeCell ref="D213:J213"/>
    <mergeCell ref="D214:J214"/>
    <mergeCell ref="D215:J215"/>
    <mergeCell ref="D194:J194"/>
    <mergeCell ref="D195:M195"/>
    <mergeCell ref="D196:J196"/>
    <mergeCell ref="D197:J197"/>
    <mergeCell ref="D198:J198"/>
    <mergeCell ref="D199:J199"/>
    <mergeCell ref="D201:J201"/>
    <mergeCell ref="D202:M202"/>
    <mergeCell ref="D205:J205"/>
    <mergeCell ref="D183:J183"/>
    <mergeCell ref="D184:J184"/>
    <mergeCell ref="D185:J185"/>
    <mergeCell ref="D187:J187"/>
    <mergeCell ref="D188:M188"/>
    <mergeCell ref="D189:J189"/>
    <mergeCell ref="D190:J190"/>
    <mergeCell ref="D191:J191"/>
    <mergeCell ref="D192:J192"/>
    <mergeCell ref="D171:J171"/>
    <mergeCell ref="D172:M172"/>
    <mergeCell ref="D175:J175"/>
    <mergeCell ref="D176:J176"/>
    <mergeCell ref="D177:J177"/>
    <mergeCell ref="D178:J178"/>
    <mergeCell ref="D180:J180"/>
    <mergeCell ref="D181:M181"/>
    <mergeCell ref="D182:J182"/>
    <mergeCell ref="D160:J160"/>
    <mergeCell ref="D161:J161"/>
    <mergeCell ref="D163:J163"/>
    <mergeCell ref="D164:M164"/>
    <mergeCell ref="D165:J165"/>
    <mergeCell ref="D166:J166"/>
    <mergeCell ref="D167:J167"/>
    <mergeCell ref="D168:J168"/>
    <mergeCell ref="D169:J169"/>
    <mergeCell ref="D147:J147"/>
    <mergeCell ref="D148:J148"/>
    <mergeCell ref="D149:J149"/>
    <mergeCell ref="D150:J150"/>
    <mergeCell ref="D151:J151"/>
    <mergeCell ref="D153:J153"/>
    <mergeCell ref="D154:M154"/>
    <mergeCell ref="D158:J158"/>
    <mergeCell ref="D159:J159"/>
    <mergeCell ref="D136:J136"/>
    <mergeCell ref="D137:M137"/>
    <mergeCell ref="D138:J138"/>
    <mergeCell ref="D139:J139"/>
    <mergeCell ref="D140:J140"/>
    <mergeCell ref="D141:J141"/>
    <mergeCell ref="D144:J144"/>
    <mergeCell ref="D145:J145"/>
    <mergeCell ref="D146:M146"/>
    <mergeCell ref="D125:J125"/>
    <mergeCell ref="D126:J126"/>
    <mergeCell ref="D128:J128"/>
    <mergeCell ref="D129:M129"/>
    <mergeCell ref="D130:J130"/>
    <mergeCell ref="D131:J131"/>
    <mergeCell ref="D132:J132"/>
    <mergeCell ref="D133:J133"/>
    <mergeCell ref="D134:J134"/>
    <mergeCell ref="D115:J115"/>
    <mergeCell ref="D116:J116"/>
    <mergeCell ref="D117:J117"/>
    <mergeCell ref="D118:J118"/>
    <mergeCell ref="D120:J120"/>
    <mergeCell ref="D121:M121"/>
    <mergeCell ref="D122:J122"/>
    <mergeCell ref="D123:J123"/>
    <mergeCell ref="D124:J124"/>
    <mergeCell ref="D105:M105"/>
    <mergeCell ref="D106:J106"/>
    <mergeCell ref="D107:J107"/>
    <mergeCell ref="D108:J108"/>
    <mergeCell ref="D109:J109"/>
    <mergeCell ref="D110:J110"/>
    <mergeCell ref="D112:J112"/>
    <mergeCell ref="D113:M113"/>
    <mergeCell ref="D114:J114"/>
    <mergeCell ref="D94:J94"/>
    <mergeCell ref="D96:J96"/>
    <mergeCell ref="D97:M97"/>
    <mergeCell ref="D98:J98"/>
    <mergeCell ref="D99:J99"/>
    <mergeCell ref="D100:J100"/>
    <mergeCell ref="D101:J101"/>
    <mergeCell ref="D102:J102"/>
    <mergeCell ref="D104:J104"/>
    <mergeCell ref="D84:J84"/>
    <mergeCell ref="D85:J85"/>
    <mergeCell ref="D86:J86"/>
    <mergeCell ref="D88:J88"/>
    <mergeCell ref="D89:M89"/>
    <mergeCell ref="D90:J90"/>
    <mergeCell ref="D91:J91"/>
    <mergeCell ref="D92:J92"/>
    <mergeCell ref="D93:J93"/>
    <mergeCell ref="D74:J74"/>
    <mergeCell ref="D75:J75"/>
    <mergeCell ref="D76:J76"/>
    <mergeCell ref="D77:J77"/>
    <mergeCell ref="D78:J78"/>
    <mergeCell ref="D80:J80"/>
    <mergeCell ref="D81:M81"/>
    <mergeCell ref="D82:J82"/>
    <mergeCell ref="D83:J83"/>
    <mergeCell ref="D64:J64"/>
    <mergeCell ref="D65:M65"/>
    <mergeCell ref="D66:J66"/>
    <mergeCell ref="D67:J67"/>
    <mergeCell ref="D68:J68"/>
    <mergeCell ref="D69:J69"/>
    <mergeCell ref="D70:J70"/>
    <mergeCell ref="D72:J72"/>
    <mergeCell ref="D73:M73"/>
    <mergeCell ref="D54:J54"/>
    <mergeCell ref="D55:J55"/>
    <mergeCell ref="D56:M56"/>
    <mergeCell ref="D57:J57"/>
    <mergeCell ref="D58:M58"/>
    <mergeCell ref="D59:J59"/>
    <mergeCell ref="D60:J60"/>
    <mergeCell ref="D61:J61"/>
    <mergeCell ref="D62:J62"/>
    <mergeCell ref="D40:M40"/>
    <mergeCell ref="D41:J41"/>
    <mergeCell ref="D43:J43"/>
    <mergeCell ref="D44:M44"/>
    <mergeCell ref="D47:J47"/>
    <mergeCell ref="D48:J48"/>
    <mergeCell ref="D49:J49"/>
    <mergeCell ref="D50:J50"/>
    <mergeCell ref="D53:J53"/>
    <mergeCell ref="D24:J24"/>
    <mergeCell ref="D26:J26"/>
    <mergeCell ref="D27:M27"/>
    <mergeCell ref="D30:J30"/>
    <mergeCell ref="D32:J32"/>
    <mergeCell ref="D33:M33"/>
    <mergeCell ref="D36:J36"/>
    <mergeCell ref="D37:J37"/>
    <mergeCell ref="D39:J39"/>
    <mergeCell ref="D12:J12"/>
    <mergeCell ref="D13:M13"/>
    <mergeCell ref="D14:J14"/>
    <mergeCell ref="D15:J15"/>
    <mergeCell ref="D17:J17"/>
    <mergeCell ref="D18:M18"/>
    <mergeCell ref="D21:J21"/>
    <mergeCell ref="D22:J22"/>
    <mergeCell ref="D23:J23"/>
    <mergeCell ref="B1:M1"/>
    <mergeCell ref="A2:C2"/>
    <mergeCell ref="D4:J4"/>
    <mergeCell ref="D5:J5"/>
    <mergeCell ref="D6:J6"/>
    <mergeCell ref="D7:M7"/>
    <mergeCell ref="D8:J8"/>
    <mergeCell ref="D9:J9"/>
    <mergeCell ref="D10:J10"/>
  </mergeCells>
  <pageMargins left="0.62007900000000005" right="0.472441" top="0.472441" bottom="0.472441" header="0" footer="0"/>
  <pageSetup paperSize="9" orientation="landscape"/>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Usuario invitado</cp:lastModifiedBy>
  <cp:revision/>
  <dcterms:created xsi:type="dcterms:W3CDTF">2025-12-11T13:34:53Z</dcterms:created>
  <dcterms:modified xsi:type="dcterms:W3CDTF">2025-12-11T13:34:53Z</dcterms:modified>
  <cp:category/>
  <cp:contentStatus/>
</cp:coreProperties>
</file>