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DEF\BUSTIA\APROV\2 SUBMINISTRAMENTS\2.0.- OTA DEF\2.0.6.- Energia 704\CONTRACTES EN PREPARACIÓ\CONTR-2025-655 Subministrament de gas natural COR i COM\"/>
    </mc:Choice>
  </mc:AlternateContent>
  <xr:revisionPtr revIDLastSave="0" documentId="13_ncr:1_{C5710B32-6447-4D93-9E16-78C28C9AAD83}" xr6:coauthVersionLast="47" xr6:coauthVersionMax="47" xr10:uidLastSave="{00000000-0000-0000-0000-000000000000}"/>
  <bookViews>
    <workbookView xWindow="-96" yWindow="0" windowWidth="20820" windowHeight="16620" xr2:uid="{00000000-000D-0000-FFFF-FFFF00000000}"/>
  </bookViews>
  <sheets>
    <sheet name="MODEL Oferta Formula Indexada" sheetId="30" r:id="rId1"/>
    <sheet name="Càlcul MODEL Oferta MIBGAS=44" sheetId="31" state="hidden" r:id="rId2"/>
    <sheet name="Càlcul MODEL Oferta MIBGAS=30" sheetId="3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33" l="1"/>
  <c r="D48" i="33"/>
  <c r="D8" i="33"/>
  <c r="D7" i="33"/>
  <c r="D49" i="31"/>
  <c r="D48" i="31"/>
  <c r="D8" i="31"/>
  <c r="D7" i="31"/>
  <c r="O84" i="33" l="1"/>
  <c r="K84" i="33"/>
  <c r="R77" i="33"/>
  <c r="Q74" i="33"/>
  <c r="P74" i="33"/>
  <c r="K74" i="33"/>
  <c r="H74" i="33"/>
  <c r="G74" i="33"/>
  <c r="H63" i="33"/>
  <c r="I63" i="33" s="1"/>
  <c r="G63" i="33"/>
  <c r="G65" i="33" s="1"/>
  <c r="F55" i="33"/>
  <c r="G55" i="33" s="1"/>
  <c r="L74" i="33"/>
  <c r="J74" i="33"/>
  <c r="I74" i="33"/>
  <c r="G59" i="33"/>
  <c r="R51" i="33"/>
  <c r="Q42" i="33"/>
  <c r="P42" i="33"/>
  <c r="M42" i="33"/>
  <c r="I42" i="33"/>
  <c r="Q41" i="33"/>
  <c r="P41" i="33"/>
  <c r="O41" i="33"/>
  <c r="O42" i="33" s="1"/>
  <c r="N41" i="33"/>
  <c r="N42" i="33" s="1"/>
  <c r="M41" i="33"/>
  <c r="L41" i="33"/>
  <c r="L42" i="33" s="1"/>
  <c r="K41" i="33"/>
  <c r="K42" i="33" s="1"/>
  <c r="J41" i="33"/>
  <c r="J42" i="33" s="1"/>
  <c r="I41" i="33"/>
  <c r="H41" i="33"/>
  <c r="H42" i="33" s="1"/>
  <c r="G41" i="33"/>
  <c r="G42" i="33" s="1"/>
  <c r="F41" i="33"/>
  <c r="F42" i="33" s="1"/>
  <c r="R42" i="33" s="1"/>
  <c r="R40" i="33"/>
  <c r="F40" i="33"/>
  <c r="O37" i="33"/>
  <c r="K37" i="33"/>
  <c r="J37" i="33"/>
  <c r="I37" i="33"/>
  <c r="F37" i="33"/>
  <c r="F32" i="33"/>
  <c r="G30" i="33"/>
  <c r="G69" i="33" s="1"/>
  <c r="F29" i="33"/>
  <c r="F26" i="33"/>
  <c r="G24" i="33"/>
  <c r="F23" i="33"/>
  <c r="G23" i="33" s="1"/>
  <c r="G25" i="33" s="1"/>
  <c r="F21" i="33"/>
  <c r="F20" i="33"/>
  <c r="F19" i="33"/>
  <c r="G18" i="33"/>
  <c r="H18" i="33" s="1"/>
  <c r="G17" i="33"/>
  <c r="G58" i="33" s="1"/>
  <c r="F17" i="33"/>
  <c r="F58" i="33" s="1"/>
  <c r="F14" i="33"/>
  <c r="G14" i="33" s="1"/>
  <c r="Q84" i="33"/>
  <c r="N84" i="33"/>
  <c r="J84" i="33"/>
  <c r="R10" i="33"/>
  <c r="F62" i="33" s="1"/>
  <c r="F64" i="33" s="1"/>
  <c r="I84" i="31"/>
  <c r="I46" i="30" s="1"/>
  <c r="R77" i="31"/>
  <c r="O74" i="31"/>
  <c r="N74" i="31"/>
  <c r="K74" i="31"/>
  <c r="J74" i="31"/>
  <c r="I74" i="31"/>
  <c r="H74" i="31"/>
  <c r="H69" i="31"/>
  <c r="H63" i="31"/>
  <c r="H65" i="31" s="1"/>
  <c r="G63" i="31"/>
  <c r="F55" i="31"/>
  <c r="G55" i="31" s="1"/>
  <c r="M74" i="31"/>
  <c r="L74" i="31"/>
  <c r="R51" i="31"/>
  <c r="Q42" i="31"/>
  <c r="P42" i="31"/>
  <c r="O42" i="31"/>
  <c r="L42" i="31"/>
  <c r="H42" i="31"/>
  <c r="Q41" i="31"/>
  <c r="P41" i="31"/>
  <c r="O41" i="31"/>
  <c r="N41" i="31"/>
  <c r="N42" i="31" s="1"/>
  <c r="M41" i="31"/>
  <c r="M42" i="31" s="1"/>
  <c r="L41" i="31"/>
  <c r="K41" i="31"/>
  <c r="K42" i="31" s="1"/>
  <c r="J41" i="31"/>
  <c r="J42" i="31" s="1"/>
  <c r="R42" i="31" s="1"/>
  <c r="I41" i="31"/>
  <c r="I42" i="31" s="1"/>
  <c r="H41" i="31"/>
  <c r="G41" i="31"/>
  <c r="G42" i="31" s="1"/>
  <c r="F41" i="31"/>
  <c r="F42" i="31" s="1"/>
  <c r="R40" i="31"/>
  <c r="F40" i="31"/>
  <c r="Q37" i="31"/>
  <c r="P37" i="31"/>
  <c r="O37" i="31"/>
  <c r="I37" i="31"/>
  <c r="F37" i="31"/>
  <c r="G32" i="31"/>
  <c r="F32" i="31"/>
  <c r="G30" i="31"/>
  <c r="H30" i="31" s="1"/>
  <c r="H32" i="31" s="1"/>
  <c r="F29" i="31"/>
  <c r="G26" i="31"/>
  <c r="F26" i="31"/>
  <c r="H24" i="31"/>
  <c r="H26" i="31" s="1"/>
  <c r="G24" i="31"/>
  <c r="F23" i="31"/>
  <c r="F25" i="31" s="1"/>
  <c r="F27" i="31" s="1"/>
  <c r="F20" i="31"/>
  <c r="G18" i="31"/>
  <c r="H18" i="31" s="1"/>
  <c r="F17" i="31"/>
  <c r="F14" i="31"/>
  <c r="G14" i="31" s="1"/>
  <c r="L84" i="31"/>
  <c r="L46" i="30" s="1"/>
  <c r="K84" i="31"/>
  <c r="K46" i="30" s="1"/>
  <c r="J84" i="31"/>
  <c r="J46" i="30" s="1"/>
  <c r="R10" i="31"/>
  <c r="F62" i="31" s="1"/>
  <c r="F64" i="31" s="1"/>
  <c r="F15" i="33" l="1"/>
  <c r="F56" i="31"/>
  <c r="F15" i="31"/>
  <c r="I18" i="33"/>
  <c r="H20" i="33"/>
  <c r="G27" i="33"/>
  <c r="H14" i="33"/>
  <c r="G15" i="33"/>
  <c r="H55" i="33"/>
  <c r="G56" i="33"/>
  <c r="J63" i="33"/>
  <c r="I65" i="33"/>
  <c r="G20" i="33"/>
  <c r="R41" i="33"/>
  <c r="N74" i="33"/>
  <c r="F59" i="33"/>
  <c r="F65" i="33"/>
  <c r="F66" i="33" s="1"/>
  <c r="F84" i="33"/>
  <c r="R84" i="33" s="1"/>
  <c r="F74" i="33"/>
  <c r="R74" i="33" s="1"/>
  <c r="H59" i="33"/>
  <c r="G26" i="33"/>
  <c r="H24" i="33"/>
  <c r="R53" i="33"/>
  <c r="L84" i="33"/>
  <c r="M84" i="33"/>
  <c r="M37" i="33"/>
  <c r="P84" i="33"/>
  <c r="P37" i="33"/>
  <c r="F25" i="33"/>
  <c r="M74" i="33"/>
  <c r="H23" i="33"/>
  <c r="G32" i="33"/>
  <c r="L37" i="33"/>
  <c r="G62" i="33"/>
  <c r="R12" i="33"/>
  <c r="H30" i="33"/>
  <c r="N37" i="33"/>
  <c r="O74" i="33"/>
  <c r="G84" i="33"/>
  <c r="G37" i="33"/>
  <c r="R37" i="33" s="1"/>
  <c r="G60" i="33"/>
  <c r="G19" i="33"/>
  <c r="G21" i="33" s="1"/>
  <c r="F69" i="33"/>
  <c r="H84" i="33"/>
  <c r="H37" i="33"/>
  <c r="H32" i="33"/>
  <c r="H17" i="33"/>
  <c r="H65" i="33"/>
  <c r="I20" i="33"/>
  <c r="I84" i="33"/>
  <c r="F68" i="33"/>
  <c r="F31" i="33"/>
  <c r="G29" i="33"/>
  <c r="F56" i="33"/>
  <c r="Q37" i="33"/>
  <c r="H20" i="31"/>
  <c r="I18" i="31"/>
  <c r="H55" i="31"/>
  <c r="G56" i="31"/>
  <c r="F68" i="31"/>
  <c r="F31" i="31"/>
  <c r="G29" i="31"/>
  <c r="F58" i="31"/>
  <c r="F19" i="31"/>
  <c r="G17" i="31"/>
  <c r="I24" i="31"/>
  <c r="P84" i="31"/>
  <c r="P46" i="30" s="1"/>
  <c r="P74" i="31"/>
  <c r="J37" i="31"/>
  <c r="K37" i="31"/>
  <c r="M84" i="31"/>
  <c r="M46" i="30" s="1"/>
  <c r="G23" i="31"/>
  <c r="N84" i="31"/>
  <c r="N46" i="30" s="1"/>
  <c r="I30" i="31"/>
  <c r="H14" i="31"/>
  <c r="G15" i="31"/>
  <c r="Q84" i="31"/>
  <c r="Q46" i="30" s="1"/>
  <c r="Q74" i="31"/>
  <c r="G20" i="31"/>
  <c r="L37" i="31"/>
  <c r="F84" i="31"/>
  <c r="F59" i="31"/>
  <c r="F65" i="31"/>
  <c r="F74" i="31"/>
  <c r="R74" i="31" s="1"/>
  <c r="F69" i="31"/>
  <c r="R53" i="31"/>
  <c r="M37" i="31"/>
  <c r="G59" i="31"/>
  <c r="G74" i="31"/>
  <c r="G69" i="31"/>
  <c r="N37" i="31"/>
  <c r="H59" i="31"/>
  <c r="R41" i="31"/>
  <c r="O84" i="31"/>
  <c r="O46" i="30" s="1"/>
  <c r="F66" i="31"/>
  <c r="I63" i="31"/>
  <c r="G65" i="31"/>
  <c r="R12" i="31"/>
  <c r="G84" i="31"/>
  <c r="G46" i="30" s="1"/>
  <c r="G37" i="31"/>
  <c r="R37" i="31" s="1"/>
  <c r="G62" i="31"/>
  <c r="H84" i="31"/>
  <c r="H46" i="30" s="1"/>
  <c r="H37" i="31"/>
  <c r="H58" i="33" l="1"/>
  <c r="I17" i="33"/>
  <c r="H19" i="33"/>
  <c r="H21" i="33" s="1"/>
  <c r="I24" i="33"/>
  <c r="H26" i="33"/>
  <c r="H25" i="33"/>
  <c r="I23" i="33"/>
  <c r="H29" i="33"/>
  <c r="G68" i="33"/>
  <c r="G70" i="33" s="1"/>
  <c r="G31" i="33"/>
  <c r="G33" i="33" s="1"/>
  <c r="G64" i="33"/>
  <c r="G66" i="33" s="1"/>
  <c r="H62" i="33"/>
  <c r="G35" i="33"/>
  <c r="G36" i="33"/>
  <c r="F60" i="33"/>
  <c r="I14" i="33"/>
  <c r="H15" i="33"/>
  <c r="I30" i="33"/>
  <c r="H69" i="33"/>
  <c r="F27" i="33"/>
  <c r="F33" i="33"/>
  <c r="F70" i="33"/>
  <c r="K63" i="33"/>
  <c r="J65" i="33"/>
  <c r="J18" i="33"/>
  <c r="I59" i="33"/>
  <c r="I55" i="33"/>
  <c r="H56" i="33"/>
  <c r="I32" i="31"/>
  <c r="I69" i="31"/>
  <c r="J30" i="31"/>
  <c r="G25" i="31"/>
  <c r="H23" i="31"/>
  <c r="I26" i="31"/>
  <c r="J24" i="31"/>
  <c r="H56" i="31"/>
  <c r="I55" i="31"/>
  <c r="I14" i="31"/>
  <c r="H15" i="31"/>
  <c r="G31" i="31"/>
  <c r="G33" i="31" s="1"/>
  <c r="G68" i="31"/>
  <c r="G70" i="31" s="1"/>
  <c r="H29" i="31"/>
  <c r="G64" i="31"/>
  <c r="G66" i="31" s="1"/>
  <c r="H62" i="31"/>
  <c r="F60" i="31"/>
  <c r="R84" i="31"/>
  <c r="R46" i="30" s="1"/>
  <c r="S46" i="30" s="1"/>
  <c r="T46" i="30" s="1"/>
  <c r="F46" i="30"/>
  <c r="I20" i="31"/>
  <c r="I59" i="31"/>
  <c r="J18" i="31"/>
  <c r="G58" i="31"/>
  <c r="G60" i="31" s="1"/>
  <c r="G19" i="31"/>
  <c r="G21" i="31" s="1"/>
  <c r="H17" i="31"/>
  <c r="F21" i="31"/>
  <c r="F33" i="31"/>
  <c r="I65" i="31"/>
  <c r="J63" i="31"/>
  <c r="F70" i="31"/>
  <c r="J14" i="33" l="1"/>
  <c r="I15" i="33"/>
  <c r="L63" i="33"/>
  <c r="K65" i="33"/>
  <c r="F73" i="33"/>
  <c r="F72" i="33"/>
  <c r="I26" i="33"/>
  <c r="J24" i="33"/>
  <c r="G38" i="33"/>
  <c r="G46" i="33" s="1"/>
  <c r="G44" i="33" s="1"/>
  <c r="H35" i="33"/>
  <c r="I62" i="33"/>
  <c r="H64" i="33"/>
  <c r="H66" i="33" s="1"/>
  <c r="I58" i="33"/>
  <c r="I60" i="33" s="1"/>
  <c r="I19" i="33"/>
  <c r="I21" i="33" s="1"/>
  <c r="J17" i="33"/>
  <c r="J55" i="33"/>
  <c r="I56" i="33"/>
  <c r="H60" i="33"/>
  <c r="F35" i="33"/>
  <c r="F36" i="33"/>
  <c r="G72" i="33"/>
  <c r="G75" i="33" s="1"/>
  <c r="G81" i="33" s="1"/>
  <c r="J30" i="33"/>
  <c r="I69" i="33"/>
  <c r="I32" i="33"/>
  <c r="I29" i="33"/>
  <c r="H68" i="33"/>
  <c r="H70" i="33" s="1"/>
  <c r="H31" i="33"/>
  <c r="G73" i="33"/>
  <c r="I25" i="33"/>
  <c r="J23" i="33"/>
  <c r="K18" i="33"/>
  <c r="J20" i="33"/>
  <c r="J59" i="33"/>
  <c r="H27" i="33"/>
  <c r="K63" i="31"/>
  <c r="J65" i="31"/>
  <c r="J55" i="31"/>
  <c r="I56" i="31"/>
  <c r="F72" i="31"/>
  <c r="F73" i="31"/>
  <c r="J26" i="31"/>
  <c r="K24" i="31"/>
  <c r="F36" i="31"/>
  <c r="F35" i="31"/>
  <c r="I62" i="31"/>
  <c r="H64" i="31"/>
  <c r="H66" i="31" s="1"/>
  <c r="H58" i="31"/>
  <c r="H19" i="31"/>
  <c r="I17" i="31"/>
  <c r="H25" i="31"/>
  <c r="H27" i="31" s="1"/>
  <c r="I23" i="31"/>
  <c r="H31" i="31"/>
  <c r="H33" i="31" s="1"/>
  <c r="H68" i="31"/>
  <c r="H70" i="31" s="1"/>
  <c r="I29" i="31"/>
  <c r="G27" i="31"/>
  <c r="G72" i="31"/>
  <c r="G73" i="31"/>
  <c r="J59" i="31"/>
  <c r="K18" i="31"/>
  <c r="J20" i="31"/>
  <c r="K30" i="31"/>
  <c r="J69" i="31"/>
  <c r="J32" i="31"/>
  <c r="I15" i="31"/>
  <c r="J14" i="31"/>
  <c r="G79" i="33" l="1"/>
  <c r="G86" i="33"/>
  <c r="G85" i="33" s="1"/>
  <c r="J19" i="33"/>
  <c r="J21" i="33" s="1"/>
  <c r="J58" i="33"/>
  <c r="J60" i="33" s="1"/>
  <c r="K17" i="33"/>
  <c r="K23" i="33"/>
  <c r="J25" i="33"/>
  <c r="J62" i="33"/>
  <c r="I64" i="33"/>
  <c r="I66" i="33" s="1"/>
  <c r="I35" i="33"/>
  <c r="L18" i="33"/>
  <c r="K20" i="33"/>
  <c r="K59" i="33"/>
  <c r="F75" i="33"/>
  <c r="I27" i="33"/>
  <c r="F38" i="33"/>
  <c r="H33" i="33"/>
  <c r="L65" i="33"/>
  <c r="M63" i="33"/>
  <c r="I31" i="33"/>
  <c r="I33" i="33" s="1"/>
  <c r="I68" i="33"/>
  <c r="J29" i="33"/>
  <c r="H72" i="33"/>
  <c r="H73" i="33"/>
  <c r="J15" i="33"/>
  <c r="K14" i="33"/>
  <c r="J32" i="33"/>
  <c r="K30" i="33"/>
  <c r="J69" i="33"/>
  <c r="J56" i="33"/>
  <c r="K55" i="33"/>
  <c r="K24" i="33"/>
  <c r="J26" i="33"/>
  <c r="I58" i="31"/>
  <c r="I60" i="31" s="1"/>
  <c r="I19" i="31"/>
  <c r="I21" i="31" s="1"/>
  <c r="J17" i="31"/>
  <c r="H21" i="31"/>
  <c r="J15" i="31"/>
  <c r="K14" i="31"/>
  <c r="G75" i="31"/>
  <c r="G81" i="31" s="1"/>
  <c r="H60" i="31"/>
  <c r="F75" i="31"/>
  <c r="J62" i="31"/>
  <c r="I64" i="31"/>
  <c r="I66" i="31" s="1"/>
  <c r="J29" i="31"/>
  <c r="I31" i="31"/>
  <c r="I68" i="31"/>
  <c r="L30" i="31"/>
  <c r="K69" i="31"/>
  <c r="K32" i="31"/>
  <c r="G35" i="31"/>
  <c r="G38" i="31" s="1"/>
  <c r="F38" i="31"/>
  <c r="J56" i="31"/>
  <c r="K55" i="31"/>
  <c r="K59" i="31"/>
  <c r="L18" i="31"/>
  <c r="K20" i="31"/>
  <c r="G36" i="31"/>
  <c r="I25" i="31"/>
  <c r="J23" i="31"/>
  <c r="K26" i="31"/>
  <c r="L24" i="31"/>
  <c r="L63" i="31"/>
  <c r="K65" i="31"/>
  <c r="G46" i="31"/>
  <c r="G44" i="31" s="1"/>
  <c r="J27" i="33" l="1"/>
  <c r="L55" i="33"/>
  <c r="K56" i="33"/>
  <c r="I72" i="33"/>
  <c r="L30" i="33"/>
  <c r="K69" i="33"/>
  <c r="K32" i="33"/>
  <c r="L14" i="33"/>
  <c r="K15" i="33"/>
  <c r="K62" i="33"/>
  <c r="J64" i="33"/>
  <c r="J66" i="33" s="1"/>
  <c r="J81" i="33" s="1"/>
  <c r="K26" i="33"/>
  <c r="L24" i="33"/>
  <c r="H75" i="33"/>
  <c r="H81" i="33" s="1"/>
  <c r="H36" i="33"/>
  <c r="L23" i="33"/>
  <c r="K25" i="33"/>
  <c r="K58" i="33"/>
  <c r="K60" i="33" s="1"/>
  <c r="K19" i="33"/>
  <c r="K21" i="33" s="1"/>
  <c r="L17" i="33"/>
  <c r="J73" i="33"/>
  <c r="J72" i="33"/>
  <c r="J75" i="33" s="1"/>
  <c r="J35" i="33"/>
  <c r="K29" i="33"/>
  <c r="J31" i="33"/>
  <c r="J68" i="33"/>
  <c r="J70" i="33" s="1"/>
  <c r="F46" i="33"/>
  <c r="M18" i="33"/>
  <c r="L59" i="33"/>
  <c r="L20" i="33"/>
  <c r="I70" i="33"/>
  <c r="I38" i="33"/>
  <c r="I46" i="33" s="1"/>
  <c r="I44" i="33" s="1"/>
  <c r="I36" i="33"/>
  <c r="M65" i="33"/>
  <c r="N63" i="33"/>
  <c r="F81" i="33"/>
  <c r="M18" i="31"/>
  <c r="L20" i="31"/>
  <c r="L59" i="31"/>
  <c r="I70" i="31"/>
  <c r="H72" i="31"/>
  <c r="H73" i="31"/>
  <c r="I33" i="31"/>
  <c r="G79" i="31"/>
  <c r="G86" i="31"/>
  <c r="G85" i="31" s="1"/>
  <c r="L55" i="31"/>
  <c r="K56" i="31"/>
  <c r="K29" i="31"/>
  <c r="J31" i="31"/>
  <c r="J33" i="31" s="1"/>
  <c r="J68" i="31"/>
  <c r="J70" i="31" s="1"/>
  <c r="K15" i="31"/>
  <c r="L14" i="31"/>
  <c r="M63" i="31"/>
  <c r="L65" i="31"/>
  <c r="M24" i="31"/>
  <c r="L26" i="31"/>
  <c r="F46" i="31"/>
  <c r="J64" i="31"/>
  <c r="J66" i="31" s="1"/>
  <c r="K62" i="31"/>
  <c r="J25" i="31"/>
  <c r="J27" i="31" s="1"/>
  <c r="K23" i="31"/>
  <c r="H36" i="31"/>
  <c r="H35" i="31"/>
  <c r="I27" i="31"/>
  <c r="J58" i="31"/>
  <c r="J60" i="31" s="1"/>
  <c r="K17" i="31"/>
  <c r="J19" i="31"/>
  <c r="I35" i="31"/>
  <c r="I72" i="31"/>
  <c r="F81" i="31"/>
  <c r="M30" i="31"/>
  <c r="L69" i="31"/>
  <c r="L32" i="31"/>
  <c r="J79" i="33" l="1"/>
  <c r="L29" i="33"/>
  <c r="K68" i="33"/>
  <c r="K31" i="33"/>
  <c r="K33" i="33" s="1"/>
  <c r="H79" i="33"/>
  <c r="L26" i="33"/>
  <c r="M24" i="33"/>
  <c r="F86" i="33"/>
  <c r="F39" i="30" s="1"/>
  <c r="F79" i="33"/>
  <c r="M55" i="33"/>
  <c r="L56" i="33"/>
  <c r="N18" i="33"/>
  <c r="M59" i="33"/>
  <c r="M20" i="33"/>
  <c r="K35" i="33"/>
  <c r="K36" i="33"/>
  <c r="K64" i="33"/>
  <c r="K66" i="33" s="1"/>
  <c r="L62" i="33"/>
  <c r="F44" i="33"/>
  <c r="K72" i="33"/>
  <c r="H38" i="33"/>
  <c r="M17" i="33"/>
  <c r="L58" i="33"/>
  <c r="L60" i="33" s="1"/>
  <c r="L19" i="33"/>
  <c r="L21" i="33" s="1"/>
  <c r="K27" i="33"/>
  <c r="L15" i="33"/>
  <c r="M14" i="33"/>
  <c r="M30" i="33"/>
  <c r="L69" i="33"/>
  <c r="L32" i="33"/>
  <c r="I73" i="33"/>
  <c r="O63" i="33"/>
  <c r="N65" i="33"/>
  <c r="J33" i="33"/>
  <c r="M23" i="33"/>
  <c r="L25" i="33"/>
  <c r="I38" i="31"/>
  <c r="L23" i="31"/>
  <c r="K25" i="31"/>
  <c r="K27" i="31" s="1"/>
  <c r="I36" i="31"/>
  <c r="N63" i="31"/>
  <c r="M65" i="31"/>
  <c r="J21" i="31"/>
  <c r="K64" i="31"/>
  <c r="K66" i="31" s="1"/>
  <c r="L62" i="31"/>
  <c r="L15" i="31"/>
  <c r="M14" i="31"/>
  <c r="K58" i="31"/>
  <c r="L17" i="31"/>
  <c r="K19" i="31"/>
  <c r="K21" i="31" s="1"/>
  <c r="J72" i="31"/>
  <c r="J73" i="31"/>
  <c r="F44" i="31"/>
  <c r="H75" i="31"/>
  <c r="L29" i="31"/>
  <c r="K31" i="31"/>
  <c r="K33" i="31" s="1"/>
  <c r="K68" i="31"/>
  <c r="K70" i="31" s="1"/>
  <c r="M69" i="31"/>
  <c r="N30" i="31"/>
  <c r="M32" i="31"/>
  <c r="I46" i="31"/>
  <c r="I44" i="31" s="1"/>
  <c r="F86" i="31"/>
  <c r="F26" i="30" s="1"/>
  <c r="F79" i="31"/>
  <c r="M26" i="31"/>
  <c r="N24" i="31"/>
  <c r="M55" i="31"/>
  <c r="L56" i="31"/>
  <c r="N18" i="31"/>
  <c r="M20" i="31"/>
  <c r="M59" i="31"/>
  <c r="H38" i="31"/>
  <c r="I73" i="31"/>
  <c r="I75" i="31" s="1"/>
  <c r="I81" i="31" s="1"/>
  <c r="G39" i="30"/>
  <c r="K46" i="33" l="1"/>
  <c r="K44" i="33" s="1"/>
  <c r="K38" i="33"/>
  <c r="H46" i="33"/>
  <c r="N23" i="33"/>
  <c r="M25" i="33"/>
  <c r="M27" i="33" s="1"/>
  <c r="L64" i="33"/>
  <c r="L66" i="33" s="1"/>
  <c r="L73" i="33" s="1"/>
  <c r="M62" i="33"/>
  <c r="N30" i="33"/>
  <c r="M32" i="33"/>
  <c r="M69" i="33"/>
  <c r="N14" i="33"/>
  <c r="M15" i="33"/>
  <c r="O18" i="33"/>
  <c r="N59" i="33"/>
  <c r="N20" i="33"/>
  <c r="J36" i="33"/>
  <c r="N55" i="33"/>
  <c r="M56" i="33"/>
  <c r="M26" i="33"/>
  <c r="N24" i="33"/>
  <c r="I75" i="33"/>
  <c r="L27" i="33"/>
  <c r="L35" i="33" s="1"/>
  <c r="K70" i="33"/>
  <c r="L31" i="33"/>
  <c r="L68" i="33"/>
  <c r="L70" i="33" s="1"/>
  <c r="M29" i="33"/>
  <c r="M58" i="33"/>
  <c r="M60" i="33" s="1"/>
  <c r="N17" i="33"/>
  <c r="M19" i="33"/>
  <c r="M21" i="33" s="1"/>
  <c r="F85" i="33"/>
  <c r="F38" i="30" s="1"/>
  <c r="P63" i="33"/>
  <c r="O65" i="33"/>
  <c r="I79" i="31"/>
  <c r="I86" i="31"/>
  <c r="I85" i="31" s="1"/>
  <c r="O30" i="31"/>
  <c r="N69" i="31"/>
  <c r="N32" i="31"/>
  <c r="N55" i="31"/>
  <c r="M56" i="31"/>
  <c r="J35" i="31"/>
  <c r="J36" i="31"/>
  <c r="N26" i="31"/>
  <c r="O24" i="31"/>
  <c r="J75" i="31"/>
  <c r="J81" i="31" s="1"/>
  <c r="O63" i="31"/>
  <c r="N65" i="31"/>
  <c r="L31" i="31"/>
  <c r="L33" i="31" s="1"/>
  <c r="L68" i="31"/>
  <c r="L70" i="31" s="1"/>
  <c r="M29" i="31"/>
  <c r="O18" i="31"/>
  <c r="N59" i="31"/>
  <c r="N20" i="31"/>
  <c r="H81" i="31"/>
  <c r="L64" i="31"/>
  <c r="L66" i="31" s="1"/>
  <c r="M62" i="31"/>
  <c r="K35" i="31"/>
  <c r="K36" i="31"/>
  <c r="H46" i="31"/>
  <c r="F85" i="31"/>
  <c r="F25" i="30" s="1"/>
  <c r="L58" i="31"/>
  <c r="L60" i="31" s="1"/>
  <c r="M17" i="31"/>
  <c r="L19" i="31"/>
  <c r="L21" i="31" s="1"/>
  <c r="K60" i="31"/>
  <c r="M23" i="31"/>
  <c r="L25" i="31"/>
  <c r="M15" i="31"/>
  <c r="N14" i="31"/>
  <c r="G38" i="30"/>
  <c r="F48" i="30"/>
  <c r="F47" i="30" s="1"/>
  <c r="G26" i="30"/>
  <c r="N25" i="33" l="1"/>
  <c r="O23" i="33"/>
  <c r="I81" i="33"/>
  <c r="H44" i="33"/>
  <c r="H86" i="33"/>
  <c r="O17" i="33"/>
  <c r="N19" i="33"/>
  <c r="N21" i="33" s="1"/>
  <c r="N58" i="33"/>
  <c r="N60" i="33" s="1"/>
  <c r="L72" i="33"/>
  <c r="N15" i="33"/>
  <c r="O14" i="33"/>
  <c r="L36" i="33"/>
  <c r="L38" i="33" s="1"/>
  <c r="K73" i="33"/>
  <c r="K75" i="33" s="1"/>
  <c r="Q63" i="33"/>
  <c r="Q65" i="33" s="1"/>
  <c r="P65" i="33"/>
  <c r="N26" i="33"/>
  <c r="O24" i="33"/>
  <c r="P18" i="33"/>
  <c r="O20" i="33"/>
  <c r="O59" i="33"/>
  <c r="M31" i="33"/>
  <c r="M33" i="33" s="1"/>
  <c r="M46" i="33" s="1"/>
  <c r="M44" i="33" s="1"/>
  <c r="M68" i="33"/>
  <c r="M70" i="33" s="1"/>
  <c r="N29" i="33"/>
  <c r="M36" i="33"/>
  <c r="M35" i="33"/>
  <c r="M38" i="33" s="1"/>
  <c r="L33" i="33"/>
  <c r="O55" i="33"/>
  <c r="N56" i="33"/>
  <c r="O30" i="33"/>
  <c r="N32" i="33"/>
  <c r="N69" i="33"/>
  <c r="J38" i="33"/>
  <c r="N62" i="33"/>
  <c r="M64" i="33"/>
  <c r="M66" i="33" s="1"/>
  <c r="M73" i="33" s="1"/>
  <c r="K81" i="33"/>
  <c r="H44" i="31"/>
  <c r="M31" i="31"/>
  <c r="M33" i="31" s="1"/>
  <c r="M68" i="31"/>
  <c r="M70" i="31" s="1"/>
  <c r="N29" i="31"/>
  <c r="N23" i="31"/>
  <c r="M25" i="31"/>
  <c r="M27" i="31" s="1"/>
  <c r="L36" i="31"/>
  <c r="L35" i="31"/>
  <c r="L38" i="31" s="1"/>
  <c r="L46" i="31" s="1"/>
  <c r="L44" i="31" s="1"/>
  <c r="H79" i="31"/>
  <c r="H86" i="31"/>
  <c r="H26" i="30" s="1"/>
  <c r="N17" i="31"/>
  <c r="M19" i="31"/>
  <c r="M58" i="31"/>
  <c r="M60" i="31" s="1"/>
  <c r="J79" i="31"/>
  <c r="P30" i="31"/>
  <c r="O32" i="31"/>
  <c r="O69" i="31"/>
  <c r="J38" i="31"/>
  <c r="L27" i="31"/>
  <c r="K38" i="31"/>
  <c r="K46" i="31" s="1"/>
  <c r="K44" i="31" s="1"/>
  <c r="O55" i="31"/>
  <c r="N56" i="31"/>
  <c r="M64" i="31"/>
  <c r="M66" i="31" s="1"/>
  <c r="N62" i="31"/>
  <c r="P63" i="31"/>
  <c r="O65" i="31"/>
  <c r="K73" i="31"/>
  <c r="K72" i="31"/>
  <c r="L73" i="31"/>
  <c r="L72" i="31"/>
  <c r="L75" i="31" s="1"/>
  <c r="L81" i="31" s="1"/>
  <c r="O26" i="31"/>
  <c r="P24" i="31"/>
  <c r="P18" i="31"/>
  <c r="O20" i="31"/>
  <c r="O59" i="31"/>
  <c r="O14" i="31"/>
  <c r="N15" i="31"/>
  <c r="G25" i="30"/>
  <c r="G48" i="30"/>
  <c r="G47" i="30" s="1"/>
  <c r="K86" i="33" l="1"/>
  <c r="K85" i="33" s="1"/>
  <c r="K79" i="33"/>
  <c r="J46" i="33"/>
  <c r="P14" i="33"/>
  <c r="O15" i="33"/>
  <c r="O62" i="33"/>
  <c r="N64" i="33"/>
  <c r="N66" i="33" s="1"/>
  <c r="N73" i="33" s="1"/>
  <c r="P17" i="33"/>
  <c r="O58" i="33"/>
  <c r="O60" i="33" s="1"/>
  <c r="O19" i="33"/>
  <c r="O21" i="33" s="1"/>
  <c r="N68" i="33"/>
  <c r="N70" i="33" s="1"/>
  <c r="O29" i="33"/>
  <c r="N31" i="33"/>
  <c r="N33" i="33" s="1"/>
  <c r="H85" i="33"/>
  <c r="H38" i="30" s="1"/>
  <c r="I79" i="33"/>
  <c r="I86" i="33"/>
  <c r="I85" i="33" s="1"/>
  <c r="H39" i="30"/>
  <c r="H48" i="30" s="1"/>
  <c r="H47" i="30" s="1"/>
  <c r="P30" i="33"/>
  <c r="O32" i="33"/>
  <c r="O69" i="33"/>
  <c r="L75" i="33"/>
  <c r="L81" i="33" s="1"/>
  <c r="Q18" i="33"/>
  <c r="P59" i="33"/>
  <c r="P20" i="33"/>
  <c r="O25" i="33"/>
  <c r="P23" i="33"/>
  <c r="O56" i="33"/>
  <c r="P55" i="33"/>
  <c r="O26" i="33"/>
  <c r="P24" i="33"/>
  <c r="M72" i="33"/>
  <c r="M75" i="33" s="1"/>
  <c r="M81" i="33" s="1"/>
  <c r="N27" i="33"/>
  <c r="L46" i="33"/>
  <c r="L44" i="33" s="1"/>
  <c r="L86" i="31"/>
  <c r="L85" i="31" s="1"/>
  <c r="L79" i="31"/>
  <c r="Q63" i="31"/>
  <c r="Q65" i="31" s="1"/>
  <c r="P65" i="31"/>
  <c r="O62" i="31"/>
  <c r="N64" i="31"/>
  <c r="N66" i="31" s="1"/>
  <c r="Q18" i="31"/>
  <c r="P59" i="31"/>
  <c r="P20" i="31"/>
  <c r="Q24" i="31"/>
  <c r="Q26" i="31" s="1"/>
  <c r="P26" i="31"/>
  <c r="P55" i="31"/>
  <c r="O56" i="31"/>
  <c r="P32" i="31"/>
  <c r="Q30" i="31"/>
  <c r="P69" i="31"/>
  <c r="N25" i="31"/>
  <c r="N27" i="31" s="1"/>
  <c r="O23" i="31"/>
  <c r="M72" i="31"/>
  <c r="M73" i="31"/>
  <c r="N31" i="31"/>
  <c r="N33" i="31" s="1"/>
  <c r="N68" i="31"/>
  <c r="N70" i="31" s="1"/>
  <c r="O29" i="31"/>
  <c r="M21" i="31"/>
  <c r="K75" i="31"/>
  <c r="O17" i="31"/>
  <c r="N58" i="31"/>
  <c r="N60" i="31" s="1"/>
  <c r="N19" i="31"/>
  <c r="N21" i="31" s="1"/>
  <c r="O15" i="31"/>
  <c r="P14" i="31"/>
  <c r="J46" i="31"/>
  <c r="H85" i="31"/>
  <c r="H25" i="30" s="1"/>
  <c r="I26" i="30"/>
  <c r="I39" i="30"/>
  <c r="L26" i="30" l="1"/>
  <c r="M86" i="33"/>
  <c r="M85" i="33" s="1"/>
  <c r="M79" i="33"/>
  <c r="Q20" i="33"/>
  <c r="R20" i="33" s="1"/>
  <c r="Q59" i="33"/>
  <c r="R59" i="33" s="1"/>
  <c r="O68" i="33"/>
  <c r="O70" i="33" s="1"/>
  <c r="P29" i="33"/>
  <c r="O31" i="33"/>
  <c r="O33" i="33" s="1"/>
  <c r="O36" i="33" s="1"/>
  <c r="L86" i="33"/>
  <c r="L85" i="33" s="1"/>
  <c r="L79" i="33"/>
  <c r="P26" i="33"/>
  <c r="Q24" i="33"/>
  <c r="Q26" i="33" s="1"/>
  <c r="Q14" i="33"/>
  <c r="Q15" i="33" s="1"/>
  <c r="P15" i="33"/>
  <c r="J44" i="33"/>
  <c r="J86" i="33"/>
  <c r="J85" i="33" s="1"/>
  <c r="O35" i="33"/>
  <c r="O72" i="33"/>
  <c r="O73" i="33"/>
  <c r="N35" i="33"/>
  <c r="N38" i="33" s="1"/>
  <c r="P56" i="33"/>
  <c r="Q55" i="33"/>
  <c r="Q56" i="33" s="1"/>
  <c r="Q30" i="33"/>
  <c r="P32" i="33"/>
  <c r="P69" i="33"/>
  <c r="P19" i="33"/>
  <c r="P21" i="33" s="1"/>
  <c r="P58" i="33"/>
  <c r="P60" i="33" s="1"/>
  <c r="Q17" i="33"/>
  <c r="N36" i="33"/>
  <c r="Q23" i="33"/>
  <c r="Q25" i="33" s="1"/>
  <c r="P25" i="33"/>
  <c r="P27" i="33" s="1"/>
  <c r="P62" i="33"/>
  <c r="O64" i="33"/>
  <c r="O66" i="33" s="1"/>
  <c r="O27" i="33"/>
  <c r="N72" i="33"/>
  <c r="Q14" i="31"/>
  <c r="Q15" i="31" s="1"/>
  <c r="P15" i="31"/>
  <c r="R26" i="31"/>
  <c r="N35" i="31"/>
  <c r="N36" i="31"/>
  <c r="N73" i="31"/>
  <c r="N72" i="31"/>
  <c r="N75" i="31" s="1"/>
  <c r="N81" i="31" s="1"/>
  <c r="M75" i="31"/>
  <c r="M81" i="31" s="1"/>
  <c r="P17" i="31"/>
  <c r="O19" i="31"/>
  <c r="O21" i="31" s="1"/>
  <c r="O58" i="31"/>
  <c r="O60" i="31" s="1"/>
  <c r="O25" i="31"/>
  <c r="O27" i="31" s="1"/>
  <c r="P23" i="31"/>
  <c r="Q20" i="31"/>
  <c r="R20" i="31" s="1"/>
  <c r="Q59" i="31"/>
  <c r="R59" i="31" s="1"/>
  <c r="K81" i="31"/>
  <c r="P62" i="31"/>
  <c r="O64" i="31"/>
  <c r="O66" i="31" s="1"/>
  <c r="Q32" i="31"/>
  <c r="R32" i="31" s="1"/>
  <c r="Q69" i="31"/>
  <c r="R69" i="31" s="1"/>
  <c r="M36" i="31"/>
  <c r="M35" i="31"/>
  <c r="J44" i="31"/>
  <c r="J86" i="31"/>
  <c r="J26" i="30" s="1"/>
  <c r="Q55" i="31"/>
  <c r="Q56" i="31" s="1"/>
  <c r="P56" i="31"/>
  <c r="O68" i="31"/>
  <c r="O70" i="31" s="1"/>
  <c r="P29" i="31"/>
  <c r="O31" i="31"/>
  <c r="O33" i="31" s="1"/>
  <c r="I25" i="30"/>
  <c r="L25" i="30"/>
  <c r="I38" i="30"/>
  <c r="I48" i="30"/>
  <c r="I47" i="30" s="1"/>
  <c r="O38" i="33" l="1"/>
  <c r="O46" i="33" s="1"/>
  <c r="O44" i="33" s="1"/>
  <c r="Q27" i="33"/>
  <c r="R27" i="33" s="1"/>
  <c r="R25" i="33"/>
  <c r="O75" i="33"/>
  <c r="O81" i="33" s="1"/>
  <c r="Q19" i="33"/>
  <c r="Q58" i="33"/>
  <c r="P68" i="33"/>
  <c r="P70" i="33" s="1"/>
  <c r="Q29" i="33"/>
  <c r="P31" i="33"/>
  <c r="P33" i="33" s="1"/>
  <c r="L39" i="30"/>
  <c r="L48" i="30" s="1"/>
  <c r="L47" i="30" s="1"/>
  <c r="P35" i="33"/>
  <c r="P36" i="33"/>
  <c r="J39" i="30"/>
  <c r="N75" i="33"/>
  <c r="N81" i="33" s="1"/>
  <c r="Q32" i="33"/>
  <c r="R32" i="33" s="1"/>
  <c r="Q69" i="33"/>
  <c r="R69" i="33" s="1"/>
  <c r="R15" i="33"/>
  <c r="Q62" i="33"/>
  <c r="Q64" i="33" s="1"/>
  <c r="Q66" i="33" s="1"/>
  <c r="P64" i="33"/>
  <c r="P66" i="33" s="1"/>
  <c r="P72" i="33" s="1"/>
  <c r="R56" i="33"/>
  <c r="N46" i="33"/>
  <c r="R26" i="33"/>
  <c r="N79" i="31"/>
  <c r="O72" i="31"/>
  <c r="O73" i="31"/>
  <c r="O35" i="31"/>
  <c r="O36" i="31"/>
  <c r="R56" i="31"/>
  <c r="P19" i="31"/>
  <c r="P21" i="31" s="1"/>
  <c r="Q17" i="31"/>
  <c r="P58" i="31"/>
  <c r="P60" i="31" s="1"/>
  <c r="J85" i="31"/>
  <c r="P64" i="31"/>
  <c r="P66" i="31" s="1"/>
  <c r="Q62" i="31"/>
  <c r="Q64" i="31" s="1"/>
  <c r="Q66" i="31" s="1"/>
  <c r="R66" i="31" s="1"/>
  <c r="K86" i="31"/>
  <c r="K79" i="31"/>
  <c r="N38" i="31"/>
  <c r="N46" i="31" s="1"/>
  <c r="N44" i="31" s="1"/>
  <c r="M38" i="31"/>
  <c r="Q23" i="31"/>
  <c r="Q25" i="31" s="1"/>
  <c r="P25" i="31"/>
  <c r="P27" i="31" s="1"/>
  <c r="M79" i="31"/>
  <c r="P68" i="31"/>
  <c r="P70" i="31" s="1"/>
  <c r="Q29" i="31"/>
  <c r="P31" i="31"/>
  <c r="P33" i="31" s="1"/>
  <c r="R15" i="31"/>
  <c r="L38" i="30"/>
  <c r="J25" i="30"/>
  <c r="J48" i="30"/>
  <c r="J47" i="30" s="1"/>
  <c r="K39" i="30"/>
  <c r="J38" i="30"/>
  <c r="Q21" i="33" l="1"/>
  <c r="R19" i="33"/>
  <c r="Q68" i="33"/>
  <c r="Q31" i="33"/>
  <c r="Q60" i="33"/>
  <c r="R58" i="33"/>
  <c r="O86" i="33"/>
  <c r="O85" i="33" s="1"/>
  <c r="O79" i="33"/>
  <c r="N86" i="33"/>
  <c r="N79" i="33"/>
  <c r="N44" i="33"/>
  <c r="P38" i="33"/>
  <c r="P46" i="33" s="1"/>
  <c r="P44" i="33" s="1"/>
  <c r="P73" i="33"/>
  <c r="P75" i="33" s="1"/>
  <c r="P81" i="33" s="1"/>
  <c r="R66" i="33"/>
  <c r="P72" i="31"/>
  <c r="P73" i="31"/>
  <c r="Q19" i="31"/>
  <c r="Q58" i="31"/>
  <c r="P35" i="31"/>
  <c r="P36" i="31"/>
  <c r="Q68" i="31"/>
  <c r="Q31" i="31"/>
  <c r="O38" i="31"/>
  <c r="O46" i="31" s="1"/>
  <c r="O44" i="31" s="1"/>
  <c r="K85" i="31"/>
  <c r="K25" i="30" s="1"/>
  <c r="K26" i="30"/>
  <c r="K48" i="30" s="1"/>
  <c r="K47" i="30" s="1"/>
  <c r="Q27" i="31"/>
  <c r="R27" i="31" s="1"/>
  <c r="R25" i="31"/>
  <c r="O75" i="31"/>
  <c r="M46" i="31"/>
  <c r="N86" i="31"/>
  <c r="N85" i="31" s="1"/>
  <c r="K38" i="30"/>
  <c r="N26" i="30"/>
  <c r="M39" i="30"/>
  <c r="P86" i="33" l="1"/>
  <c r="P85" i="33" s="1"/>
  <c r="P79" i="33"/>
  <c r="Q72" i="33"/>
  <c r="Q73" i="33"/>
  <c r="R73" i="33" s="1"/>
  <c r="R60" i="33"/>
  <c r="Q36" i="33"/>
  <c r="R36" i="33" s="1"/>
  <c r="Q35" i="33"/>
  <c r="R21" i="33"/>
  <c r="N85" i="33"/>
  <c r="N38" i="30" s="1"/>
  <c r="Q33" i="33"/>
  <c r="R33" i="33" s="1"/>
  <c r="R31" i="33"/>
  <c r="Q70" i="33"/>
  <c r="R70" i="33" s="1"/>
  <c r="R68" i="33"/>
  <c r="O81" i="31"/>
  <c r="Q60" i="31"/>
  <c r="R58" i="31"/>
  <c r="Q21" i="31"/>
  <c r="R19" i="31"/>
  <c r="P75" i="31"/>
  <c r="P81" i="31" s="1"/>
  <c r="Q33" i="31"/>
  <c r="R33" i="31" s="1"/>
  <c r="R31" i="31"/>
  <c r="M44" i="31"/>
  <c r="M86" i="31"/>
  <c r="Q70" i="31"/>
  <c r="R70" i="31" s="1"/>
  <c r="R68" i="31"/>
  <c r="P38" i="31"/>
  <c r="P46" i="31" s="1"/>
  <c r="P44" i="31" s="1"/>
  <c r="N39" i="30"/>
  <c r="N48" i="30" s="1"/>
  <c r="N47" i="30" s="1"/>
  <c r="M38" i="30"/>
  <c r="N25" i="30"/>
  <c r="O39" i="30"/>
  <c r="Q38" i="33" l="1"/>
  <c r="R35" i="33"/>
  <c r="Q75" i="33"/>
  <c r="R72" i="33"/>
  <c r="Q72" i="31"/>
  <c r="Q73" i="31"/>
  <c r="R73" i="31" s="1"/>
  <c r="R60" i="31"/>
  <c r="O86" i="31"/>
  <c r="O79" i="31"/>
  <c r="M85" i="31"/>
  <c r="M25" i="30" s="1"/>
  <c r="M26" i="30"/>
  <c r="M48" i="30" s="1"/>
  <c r="M47" i="30" s="1"/>
  <c r="P86" i="31"/>
  <c r="P85" i="31" s="1"/>
  <c r="P79" i="31"/>
  <c r="Q35" i="31"/>
  <c r="Q36" i="31"/>
  <c r="R36" i="31" s="1"/>
  <c r="R21" i="31"/>
  <c r="O38" i="30"/>
  <c r="P39" i="30"/>
  <c r="R75" i="33" l="1"/>
  <c r="Q81" i="33"/>
  <c r="R38" i="33"/>
  <c r="Q46" i="33"/>
  <c r="Q38" i="31"/>
  <c r="R35" i="31"/>
  <c r="Q75" i="31"/>
  <c r="R72" i="31"/>
  <c r="P26" i="30"/>
  <c r="P48" i="30" s="1"/>
  <c r="P47" i="30" s="1"/>
  <c r="O85" i="31"/>
  <c r="O25" i="30" s="1"/>
  <c r="O26" i="30"/>
  <c r="O48" i="30" s="1"/>
  <c r="O47" i="30" s="1"/>
  <c r="P38" i="30"/>
  <c r="P25" i="30"/>
  <c r="Q44" i="33" l="1"/>
  <c r="R46" i="33"/>
  <c r="R44" i="33" s="1"/>
  <c r="Q86" i="33"/>
  <c r="Q79" i="33"/>
  <c r="R81" i="33"/>
  <c r="R79" i="33" s="1"/>
  <c r="R75" i="31"/>
  <c r="Q81" i="31"/>
  <c r="R38" i="31"/>
  <c r="Q46" i="31"/>
  <c r="Q85" i="33" l="1"/>
  <c r="R86" i="33"/>
  <c r="R85" i="33" s="1"/>
  <c r="Q44" i="31"/>
  <c r="R46" i="31"/>
  <c r="R44" i="31" s="1"/>
  <c r="Q86" i="31"/>
  <c r="Q79" i="31"/>
  <c r="R81" i="31"/>
  <c r="R79" i="31" s="1"/>
  <c r="Q85" i="31" l="1"/>
  <c r="R86" i="31"/>
  <c r="R85" i="31" s="1"/>
  <c r="Q39" i="30"/>
  <c r="Q26" i="30"/>
  <c r="Q25" i="30"/>
  <c r="R26" i="30"/>
  <c r="R27" i="30" s="1"/>
  <c r="R28" i="30" s="1"/>
  <c r="R29" i="30" s="1"/>
  <c r="Q38" i="30"/>
  <c r="R39" i="30"/>
  <c r="R40" i="30" s="1"/>
  <c r="R41" i="30" s="1"/>
  <c r="S39" i="30" l="1"/>
  <c r="T39" i="30" s="1"/>
  <c r="T40" i="30" s="1"/>
  <c r="T41" i="30" s="1"/>
  <c r="S26" i="30"/>
  <c r="T26" i="30" s="1"/>
  <c r="Q48" i="30"/>
  <c r="Q47" i="30" s="1"/>
  <c r="R87" i="31"/>
  <c r="R88" i="31" s="1"/>
  <c r="R25" i="30"/>
  <c r="S25" i="30" s="1"/>
  <c r="T25" i="30" s="1"/>
  <c r="R87" i="33"/>
  <c r="R88" i="33" s="1"/>
  <c r="R38" i="30"/>
  <c r="S38" i="30" s="1"/>
  <c r="T38" i="30" s="1"/>
  <c r="T27" i="30" l="1"/>
  <c r="T28" i="30" s="1"/>
  <c r="T29" i="30" s="1"/>
  <c r="S27" i="30"/>
  <c r="R48" i="30"/>
  <c r="R49" i="30" l="1"/>
  <c r="R50" i="30" s="1"/>
  <c r="R47" i="30"/>
  <c r="S47" i="30" s="1"/>
  <c r="T47" i="30" s="1"/>
  <c r="S28" i="30"/>
  <c r="S29" i="30" s="1"/>
  <c r="S48" i="30"/>
  <c r="T48" i="30" s="1"/>
  <c r="T49" i="30" s="1"/>
  <c r="T50" i="30" s="1"/>
  <c r="S41" i="30" l="1"/>
  <c r="S40" i="30"/>
  <c r="S50" i="30" l="1"/>
  <c r="S4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R12" authorId="0" shapeId="0" xr:uid="{19EBE0D1-81ED-4CBC-9C07-64DEF35C6354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Estimat Real Nov.2017 a Oct. 2018</t>
        </r>
      </text>
    </comment>
    <comment ref="R53" authorId="0" shapeId="0" xr:uid="{F40F54B1-A14A-4800-8ABF-F85DE4B6434A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Real 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R12" authorId="0" shapeId="0" xr:uid="{98451EFD-CD74-4B6E-B040-E76FBD09CFA0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Estimat Real Nov.2017 a Oct. 2018</t>
        </r>
      </text>
    </comment>
    <comment ref="R53" authorId="0" shapeId="0" xr:uid="{CC8E3E01-5890-4357-A81F-56D9FB9F8C8B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Real 2021</t>
        </r>
      </text>
    </comment>
  </commentList>
</comments>
</file>

<file path=xl/sharedStrings.xml><?xml version="1.0" encoding="utf-8"?>
<sst xmlns="http://schemas.openxmlformats.org/spreadsheetml/2006/main" count="453" uniqueCount="120">
  <si>
    <t>kWh</t>
  </si>
  <si>
    <t>Concepte</t>
  </si>
  <si>
    <t>Unitats</t>
  </si>
  <si>
    <t>Euro/kWh</t>
  </si>
  <si>
    <t>Euros</t>
  </si>
  <si>
    <t>Euros/kWh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</si>
  <si>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</si>
  <si>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</si>
  <si>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</si>
  <si>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</si>
  <si>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</si>
  <si>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</si>
  <si>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</si>
  <si>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</si>
  <si>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</si>
  <si>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</si>
  <si>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</si>
  <si>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</si>
  <si>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Euro</t>
  </si>
  <si>
    <t>Total</t>
  </si>
  <si>
    <t>Preu Final</t>
  </si>
  <si>
    <t>Lloguer Comptador</t>
  </si>
  <si>
    <t>Lloguer Corrector</t>
  </si>
  <si>
    <t>Lloguer</t>
  </si>
  <si>
    <t>Suma Taller de Martorell i Taller de Rubí</t>
  </si>
  <si>
    <t>Consum Martorell</t>
  </si>
  <si>
    <t>Consum Rubí</t>
  </si>
  <si>
    <t>Suma Consums</t>
  </si>
  <si>
    <t>Total IVA Exclòs</t>
  </si>
  <si>
    <t xml:space="preserve">IVA 21 % </t>
  </si>
  <si>
    <t>Total Martorell sense IVA</t>
  </si>
  <si>
    <t>Dies Mes</t>
  </si>
  <si>
    <t>GAS MARTORELL CUPS: ES0217901000001917QB (MÒBIL + MOTOR) - Tarifa RLTA6 - c/ Montserrat s/n (08760 Martorell - Barcelona)</t>
  </si>
  <si>
    <t>GAS RUBÍ COR CUPS: ES02179010000022712TZ - Tarifa RLTB6 - c/Antoni Sedó s/n (08191 Rubí - Barcelona)</t>
  </si>
  <si>
    <t>Peatge Quota Fixa RLTA.6</t>
  </si>
  <si>
    <t>Peatge Variable RLTA.6</t>
  </si>
  <si>
    <t>Peatge Quota Fixa RLTB.6</t>
  </si>
  <si>
    <t>Peatge Variable RLTB.6</t>
  </si>
  <si>
    <t>Euro Client/dia</t>
  </si>
  <si>
    <t>Quota GTS</t>
  </si>
  <si>
    <t>Peatge Xarxa Local</t>
  </si>
  <si>
    <t>Peatge Transport</t>
  </si>
  <si>
    <t>Total Peatge Xarxa Local</t>
  </si>
  <si>
    <t>Total Peatge Transport</t>
  </si>
  <si>
    <t>Euro /kWh/dia</t>
  </si>
  <si>
    <t>Peatge Quota Fixa RL.6</t>
  </si>
  <si>
    <t>Peatge Variable RL.6</t>
  </si>
  <si>
    <t>Càrrecs</t>
  </si>
  <si>
    <t>Total Càrrecs</t>
  </si>
  <si>
    <t>Quota Gestió Tècnica Sistema sobre Peatges 0,966 %</t>
  </si>
  <si>
    <t>Total Rubí COR sense IVA</t>
  </si>
  <si>
    <t>Total A/ IVA</t>
  </si>
  <si>
    <t>Càrrecs Quota Fixa RL.6</t>
  </si>
  <si>
    <t>Càrrecs Variable RL.6</t>
  </si>
  <si>
    <t>Impost</t>
  </si>
  <si>
    <t>Taxa CNMC Sobre Peatges i Càrrec 0,14 %</t>
  </si>
  <si>
    <t>Impost d'Hidrocarburs 0,00054 Euros/kWh activitat industrial</t>
  </si>
  <si>
    <t>Taxa CNMC</t>
  </si>
  <si>
    <t>Total Quota Taxa e Impost</t>
  </si>
  <si>
    <t>Preu final sense IVA PROMIG</t>
  </si>
  <si>
    <t>Peatge Quota Fixa RL.6 (preu unitari de la filera 17)</t>
  </si>
  <si>
    <t>Peatge Variable RL.6 (preu unitari de la filera 18)</t>
  </si>
  <si>
    <t>Import total lloguer Comptador i Corrector</t>
  </si>
  <si>
    <t>Import total lloguer comptador</t>
  </si>
  <si>
    <t>Matèria Prima amb marge comercial + Peatges d'accés comercials + FNEE</t>
  </si>
  <si>
    <t>IMPORT CONSIDERAT PER A L'AVALUACIÓ</t>
  </si>
  <si>
    <t>Preu Matèria Prima amb marge comercial + Peatges d'accés comercials + FNEE</t>
  </si>
  <si>
    <t>FORMULA INDEXACIÓ REFERÈNCIA MIBGAS (Preu de la Matèria Prima amb marge comercial + Peatges d'accés comercials + FNEE)</t>
  </si>
  <si>
    <t>IMPORT MARTORELL + RUBI Total IVA Exclòs segons MIBGAS FIXAT A 0,050 Euros/kWh</t>
  </si>
  <si>
    <t>IMPORT MARTORELL + RUBI Total IVA Exclòs segons MIBGAS FIXAT A PROMIG</t>
  </si>
  <si>
    <r>
      <rPr>
        <b/>
        <sz val="14"/>
        <rFont val="Arial"/>
        <family val="2"/>
      </rPr>
      <t>GDAES_D+1</t>
    </r>
    <r>
      <rPr>
        <sz val="14"/>
        <rFont val="Arial"/>
        <family val="2"/>
      </rPr>
      <t xml:space="preserve"> Promig Mes [Euros/MWh]</t>
    </r>
  </si>
  <si>
    <t>IMPORT MARTORELL + RUBI Total IVA Exclòs segons MIBGAS FIXAT A 0,100 Euros/kWh</t>
  </si>
  <si>
    <t>SUMA</t>
  </si>
  <si>
    <t>1er Any</t>
  </si>
  <si>
    <t>2on Any</t>
  </si>
  <si>
    <t>2on. Any</t>
  </si>
  <si>
    <t>1er. Any</t>
  </si>
  <si>
    <t>AVALUACIÓ</t>
  </si>
  <si>
    <t>ESCENARI 50</t>
  </si>
  <si>
    <t>CONTRACTE</t>
  </si>
  <si>
    <t>Preu de Licitació</t>
  </si>
  <si>
    <t>Import de Licitació S/IVA</t>
  </si>
  <si>
    <t>Import de Licitació amb IVA</t>
  </si>
  <si>
    <t>DIFERÈNCIA A LICITACIÓ amb IVA</t>
  </si>
  <si>
    <t>Total amb IVA</t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</si>
  <si>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RLTB6</t>
    </r>
    <r>
      <rPr>
        <sz val="14"/>
        <rFont val="Arial"/>
        <family val="2"/>
      </rPr>
      <t xml:space="preserve">  [adimensional]</t>
    </r>
  </si>
  <si>
    <t>Mesos de 2026</t>
  </si>
  <si>
    <t>Mesos de 2027</t>
  </si>
  <si>
    <t>Primer Any</t>
  </si>
  <si>
    <r>
      <t>Matèria Prima amb marge comercial + Peatges d'accés comercials + FNEE (</t>
    </r>
    <r>
      <rPr>
        <sz val="12"/>
        <color rgb="FFFF0000"/>
        <rFont val="Arial"/>
        <family val="2"/>
      </rPr>
      <t>Ordre TED/197/2025, de 26 de febrer</t>
    </r>
    <r>
      <rPr>
        <sz val="12"/>
        <rFont val="Arial"/>
        <family val="2"/>
      </rPr>
      <t>)</t>
    </r>
  </si>
  <si>
    <t>Peatge Sortada Fixa RL.6 (Resolución de 27 de mayo de 2025, de la CNMC)</t>
  </si>
  <si>
    <t>Peatge Sortida Fixa RL.6  (Resolución de 27 de mayo de 2025, de la CNMC)</t>
  </si>
  <si>
    <t>Peatge Quota Fixa RL6 (Resolución de 27 de mayo de 2025, de la CNMC)</t>
  </si>
  <si>
    <t>Peatge Variable RL6 (Resolución de 27 de mayo de 2025, de la CNMC)</t>
  </si>
  <si>
    <t>Càrrecs Quota Fixa RL.6 (Orden TED/1013/2024, de 20 de septiembre)</t>
  </si>
  <si>
    <t>Càrrecs Variable RL.6 (Orden TED/1013/2024, de 20 de septiembre)</t>
  </si>
  <si>
    <t>Càrrecs Quota Fixa RL.6 (preu unitari de la filera 29)</t>
  </si>
  <si>
    <t>Càrrecs Variable RL.6 (preu unitari de la filera 30)</t>
  </si>
  <si>
    <t>CALCUL IMPORT OFERTA INDEXADA SEGONS  FIXATA 0,044 Euros/KWh</t>
  </si>
  <si>
    <t>SUBMINISTRAMENT GAS TALLER DE MARTORELL I TALLER DE RUBÍ (Període juliol de 2026 a juny de 2029)</t>
  </si>
  <si>
    <t>CALCUL IMPORT OFERTA INDEXADA SEGONS  FIXATA 0,030 Euros/KWh</t>
  </si>
  <si>
    <t>Suma Taller de Martorell i Taller de Rubí IMPORT PER A L'AVALUACIÓ - PROMIG ARITMETIC MIBGAS (FIXAT A 0,044 + FIXAT A 0,030)/2</t>
  </si>
  <si>
    <r>
      <t xml:space="preserve">Suma Taller de Martorell i Taller de Rubí OFERTA </t>
    </r>
    <r>
      <rPr>
        <b/>
        <sz val="16"/>
        <color rgb="FFFF0000"/>
        <rFont val="Arial"/>
        <family val="2"/>
      </rPr>
      <t>SEGONS MIBGAS FIXAT A 0,044 Euros/KWh equivalent a 44 Euros/MWh</t>
    </r>
  </si>
  <si>
    <r>
      <t xml:space="preserve">Suma Taller de Martorell i Taller de Rubí OFERTA </t>
    </r>
    <r>
      <rPr>
        <b/>
        <sz val="16"/>
        <color rgb="FFFF0000"/>
        <rFont val="Arial"/>
        <family val="2"/>
      </rPr>
      <t>SEGONS MIBGAS FIXAT A 0,030 Euros/KWh equivalent a 30 Euros/MWh</t>
    </r>
  </si>
  <si>
    <t>RL.4</t>
  </si>
  <si>
    <t>Tarifes informatives</t>
  </si>
  <si>
    <t>F. Sumador</t>
  </si>
  <si>
    <t>F. Multiplicador</t>
  </si>
  <si>
    <t>RLAT.5</t>
  </si>
  <si>
    <t>RLBT.5</t>
  </si>
  <si>
    <t>GAS MARTORELL CUPS: ES0217901000001917QB - Tarifa RLAT6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</si>
  <si>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RLAT6</t>
    </r>
    <r>
      <rPr>
        <sz val="14"/>
        <rFont val="Arial"/>
        <family val="2"/>
      </rPr>
      <t xml:space="preserve"> 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</si>
  <si>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RLAT6</t>
    </r>
    <r>
      <rPr>
        <sz val="14"/>
        <rFont val="Arial"/>
        <family val="2"/>
      </rPr>
      <t xml:space="preserve"> [adimensional]</t>
    </r>
  </si>
  <si>
    <t xml:space="preserve">GAS RUBÍ COR CUPS: ES02179010000022712TZ - Tarifa RLBT6 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</si>
  <si>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RLBT6</t>
    </r>
    <r>
      <rPr>
        <sz val="14"/>
        <rFont val="Arial"/>
        <family val="2"/>
      </rPr>
      <t xml:space="preserve">  [Euros/MWh]</t>
    </r>
  </si>
  <si>
    <r>
      <t xml:space="preserve">Instrucció Pestanya "MODEL Oferta Formula Indexada": 
A la filera 14, columna D, marcada en blau clar, cal indicar el </t>
    </r>
    <r>
      <rPr>
        <b/>
        <sz val="16"/>
        <rFont val="Arial"/>
        <family val="2"/>
      </rPr>
      <t>factor sumador</t>
    </r>
    <r>
      <rPr>
        <sz val="16"/>
        <rFont val="Arial"/>
        <family val="2"/>
      </rPr>
      <t>, que es sumarà per a completar el preu de la matèria prima, per a la</t>
    </r>
    <r>
      <rPr>
        <b/>
        <sz val="16"/>
        <rFont val="Arial"/>
        <family val="2"/>
      </rPr>
      <t xml:space="preserve"> tarifa RLAT6, corresponent a Martorell</t>
    </r>
    <r>
      <rPr>
        <sz val="16"/>
        <rFont val="Arial"/>
        <family val="2"/>
      </rPr>
      <t xml:space="preserve">.
A la filera 15, columna D,  marcada en blau clar, cal indicar el </t>
    </r>
    <r>
      <rPr>
        <b/>
        <sz val="16"/>
        <rFont val="Arial"/>
        <family val="2"/>
      </rPr>
      <t>factor multiplicador</t>
    </r>
    <r>
      <rPr>
        <sz val="16"/>
        <rFont val="Arial"/>
        <family val="2"/>
      </rPr>
      <t xml:space="preserve">, que multiplicarà el preu de la cotització MIBGAS, per a la </t>
    </r>
    <r>
      <rPr>
        <b/>
        <sz val="16"/>
        <rFont val="Arial"/>
        <family val="2"/>
      </rPr>
      <t>tarifa RLAT6, corresponent a Martorell</t>
    </r>
    <r>
      <rPr>
        <sz val="16"/>
        <rFont val="Arial"/>
        <family val="2"/>
      </rPr>
      <t xml:space="preserve">.
A la filera 18, columna D, marcada en blau clar, cal indicar el </t>
    </r>
    <r>
      <rPr>
        <b/>
        <sz val="16"/>
        <rFont val="Arial"/>
        <family val="2"/>
      </rPr>
      <t>factor sumador</t>
    </r>
    <r>
      <rPr>
        <sz val="16"/>
        <rFont val="Arial"/>
        <family val="2"/>
      </rPr>
      <t xml:space="preserve">, que es sumarà per a completar el preu de la matèria prima, per a la </t>
    </r>
    <r>
      <rPr>
        <b/>
        <sz val="16"/>
        <rFont val="Arial"/>
        <family val="2"/>
      </rPr>
      <t>tarifa RLBT6, corresponent a Rubí COR</t>
    </r>
    <r>
      <rPr>
        <sz val="16"/>
        <rFont val="Arial"/>
        <family val="2"/>
      </rPr>
      <t xml:space="preserve">.
A la filera 19, columna D,  marcada en blau clar, cal indicar el </t>
    </r>
    <r>
      <rPr>
        <b/>
        <sz val="16"/>
        <rFont val="Arial"/>
        <family val="2"/>
      </rPr>
      <t>factor multiplicador</t>
    </r>
    <r>
      <rPr>
        <sz val="16"/>
        <rFont val="Arial"/>
        <family val="2"/>
      </rPr>
      <t xml:space="preserve">, que multiplicarà el preu de la cotització MIBGAS, per a la </t>
    </r>
    <r>
      <rPr>
        <b/>
        <sz val="16"/>
        <rFont val="Arial"/>
        <family val="2"/>
      </rPr>
      <t>tarifa RLBT6, corresponent a  Rubí COR</t>
    </r>
    <r>
      <rPr>
        <sz val="16"/>
        <rFont val="Arial"/>
        <family val="2"/>
      </rPr>
      <t xml:space="preserve">.
Les pestanyes "Càlcul MODEL Oferta MIBGAS=44" i "Càlcul MODEL Oferta MIBGAS=30", realitzaran els càlculs que es presentaran a la pestanya "MODEL Oferta Formula Indexada" al quadre corrseponent.
El import que es considerarà per a l'avaluació d'ofertes serà el promig aritmètic del càlcul segons MIBGAS fixat a 0,044 Euros/kWh i el fixat a 0,030 Euros/kWh.
</t>
    </r>
    <r>
      <rPr>
        <b/>
        <sz val="16"/>
        <rFont val="Arial"/>
        <family val="2"/>
      </rPr>
      <t xml:space="preserve">Si falta algun dels factors sumador o multiplicador </t>
    </r>
    <r>
      <rPr>
        <sz val="16"/>
        <rFont val="Arial"/>
        <family val="2"/>
      </rPr>
      <t xml:space="preserve">no presentarà el càlcul, únicament </t>
    </r>
    <r>
      <rPr>
        <b/>
        <sz val="16"/>
        <rFont val="Arial"/>
        <family val="2"/>
      </rPr>
      <t>indicarà "sense preu"</t>
    </r>
    <r>
      <rPr>
        <sz val="16"/>
        <rFont val="Arial"/>
        <family val="2"/>
      </rPr>
      <t>.
És obligatori indicar els factors multiplicadors i sumadors al quadre de tarifes informatives de les tarifes RL.4, RLBT.5 i RLAT.5.(fileres 14 i 15 columnes L, J i K)</t>
    </r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</si>
  <si>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 xml:space="preserve">RLAT 6 </t>
    </r>
    <r>
      <rPr>
        <sz val="14"/>
        <rFont val="Arial"/>
        <family val="2"/>
      </rPr>
      <t xml:space="preserve">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</si>
  <si>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RLAT 6</t>
    </r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</si>
  <si>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RLBT 6</t>
    </r>
    <r>
      <rPr>
        <sz val="14"/>
        <rFont val="Arial"/>
        <family val="2"/>
      </rPr>
      <t xml:space="preserve"> 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</si>
  <si>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RLBT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</si>
</sst>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#,##0.000000"/>
    <numFmt numFmtId="166" formatCode="#,##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8" fillId="0" borderId="0" xfId="0" applyFont="1"/>
    <xf numFmtId="4" fontId="9" fillId="0" borderId="0" xfId="0" applyNumberFormat="1" applyFont="1"/>
    <xf numFmtId="4" fontId="5" fillId="0" borderId="0" xfId="0" applyNumberFormat="1" applyFont="1"/>
    <xf numFmtId="0" fontId="9" fillId="0" borderId="0" xfId="0" applyFont="1"/>
    <xf numFmtId="3" fontId="8" fillId="0" borderId="0" xfId="0" applyNumberFormat="1" applyFont="1"/>
    <xf numFmtId="0" fontId="10" fillId="0" borderId="5" xfId="0" applyFont="1" applyBorder="1" applyAlignment="1">
      <alignment horizontal="center"/>
    </xf>
    <xf numFmtId="3" fontId="8" fillId="0" borderId="31" xfId="0" applyNumberFormat="1" applyFont="1" applyBorder="1"/>
    <xf numFmtId="3" fontId="8" fillId="0" borderId="32" xfId="0" applyNumberFormat="1" applyFont="1" applyBorder="1"/>
    <xf numFmtId="3" fontId="8" fillId="0" borderId="34" xfId="0" applyNumberFormat="1" applyFont="1" applyBorder="1"/>
    <xf numFmtId="3" fontId="8" fillId="0" borderId="35" xfId="0" applyNumberFormat="1" applyFont="1" applyBorder="1"/>
    <xf numFmtId="3" fontId="8" fillId="0" borderId="36" xfId="0" applyNumberFormat="1" applyFont="1" applyBorder="1"/>
    <xf numFmtId="0" fontId="4" fillId="0" borderId="32" xfId="0" applyFont="1" applyBorder="1"/>
    <xf numFmtId="0" fontId="3" fillId="0" borderId="26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21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0" xfId="0" applyFont="1"/>
    <xf numFmtId="0" fontId="3" fillId="0" borderId="8" xfId="0" applyFont="1" applyBorder="1"/>
    <xf numFmtId="164" fontId="3" fillId="0" borderId="20" xfId="0" applyNumberFormat="1" applyFont="1" applyBorder="1"/>
    <xf numFmtId="4" fontId="3" fillId="0" borderId="8" xfId="0" applyNumberFormat="1" applyFont="1" applyBorder="1"/>
    <xf numFmtId="4" fontId="3" fillId="0" borderId="12" xfId="0" applyNumberFormat="1" applyFont="1" applyBorder="1"/>
    <xf numFmtId="4" fontId="3" fillId="0" borderId="14" xfId="0" applyNumberFormat="1" applyFont="1" applyBorder="1"/>
    <xf numFmtId="3" fontId="4" fillId="0" borderId="34" xfId="0" applyNumberFormat="1" applyFont="1" applyBorder="1"/>
    <xf numFmtId="3" fontId="4" fillId="0" borderId="35" xfId="0" applyNumberFormat="1" applyFont="1" applyBorder="1"/>
    <xf numFmtId="3" fontId="4" fillId="0" borderId="36" xfId="0" applyNumberFormat="1" applyFont="1" applyBorder="1"/>
    <xf numFmtId="3" fontId="4" fillId="0" borderId="31" xfId="0" applyNumberFormat="1" applyFont="1" applyBorder="1"/>
    <xf numFmtId="3" fontId="4" fillId="0" borderId="0" xfId="0" applyNumberFormat="1" applyFont="1"/>
    <xf numFmtId="3" fontId="4" fillId="0" borderId="32" xfId="0" applyNumberFormat="1" applyFont="1" applyBorder="1"/>
    <xf numFmtId="0" fontId="4" fillId="0" borderId="11" xfId="0" applyFont="1" applyBorder="1"/>
    <xf numFmtId="0" fontId="12" fillId="0" borderId="0" xfId="0" applyFont="1"/>
    <xf numFmtId="0" fontId="4" fillId="0" borderId="31" xfId="0" applyFont="1" applyBorder="1"/>
    <xf numFmtId="0" fontId="8" fillId="0" borderId="31" xfId="0" applyFont="1" applyBorder="1"/>
    <xf numFmtId="0" fontId="8" fillId="0" borderId="32" xfId="0" applyFont="1" applyBorder="1"/>
    <xf numFmtId="164" fontId="3" fillId="0" borderId="8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14" xfId="0" applyNumberFormat="1" applyFont="1" applyBorder="1"/>
    <xf numFmtId="4" fontId="3" fillId="0" borderId="20" xfId="0" applyNumberFormat="1" applyFont="1" applyBorder="1"/>
    <xf numFmtId="0" fontId="4" fillId="0" borderId="15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15" xfId="0" applyFont="1" applyBorder="1" applyAlignment="1">
      <alignment horizontal="center" vertical="center" wrapText="1"/>
    </xf>
    <xf numFmtId="4" fontId="3" fillId="0" borderId="13" xfId="0" applyNumberFormat="1" applyFont="1" applyBorder="1"/>
    <xf numFmtId="0" fontId="3" fillId="0" borderId="12" xfId="0" applyFont="1" applyBorder="1"/>
    <xf numFmtId="0" fontId="10" fillId="0" borderId="0" xfId="0" applyFont="1"/>
    <xf numFmtId="4" fontId="3" fillId="0" borderId="19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3" fontId="8" fillId="0" borderId="48" xfId="0" applyNumberFormat="1" applyFont="1" applyBorder="1"/>
    <xf numFmtId="3" fontId="8" fillId="0" borderId="49" xfId="0" applyNumberFormat="1" applyFont="1" applyBorder="1"/>
    <xf numFmtId="3" fontId="8" fillId="0" borderId="47" xfId="0" applyNumberFormat="1" applyFont="1" applyBorder="1"/>
    <xf numFmtId="0" fontId="3" fillId="0" borderId="20" xfId="0" applyFont="1" applyBorder="1"/>
    <xf numFmtId="0" fontId="3" fillId="0" borderId="14" xfId="0" applyFont="1" applyBorder="1"/>
    <xf numFmtId="0" fontId="4" fillId="0" borderId="18" xfId="0" applyFont="1" applyBorder="1"/>
    <xf numFmtId="0" fontId="10" fillId="0" borderId="9" xfId="0" applyFont="1" applyBorder="1"/>
    <xf numFmtId="3" fontId="4" fillId="0" borderId="51" xfId="0" applyNumberFormat="1" applyFont="1" applyBorder="1"/>
    <xf numFmtId="3" fontId="4" fillId="0" borderId="52" xfId="0" applyNumberFormat="1" applyFont="1" applyBorder="1"/>
    <xf numFmtId="3" fontId="4" fillId="0" borderId="21" xfId="0" applyNumberFormat="1" applyFont="1" applyBorder="1"/>
    <xf numFmtId="164" fontId="4" fillId="0" borderId="39" xfId="0" applyNumberFormat="1" applyFont="1" applyBorder="1"/>
    <xf numFmtId="164" fontId="4" fillId="0" borderId="15" xfId="0" applyNumberFormat="1" applyFont="1" applyBorder="1"/>
    <xf numFmtId="164" fontId="4" fillId="0" borderId="40" xfId="0" applyNumberFormat="1" applyFont="1" applyBorder="1"/>
    <xf numFmtId="166" fontId="4" fillId="0" borderId="53" xfId="0" applyNumberFormat="1" applyFont="1" applyBorder="1"/>
    <xf numFmtId="164" fontId="4" fillId="0" borderId="25" xfId="0" applyNumberFormat="1" applyFont="1" applyBorder="1"/>
    <xf numFmtId="0" fontId="8" fillId="0" borderId="7" xfId="0" applyFont="1" applyBorder="1"/>
    <xf numFmtId="0" fontId="8" fillId="0" borderId="5" xfId="0" applyFont="1" applyBorder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4" fontId="4" fillId="0" borderId="29" xfId="0" applyNumberFormat="1" applyFont="1" applyBorder="1"/>
    <xf numFmtId="4" fontId="4" fillId="0" borderId="1" xfId="0" applyNumberFormat="1" applyFont="1" applyBorder="1"/>
    <xf numFmtId="4" fontId="4" fillId="0" borderId="30" xfId="0" applyNumberFormat="1" applyFont="1" applyBorder="1"/>
    <xf numFmtId="4" fontId="4" fillId="0" borderId="2" xfId="0" applyNumberFormat="1" applyFont="1" applyBorder="1"/>
    <xf numFmtId="4" fontId="4" fillId="0" borderId="22" xfId="0" applyNumberFormat="1" applyFont="1" applyBorder="1"/>
    <xf numFmtId="4" fontId="4" fillId="0" borderId="23" xfId="0" applyNumberFormat="1" applyFont="1" applyBorder="1"/>
    <xf numFmtId="4" fontId="4" fillId="0" borderId="24" xfId="0" applyNumberFormat="1" applyFont="1" applyBorder="1"/>
    <xf numFmtId="4" fontId="4" fillId="0" borderId="33" xfId="0" applyNumberFormat="1" applyFont="1" applyBorder="1"/>
    <xf numFmtId="4" fontId="4" fillId="0" borderId="4" xfId="0" applyNumberFormat="1" applyFont="1" applyBorder="1"/>
    <xf numFmtId="4" fontId="4" fillId="0" borderId="50" xfId="0" applyNumberFormat="1" applyFont="1" applyBorder="1"/>
    <xf numFmtId="165" fontId="4" fillId="0" borderId="29" xfId="0" applyNumberFormat="1" applyFont="1" applyBorder="1"/>
    <xf numFmtId="165" fontId="4" fillId="0" borderId="1" xfId="0" applyNumberFormat="1" applyFont="1" applyBorder="1"/>
    <xf numFmtId="165" fontId="4" fillId="0" borderId="30" xfId="0" applyNumberFormat="1" applyFont="1" applyBorder="1"/>
    <xf numFmtId="3" fontId="3" fillId="0" borderId="8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166" fontId="3" fillId="0" borderId="20" xfId="0" applyNumberFormat="1" applyFont="1" applyBorder="1"/>
    <xf numFmtId="4" fontId="3" fillId="0" borderId="54" xfId="0" applyNumberFormat="1" applyFont="1" applyBorder="1"/>
    <xf numFmtId="0" fontId="3" fillId="0" borderId="0" xfId="0" applyFont="1"/>
    <xf numFmtId="0" fontId="3" fillId="0" borderId="55" xfId="0" applyFont="1" applyBorder="1" applyAlignment="1">
      <alignment horizontal="center" vertical="center" wrapText="1"/>
    </xf>
    <xf numFmtId="3" fontId="3" fillId="0" borderId="56" xfId="0" applyNumberFormat="1" applyFont="1" applyBorder="1"/>
    <xf numFmtId="3" fontId="3" fillId="0" borderId="57" xfId="0" applyNumberFormat="1" applyFont="1" applyBorder="1"/>
    <xf numFmtId="166" fontId="3" fillId="0" borderId="32" xfId="0" applyNumberFormat="1" applyFont="1" applyBorder="1"/>
    <xf numFmtId="4" fontId="4" fillId="0" borderId="5" xfId="0" applyNumberFormat="1" applyFont="1" applyBorder="1"/>
    <xf numFmtId="165" fontId="4" fillId="0" borderId="37" xfId="0" applyNumberFormat="1" applyFont="1" applyBorder="1"/>
    <xf numFmtId="165" fontId="4" fillId="0" borderId="11" xfId="0" applyNumberFormat="1" applyFont="1" applyBorder="1"/>
    <xf numFmtId="165" fontId="4" fillId="0" borderId="38" xfId="0" applyNumberFormat="1" applyFont="1" applyBorder="1"/>
    <xf numFmtId="0" fontId="3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47" xfId="0" applyFont="1" applyBorder="1"/>
    <xf numFmtId="0" fontId="1" fillId="0" borderId="7" xfId="0" applyFont="1" applyBorder="1"/>
    <xf numFmtId="4" fontId="4" fillId="0" borderId="44" xfId="0" applyNumberFormat="1" applyFont="1" applyBorder="1"/>
    <xf numFmtId="4" fontId="2" fillId="0" borderId="10" xfId="0" applyNumberFormat="1" applyFont="1" applyBorder="1"/>
    <xf numFmtId="3" fontId="3" fillId="0" borderId="55" xfId="0" applyNumberFormat="1" applyFont="1" applyBorder="1"/>
    <xf numFmtId="3" fontId="3" fillId="0" borderId="46" xfId="0" applyNumberFormat="1" applyFont="1" applyBorder="1"/>
    <xf numFmtId="3" fontId="3" fillId="0" borderId="45" xfId="0" applyNumberFormat="1" applyFont="1" applyBorder="1"/>
    <xf numFmtId="4" fontId="3" fillId="0" borderId="41" xfId="0" applyNumberFormat="1" applyFont="1" applyBorder="1"/>
    <xf numFmtId="4" fontId="3" fillId="0" borderId="42" xfId="0" applyNumberFormat="1" applyFont="1" applyBorder="1"/>
    <xf numFmtId="4" fontId="3" fillId="0" borderId="43" xfId="0" applyNumberFormat="1" applyFont="1" applyBorder="1"/>
    <xf numFmtId="4" fontId="3" fillId="0" borderId="36" xfId="0" applyNumberFormat="1" applyFont="1" applyBorder="1"/>
    <xf numFmtId="3" fontId="3" fillId="0" borderId="51" xfId="0" applyNumberFormat="1" applyFont="1" applyBorder="1"/>
    <xf numFmtId="3" fontId="3" fillId="0" borderId="52" xfId="0" applyNumberFormat="1" applyFont="1" applyBorder="1"/>
    <xf numFmtId="3" fontId="3" fillId="0" borderId="21" xfId="0" applyNumberFormat="1" applyFont="1" applyBorder="1"/>
    <xf numFmtId="165" fontId="4" fillId="0" borderId="23" xfId="0" applyNumberFormat="1" applyFont="1" applyBorder="1"/>
    <xf numFmtId="165" fontId="4" fillId="0" borderId="24" xfId="0" applyNumberFormat="1" applyFont="1" applyBorder="1"/>
    <xf numFmtId="0" fontId="3" fillId="0" borderId="54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58" xfId="0" applyFont="1" applyBorder="1" applyAlignment="1">
      <alignment horizontal="center"/>
    </xf>
    <xf numFmtId="0" fontId="18" fillId="0" borderId="19" xfId="0" applyFont="1" applyBorder="1" applyAlignment="1" applyProtection="1">
      <alignment horizontal="right"/>
      <protection locked="0"/>
    </xf>
    <xf numFmtId="0" fontId="18" fillId="0" borderId="37" xfId="0" applyFont="1" applyBorder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0" fontId="8" fillId="0" borderId="28" xfId="0" applyFont="1" applyBorder="1"/>
    <xf numFmtId="165" fontId="8" fillId="3" borderId="22" xfId="0" applyNumberFormat="1" applyFont="1" applyFill="1" applyBorder="1"/>
    <xf numFmtId="165" fontId="4" fillId="0" borderId="6" xfId="0" applyNumberFormat="1" applyFont="1" applyBorder="1"/>
    <xf numFmtId="0" fontId="18" fillId="0" borderId="51" xfId="0" applyFont="1" applyBorder="1" applyAlignment="1">
      <alignment horizontal="right" vertical="center"/>
    </xf>
    <xf numFmtId="0" fontId="19" fillId="3" borderId="10" xfId="0" applyFont="1" applyFill="1" applyBorder="1"/>
    <xf numFmtId="0" fontId="18" fillId="2" borderId="38" xfId="0" applyFont="1" applyFill="1" applyBorder="1"/>
    <xf numFmtId="0" fontId="18" fillId="2" borderId="24" xfId="0" applyFont="1" applyFill="1" applyBorder="1"/>
    <xf numFmtId="165" fontId="3" fillId="0" borderId="41" xfId="0" applyNumberFormat="1" applyFont="1" applyBorder="1"/>
    <xf numFmtId="165" fontId="3" fillId="0" borderId="42" xfId="0" applyNumberFormat="1" applyFont="1" applyBorder="1"/>
    <xf numFmtId="165" fontId="3" fillId="0" borderId="43" xfId="0" applyNumberFormat="1" applyFont="1" applyBorder="1"/>
    <xf numFmtId="165" fontId="3" fillId="0" borderId="36" xfId="0" applyNumberFormat="1" applyFont="1" applyBorder="1"/>
    <xf numFmtId="165" fontId="3" fillId="0" borderId="54" xfId="0" applyNumberFormat="1" applyFont="1" applyBorder="1"/>
    <xf numFmtId="165" fontId="3" fillId="0" borderId="12" xfId="0" applyNumberFormat="1" applyFont="1" applyBorder="1"/>
    <xf numFmtId="165" fontId="3" fillId="0" borderId="14" xfId="0" applyNumberFormat="1" applyFont="1" applyBorder="1"/>
    <xf numFmtId="165" fontId="3" fillId="0" borderId="1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" fontId="3" fillId="0" borderId="43" xfId="0" applyNumberFormat="1" applyFont="1" applyBorder="1"/>
    <xf numFmtId="3" fontId="3" fillId="0" borderId="36" xfId="0" applyNumberFormat="1" applyFont="1" applyBorder="1"/>
    <xf numFmtId="3" fontId="3" fillId="0" borderId="54" xfId="0" applyNumberFormat="1" applyFont="1" applyBorder="1"/>
    <xf numFmtId="3" fontId="3" fillId="0" borderId="10" xfId="0" applyNumberFormat="1" applyFont="1" applyBorder="1"/>
    <xf numFmtId="165" fontId="3" fillId="0" borderId="8" xfId="0" applyNumberFormat="1" applyFont="1" applyBorder="1"/>
    <xf numFmtId="0" fontId="13" fillId="0" borderId="19" xfId="0" applyFont="1" applyBorder="1"/>
    <xf numFmtId="0" fontId="13" fillId="0" borderId="2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0" fontId="17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18" fillId="4" borderId="38" xfId="0" applyFont="1" applyFill="1" applyBorder="1"/>
    <xf numFmtId="14" fontId="0" fillId="0" borderId="0" xfId="0" applyNumberFormat="1"/>
    <xf numFmtId="0" fontId="18" fillId="4" borderId="24" xfId="0" applyFont="1" applyFill="1" applyBorder="1"/>
    <xf numFmtId="165" fontId="4" fillId="5" borderId="29" xfId="0" applyNumberFormat="1" applyFont="1" applyFill="1" applyBorder="1"/>
    <xf numFmtId="165" fontId="4" fillId="5" borderId="37" xfId="0" applyNumberFormat="1" applyFont="1" applyFill="1" applyBorder="1"/>
    <xf numFmtId="0" fontId="18" fillId="4" borderId="21" xfId="0" applyFont="1" applyFill="1" applyBorder="1"/>
    <xf numFmtId="0" fontId="18" fillId="0" borderId="0" xfId="0" applyFont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21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4" fillId="4" borderId="19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49" xfId="0" applyFont="1" applyFill="1" applyBorder="1" applyAlignment="1">
      <alignment horizontal="center"/>
    </xf>
    <xf numFmtId="0" fontId="15" fillId="4" borderId="47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99FF33"/>
      <color rgb="FFA8D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1427513</xdr:colOff>
      <xdr:row>6</xdr:row>
      <xdr:rowOff>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0C030-40CB-4A7B-B48A-CDFE3789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675409</xdr:colOff>
      <xdr:row>4</xdr:row>
      <xdr:rowOff>309844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1B0CCB-90CE-47AC-A08C-CA244CAA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136" cy="121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734786</xdr:colOff>
      <xdr:row>5</xdr:row>
      <xdr:rowOff>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24709C-291C-4A75-A88B-60E7D588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655F-F871-4267-B17C-2A84C67C6152}">
  <sheetPr>
    <tabColor theme="9" tint="0.79998168889431442"/>
    <pageSetUpPr fitToPage="1"/>
  </sheetPr>
  <dimension ref="B3:W52"/>
  <sheetViews>
    <sheetView showGridLines="0" tabSelected="1" zoomScale="55" zoomScaleNormal="55" workbookViewId="0">
      <selection activeCell="D41" sqref="D41"/>
    </sheetView>
  </sheetViews>
  <sheetFormatPr baseColWidth="10" defaultRowHeight="13.2" x14ac:dyDescent="0.25"/>
  <cols>
    <col min="1" max="1" width="4.109375" customWidth="1"/>
    <col min="2" max="2" width="7.33203125" customWidth="1"/>
    <col min="3" max="3" width="105.5546875" bestFit="1" customWidth="1"/>
    <col min="4" max="4" width="19.6640625" bestFit="1" customWidth="1"/>
    <col min="5" max="5" width="1" customWidth="1"/>
    <col min="6" max="17" width="16" customWidth="1"/>
    <col min="18" max="20" width="26.5546875" bestFit="1" customWidth="1"/>
    <col min="21" max="21" width="22.6640625" customWidth="1"/>
    <col min="22" max="22" width="1.6640625" customWidth="1"/>
    <col min="23" max="23" width="14.6640625" bestFit="1" customWidth="1"/>
    <col min="26" max="26" width="17.5546875" bestFit="1" customWidth="1"/>
    <col min="27" max="27" width="32.109375" bestFit="1" customWidth="1"/>
    <col min="28" max="28" width="17.88671875" bestFit="1" customWidth="1"/>
    <col min="30" max="41" width="15.44140625" bestFit="1" customWidth="1"/>
    <col min="42" max="42" width="12.5546875" bestFit="1" customWidth="1"/>
  </cols>
  <sheetData>
    <row r="3" spans="2:23" ht="23.25" customHeight="1" x14ac:dyDescent="0.25"/>
    <row r="4" spans="2:23" ht="22.8" x14ac:dyDescent="0.4">
      <c r="E4" s="36" t="s">
        <v>99</v>
      </c>
    </row>
    <row r="5" spans="2:23" x14ac:dyDescent="0.25">
      <c r="E5" s="1"/>
    </row>
    <row r="8" spans="2:23" x14ac:dyDescent="0.25">
      <c r="B8" s="4"/>
    </row>
    <row r="11" spans="2:23" ht="6" customHeight="1" x14ac:dyDescent="0.25"/>
    <row r="12" spans="2:23" ht="18" thickBot="1" x14ac:dyDescent="0.35">
      <c r="H12" s="173" t="s">
        <v>105</v>
      </c>
      <c r="I12" s="173"/>
      <c r="J12" s="173"/>
      <c r="K12" s="173"/>
      <c r="W12" s="5"/>
    </row>
    <row r="13" spans="2:23" ht="18" thickBot="1" x14ac:dyDescent="0.35">
      <c r="C13" s="154" t="s">
        <v>110</v>
      </c>
      <c r="D13" s="155"/>
      <c r="H13" s="170"/>
      <c r="I13" s="170" t="s">
        <v>104</v>
      </c>
      <c r="J13" s="170" t="s">
        <v>109</v>
      </c>
      <c r="K13" s="170" t="s">
        <v>108</v>
      </c>
      <c r="W13" s="5"/>
    </row>
    <row r="14" spans="2:23" ht="17.399999999999999" x14ac:dyDescent="0.3">
      <c r="B14" s="5"/>
      <c r="C14" s="130" t="s">
        <v>111</v>
      </c>
      <c r="D14" s="137">
        <v>10</v>
      </c>
      <c r="G14" s="169"/>
      <c r="H14" s="172" t="s">
        <v>106</v>
      </c>
      <c r="I14" s="171"/>
      <c r="J14" s="171"/>
      <c r="K14" s="171"/>
      <c r="R14" s="162" t="s">
        <v>73</v>
      </c>
      <c r="S14" s="162" t="s">
        <v>74</v>
      </c>
      <c r="T14" s="162" t="s">
        <v>79</v>
      </c>
      <c r="W14" s="5"/>
    </row>
    <row r="15" spans="2:23" ht="18" thickBot="1" x14ac:dyDescent="0.35">
      <c r="B15" s="5"/>
      <c r="C15" s="131" t="s">
        <v>112</v>
      </c>
      <c r="D15" s="138">
        <v>1</v>
      </c>
      <c r="G15" s="169"/>
      <c r="H15" s="172" t="s">
        <v>107</v>
      </c>
      <c r="I15" s="171"/>
      <c r="J15" s="171"/>
      <c r="K15" s="171"/>
      <c r="O15" s="184" t="s">
        <v>80</v>
      </c>
      <c r="P15" s="184"/>
      <c r="Q15" s="2" t="s">
        <v>3</v>
      </c>
      <c r="R15" s="85">
        <v>7.4292418093987331E-2</v>
      </c>
      <c r="S15" s="85">
        <v>7.4292418093987331E-2</v>
      </c>
      <c r="T15" s="85">
        <v>7.4292418093987331E-2</v>
      </c>
    </row>
    <row r="16" spans="2:23" ht="15.6" thickBot="1" x14ac:dyDescent="0.3">
      <c r="O16" s="184" t="s">
        <v>81</v>
      </c>
      <c r="P16" s="184"/>
      <c r="Q16" s="2" t="s">
        <v>4</v>
      </c>
      <c r="R16" s="75">
        <v>331668.61968899996</v>
      </c>
      <c r="S16" s="75">
        <v>331668.61968899996</v>
      </c>
      <c r="T16" s="75">
        <v>663337.23937799991</v>
      </c>
      <c r="W16" s="127"/>
    </row>
    <row r="17" spans="2:23" ht="18" thickBot="1" x14ac:dyDescent="0.35">
      <c r="C17" s="154" t="s">
        <v>113</v>
      </c>
      <c r="D17" s="155"/>
      <c r="O17" s="185" t="s">
        <v>29</v>
      </c>
      <c r="P17" s="185"/>
      <c r="Q17" s="2" t="s">
        <v>4</v>
      </c>
      <c r="R17" s="75">
        <v>69650.41</v>
      </c>
      <c r="S17" s="75">
        <v>69650.41</v>
      </c>
      <c r="T17" s="75">
        <v>139300.82</v>
      </c>
      <c r="W17" s="127"/>
    </row>
    <row r="18" spans="2:23" ht="17.399999999999999" x14ac:dyDescent="0.3">
      <c r="C18" s="130" t="s">
        <v>114</v>
      </c>
      <c r="D18" s="137">
        <v>10</v>
      </c>
      <c r="O18" s="184" t="s">
        <v>82</v>
      </c>
      <c r="P18" s="184"/>
      <c r="Q18" s="2" t="s">
        <v>4</v>
      </c>
      <c r="R18" s="75">
        <v>401319.03</v>
      </c>
      <c r="S18" s="75">
        <v>401319.03</v>
      </c>
      <c r="T18" s="75">
        <v>802638.06</v>
      </c>
      <c r="W18" s="127"/>
    </row>
    <row r="19" spans="2:23" ht="18" thickBot="1" x14ac:dyDescent="0.35">
      <c r="C19" s="131" t="s">
        <v>85</v>
      </c>
      <c r="D19" s="138">
        <v>1</v>
      </c>
    </row>
    <row r="20" spans="2:23" ht="18" thickBot="1" x14ac:dyDescent="0.35">
      <c r="E20" s="4"/>
      <c r="F20" s="195" t="s">
        <v>67</v>
      </c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7"/>
      <c r="R20" s="174" t="s">
        <v>72</v>
      </c>
      <c r="S20" s="174" t="s">
        <v>72</v>
      </c>
      <c r="T20" s="174" t="s">
        <v>72</v>
      </c>
      <c r="U20" s="156"/>
    </row>
    <row r="21" spans="2:23" ht="21.6" thickBot="1" x14ac:dyDescent="0.45">
      <c r="B21" s="4"/>
      <c r="C21" s="177" t="s">
        <v>102</v>
      </c>
      <c r="D21" s="178"/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80"/>
      <c r="R21" s="175"/>
      <c r="S21" s="175"/>
      <c r="T21" s="175"/>
      <c r="U21" s="156"/>
    </row>
    <row r="22" spans="2:23" ht="16.2" thickBot="1" x14ac:dyDescent="0.35">
      <c r="E22" s="4"/>
      <c r="F22" s="181" t="s">
        <v>86</v>
      </c>
      <c r="G22" s="182"/>
      <c r="H22" s="182"/>
      <c r="I22" s="182"/>
      <c r="J22" s="182"/>
      <c r="K22" s="183"/>
      <c r="L22" s="181" t="s">
        <v>87</v>
      </c>
      <c r="M22" s="182"/>
      <c r="N22" s="182"/>
      <c r="O22" s="182"/>
      <c r="P22" s="182"/>
      <c r="Q22" s="183"/>
      <c r="R22" s="176"/>
      <c r="S22" s="176"/>
      <c r="T22" s="176"/>
      <c r="U22" s="156"/>
    </row>
    <row r="23" spans="2:23" ht="15.6" x14ac:dyDescent="0.3">
      <c r="C23" s="2" t="s">
        <v>1</v>
      </c>
      <c r="D23" s="2" t="s">
        <v>2</v>
      </c>
      <c r="E23" s="4"/>
      <c r="F23" s="19" t="s">
        <v>12</v>
      </c>
      <c r="G23" s="20" t="s">
        <v>13</v>
      </c>
      <c r="H23" s="20" t="s">
        <v>14</v>
      </c>
      <c r="I23" s="20" t="s">
        <v>15</v>
      </c>
      <c r="J23" s="20" t="s">
        <v>16</v>
      </c>
      <c r="K23" s="21" t="s">
        <v>17</v>
      </c>
      <c r="L23" s="19" t="s">
        <v>6</v>
      </c>
      <c r="M23" s="20" t="s">
        <v>7</v>
      </c>
      <c r="N23" s="20" t="s">
        <v>8</v>
      </c>
      <c r="O23" s="20" t="s">
        <v>9</v>
      </c>
      <c r="P23" s="20" t="s">
        <v>10</v>
      </c>
      <c r="Q23" s="21" t="s">
        <v>11</v>
      </c>
      <c r="R23" s="128" t="s">
        <v>73</v>
      </c>
      <c r="S23" s="128" t="s">
        <v>74</v>
      </c>
      <c r="T23" s="128" t="s">
        <v>79</v>
      </c>
      <c r="U23" s="157"/>
    </row>
    <row r="24" spans="2:23" ht="6" customHeight="1" thickBot="1" x14ac:dyDescent="0.3">
      <c r="C24" s="6"/>
      <c r="D24" s="6"/>
      <c r="E24" s="4"/>
      <c r="F24" s="29"/>
      <c r="G24" s="30"/>
      <c r="H24" s="30"/>
      <c r="I24" s="30"/>
      <c r="J24" s="30"/>
      <c r="K24" s="31"/>
      <c r="L24" s="32"/>
      <c r="M24" s="33"/>
      <c r="N24" s="33"/>
      <c r="O24" s="33"/>
      <c r="P24" s="33"/>
      <c r="Q24" s="34"/>
      <c r="R24" s="17"/>
      <c r="S24" s="17"/>
      <c r="T24" s="17"/>
      <c r="U24" s="23"/>
    </row>
    <row r="25" spans="2:23" ht="16.2" thickBot="1" x14ac:dyDescent="0.35">
      <c r="C25" s="46" t="s">
        <v>66</v>
      </c>
      <c r="D25" s="58" t="s">
        <v>3</v>
      </c>
      <c r="E25" s="51"/>
      <c r="F25" s="139">
        <f>IF(OR($D$14="",$D$15="",$D$18="",$D$19=""),"sense preu",'Càlcul MODEL Oferta MIBGAS=44'!F$85)</f>
        <v>0.23638073120562669</v>
      </c>
      <c r="G25" s="140">
        <f>IF(OR($D$14="",$D$15="",$D$18="",$D$19=""),"sense preu",'Càlcul MODEL Oferta MIBGAS=44'!G$85)</f>
        <v>0.2415093978538719</v>
      </c>
      <c r="H25" s="140">
        <f>IF(OR($D$14="",$D$15="",$D$18="",$D$19=""),"sense preu",'Càlcul MODEL Oferta MIBGAS=44'!H$85)</f>
        <v>0.22834669273378949</v>
      </c>
      <c r="I25" s="140">
        <f>IF(OR($D$14="",$D$15="",$D$18="",$D$19=""),"sense preu",'Càlcul MODEL Oferta MIBGAS=44'!I$85)</f>
        <v>0.21812252636568313</v>
      </c>
      <c r="J25" s="141">
        <f>IF(OR($D$14="",$D$15="",$D$18="",$D$19=""),"sense preu",'Càlcul MODEL Oferta MIBGAS=44'!J$85)</f>
        <v>7.0503492839351839E-2</v>
      </c>
      <c r="K25" s="142">
        <f>IF(OR($D$14="",$D$15="",$D$18="",$D$19=""),"sense preu",'Càlcul MODEL Oferta MIBGAS=44'!K$85)</f>
        <v>6.8961986686525423E-2</v>
      </c>
      <c r="L25" s="143">
        <f>IF(OR($D$14="",$D$15="",$D$18="",$D$19=""),"sense preu",'Càlcul MODEL Oferta MIBGAS=44'!L$85)</f>
        <v>6.8737906616358216E-2</v>
      </c>
      <c r="M25" s="144">
        <f>IF(OR($D$14="",$D$15="",$D$18="",$D$19=""),"sense preu",'Càlcul MODEL Oferta MIBGAS=44'!M$85)</f>
        <v>6.8499314097737074E-2</v>
      </c>
      <c r="N25" s="144">
        <f>IF(OR($D$14="",$D$15="",$D$18="",$D$19=""),"sense preu",'Càlcul MODEL Oferta MIBGAS=44'!N$85)</f>
        <v>6.9290101380309166E-2</v>
      </c>
      <c r="O25" s="144">
        <f>IF(OR($D$14="",$D$15="",$D$18="",$D$19=""),"sense preu",'Càlcul MODEL Oferta MIBGAS=44'!O$85)</f>
        <v>7.1523270078851453E-2</v>
      </c>
      <c r="P25" s="144">
        <f>IF(OR($D$14="",$D$15="",$D$18="",$D$19=""),"sense preu",'Càlcul MODEL Oferta MIBGAS=44'!P$85)</f>
        <v>9.6860505256551072E-2</v>
      </c>
      <c r="Q25" s="145">
        <f>IF(OR($D$14="",$D$15="",$D$18="",$D$19=""),"sense preu",'Càlcul MODEL Oferta MIBGAS=44'!Q$85)</f>
        <v>0.23510982894379581</v>
      </c>
      <c r="R25" s="146">
        <f>IF(OR($D$14="",$D$15="",$D$18="",$D$19=""),"sense preu",'Càlcul MODEL Oferta MIBGAS=44'!R$85)</f>
        <v>7.2625660031982134E-2</v>
      </c>
      <c r="S25" s="146">
        <f>IF(OR($D$14="",$D$15="",$D$18="",$D$19=""),"sense preu",R25)</f>
        <v>7.2625660031982134E-2</v>
      </c>
      <c r="T25" s="146">
        <f>IF(OR($D$14="",$D$15="",$D$18="",$D$19=""),"sense preu",S25)</f>
        <v>7.2625660031982134E-2</v>
      </c>
      <c r="U25" s="158"/>
      <c r="W25" s="5"/>
    </row>
    <row r="26" spans="2:23" ht="16.2" thickBot="1" x14ac:dyDescent="0.35">
      <c r="C26" s="47" t="s">
        <v>71</v>
      </c>
      <c r="D26" s="46" t="s">
        <v>4</v>
      </c>
      <c r="E26" s="5"/>
      <c r="F26" s="26">
        <f>IF(OR($D$14="",$D$15="",$D$18="",$D$19=""),"sense preu",'Càlcul MODEL Oferta MIBGAS=44'!F$86)</f>
        <v>3562.4939999999997</v>
      </c>
      <c r="G26" s="27">
        <f>IF(OR($D$14="",$D$15="",$D$18="",$D$19=""),"sense preu",'Càlcul MODEL Oferta MIBGAS=44'!G$86)</f>
        <v>3533.5239999999999</v>
      </c>
      <c r="H26" s="27">
        <f>IF(OR($D$14="",$D$15="",$D$18="",$D$19=""),"sense preu",'Càlcul MODEL Oferta MIBGAS=44'!H$86)</f>
        <v>3503.9799999999996</v>
      </c>
      <c r="I26" s="27">
        <f>IF(OR($D$14="",$D$15="",$D$18="",$D$19=""),"sense preu",'Càlcul MODEL Oferta MIBGAS=44'!I$86)</f>
        <v>3681.4719999999998</v>
      </c>
      <c r="J26" s="27">
        <f>IF(OR($D$14="",$D$15="",$D$18="",$D$19=""),"sense preu",'Càlcul MODEL Oferta MIBGAS=44'!J$86)</f>
        <v>37675.585999999996</v>
      </c>
      <c r="K26" s="28">
        <f>IF(OR($D$14="",$D$15="",$D$18="",$D$19=""),"sense preu",'Càlcul MODEL Oferta MIBGAS=44'!K$86)</f>
        <v>56719.51</v>
      </c>
      <c r="L26" s="26">
        <f>IF(OR($D$14="",$D$15="",$D$18="",$D$19=""),"sense preu",'Càlcul MODEL Oferta MIBGAS=44'!L$86)</f>
        <v>60901.853999999992</v>
      </c>
      <c r="M26" s="27">
        <f>IF(OR($D$14="",$D$15="",$D$18="",$D$19=""),"sense preu",'Càlcul MODEL Oferta MIBGAS=44'!M$86)</f>
        <v>60220.075999999986</v>
      </c>
      <c r="N26" s="27">
        <f>IF(OR($D$14="",$D$15="",$D$18="",$D$19=""),"sense preu",'Càlcul MODEL Oferta MIBGAS=44'!N$86)</f>
        <v>51574.423999999999</v>
      </c>
      <c r="O26" s="27">
        <f>IF(OR($D$14="",$D$15="",$D$18="",$D$19=""),"sense preu",'Càlcul MODEL Oferta MIBGAS=44'!O$86)</f>
        <v>31366.243999999992</v>
      </c>
      <c r="P26" s="27">
        <f>IF(OR($D$14="",$D$15="",$D$18="",$D$19=""),"sense preu",'Càlcul MODEL Oferta MIBGAS=44'!P$86)</f>
        <v>8024.7960000000003</v>
      </c>
      <c r="Q26" s="28">
        <f>IF(OR($D$14="",$D$15="",$D$18="",$D$19=""),"sense preu",'Càlcul MODEL Oferta MIBGAS=44'!Q$86)</f>
        <v>3463.6379999999999</v>
      </c>
      <c r="R26" s="54">
        <f>IF(OR($D$14="",$D$15="",$D$18="",$D$19=""),"sense preu",'Càlcul MODEL Oferta MIBGAS=44'!R$86)</f>
        <v>324227.59999999998</v>
      </c>
      <c r="S26" s="54">
        <f t="shared" ref="S26:S28" si="0">IF(OR($D$14="",$D$15="",$D$18="",$D$19=""),"sense preu",R26)</f>
        <v>324227.59999999998</v>
      </c>
      <c r="T26" s="54">
        <f>IF(OR($D$14="",$D$15="",$D$18="",$D$19=""),"sense preu",R26+S26)</f>
        <v>648455.19999999995</v>
      </c>
      <c r="U26" s="159"/>
      <c r="W26" s="5"/>
    </row>
    <row r="27" spans="2:23" ht="16.2" thickBot="1" x14ac:dyDescent="0.35">
      <c r="B27" s="5"/>
      <c r="F27" s="5"/>
      <c r="G27" s="5"/>
      <c r="H27" s="5"/>
      <c r="I27" s="5"/>
      <c r="J27" s="5"/>
      <c r="K27" s="5"/>
      <c r="L27" s="5"/>
      <c r="M27" s="5"/>
      <c r="N27" s="201" t="s">
        <v>29</v>
      </c>
      <c r="O27" s="202"/>
      <c r="P27" s="203"/>
      <c r="Q27" s="54" t="s">
        <v>4</v>
      </c>
      <c r="R27" s="44">
        <f>IF(OR($D$14="",$D$15="",$D$18="",$D$19=""),"sense preu",ROUND(R26*0.21,2))</f>
        <v>68087.8</v>
      </c>
      <c r="S27" s="44">
        <f t="shared" si="0"/>
        <v>68087.8</v>
      </c>
      <c r="T27" s="44">
        <f>IF(OR($D$14="",$D$15="",$D$18="",$D$19=""),"sense preu",ROUND(T26*0.21,2))</f>
        <v>136175.59</v>
      </c>
      <c r="U27" s="159"/>
      <c r="W27" s="5"/>
    </row>
    <row r="28" spans="2:23" ht="16.2" thickBot="1" x14ac:dyDescent="0.35">
      <c r="B28" s="5"/>
      <c r="N28" s="201" t="s">
        <v>84</v>
      </c>
      <c r="O28" s="202"/>
      <c r="P28" s="203"/>
      <c r="Q28" s="54" t="s">
        <v>4</v>
      </c>
      <c r="R28" s="44">
        <f>IF(OR($D$14="",$D$15="",$D$18="",$D$19=""),"sense preu",R27+R26)</f>
        <v>392315.39999999997</v>
      </c>
      <c r="S28" s="44">
        <f t="shared" si="0"/>
        <v>392315.39999999997</v>
      </c>
      <c r="T28" s="44">
        <f>IF(OR($D$14="",$D$15="",$D$18="",$D$19=""),"sense preu",T27+T26)</f>
        <v>784630.78999999992</v>
      </c>
      <c r="U28" s="159"/>
    </row>
    <row r="29" spans="2:23" ht="16.2" thickBot="1" x14ac:dyDescent="0.35">
      <c r="N29" s="198" t="s">
        <v>83</v>
      </c>
      <c r="O29" s="199"/>
      <c r="P29" s="200"/>
      <c r="Q29" s="54" t="s">
        <v>4</v>
      </c>
      <c r="R29" s="44">
        <f>IF(OR($D$14="",$D$15="",$D$18="",$D$19=""),"sense preu",IF(R28&lt;=R18,R28-R18,"SUPERA IMPORT"))</f>
        <v>-9003.6300000000629</v>
      </c>
      <c r="S29" s="44">
        <f t="shared" ref="S29:T29" si="1">IF(OR($D$14="",$D$15="",$D$18="",$D$19=""),"sense preu",IF(S28&lt;=S18,S28-S18,"SUPERA IMPORT"))</f>
        <v>-9003.6300000000629</v>
      </c>
      <c r="T29" s="44">
        <f t="shared" si="1"/>
        <v>-18007.270000000135</v>
      </c>
      <c r="W29" s="127"/>
    </row>
    <row r="30" spans="2:23" x14ac:dyDescent="0.25">
      <c r="W30" s="127"/>
    </row>
    <row r="31" spans="2:23" x14ac:dyDescent="0.25">
      <c r="W31" s="127"/>
    </row>
    <row r="32" spans="2:23" ht="13.8" thickBot="1" x14ac:dyDescent="0.3"/>
    <row r="33" spans="3:21" ht="18" thickBot="1" x14ac:dyDescent="0.35">
      <c r="E33" s="4"/>
      <c r="F33" s="195" t="s">
        <v>67</v>
      </c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7"/>
      <c r="R33" s="174" t="s">
        <v>72</v>
      </c>
      <c r="S33" s="174" t="s">
        <v>72</v>
      </c>
      <c r="T33" s="174" t="s">
        <v>72</v>
      </c>
      <c r="U33" s="156"/>
    </row>
    <row r="34" spans="3:21" ht="21.6" thickBot="1" x14ac:dyDescent="0.45">
      <c r="C34" s="177" t="s">
        <v>103</v>
      </c>
      <c r="D34" s="178"/>
      <c r="E34" s="178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80"/>
      <c r="R34" s="175"/>
      <c r="S34" s="175"/>
      <c r="T34" s="175"/>
      <c r="U34" s="156"/>
    </row>
    <row r="35" spans="3:21" ht="16.2" thickBot="1" x14ac:dyDescent="0.35">
      <c r="E35" s="4"/>
      <c r="F35" s="181" t="s">
        <v>86</v>
      </c>
      <c r="G35" s="182"/>
      <c r="H35" s="182"/>
      <c r="I35" s="182"/>
      <c r="J35" s="182"/>
      <c r="K35" s="183"/>
      <c r="L35" s="181" t="s">
        <v>87</v>
      </c>
      <c r="M35" s="182"/>
      <c r="N35" s="182"/>
      <c r="O35" s="182"/>
      <c r="P35" s="182"/>
      <c r="Q35" s="183"/>
      <c r="R35" s="176"/>
      <c r="S35" s="176"/>
      <c r="T35" s="176"/>
      <c r="U35" s="156"/>
    </row>
    <row r="36" spans="3:21" ht="15.6" x14ac:dyDescent="0.3">
      <c r="C36" s="2" t="s">
        <v>1</v>
      </c>
      <c r="D36" s="2" t="s">
        <v>2</v>
      </c>
      <c r="E36" s="4"/>
      <c r="F36" s="19" t="s">
        <v>12</v>
      </c>
      <c r="G36" s="20" t="s">
        <v>13</v>
      </c>
      <c r="H36" s="20" t="s">
        <v>14</v>
      </c>
      <c r="I36" s="20" t="s">
        <v>15</v>
      </c>
      <c r="J36" s="20" t="s">
        <v>16</v>
      </c>
      <c r="K36" s="21" t="s">
        <v>17</v>
      </c>
      <c r="L36" s="19" t="s">
        <v>6</v>
      </c>
      <c r="M36" s="20" t="s">
        <v>7</v>
      </c>
      <c r="N36" s="20" t="s">
        <v>8</v>
      </c>
      <c r="O36" s="20" t="s">
        <v>9</v>
      </c>
      <c r="P36" s="20" t="s">
        <v>10</v>
      </c>
      <c r="Q36" s="21" t="s">
        <v>11</v>
      </c>
      <c r="R36" s="128" t="s">
        <v>73</v>
      </c>
      <c r="S36" s="128" t="s">
        <v>74</v>
      </c>
      <c r="T36" s="128" t="s">
        <v>78</v>
      </c>
      <c r="U36" s="157"/>
    </row>
    <row r="37" spans="3:21" ht="6" customHeight="1" thickBot="1" x14ac:dyDescent="0.3">
      <c r="C37" s="6"/>
      <c r="D37" s="6"/>
      <c r="E37" s="4"/>
      <c r="F37" s="29"/>
      <c r="G37" s="30"/>
      <c r="H37" s="30"/>
      <c r="I37" s="30"/>
      <c r="J37" s="30"/>
      <c r="K37" s="31"/>
      <c r="L37" s="32"/>
      <c r="M37" s="33"/>
      <c r="N37" s="33"/>
      <c r="O37" s="33"/>
      <c r="P37" s="33"/>
      <c r="Q37" s="34"/>
      <c r="R37" s="17"/>
      <c r="S37" s="17"/>
      <c r="T37" s="17"/>
      <c r="U37" s="23"/>
    </row>
    <row r="38" spans="3:21" ht="16.2" thickBot="1" x14ac:dyDescent="0.35">
      <c r="C38" s="46" t="s">
        <v>66</v>
      </c>
      <c r="D38" s="58" t="s">
        <v>3</v>
      </c>
      <c r="E38" s="51"/>
      <c r="F38" s="139">
        <f>IF(OR($D$14="",$D$15="",$D$18="",$D$19=""),"sense preu",'Càlcul MODEL Oferta MIBGAS=30'!F$85)</f>
        <v>0.22238073120562671</v>
      </c>
      <c r="G38" s="140">
        <f>IF(OR($D$14="",$D$15="",$D$18="",$D$19=""),"sense preu",'Càlcul MODEL Oferta MIBGAS=30'!G$85)</f>
        <v>0.22750939785387189</v>
      </c>
      <c r="H38" s="140">
        <f>IF(OR($D$14="",$D$15="",$D$18="",$D$19=""),"sense preu",'Càlcul MODEL Oferta MIBGAS=30'!H$85)</f>
        <v>0.21434669273378951</v>
      </c>
      <c r="I38" s="140">
        <f>IF(OR($D$14="",$D$15="",$D$18="",$D$19=""),"sense preu",'Càlcul MODEL Oferta MIBGAS=30'!I$85)</f>
        <v>0.20412252636568309</v>
      </c>
      <c r="J38" s="141">
        <f>IF(OR($D$14="",$D$15="",$D$18="",$D$19=""),"sense preu",'Càlcul MODEL Oferta MIBGAS=30'!J$85)</f>
        <v>5.650349283935184E-2</v>
      </c>
      <c r="K38" s="142">
        <f>IF(OR($D$14="",$D$15="",$D$18="",$D$19=""),"sense preu",'Càlcul MODEL Oferta MIBGAS=30'!K$85)</f>
        <v>5.4961986686525424E-2</v>
      </c>
      <c r="L38" s="143">
        <f>IF(OR($D$14="",$D$15="",$D$18="",$D$19=""),"sense preu",'Càlcul MODEL Oferta MIBGAS=30'!L$85)</f>
        <v>5.4737906616358217E-2</v>
      </c>
      <c r="M38" s="144">
        <f>IF(OR($D$14="",$D$15="",$D$18="",$D$19=""),"sense preu",'Càlcul MODEL Oferta MIBGAS=30'!M$85)</f>
        <v>5.4499314097737089E-2</v>
      </c>
      <c r="N38" s="144">
        <f>IF(OR($D$14="",$D$15="",$D$18="",$D$19=""),"sense preu",'Càlcul MODEL Oferta MIBGAS=30'!N$85)</f>
        <v>5.5290101380309167E-2</v>
      </c>
      <c r="O38" s="144">
        <f>IF(OR($D$14="",$D$15="",$D$18="",$D$19=""),"sense preu",'Càlcul MODEL Oferta MIBGAS=30'!O$85)</f>
        <v>5.7523270078851482E-2</v>
      </c>
      <c r="P38" s="144">
        <f>IF(OR($D$14="",$D$15="",$D$18="",$D$19=""),"sense preu",'Càlcul MODEL Oferta MIBGAS=30'!P$85)</f>
        <v>8.2860505256551073E-2</v>
      </c>
      <c r="Q38" s="145">
        <f>IF(OR($D$14="",$D$15="",$D$18="",$D$19=""),"sense preu",'Càlcul MODEL Oferta MIBGAS=30'!Q$85)</f>
        <v>0.2211098289437958</v>
      </c>
      <c r="R38" s="146">
        <f>IF(OR($D$14="",$D$15="",$D$18="",$D$19=""),"sense preu",'Càlcul MODEL Oferta MIBGAS=30'!R$85)</f>
        <v>5.862565958399029E-2</v>
      </c>
      <c r="S38" s="146">
        <f t="shared" ref="S38:S41" si="2">IF(OR($D$14="",$D$15="",$D$18="",$D$19=""),"sense preu",R38)</f>
        <v>5.862565958399029E-2</v>
      </c>
      <c r="T38" s="146">
        <f>IF(OR($D$14="",$D$15="",$D$18="",$D$19=""),"sense preu",S38)</f>
        <v>5.862565958399029E-2</v>
      </c>
      <c r="U38" s="158"/>
    </row>
    <row r="39" spans="3:21" ht="16.2" thickBot="1" x14ac:dyDescent="0.35">
      <c r="C39" s="47" t="s">
        <v>68</v>
      </c>
      <c r="D39" s="46" t="s">
        <v>4</v>
      </c>
      <c r="E39" s="5"/>
      <c r="F39" s="26">
        <f>IF(OR($D$14="",$D$15="",$D$18="",$D$19=""),"sense preu",'Càlcul MODEL Oferta MIBGAS=30'!F$86)</f>
        <v>3351.5</v>
      </c>
      <c r="G39" s="27">
        <f>IF(OR($D$14="",$D$15="",$D$18="",$D$19=""),"sense preu",'Càlcul MODEL Oferta MIBGAS=30'!G$86)</f>
        <v>3328.6899999999996</v>
      </c>
      <c r="H39" s="27">
        <f>IF(OR($D$14="",$D$15="",$D$18="",$D$19=""),"sense preu",'Càlcul MODEL Oferta MIBGAS=30'!H$86)</f>
        <v>3289.15</v>
      </c>
      <c r="I39" s="27">
        <f>IF(OR($D$14="",$D$15="",$D$18="",$D$19=""),"sense preu",'Càlcul MODEL Oferta MIBGAS=30'!I$86)</f>
        <v>3445.1799999999994</v>
      </c>
      <c r="J39" s="27">
        <f>IF(OR($D$14="",$D$15="",$D$18="",$D$19=""),"sense preu",'Càlcul MODEL Oferta MIBGAS=30'!J$86)</f>
        <v>30194.28</v>
      </c>
      <c r="K39" s="28">
        <f>IF(OR($D$14="",$D$15="",$D$18="",$D$19=""),"sense preu",'Càlcul MODEL Oferta MIBGAS=30'!K$86)</f>
        <v>45204.86</v>
      </c>
      <c r="L39" s="26">
        <f>IF(OR($D$14="",$D$15="",$D$18="",$D$19=""),"sense preu",'Càlcul MODEL Oferta MIBGAS=30'!L$86)</f>
        <v>48497.84</v>
      </c>
      <c r="M39" s="27">
        <f>IF(OR($D$14="",$D$15="",$D$18="",$D$19=""),"sense preu",'Càlcul MODEL Oferta MIBGAS=30'!M$86)</f>
        <v>47912.2</v>
      </c>
      <c r="N39" s="27">
        <f>IF(OR($D$14="",$D$15="",$D$18="",$D$19=""),"sense preu",'Càlcul MODEL Oferta MIBGAS=30'!N$86)</f>
        <v>41153.86</v>
      </c>
      <c r="O39" s="27">
        <f>IF(OR($D$14="",$D$15="",$D$18="",$D$19=""),"sense preu",'Càlcul MODEL Oferta MIBGAS=30'!O$86)</f>
        <v>25226.600000000002</v>
      </c>
      <c r="P39" s="27">
        <f>IF(OR($D$14="",$D$15="",$D$18="",$D$19=""),"sense preu",'Càlcul MODEL Oferta MIBGAS=30'!P$86)</f>
        <v>6864.91</v>
      </c>
      <c r="Q39" s="28">
        <f>IF(OR($D$14="",$D$15="",$D$18="",$D$19=""),"sense preu",'Càlcul MODEL Oferta MIBGAS=30'!Q$86)</f>
        <v>3257.39</v>
      </c>
      <c r="R39" s="54">
        <f>IF(OR($D$14="",$D$15="",$D$18="",$D$19=""),"sense preu",'Càlcul MODEL Oferta MIBGAS=30'!R$86)</f>
        <v>261726.46</v>
      </c>
      <c r="S39" s="54">
        <f t="shared" si="2"/>
        <v>261726.46</v>
      </c>
      <c r="T39" s="54">
        <f>IF(OR($D$14="",$D$15="",$D$18="",$D$19=""),"sense preu",R39+S39)</f>
        <v>523452.92</v>
      </c>
      <c r="U39" s="159"/>
    </row>
    <row r="40" spans="3:21" ht="16.2" thickBot="1" x14ac:dyDescent="0.35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09" t="s">
        <v>29</v>
      </c>
      <c r="R40" s="44">
        <f>IF(OR($D$14="",$D$15="",$D$18="",$D$19=""),"sense preu",ROUND(R39*0.21,2))</f>
        <v>54962.559999999998</v>
      </c>
      <c r="S40" s="44">
        <f t="shared" si="2"/>
        <v>54962.559999999998</v>
      </c>
      <c r="T40" s="44">
        <f>IF(OR($D$14="",$D$15="",$D$18="",$D$19=""),"sense preu",ROUND(T39*0.21,2))</f>
        <v>109925.11</v>
      </c>
      <c r="U40" s="159"/>
    </row>
    <row r="41" spans="3:21" ht="16.2" thickBot="1" x14ac:dyDescent="0.35">
      <c r="Q41" s="109" t="s">
        <v>51</v>
      </c>
      <c r="R41" s="44">
        <f>IF(OR($D$14="",$D$15="",$D$18="",$D$19=""),"sense preu",R40+R39)</f>
        <v>316689.02</v>
      </c>
      <c r="S41" s="44">
        <f t="shared" si="2"/>
        <v>316689.02</v>
      </c>
      <c r="T41" s="44">
        <f>IF(OR($D$14="",$D$15="",$D$18="",$D$19=""),"sense preu",T40+T39)</f>
        <v>633378.03</v>
      </c>
      <c r="U41" s="159"/>
    </row>
    <row r="42" spans="3:21" ht="13.8" thickBot="1" x14ac:dyDescent="0.3"/>
    <row r="43" spans="3:21" ht="18" thickBot="1" x14ac:dyDescent="0.35">
      <c r="E43" s="4"/>
      <c r="F43" s="188" t="s">
        <v>65</v>
      </c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90"/>
      <c r="R43" s="174" t="s">
        <v>72</v>
      </c>
      <c r="S43" s="174" t="s">
        <v>72</v>
      </c>
      <c r="T43" s="174" t="s">
        <v>72</v>
      </c>
      <c r="U43" s="156"/>
    </row>
    <row r="44" spans="3:21" ht="21.6" thickBot="1" x14ac:dyDescent="0.45">
      <c r="C44" s="191" t="s">
        <v>101</v>
      </c>
      <c r="D44" s="192"/>
      <c r="E44" s="192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4"/>
      <c r="R44" s="175"/>
      <c r="S44" s="175"/>
      <c r="T44" s="175"/>
      <c r="U44" s="156"/>
    </row>
    <row r="45" spans="3:21" ht="16.2" thickBot="1" x14ac:dyDescent="0.35">
      <c r="C45" s="2" t="s">
        <v>1</v>
      </c>
      <c r="D45" s="2" t="s">
        <v>2</v>
      </c>
      <c r="E45" s="4"/>
      <c r="F45" s="19" t="s">
        <v>12</v>
      </c>
      <c r="G45" s="20" t="s">
        <v>13</v>
      </c>
      <c r="H45" s="20" t="s">
        <v>14</v>
      </c>
      <c r="I45" s="20" t="s">
        <v>15</v>
      </c>
      <c r="J45" s="20" t="s">
        <v>16</v>
      </c>
      <c r="K45" s="21" t="s">
        <v>17</v>
      </c>
      <c r="L45" s="19" t="s">
        <v>6</v>
      </c>
      <c r="M45" s="20" t="s">
        <v>7</v>
      </c>
      <c r="N45" s="20" t="s">
        <v>8</v>
      </c>
      <c r="O45" s="20" t="s">
        <v>9</v>
      </c>
      <c r="P45" s="20" t="s">
        <v>10</v>
      </c>
      <c r="Q45" s="21" t="s">
        <v>11</v>
      </c>
      <c r="R45" s="128" t="s">
        <v>76</v>
      </c>
      <c r="S45" s="128" t="s">
        <v>75</v>
      </c>
      <c r="T45" s="128" t="s">
        <v>77</v>
      </c>
      <c r="U45" s="157"/>
    </row>
    <row r="46" spans="3:21" ht="16.2" thickBot="1" x14ac:dyDescent="0.35">
      <c r="C46" s="35" t="s">
        <v>27</v>
      </c>
      <c r="D46" s="35" t="s">
        <v>0</v>
      </c>
      <c r="E46" s="4"/>
      <c r="F46" s="147">
        <f>+'Càlcul MODEL Oferta MIBGAS=44'!F84</f>
        <v>15071</v>
      </c>
      <c r="G46" s="148">
        <f>+'Càlcul MODEL Oferta MIBGAS=44'!G84</f>
        <v>14631</v>
      </c>
      <c r="H46" s="148">
        <f>+'Càlcul MODEL Oferta MIBGAS=44'!H84</f>
        <v>15345</v>
      </c>
      <c r="I46" s="148">
        <f>+'Càlcul MODEL Oferta MIBGAS=44'!I84</f>
        <v>16878</v>
      </c>
      <c r="J46" s="149">
        <f>+'Càlcul MODEL Oferta MIBGAS=44'!J84</f>
        <v>534379</v>
      </c>
      <c r="K46" s="150">
        <f>+'Càlcul MODEL Oferta MIBGAS=44'!K84</f>
        <v>822475</v>
      </c>
      <c r="L46" s="151">
        <f>+'Càlcul MODEL Oferta MIBGAS=44'!L84</f>
        <v>886001</v>
      </c>
      <c r="M46" s="88">
        <f>+'Càlcul MODEL Oferta MIBGAS=44'!M84</f>
        <v>879134</v>
      </c>
      <c r="N46" s="88">
        <f>+'Càlcul MODEL Oferta MIBGAS=44'!N84</f>
        <v>744326</v>
      </c>
      <c r="O46" s="88">
        <f>+'Càlcul MODEL Oferta MIBGAS=44'!O84</f>
        <v>438546</v>
      </c>
      <c r="P46" s="88">
        <f>+'Càlcul MODEL Oferta MIBGAS=44'!P84</f>
        <v>82849</v>
      </c>
      <c r="Q46" s="89">
        <f>+'Càlcul MODEL Oferta MIBGAS=44'!Q84</f>
        <v>14732</v>
      </c>
      <c r="R46" s="152">
        <f>+'Càlcul MODEL Oferta MIBGAS=44'!R84</f>
        <v>4464367</v>
      </c>
      <c r="S46" s="152">
        <f>+R46</f>
        <v>4464367</v>
      </c>
      <c r="T46" s="152">
        <f>+S46+R46</f>
        <v>8928734</v>
      </c>
      <c r="U46" s="160"/>
    </row>
    <row r="47" spans="3:21" ht="16.2" thickBot="1" x14ac:dyDescent="0.35">
      <c r="C47" s="46" t="s">
        <v>59</v>
      </c>
      <c r="D47" s="58" t="s">
        <v>3</v>
      </c>
      <c r="E47" s="51"/>
      <c r="F47" s="153">
        <f t="shared" ref="F47:Q47" si="3">IF(OR($D$14="",$D$15="",$D$18="",$D$19=""),"sense preu",F48/F46)</f>
        <v>0.22938073120562669</v>
      </c>
      <c r="G47" s="144">
        <f t="shared" si="3"/>
        <v>0.23450939785387193</v>
      </c>
      <c r="H47" s="144">
        <f t="shared" si="3"/>
        <v>0.22134669273378949</v>
      </c>
      <c r="I47" s="144">
        <f t="shared" si="3"/>
        <v>0.2111225263656831</v>
      </c>
      <c r="J47" s="144">
        <f t="shared" si="3"/>
        <v>6.3503492839351847E-2</v>
      </c>
      <c r="K47" s="145">
        <f t="shared" si="3"/>
        <v>6.1961986686525423E-2</v>
      </c>
      <c r="L47" s="153">
        <f t="shared" si="3"/>
        <v>6.1737906616358217E-2</v>
      </c>
      <c r="M47" s="144">
        <f t="shared" si="3"/>
        <v>6.1499314097737082E-2</v>
      </c>
      <c r="N47" s="144">
        <f t="shared" si="3"/>
        <v>6.2290101380309167E-2</v>
      </c>
      <c r="O47" s="144">
        <f t="shared" si="3"/>
        <v>6.4523270078851475E-2</v>
      </c>
      <c r="P47" s="144">
        <f t="shared" si="3"/>
        <v>8.9860505256551079E-2</v>
      </c>
      <c r="Q47" s="145">
        <f t="shared" si="3"/>
        <v>0.22810982894379583</v>
      </c>
      <c r="R47" s="146">
        <f>IF(OR($D$14="",$D$15="",$D$18="",$D$19=""),"sense preu",R48/'Càlcul MODEL Oferta MIBGAS=30'!R$84)</f>
        <v>6.5625659807986209E-2</v>
      </c>
      <c r="S47" s="146">
        <f t="shared" ref="S47:S50" si="4">IF(OR($D$14="",$D$15="",$D$18="",$D$19=""),"sense preu",R47)</f>
        <v>6.5625659807986209E-2</v>
      </c>
      <c r="T47" s="146">
        <f>IF(OR($D$14="",$D$15="",$D$18="",$D$19=""),"sense preu",S47)</f>
        <v>6.5625659807986209E-2</v>
      </c>
      <c r="U47" s="159"/>
    </row>
    <row r="48" spans="3:21" ht="16.2" thickBot="1" x14ac:dyDescent="0.35">
      <c r="C48" s="47" t="s">
        <v>69</v>
      </c>
      <c r="D48" s="46" t="s">
        <v>4</v>
      </c>
      <c r="E48" s="5"/>
      <c r="F48" s="26">
        <f t="shared" ref="F48:R48" si="5">IF(OR($D$14="",$D$15="",$D$18="",$D$19=""),"sense preu",(F39+F26)/2)</f>
        <v>3456.9969999999998</v>
      </c>
      <c r="G48" s="27">
        <f t="shared" si="5"/>
        <v>3431.107</v>
      </c>
      <c r="H48" s="27">
        <f t="shared" si="5"/>
        <v>3396.5649999999996</v>
      </c>
      <c r="I48" s="27">
        <f t="shared" si="5"/>
        <v>3563.3259999999996</v>
      </c>
      <c r="J48" s="27">
        <f t="shared" si="5"/>
        <v>33934.932999999997</v>
      </c>
      <c r="K48" s="28">
        <f t="shared" si="5"/>
        <v>50962.184999999998</v>
      </c>
      <c r="L48" s="26">
        <f t="shared" si="5"/>
        <v>54699.846999999994</v>
      </c>
      <c r="M48" s="27">
        <f t="shared" si="5"/>
        <v>54066.137999999992</v>
      </c>
      <c r="N48" s="27">
        <f t="shared" si="5"/>
        <v>46364.142</v>
      </c>
      <c r="O48" s="27">
        <f t="shared" si="5"/>
        <v>28296.421999999999</v>
      </c>
      <c r="P48" s="27">
        <f t="shared" si="5"/>
        <v>7444.8530000000001</v>
      </c>
      <c r="Q48" s="28">
        <f t="shared" si="5"/>
        <v>3360.5140000000001</v>
      </c>
      <c r="R48" s="54">
        <f t="shared" si="5"/>
        <v>292977.02999999997</v>
      </c>
      <c r="S48" s="54">
        <f t="shared" si="4"/>
        <v>292977.02999999997</v>
      </c>
      <c r="T48" s="54">
        <f>IF(OR($D$14="",$D$15="",$D$18="",$D$19=""),"sense preu",R48+S48)</f>
        <v>585954.05999999994</v>
      </c>
      <c r="U48" s="159"/>
    </row>
    <row r="49" spans="3:21" ht="16.2" thickBot="1" x14ac:dyDescent="0.3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09" t="s">
        <v>29</v>
      </c>
      <c r="R49" s="44">
        <f>IF(OR($D$14="",$D$15="",$D$18="",$D$19=""),"sense preu",ROUND(R48*0.21,2))</f>
        <v>61525.18</v>
      </c>
      <c r="S49" s="44">
        <f t="shared" si="4"/>
        <v>61525.18</v>
      </c>
      <c r="T49" s="44">
        <f>IF(OR($D$14="",$D$15="",$D$18="",$D$19=""),"sense preu",ROUND(T48*0.21,2))</f>
        <v>123050.35</v>
      </c>
      <c r="U49" s="159"/>
    </row>
    <row r="50" spans="3:21" ht="16.2" thickBot="1" x14ac:dyDescent="0.35">
      <c r="Q50" s="109" t="s">
        <v>51</v>
      </c>
      <c r="R50" s="44">
        <f>IF(OR($D$14="",$D$15="",$D$18="",$D$19=""),"sense preu",R49+R48)</f>
        <v>354502.20999999996</v>
      </c>
      <c r="S50" s="44">
        <f t="shared" si="4"/>
        <v>354502.20999999996</v>
      </c>
      <c r="T50" s="44">
        <f>IF(OR($D$14="",$D$15="",$D$18="",$D$19=""),"sense preu",T49+T48)</f>
        <v>709004.40999999992</v>
      </c>
      <c r="U50" s="159"/>
    </row>
    <row r="52" spans="3:21" ht="183" customHeight="1" x14ac:dyDescent="0.25">
      <c r="C52" s="186" t="s">
        <v>115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61"/>
      <c r="T52" s="161"/>
      <c r="U52" s="161"/>
    </row>
  </sheetData>
  <mergeCells count="28">
    <mergeCell ref="N29:P29"/>
    <mergeCell ref="N28:P28"/>
    <mergeCell ref="N27:P27"/>
    <mergeCell ref="F20:Q20"/>
    <mergeCell ref="S20:S22"/>
    <mergeCell ref="S33:S35"/>
    <mergeCell ref="S43:S44"/>
    <mergeCell ref="T20:T22"/>
    <mergeCell ref="T33:T35"/>
    <mergeCell ref="T43:T44"/>
    <mergeCell ref="C52:R52"/>
    <mergeCell ref="F43:Q43"/>
    <mergeCell ref="R43:R44"/>
    <mergeCell ref="C44:Q44"/>
    <mergeCell ref="F33:Q33"/>
    <mergeCell ref="R33:R35"/>
    <mergeCell ref="C34:Q34"/>
    <mergeCell ref="F35:K35"/>
    <mergeCell ref="L35:Q35"/>
    <mergeCell ref="H12:K12"/>
    <mergeCell ref="R20:R22"/>
    <mergeCell ref="C21:Q21"/>
    <mergeCell ref="F22:K22"/>
    <mergeCell ref="L22:Q22"/>
    <mergeCell ref="O15:P15"/>
    <mergeCell ref="O16:P16"/>
    <mergeCell ref="O17:P17"/>
    <mergeCell ref="O18:P18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B647-0BE7-49FE-90E0-36EF6AFBA0AE}">
  <sheetPr>
    <pageSetUpPr fitToPage="1"/>
  </sheetPr>
  <dimension ref="B3:W88"/>
  <sheetViews>
    <sheetView zoomScale="55" zoomScaleNormal="55" workbookViewId="0">
      <selection activeCell="D48" sqref="D48:D49"/>
    </sheetView>
  </sheetViews>
  <sheetFormatPr baseColWidth="10" defaultRowHeight="13.2" x14ac:dyDescent="0.25"/>
  <cols>
    <col min="1" max="1" width="4.109375" customWidth="1"/>
    <col min="2" max="2" width="17.6640625" customWidth="1"/>
    <col min="3" max="3" width="87.44140625" bestFit="1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09375" bestFit="1" customWidth="1"/>
    <col min="11" max="11" width="16.33203125" bestFit="1" customWidth="1"/>
    <col min="12" max="12" width="15.88671875" bestFit="1" customWidth="1"/>
    <col min="13" max="13" width="16.33203125" bestFit="1" customWidth="1"/>
    <col min="14" max="14" width="16.109375" bestFit="1" customWidth="1"/>
    <col min="15" max="15" width="15.88671875" bestFit="1" customWidth="1"/>
    <col min="16" max="16" width="17" bestFit="1" customWidth="1"/>
    <col min="17" max="17" width="16.88671875" bestFit="1" customWidth="1"/>
    <col min="18" max="18" width="22.6640625" bestFit="1" customWidth="1"/>
    <col min="19" max="19" width="1.6640625" customWidth="1"/>
    <col min="23" max="23" width="17.5546875" bestFit="1" customWidth="1"/>
    <col min="24" max="24" width="32.109375" bestFit="1" customWidth="1"/>
    <col min="25" max="25" width="17.88671875" bestFit="1" customWidth="1"/>
    <col min="27" max="38" width="15.44140625" bestFit="1" customWidth="1"/>
    <col min="39" max="39" width="12.5546875" bestFit="1" customWidth="1"/>
  </cols>
  <sheetData>
    <row r="3" spans="2:23" ht="23.25" customHeight="1" x14ac:dyDescent="0.25"/>
    <row r="4" spans="2:23" ht="22.8" x14ac:dyDescent="0.4">
      <c r="E4" s="36" t="s">
        <v>99</v>
      </c>
    </row>
    <row r="5" spans="2:23" ht="25.2" thickBot="1" x14ac:dyDescent="0.45">
      <c r="E5" s="1"/>
      <c r="F5" s="211" t="s">
        <v>98</v>
      </c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2:23" ht="18" thickBot="1" x14ac:dyDescent="0.35">
      <c r="C6" s="129" t="s">
        <v>70</v>
      </c>
      <c r="D6" s="136">
        <v>44</v>
      </c>
    </row>
    <row r="7" spans="2:23" ht="18" thickBot="1" x14ac:dyDescent="0.35">
      <c r="C7" s="130" t="s">
        <v>116</v>
      </c>
      <c r="D7" s="163">
        <f>+'MODEL Oferta Formula Indexada'!D14</f>
        <v>10</v>
      </c>
      <c r="E7" s="4"/>
      <c r="F7" s="195" t="s">
        <v>32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3"/>
      <c r="V7" s="164"/>
      <c r="W7" s="164"/>
    </row>
    <row r="8" spans="2:23" ht="18" thickBot="1" x14ac:dyDescent="0.35">
      <c r="C8" s="131" t="s">
        <v>117</v>
      </c>
      <c r="D8" s="165">
        <f>+'MODEL Oferta Formula Indexada'!D15</f>
        <v>1</v>
      </c>
      <c r="E8" s="4"/>
      <c r="F8" s="181" t="s">
        <v>86</v>
      </c>
      <c r="G8" s="182"/>
      <c r="H8" s="182"/>
      <c r="I8" s="182"/>
      <c r="J8" s="182"/>
      <c r="K8" s="183"/>
      <c r="L8" s="181" t="s">
        <v>87</v>
      </c>
      <c r="M8" s="182"/>
      <c r="N8" s="182"/>
      <c r="O8" s="182"/>
      <c r="P8" s="182"/>
      <c r="Q8" s="183"/>
      <c r="R8" s="11"/>
    </row>
    <row r="9" spans="2:23" ht="16.2" thickBot="1" x14ac:dyDescent="0.35">
      <c r="B9" s="214" t="s">
        <v>1</v>
      </c>
      <c r="C9" s="215"/>
      <c r="D9" s="35" t="s">
        <v>2</v>
      </c>
      <c r="E9" s="4"/>
      <c r="F9" s="19" t="s">
        <v>12</v>
      </c>
      <c r="G9" s="20" t="s">
        <v>13</v>
      </c>
      <c r="H9" s="20" t="s">
        <v>14</v>
      </c>
      <c r="I9" s="20" t="s">
        <v>15</v>
      </c>
      <c r="J9" s="20" t="s">
        <v>16</v>
      </c>
      <c r="K9" s="21" t="s">
        <v>17</v>
      </c>
      <c r="L9" s="19" t="s">
        <v>6</v>
      </c>
      <c r="M9" s="20" t="s">
        <v>7</v>
      </c>
      <c r="N9" s="20" t="s">
        <v>8</v>
      </c>
      <c r="O9" s="20" t="s">
        <v>9</v>
      </c>
      <c r="P9" s="20" t="s">
        <v>10</v>
      </c>
      <c r="Q9" s="21" t="s">
        <v>11</v>
      </c>
      <c r="R9" s="18" t="s">
        <v>88</v>
      </c>
    </row>
    <row r="10" spans="2:23" ht="15.6" x14ac:dyDescent="0.3">
      <c r="B10" s="72"/>
      <c r="C10" s="72"/>
      <c r="D10" s="2" t="s">
        <v>31</v>
      </c>
      <c r="E10" s="4"/>
      <c r="F10" s="19">
        <v>31</v>
      </c>
      <c r="G10" s="20">
        <v>31</v>
      </c>
      <c r="H10" s="20">
        <v>30</v>
      </c>
      <c r="I10" s="20">
        <v>31</v>
      </c>
      <c r="J10" s="20">
        <v>30</v>
      </c>
      <c r="K10" s="21">
        <v>31</v>
      </c>
      <c r="L10" s="19">
        <v>31</v>
      </c>
      <c r="M10" s="132">
        <v>28</v>
      </c>
      <c r="N10" s="20">
        <v>31</v>
      </c>
      <c r="O10" s="20">
        <v>30</v>
      </c>
      <c r="P10" s="20">
        <v>31</v>
      </c>
      <c r="Q10" s="21">
        <v>30</v>
      </c>
      <c r="R10" s="73">
        <f>SUM(F10:Q10)</f>
        <v>365</v>
      </c>
    </row>
    <row r="11" spans="2:23" ht="6" customHeight="1" thickBot="1" x14ac:dyDescent="0.3">
      <c r="C11" s="6"/>
      <c r="D11" s="6"/>
      <c r="E11" s="4"/>
      <c r="F11" s="14"/>
      <c r="G11" s="15"/>
      <c r="H11" s="15"/>
      <c r="I11" s="15"/>
      <c r="J11" s="15"/>
      <c r="K11" s="16"/>
      <c r="L11" s="12"/>
      <c r="M11" s="10"/>
      <c r="N11" s="10"/>
      <c r="O11" s="10"/>
      <c r="P11" s="10"/>
      <c r="Q11" s="13"/>
      <c r="R11" s="17"/>
    </row>
    <row r="12" spans="2:23" ht="16.5" customHeight="1" thickBot="1" x14ac:dyDescent="0.35">
      <c r="C12" s="22" t="s">
        <v>25</v>
      </c>
      <c r="D12" s="58" t="s">
        <v>0</v>
      </c>
      <c r="E12" s="4"/>
      <c r="F12" s="111">
        <v>5033</v>
      </c>
      <c r="G12" s="111">
        <v>5082</v>
      </c>
      <c r="H12" s="111">
        <v>5160</v>
      </c>
      <c r="I12" s="111">
        <v>5314</v>
      </c>
      <c r="J12" s="111">
        <v>241931</v>
      </c>
      <c r="K12" s="112">
        <v>368852</v>
      </c>
      <c r="L12" s="87">
        <v>396223</v>
      </c>
      <c r="M12" s="88">
        <v>364946</v>
      </c>
      <c r="N12" s="88">
        <v>359704</v>
      </c>
      <c r="O12" s="88">
        <v>153347</v>
      </c>
      <c r="P12" s="88">
        <v>4706</v>
      </c>
      <c r="Q12" s="89">
        <v>2284</v>
      </c>
      <c r="R12" s="90">
        <f>SUM(F12:Q12)</f>
        <v>1912582</v>
      </c>
    </row>
    <row r="13" spans="2:23" ht="15.6" x14ac:dyDescent="0.3">
      <c r="C13" s="93"/>
      <c r="D13" s="92"/>
      <c r="E13" s="4"/>
      <c r="F13" s="117"/>
      <c r="G13" s="118"/>
      <c r="H13" s="118"/>
      <c r="I13" s="118"/>
      <c r="J13" s="118"/>
      <c r="K13" s="119"/>
      <c r="L13" s="110"/>
      <c r="M13" s="94"/>
      <c r="N13" s="94"/>
      <c r="O13" s="94"/>
      <c r="P13" s="94"/>
      <c r="Q13" s="95"/>
      <c r="R13" s="96"/>
    </row>
    <row r="14" spans="2:23" ht="15.6" thickBot="1" x14ac:dyDescent="0.3">
      <c r="B14" s="5"/>
      <c r="C14" s="45" t="s">
        <v>89</v>
      </c>
      <c r="D14" s="2" t="s">
        <v>3</v>
      </c>
      <c r="E14" s="4"/>
      <c r="F14" s="133">
        <f>ROUND((D6*D8)/1000+D7/1000,6)</f>
        <v>5.3999999999999999E-2</v>
      </c>
      <c r="G14" s="120">
        <f t="shared" ref="G14:Q14" si="0">+F14</f>
        <v>5.3999999999999999E-2</v>
      </c>
      <c r="H14" s="120">
        <f t="shared" si="0"/>
        <v>5.3999999999999999E-2</v>
      </c>
      <c r="I14" s="120">
        <f t="shared" si="0"/>
        <v>5.3999999999999999E-2</v>
      </c>
      <c r="J14" s="120">
        <f t="shared" si="0"/>
        <v>5.3999999999999999E-2</v>
      </c>
      <c r="K14" s="121">
        <f t="shared" si="0"/>
        <v>5.3999999999999999E-2</v>
      </c>
      <c r="L14" s="134">
        <f t="shared" si="0"/>
        <v>5.3999999999999999E-2</v>
      </c>
      <c r="M14" s="85">
        <f t="shared" si="0"/>
        <v>5.3999999999999999E-2</v>
      </c>
      <c r="N14" s="85">
        <f t="shared" si="0"/>
        <v>5.3999999999999999E-2</v>
      </c>
      <c r="O14" s="85">
        <f t="shared" si="0"/>
        <v>5.3999999999999999E-2</v>
      </c>
      <c r="P14" s="85">
        <f t="shared" si="0"/>
        <v>5.3999999999999999E-2</v>
      </c>
      <c r="Q14" s="86">
        <f t="shared" si="0"/>
        <v>5.3999999999999999E-2</v>
      </c>
      <c r="R14" s="71"/>
    </row>
    <row r="15" spans="2:23" ht="16.2" thickBot="1" x14ac:dyDescent="0.35">
      <c r="B15" s="47" t="s">
        <v>19</v>
      </c>
      <c r="C15" s="46" t="s">
        <v>64</v>
      </c>
      <c r="D15" s="58" t="s">
        <v>4</v>
      </c>
      <c r="E15" s="51"/>
      <c r="F15" s="113">
        <f>+F14*F12</f>
        <v>271.78199999999998</v>
      </c>
      <c r="G15" s="114">
        <f t="shared" ref="G15:Q15" si="1">+G14*G12</f>
        <v>274.428</v>
      </c>
      <c r="H15" s="114">
        <f t="shared" si="1"/>
        <v>278.64</v>
      </c>
      <c r="I15" s="114">
        <f t="shared" si="1"/>
        <v>286.95600000000002</v>
      </c>
      <c r="J15" s="115">
        <f t="shared" si="1"/>
        <v>13064.273999999999</v>
      </c>
      <c r="K15" s="116">
        <f t="shared" si="1"/>
        <v>19918.007999999998</v>
      </c>
      <c r="L15" s="91">
        <f t="shared" si="1"/>
        <v>21396.042000000001</v>
      </c>
      <c r="M15" s="27">
        <f t="shared" si="1"/>
        <v>19707.083999999999</v>
      </c>
      <c r="N15" s="27">
        <f t="shared" si="1"/>
        <v>19424.016</v>
      </c>
      <c r="O15" s="27">
        <f t="shared" si="1"/>
        <v>8280.7379999999994</v>
      </c>
      <c r="P15" s="27">
        <f t="shared" si="1"/>
        <v>254.124</v>
      </c>
      <c r="Q15" s="28">
        <f t="shared" si="1"/>
        <v>123.336</v>
      </c>
      <c r="R15" s="54">
        <f>SUM(F15:Q15)</f>
        <v>103279.42799999999</v>
      </c>
    </row>
    <row r="16" spans="2:23" ht="15" x14ac:dyDescent="0.25">
      <c r="B16" s="5"/>
      <c r="C16" s="23"/>
      <c r="D16" s="23"/>
      <c r="E16" s="4"/>
      <c r="F16" s="55"/>
      <c r="G16" s="56"/>
      <c r="H16" s="56"/>
      <c r="I16" s="56"/>
      <c r="J16" s="56"/>
      <c r="K16" s="57"/>
      <c r="L16" s="55"/>
      <c r="M16" s="56"/>
      <c r="N16" s="56"/>
      <c r="O16" s="56"/>
      <c r="P16" s="56"/>
      <c r="Q16" s="57"/>
      <c r="R16" s="70"/>
    </row>
    <row r="17" spans="2:18" ht="15" x14ac:dyDescent="0.25">
      <c r="B17" s="207" t="s">
        <v>41</v>
      </c>
      <c r="C17" s="45" t="s">
        <v>90</v>
      </c>
      <c r="D17" s="2" t="s">
        <v>38</v>
      </c>
      <c r="E17" s="4"/>
      <c r="F17" s="166">
        <f>1413.569881/R$10</f>
        <v>3.8727941945205475</v>
      </c>
      <c r="G17" s="85">
        <f>+F17</f>
        <v>3.8727941945205475</v>
      </c>
      <c r="H17" s="85">
        <f t="shared" ref="H17:Q18" si="2">+G17</f>
        <v>3.8727941945205475</v>
      </c>
      <c r="I17" s="85">
        <f t="shared" si="2"/>
        <v>3.8727941945205475</v>
      </c>
      <c r="J17" s="85">
        <f t="shared" si="2"/>
        <v>3.8727941945205475</v>
      </c>
      <c r="K17" s="86">
        <f t="shared" si="2"/>
        <v>3.8727941945205475</v>
      </c>
      <c r="L17" s="84">
        <f t="shared" si="2"/>
        <v>3.8727941945205475</v>
      </c>
      <c r="M17" s="85">
        <f t="shared" si="2"/>
        <v>3.8727941945205475</v>
      </c>
      <c r="N17" s="85">
        <f t="shared" si="2"/>
        <v>3.8727941945205475</v>
      </c>
      <c r="O17" s="85">
        <f t="shared" si="2"/>
        <v>3.8727941945205475</v>
      </c>
      <c r="P17" s="85">
        <f t="shared" si="2"/>
        <v>3.8727941945205475</v>
      </c>
      <c r="Q17" s="86">
        <f t="shared" si="2"/>
        <v>3.8727941945205475</v>
      </c>
      <c r="R17" s="71"/>
    </row>
    <row r="18" spans="2:18" ht="15" x14ac:dyDescent="0.25">
      <c r="B18" s="207"/>
      <c r="C18" s="45" t="s">
        <v>91</v>
      </c>
      <c r="D18" s="2" t="s">
        <v>44</v>
      </c>
      <c r="E18" s="4"/>
      <c r="F18" s="166">
        <v>0</v>
      </c>
      <c r="G18" s="85">
        <f>+F18</f>
        <v>0</v>
      </c>
      <c r="H18" s="85">
        <f t="shared" si="2"/>
        <v>0</v>
      </c>
      <c r="I18" s="85">
        <f t="shared" si="2"/>
        <v>0</v>
      </c>
      <c r="J18" s="85">
        <f t="shared" si="2"/>
        <v>0</v>
      </c>
      <c r="K18" s="86">
        <f t="shared" si="2"/>
        <v>0</v>
      </c>
      <c r="L18" s="84">
        <f t="shared" si="2"/>
        <v>0</v>
      </c>
      <c r="M18" s="85">
        <f t="shared" si="2"/>
        <v>0</v>
      </c>
      <c r="N18" s="85">
        <f t="shared" si="2"/>
        <v>0</v>
      </c>
      <c r="O18" s="85">
        <f t="shared" si="2"/>
        <v>0</v>
      </c>
      <c r="P18" s="85">
        <f t="shared" si="2"/>
        <v>0</v>
      </c>
      <c r="Q18" s="86">
        <f t="shared" si="2"/>
        <v>0</v>
      </c>
      <c r="R18" s="71"/>
    </row>
    <row r="19" spans="2:18" ht="15" x14ac:dyDescent="0.25">
      <c r="B19" s="207"/>
      <c r="C19" s="45" t="s">
        <v>45</v>
      </c>
      <c r="D19" s="2" t="s">
        <v>4</v>
      </c>
      <c r="E19" s="4"/>
      <c r="F19" s="74">
        <f>ROUND(F17*F10,2)</f>
        <v>120.06</v>
      </c>
      <c r="G19" s="75">
        <f t="shared" ref="G19:Q19" si="3">ROUND(G17*G10,2)</f>
        <v>120.06</v>
      </c>
      <c r="H19" s="75">
        <f t="shared" si="3"/>
        <v>116.18</v>
      </c>
      <c r="I19" s="75">
        <f t="shared" si="3"/>
        <v>120.06</v>
      </c>
      <c r="J19" s="75">
        <f t="shared" si="3"/>
        <v>116.18</v>
      </c>
      <c r="K19" s="76">
        <f t="shared" si="3"/>
        <v>120.06</v>
      </c>
      <c r="L19" s="74">
        <f t="shared" si="3"/>
        <v>120.06</v>
      </c>
      <c r="M19" s="75">
        <f t="shared" si="3"/>
        <v>108.44</v>
      </c>
      <c r="N19" s="75">
        <f t="shared" si="3"/>
        <v>120.06</v>
      </c>
      <c r="O19" s="75">
        <f t="shared" si="3"/>
        <v>116.18</v>
      </c>
      <c r="P19" s="75">
        <f t="shared" si="3"/>
        <v>120.06</v>
      </c>
      <c r="Q19" s="76">
        <f t="shared" si="3"/>
        <v>116.18</v>
      </c>
      <c r="R19" s="97">
        <f>SUM(F19:Q19)</f>
        <v>1413.58</v>
      </c>
    </row>
    <row r="20" spans="2:18" ht="15.6" thickBot="1" x14ac:dyDescent="0.3">
      <c r="B20" s="207"/>
      <c r="C20" s="45" t="s">
        <v>46</v>
      </c>
      <c r="D20" s="45" t="s">
        <v>4</v>
      </c>
      <c r="E20" s="4"/>
      <c r="F20" s="74">
        <f t="shared" ref="F20:Q20" si="4">ROUND(F12*F18,2)</f>
        <v>0</v>
      </c>
      <c r="G20" s="75">
        <f t="shared" si="4"/>
        <v>0</v>
      </c>
      <c r="H20" s="75">
        <f t="shared" si="4"/>
        <v>0</v>
      </c>
      <c r="I20" s="75">
        <f t="shared" si="4"/>
        <v>0</v>
      </c>
      <c r="J20" s="75">
        <f t="shared" si="4"/>
        <v>0</v>
      </c>
      <c r="K20" s="76">
        <f t="shared" si="4"/>
        <v>0</v>
      </c>
      <c r="L20" s="74">
        <f t="shared" si="4"/>
        <v>0</v>
      </c>
      <c r="M20" s="75">
        <f t="shared" si="4"/>
        <v>0</v>
      </c>
      <c r="N20" s="75">
        <f t="shared" si="4"/>
        <v>0</v>
      </c>
      <c r="O20" s="75">
        <f t="shared" si="4"/>
        <v>0</v>
      </c>
      <c r="P20" s="75">
        <f t="shared" si="4"/>
        <v>0</v>
      </c>
      <c r="Q20" s="76">
        <f t="shared" si="4"/>
        <v>0</v>
      </c>
      <c r="R20" s="97">
        <f>SUM(F20:Q20)</f>
        <v>0</v>
      </c>
    </row>
    <row r="21" spans="2:18" ht="16.2" thickBot="1" x14ac:dyDescent="0.35">
      <c r="B21" s="216"/>
      <c r="C21" s="101" t="s">
        <v>43</v>
      </c>
      <c r="D21" s="58" t="s">
        <v>4</v>
      </c>
      <c r="E21" s="51"/>
      <c r="F21" s="26">
        <f>+F20+F19</f>
        <v>120.06</v>
      </c>
      <c r="G21" s="27">
        <f t="shared" ref="G21:Q21" si="5">SUM(G19:G20)</f>
        <v>120.06</v>
      </c>
      <c r="H21" s="27">
        <f t="shared" si="5"/>
        <v>116.18</v>
      </c>
      <c r="I21" s="27">
        <f t="shared" si="5"/>
        <v>120.06</v>
      </c>
      <c r="J21" s="27">
        <f t="shared" si="5"/>
        <v>116.18</v>
      </c>
      <c r="K21" s="28">
        <f t="shared" si="5"/>
        <v>120.06</v>
      </c>
      <c r="L21" s="91">
        <f t="shared" si="5"/>
        <v>120.06</v>
      </c>
      <c r="M21" s="27">
        <f t="shared" si="5"/>
        <v>108.44</v>
      </c>
      <c r="N21" s="27">
        <f t="shared" si="5"/>
        <v>120.06</v>
      </c>
      <c r="O21" s="27">
        <f t="shared" si="5"/>
        <v>116.18</v>
      </c>
      <c r="P21" s="27">
        <f t="shared" si="5"/>
        <v>120.06</v>
      </c>
      <c r="Q21" s="28">
        <f t="shared" si="5"/>
        <v>116.18</v>
      </c>
      <c r="R21" s="54">
        <f>SUM(F21:Q21)</f>
        <v>1413.58</v>
      </c>
    </row>
    <row r="22" spans="2:18" ht="15" x14ac:dyDescent="0.25">
      <c r="B22" s="5"/>
      <c r="C22" s="23"/>
      <c r="D22" s="23"/>
      <c r="E22" s="4"/>
      <c r="F22" s="55"/>
      <c r="G22" s="56"/>
      <c r="H22" s="56"/>
      <c r="I22" s="56"/>
      <c r="J22" s="56"/>
      <c r="K22" s="57"/>
      <c r="L22" s="55"/>
      <c r="M22" s="56"/>
      <c r="N22" s="56"/>
      <c r="O22" s="56"/>
      <c r="P22" s="56"/>
      <c r="Q22" s="57"/>
      <c r="R22" s="70"/>
    </row>
    <row r="23" spans="2:18" ht="15" x14ac:dyDescent="0.25">
      <c r="B23" s="207" t="s">
        <v>40</v>
      </c>
      <c r="C23" s="45" t="s">
        <v>92</v>
      </c>
      <c r="D23" s="2" t="s">
        <v>38</v>
      </c>
      <c r="E23" s="4"/>
      <c r="F23" s="166">
        <f>12307.010366/$R10</f>
        <v>33.717836619178087</v>
      </c>
      <c r="G23" s="85">
        <f>+F23</f>
        <v>33.717836619178087</v>
      </c>
      <c r="H23" s="85">
        <f t="shared" ref="H23:Q24" si="6">+G23</f>
        <v>33.717836619178087</v>
      </c>
      <c r="I23" s="85">
        <f t="shared" si="6"/>
        <v>33.717836619178087</v>
      </c>
      <c r="J23" s="85">
        <f t="shared" si="6"/>
        <v>33.717836619178087</v>
      </c>
      <c r="K23" s="86">
        <f t="shared" si="6"/>
        <v>33.717836619178087</v>
      </c>
      <c r="L23" s="84">
        <f t="shared" si="6"/>
        <v>33.717836619178087</v>
      </c>
      <c r="M23" s="85">
        <f t="shared" si="6"/>
        <v>33.717836619178087</v>
      </c>
      <c r="N23" s="85">
        <f t="shared" si="6"/>
        <v>33.717836619178087</v>
      </c>
      <c r="O23" s="85">
        <f t="shared" si="6"/>
        <v>33.717836619178087</v>
      </c>
      <c r="P23" s="85">
        <f t="shared" si="6"/>
        <v>33.717836619178087</v>
      </c>
      <c r="Q23" s="86">
        <f t="shared" si="6"/>
        <v>33.717836619178087</v>
      </c>
      <c r="R23" s="71"/>
    </row>
    <row r="24" spans="2:18" ht="15" x14ac:dyDescent="0.25">
      <c r="B24" s="207"/>
      <c r="C24" s="2" t="s">
        <v>93</v>
      </c>
      <c r="D24" s="2" t="s">
        <v>3</v>
      </c>
      <c r="E24" s="4"/>
      <c r="F24" s="166">
        <v>4.679E-3</v>
      </c>
      <c r="G24" s="85">
        <f>+F24</f>
        <v>4.679E-3</v>
      </c>
      <c r="H24" s="85">
        <f t="shared" si="6"/>
        <v>4.679E-3</v>
      </c>
      <c r="I24" s="85">
        <f t="shared" si="6"/>
        <v>4.679E-3</v>
      </c>
      <c r="J24" s="85">
        <f t="shared" si="6"/>
        <v>4.679E-3</v>
      </c>
      <c r="K24" s="86">
        <f t="shared" si="6"/>
        <v>4.679E-3</v>
      </c>
      <c r="L24" s="84">
        <f t="shared" si="6"/>
        <v>4.679E-3</v>
      </c>
      <c r="M24" s="85">
        <f t="shared" si="6"/>
        <v>4.679E-3</v>
      </c>
      <c r="N24" s="85">
        <f t="shared" si="6"/>
        <v>4.679E-3</v>
      </c>
      <c r="O24" s="85">
        <f t="shared" si="6"/>
        <v>4.679E-3</v>
      </c>
      <c r="P24" s="85">
        <f t="shared" si="6"/>
        <v>4.679E-3</v>
      </c>
      <c r="Q24" s="86">
        <f t="shared" si="6"/>
        <v>4.679E-3</v>
      </c>
      <c r="R24" s="71"/>
    </row>
    <row r="25" spans="2:18" ht="15" x14ac:dyDescent="0.25">
      <c r="B25" s="207"/>
      <c r="C25" s="45" t="s">
        <v>34</v>
      </c>
      <c r="D25" s="2" t="s">
        <v>4</v>
      </c>
      <c r="E25" s="4"/>
      <c r="F25" s="74">
        <f t="shared" ref="F25:Q25" si="7">ROUND(F23*F10,2)</f>
        <v>1045.25</v>
      </c>
      <c r="G25" s="75">
        <f t="shared" si="7"/>
        <v>1045.25</v>
      </c>
      <c r="H25" s="75">
        <f t="shared" si="7"/>
        <v>1011.54</v>
      </c>
      <c r="I25" s="75">
        <f t="shared" si="7"/>
        <v>1045.25</v>
      </c>
      <c r="J25" s="75">
        <f t="shared" si="7"/>
        <v>1011.54</v>
      </c>
      <c r="K25" s="76">
        <f t="shared" si="7"/>
        <v>1045.25</v>
      </c>
      <c r="L25" s="74">
        <f t="shared" si="7"/>
        <v>1045.25</v>
      </c>
      <c r="M25" s="75">
        <f t="shared" si="7"/>
        <v>944.1</v>
      </c>
      <c r="N25" s="75">
        <f t="shared" si="7"/>
        <v>1045.25</v>
      </c>
      <c r="O25" s="75">
        <f t="shared" si="7"/>
        <v>1011.54</v>
      </c>
      <c r="P25" s="75">
        <f t="shared" si="7"/>
        <v>1045.25</v>
      </c>
      <c r="Q25" s="76">
        <f t="shared" si="7"/>
        <v>1011.54</v>
      </c>
      <c r="R25" s="97">
        <f>SUM(F25:Q25)</f>
        <v>12307.010000000002</v>
      </c>
    </row>
    <row r="26" spans="2:18" ht="15.6" thickBot="1" x14ac:dyDescent="0.3">
      <c r="B26" s="207"/>
      <c r="C26" s="2" t="s">
        <v>35</v>
      </c>
      <c r="D26" s="2" t="s">
        <v>4</v>
      </c>
      <c r="E26" s="4"/>
      <c r="F26" s="74">
        <f t="shared" ref="F26:Q26" si="8">ROUND(F24*F12,2)</f>
        <v>23.55</v>
      </c>
      <c r="G26" s="75">
        <f t="shared" si="8"/>
        <v>23.78</v>
      </c>
      <c r="H26" s="75">
        <f t="shared" si="8"/>
        <v>24.14</v>
      </c>
      <c r="I26" s="75">
        <f t="shared" si="8"/>
        <v>24.86</v>
      </c>
      <c r="J26" s="75">
        <f t="shared" si="8"/>
        <v>1132</v>
      </c>
      <c r="K26" s="76">
        <f t="shared" si="8"/>
        <v>1725.86</v>
      </c>
      <c r="L26" s="74">
        <f t="shared" si="8"/>
        <v>1853.93</v>
      </c>
      <c r="M26" s="75">
        <f t="shared" si="8"/>
        <v>1707.58</v>
      </c>
      <c r="N26" s="75">
        <f t="shared" si="8"/>
        <v>1683.06</v>
      </c>
      <c r="O26" s="75">
        <f t="shared" si="8"/>
        <v>717.51</v>
      </c>
      <c r="P26" s="75">
        <f t="shared" si="8"/>
        <v>22.02</v>
      </c>
      <c r="Q26" s="76">
        <f t="shared" si="8"/>
        <v>10.69</v>
      </c>
      <c r="R26" s="97">
        <f>SUM(F26:Q26)</f>
        <v>8948.9800000000014</v>
      </c>
    </row>
    <row r="27" spans="2:18" ht="16.2" thickBot="1" x14ac:dyDescent="0.35">
      <c r="B27" s="207"/>
      <c r="C27" s="101" t="s">
        <v>42</v>
      </c>
      <c r="D27" s="58" t="s">
        <v>4</v>
      </c>
      <c r="E27" s="51"/>
      <c r="F27" s="26">
        <f t="shared" ref="F27:Q27" si="9">SUM(F25:F26)</f>
        <v>1068.8</v>
      </c>
      <c r="G27" s="27">
        <f t="shared" si="9"/>
        <v>1069.03</v>
      </c>
      <c r="H27" s="27">
        <f t="shared" si="9"/>
        <v>1035.68</v>
      </c>
      <c r="I27" s="27">
        <f t="shared" si="9"/>
        <v>1070.1099999999999</v>
      </c>
      <c r="J27" s="27">
        <f t="shared" si="9"/>
        <v>2143.54</v>
      </c>
      <c r="K27" s="28">
        <f t="shared" si="9"/>
        <v>2771.1099999999997</v>
      </c>
      <c r="L27" s="91">
        <f t="shared" si="9"/>
        <v>2899.1800000000003</v>
      </c>
      <c r="M27" s="27">
        <f t="shared" si="9"/>
        <v>2651.68</v>
      </c>
      <c r="N27" s="27">
        <f t="shared" si="9"/>
        <v>2728.31</v>
      </c>
      <c r="O27" s="27">
        <f t="shared" si="9"/>
        <v>1729.05</v>
      </c>
      <c r="P27" s="27">
        <f t="shared" si="9"/>
        <v>1067.27</v>
      </c>
      <c r="Q27" s="28">
        <f t="shared" si="9"/>
        <v>1022.23</v>
      </c>
      <c r="R27" s="54">
        <f>SUM(F27:Q27)</f>
        <v>21255.99</v>
      </c>
    </row>
    <row r="28" spans="2:18" ht="15" x14ac:dyDescent="0.25">
      <c r="B28" s="5"/>
      <c r="C28" s="23"/>
      <c r="D28" s="23"/>
      <c r="E28" s="4"/>
      <c r="F28" s="55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7"/>
      <c r="R28" s="70"/>
    </row>
    <row r="29" spans="2:18" ht="15" x14ac:dyDescent="0.25">
      <c r="B29" s="208" t="s">
        <v>47</v>
      </c>
      <c r="C29" s="103" t="s">
        <v>94</v>
      </c>
      <c r="D29" s="2" t="s">
        <v>38</v>
      </c>
      <c r="E29" s="4"/>
      <c r="F29" s="166">
        <f>100.13/R$10</f>
        <v>0.27432876712328763</v>
      </c>
      <c r="G29" s="85">
        <f>+F29</f>
        <v>0.27432876712328763</v>
      </c>
      <c r="H29" s="85">
        <f t="shared" ref="H29:Q30" si="10">+G29</f>
        <v>0.27432876712328763</v>
      </c>
      <c r="I29" s="85">
        <f t="shared" si="10"/>
        <v>0.27432876712328763</v>
      </c>
      <c r="J29" s="85">
        <f t="shared" si="10"/>
        <v>0.27432876712328763</v>
      </c>
      <c r="K29" s="86">
        <f t="shared" si="10"/>
        <v>0.27432876712328763</v>
      </c>
      <c r="L29" s="84">
        <f t="shared" si="10"/>
        <v>0.27432876712328763</v>
      </c>
      <c r="M29" s="85">
        <f t="shared" si="10"/>
        <v>0.27432876712328763</v>
      </c>
      <c r="N29" s="85">
        <f t="shared" si="10"/>
        <v>0.27432876712328763</v>
      </c>
      <c r="O29" s="85">
        <f t="shared" si="10"/>
        <v>0.27432876712328763</v>
      </c>
      <c r="P29" s="85">
        <f t="shared" si="10"/>
        <v>0.27432876712328763</v>
      </c>
      <c r="Q29" s="86">
        <f t="shared" si="10"/>
        <v>0.27432876712328763</v>
      </c>
      <c r="R29" s="71"/>
    </row>
    <row r="30" spans="2:18" ht="15" x14ac:dyDescent="0.25">
      <c r="B30" s="209"/>
      <c r="C30" s="103" t="s">
        <v>95</v>
      </c>
      <c r="D30" s="2" t="s">
        <v>3</v>
      </c>
      <c r="E30" s="4"/>
      <c r="F30" s="167">
        <v>6.5570000000000003E-3</v>
      </c>
      <c r="G30" s="99">
        <f>+F30</f>
        <v>6.5570000000000003E-3</v>
      </c>
      <c r="H30" s="99">
        <f t="shared" si="10"/>
        <v>6.5570000000000003E-3</v>
      </c>
      <c r="I30" s="99">
        <f t="shared" si="10"/>
        <v>6.5570000000000003E-3</v>
      </c>
      <c r="J30" s="99">
        <f t="shared" si="10"/>
        <v>6.5570000000000003E-3</v>
      </c>
      <c r="K30" s="100">
        <f t="shared" si="10"/>
        <v>6.5570000000000003E-3</v>
      </c>
      <c r="L30" s="98">
        <f t="shared" si="10"/>
        <v>6.5570000000000003E-3</v>
      </c>
      <c r="M30" s="99">
        <f t="shared" si="10"/>
        <v>6.5570000000000003E-3</v>
      </c>
      <c r="N30" s="99">
        <f t="shared" si="10"/>
        <v>6.5570000000000003E-3</v>
      </c>
      <c r="O30" s="99">
        <f t="shared" si="10"/>
        <v>6.5570000000000003E-3</v>
      </c>
      <c r="P30" s="99">
        <f t="shared" si="10"/>
        <v>6.5570000000000003E-3</v>
      </c>
      <c r="Q30" s="100">
        <f t="shared" si="10"/>
        <v>6.5570000000000003E-3</v>
      </c>
      <c r="R30" s="71"/>
    </row>
    <row r="31" spans="2:18" ht="15" x14ac:dyDescent="0.25">
      <c r="B31" s="209"/>
      <c r="C31" s="103" t="s">
        <v>52</v>
      </c>
      <c r="D31" s="2" t="s">
        <v>4</v>
      </c>
      <c r="E31" s="4"/>
      <c r="F31" s="74">
        <f t="shared" ref="F31:Q31" si="11">ROUND(F29*F10,2)</f>
        <v>8.5</v>
      </c>
      <c r="G31" s="75">
        <f t="shared" si="11"/>
        <v>8.5</v>
      </c>
      <c r="H31" s="75">
        <f t="shared" si="11"/>
        <v>8.23</v>
      </c>
      <c r="I31" s="75">
        <f t="shared" si="11"/>
        <v>8.5</v>
      </c>
      <c r="J31" s="75">
        <f t="shared" si="11"/>
        <v>8.23</v>
      </c>
      <c r="K31" s="76">
        <f t="shared" si="11"/>
        <v>8.5</v>
      </c>
      <c r="L31" s="74">
        <f t="shared" si="11"/>
        <v>8.5</v>
      </c>
      <c r="M31" s="75">
        <f t="shared" si="11"/>
        <v>7.68</v>
      </c>
      <c r="N31" s="75">
        <f t="shared" si="11"/>
        <v>8.5</v>
      </c>
      <c r="O31" s="75">
        <f t="shared" si="11"/>
        <v>8.23</v>
      </c>
      <c r="P31" s="75">
        <f t="shared" si="11"/>
        <v>8.5</v>
      </c>
      <c r="Q31" s="76">
        <f t="shared" si="11"/>
        <v>8.23</v>
      </c>
      <c r="R31" s="97">
        <f>SUM(F31:Q31)</f>
        <v>100.10000000000002</v>
      </c>
    </row>
    <row r="32" spans="2:18" ht="16.5" customHeight="1" thickBot="1" x14ac:dyDescent="0.3">
      <c r="B32" s="209"/>
      <c r="C32" s="103" t="s">
        <v>53</v>
      </c>
      <c r="D32" s="2" t="s">
        <v>4</v>
      </c>
      <c r="E32" s="4"/>
      <c r="F32" s="74">
        <f t="shared" ref="F32:Q32" si="12">ROUND(F12*F30,2)</f>
        <v>33</v>
      </c>
      <c r="G32" s="75">
        <f t="shared" si="12"/>
        <v>33.32</v>
      </c>
      <c r="H32" s="75">
        <f t="shared" si="12"/>
        <v>33.83</v>
      </c>
      <c r="I32" s="75">
        <f t="shared" si="12"/>
        <v>34.840000000000003</v>
      </c>
      <c r="J32" s="75">
        <f t="shared" si="12"/>
        <v>1586.34</v>
      </c>
      <c r="K32" s="76">
        <f t="shared" si="12"/>
        <v>2418.56</v>
      </c>
      <c r="L32" s="74">
        <f t="shared" si="12"/>
        <v>2598.0300000000002</v>
      </c>
      <c r="M32" s="75">
        <f t="shared" si="12"/>
        <v>2392.9499999999998</v>
      </c>
      <c r="N32" s="75">
        <f t="shared" si="12"/>
        <v>2358.58</v>
      </c>
      <c r="O32" s="75">
        <f t="shared" si="12"/>
        <v>1005.5</v>
      </c>
      <c r="P32" s="75">
        <f t="shared" si="12"/>
        <v>30.86</v>
      </c>
      <c r="Q32" s="76">
        <f t="shared" si="12"/>
        <v>14.98</v>
      </c>
      <c r="R32" s="97">
        <f>SUM(F32:Q32)</f>
        <v>12540.789999999999</v>
      </c>
    </row>
    <row r="33" spans="2:19" ht="16.2" thickBot="1" x14ac:dyDescent="0.35">
      <c r="B33" s="210"/>
      <c r="C33" s="101" t="s">
        <v>48</v>
      </c>
      <c r="D33" s="58" t="s">
        <v>4</v>
      </c>
      <c r="E33" s="4"/>
      <c r="F33" s="26">
        <f>+F32+F31</f>
        <v>41.5</v>
      </c>
      <c r="G33" s="27">
        <f t="shared" ref="G33:Q33" si="13">SUM(G31:G32)</f>
        <v>41.82</v>
      </c>
      <c r="H33" s="27">
        <f t="shared" si="13"/>
        <v>42.06</v>
      </c>
      <c r="I33" s="27">
        <f t="shared" si="13"/>
        <v>43.34</v>
      </c>
      <c r="J33" s="27">
        <f t="shared" si="13"/>
        <v>1594.57</v>
      </c>
      <c r="K33" s="28">
        <f t="shared" si="13"/>
        <v>2427.06</v>
      </c>
      <c r="L33" s="91">
        <f t="shared" si="13"/>
        <v>2606.5300000000002</v>
      </c>
      <c r="M33" s="27">
        <f t="shared" si="13"/>
        <v>2400.6299999999997</v>
      </c>
      <c r="N33" s="27">
        <f t="shared" si="13"/>
        <v>2367.08</v>
      </c>
      <c r="O33" s="27">
        <f t="shared" si="13"/>
        <v>1013.73</v>
      </c>
      <c r="P33" s="27">
        <f t="shared" si="13"/>
        <v>39.36</v>
      </c>
      <c r="Q33" s="28">
        <f t="shared" si="13"/>
        <v>23.21</v>
      </c>
      <c r="R33" s="54">
        <f>SUM(F33:Q33)</f>
        <v>12640.89</v>
      </c>
    </row>
    <row r="34" spans="2:19" x14ac:dyDescent="0.25">
      <c r="B34" s="5"/>
      <c r="C34" s="5"/>
      <c r="D34" s="5"/>
      <c r="E34" s="5"/>
      <c r="F34" s="104"/>
      <c r="G34" s="105"/>
      <c r="H34" s="105"/>
      <c r="I34" s="105"/>
      <c r="J34" s="105"/>
      <c r="K34" s="106"/>
      <c r="L34" s="104"/>
      <c r="M34" s="105"/>
      <c r="N34" s="105"/>
      <c r="O34" s="105"/>
      <c r="P34" s="105"/>
      <c r="Q34" s="106"/>
      <c r="R34" s="107"/>
      <c r="S34" s="5"/>
    </row>
    <row r="35" spans="2:19" ht="15" x14ac:dyDescent="0.25">
      <c r="B35" s="2" t="s">
        <v>39</v>
      </c>
      <c r="C35" s="2" t="s">
        <v>49</v>
      </c>
      <c r="D35" s="2" t="s">
        <v>4</v>
      </c>
      <c r="E35" s="5"/>
      <c r="F35" s="74">
        <f t="shared" ref="F35:Q35" si="14">ROUND((F21+F27)*0.00966,2)</f>
        <v>11.48</v>
      </c>
      <c r="G35" s="75">
        <f t="shared" si="14"/>
        <v>11.49</v>
      </c>
      <c r="H35" s="75">
        <f t="shared" si="14"/>
        <v>11.13</v>
      </c>
      <c r="I35" s="75">
        <f t="shared" si="14"/>
        <v>11.5</v>
      </c>
      <c r="J35" s="75">
        <f t="shared" si="14"/>
        <v>21.83</v>
      </c>
      <c r="K35" s="76">
        <f t="shared" si="14"/>
        <v>27.93</v>
      </c>
      <c r="L35" s="74">
        <f t="shared" si="14"/>
        <v>29.17</v>
      </c>
      <c r="M35" s="75">
        <f t="shared" si="14"/>
        <v>26.66</v>
      </c>
      <c r="N35" s="75">
        <f t="shared" si="14"/>
        <v>27.52</v>
      </c>
      <c r="O35" s="75">
        <f t="shared" si="14"/>
        <v>17.82</v>
      </c>
      <c r="P35" s="75">
        <f t="shared" si="14"/>
        <v>11.47</v>
      </c>
      <c r="Q35" s="76">
        <f t="shared" si="14"/>
        <v>11</v>
      </c>
      <c r="R35" s="97">
        <f t="shared" ref="R35:R36" si="15">SUM(F35:Q35)</f>
        <v>219.00000000000003</v>
      </c>
      <c r="S35" s="5"/>
    </row>
    <row r="36" spans="2:19" ht="15" x14ac:dyDescent="0.25">
      <c r="B36" s="2" t="s">
        <v>57</v>
      </c>
      <c r="C36" s="2" t="s">
        <v>55</v>
      </c>
      <c r="D36" s="2" t="s">
        <v>4</v>
      </c>
      <c r="E36" s="5"/>
      <c r="F36" s="74">
        <f t="shared" ref="F36:Q36" si="16">ROUND((F21+F27+F33)*0.0014,2)</f>
        <v>1.72</v>
      </c>
      <c r="G36" s="75">
        <f t="shared" si="16"/>
        <v>1.72</v>
      </c>
      <c r="H36" s="75">
        <f t="shared" si="16"/>
        <v>1.67</v>
      </c>
      <c r="I36" s="75">
        <f t="shared" si="16"/>
        <v>1.73</v>
      </c>
      <c r="J36" s="75">
        <f t="shared" si="16"/>
        <v>5.4</v>
      </c>
      <c r="K36" s="76">
        <f t="shared" si="16"/>
        <v>7.45</v>
      </c>
      <c r="L36" s="74">
        <f t="shared" si="16"/>
        <v>7.88</v>
      </c>
      <c r="M36" s="75">
        <f t="shared" si="16"/>
        <v>7.23</v>
      </c>
      <c r="N36" s="75">
        <f t="shared" si="16"/>
        <v>7.3</v>
      </c>
      <c r="O36" s="75">
        <f t="shared" si="16"/>
        <v>4</v>
      </c>
      <c r="P36" s="75">
        <f t="shared" si="16"/>
        <v>1.72</v>
      </c>
      <c r="Q36" s="76">
        <f t="shared" si="16"/>
        <v>1.63</v>
      </c>
      <c r="R36" s="97">
        <f t="shared" si="15"/>
        <v>49.449999999999996</v>
      </c>
      <c r="S36" s="5"/>
    </row>
    <row r="37" spans="2:19" ht="15.6" thickBot="1" x14ac:dyDescent="0.3">
      <c r="B37" s="2" t="s">
        <v>54</v>
      </c>
      <c r="C37" s="123" t="s">
        <v>56</v>
      </c>
      <c r="D37" s="60" t="s">
        <v>4</v>
      </c>
      <c r="E37" s="4"/>
      <c r="F37" s="78">
        <f t="shared" ref="F37:Q37" si="17">ROUND(F12*0.00054,2)</f>
        <v>2.72</v>
      </c>
      <c r="G37" s="79">
        <f t="shared" si="17"/>
        <v>2.74</v>
      </c>
      <c r="H37" s="79">
        <f t="shared" si="17"/>
        <v>2.79</v>
      </c>
      <c r="I37" s="79">
        <f t="shared" si="17"/>
        <v>2.87</v>
      </c>
      <c r="J37" s="79">
        <f t="shared" si="17"/>
        <v>130.63999999999999</v>
      </c>
      <c r="K37" s="80">
        <f t="shared" si="17"/>
        <v>199.18</v>
      </c>
      <c r="L37" s="78">
        <f t="shared" si="17"/>
        <v>213.96</v>
      </c>
      <c r="M37" s="79">
        <f t="shared" si="17"/>
        <v>197.07</v>
      </c>
      <c r="N37" s="79">
        <f t="shared" si="17"/>
        <v>194.24</v>
      </c>
      <c r="O37" s="79">
        <f t="shared" si="17"/>
        <v>82.81</v>
      </c>
      <c r="P37" s="79">
        <f t="shared" si="17"/>
        <v>2.54</v>
      </c>
      <c r="Q37" s="80">
        <f t="shared" si="17"/>
        <v>1.23</v>
      </c>
      <c r="R37" s="108">
        <f>SUM(F37:Q37)</f>
        <v>1032.79</v>
      </c>
    </row>
    <row r="38" spans="2:19" ht="16.2" thickBot="1" x14ac:dyDescent="0.35">
      <c r="B38" s="23"/>
      <c r="C38" s="22" t="s">
        <v>58</v>
      </c>
      <c r="D38" s="50" t="s">
        <v>4</v>
      </c>
      <c r="E38" s="61"/>
      <c r="F38" s="26">
        <f>SUM(F35:F37)</f>
        <v>15.920000000000002</v>
      </c>
      <c r="G38" s="27">
        <f t="shared" ref="G38:Q38" si="18">SUM(G35:G37)</f>
        <v>15.950000000000001</v>
      </c>
      <c r="H38" s="27">
        <f t="shared" si="18"/>
        <v>15.59</v>
      </c>
      <c r="I38" s="27">
        <f t="shared" si="18"/>
        <v>16.100000000000001</v>
      </c>
      <c r="J38" s="27">
        <f t="shared" si="18"/>
        <v>157.86999999999998</v>
      </c>
      <c r="K38" s="28">
        <f t="shared" si="18"/>
        <v>234.56</v>
      </c>
      <c r="L38" s="26">
        <f t="shared" si="18"/>
        <v>251.01000000000002</v>
      </c>
      <c r="M38" s="27">
        <f t="shared" si="18"/>
        <v>230.95999999999998</v>
      </c>
      <c r="N38" s="27">
        <f t="shared" si="18"/>
        <v>229.06</v>
      </c>
      <c r="O38" s="27">
        <f t="shared" si="18"/>
        <v>104.63</v>
      </c>
      <c r="P38" s="27">
        <f t="shared" si="18"/>
        <v>15.73</v>
      </c>
      <c r="Q38" s="49">
        <f t="shared" si="18"/>
        <v>13.86</v>
      </c>
      <c r="R38" s="54">
        <f>SUM(F38:Q38)</f>
        <v>1301.24</v>
      </c>
    </row>
    <row r="39" spans="2:19" ht="15" x14ac:dyDescent="0.25">
      <c r="C39" s="23"/>
      <c r="D39" s="23"/>
      <c r="E39" s="4"/>
      <c r="F39" s="38"/>
      <c r="G39" s="6"/>
      <c r="H39" s="6"/>
      <c r="I39" s="6"/>
      <c r="J39" s="6"/>
      <c r="K39" s="39"/>
      <c r="L39" s="38"/>
      <c r="M39" s="6"/>
      <c r="N39" s="6"/>
      <c r="O39" s="6"/>
      <c r="P39" s="6"/>
      <c r="Q39" s="6"/>
      <c r="R39" s="71"/>
    </row>
    <row r="40" spans="2:19" ht="15" x14ac:dyDescent="0.25">
      <c r="B40" s="212" t="s">
        <v>23</v>
      </c>
      <c r="C40" s="126" t="s">
        <v>21</v>
      </c>
      <c r="D40" s="2" t="s">
        <v>4</v>
      </c>
      <c r="E40" s="4"/>
      <c r="F40" s="74">
        <f>26.03+19.23</f>
        <v>45.260000000000005</v>
      </c>
      <c r="G40" s="75">
        <v>45.260000000000005</v>
      </c>
      <c r="H40" s="75">
        <v>45.260000000000005</v>
      </c>
      <c r="I40" s="75">
        <v>45.260000000000005</v>
      </c>
      <c r="J40" s="75">
        <v>45.260000000000005</v>
      </c>
      <c r="K40" s="76">
        <v>45.260000000000005</v>
      </c>
      <c r="L40" s="74">
        <v>45.260000000000005</v>
      </c>
      <c r="M40" s="75">
        <v>45.260000000000005</v>
      </c>
      <c r="N40" s="75">
        <v>45.260000000000005</v>
      </c>
      <c r="O40" s="75">
        <v>45.260000000000005</v>
      </c>
      <c r="P40" s="75">
        <v>45.260000000000005</v>
      </c>
      <c r="Q40" s="77">
        <v>45.260000000000005</v>
      </c>
      <c r="R40" s="82">
        <f>SUM(F40:Q40)</f>
        <v>543.12</v>
      </c>
    </row>
    <row r="41" spans="2:19" ht="15.6" thickBot="1" x14ac:dyDescent="0.3">
      <c r="B41" s="212"/>
      <c r="C41" s="48" t="s">
        <v>22</v>
      </c>
      <c r="D41" s="45" t="s">
        <v>4</v>
      </c>
      <c r="E41" s="4"/>
      <c r="F41" s="78">
        <f>55+55</f>
        <v>110</v>
      </c>
      <c r="G41" s="79">
        <f t="shared" ref="G41:Q41" si="19">55+55</f>
        <v>110</v>
      </c>
      <c r="H41" s="79">
        <f t="shared" si="19"/>
        <v>110</v>
      </c>
      <c r="I41" s="79">
        <f t="shared" si="19"/>
        <v>110</v>
      </c>
      <c r="J41" s="79">
        <f t="shared" si="19"/>
        <v>110</v>
      </c>
      <c r="K41" s="80">
        <f t="shared" si="19"/>
        <v>110</v>
      </c>
      <c r="L41" s="78">
        <f t="shared" si="19"/>
        <v>110</v>
      </c>
      <c r="M41" s="79">
        <f t="shared" si="19"/>
        <v>110</v>
      </c>
      <c r="N41" s="79">
        <f t="shared" si="19"/>
        <v>110</v>
      </c>
      <c r="O41" s="79">
        <f t="shared" si="19"/>
        <v>110</v>
      </c>
      <c r="P41" s="79">
        <f t="shared" si="19"/>
        <v>110</v>
      </c>
      <c r="Q41" s="81">
        <f t="shared" si="19"/>
        <v>110</v>
      </c>
      <c r="R41" s="83">
        <f>SUM(F41:Q41)</f>
        <v>1320</v>
      </c>
    </row>
    <row r="42" spans="2:19" ht="16.2" thickBot="1" x14ac:dyDescent="0.35">
      <c r="B42" s="213"/>
      <c r="C42" s="22" t="s">
        <v>62</v>
      </c>
      <c r="D42" s="59" t="s">
        <v>4</v>
      </c>
      <c r="E42" s="51"/>
      <c r="F42" s="52">
        <f>+F41+F40</f>
        <v>155.26</v>
      </c>
      <c r="G42" s="53">
        <f t="shared" ref="G42:Q42" si="20">+G41+G40</f>
        <v>155.26</v>
      </c>
      <c r="H42" s="53">
        <f t="shared" si="20"/>
        <v>155.26</v>
      </c>
      <c r="I42" s="53">
        <f t="shared" si="20"/>
        <v>155.26</v>
      </c>
      <c r="J42" s="53">
        <f t="shared" si="20"/>
        <v>155.26</v>
      </c>
      <c r="K42" s="53">
        <f t="shared" si="20"/>
        <v>155.26</v>
      </c>
      <c r="L42" s="52">
        <f t="shared" si="20"/>
        <v>155.26</v>
      </c>
      <c r="M42" s="53">
        <f t="shared" si="20"/>
        <v>155.26</v>
      </c>
      <c r="N42" s="53">
        <f t="shared" si="20"/>
        <v>155.26</v>
      </c>
      <c r="O42" s="53">
        <f t="shared" si="20"/>
        <v>155.26</v>
      </c>
      <c r="P42" s="53">
        <f t="shared" si="20"/>
        <v>155.26</v>
      </c>
      <c r="Q42" s="44">
        <f t="shared" si="20"/>
        <v>155.26</v>
      </c>
      <c r="R42" s="44">
        <f>SUM(F42:Q42)</f>
        <v>1863.12</v>
      </c>
    </row>
    <row r="43" spans="2:19" ht="15.6" thickBot="1" x14ac:dyDescent="0.3">
      <c r="C43" s="23"/>
      <c r="D43" s="23"/>
      <c r="E43" s="4"/>
      <c r="F43" s="38"/>
      <c r="G43" s="6"/>
      <c r="H43" s="6"/>
      <c r="I43" s="6"/>
      <c r="J43" s="6"/>
      <c r="K43" s="6"/>
      <c r="L43" s="38"/>
      <c r="M43" s="6"/>
      <c r="N43" s="6"/>
      <c r="O43" s="6"/>
      <c r="P43" s="6"/>
      <c r="Q43" s="39"/>
      <c r="R43" s="39"/>
    </row>
    <row r="44" spans="2:19" ht="16.2" thickBot="1" x14ac:dyDescent="0.35">
      <c r="C44" s="24" t="s">
        <v>20</v>
      </c>
      <c r="D44" s="58" t="s">
        <v>3</v>
      </c>
      <c r="E44" s="4"/>
      <c r="F44" s="40">
        <f t="shared" ref="F44:R44" si="21">+F46/F12</f>
        <v>0.33247009735744087</v>
      </c>
      <c r="G44" s="41">
        <f t="shared" si="21"/>
        <v>0.32989925226288863</v>
      </c>
      <c r="H44" s="41">
        <f t="shared" si="21"/>
        <v>0.31849031007751938</v>
      </c>
      <c r="I44" s="41">
        <f t="shared" si="21"/>
        <v>0.31837147158449375</v>
      </c>
      <c r="J44" s="41">
        <f t="shared" si="21"/>
        <v>7.1225655248810596E-2</v>
      </c>
      <c r="K44" s="42">
        <f t="shared" si="21"/>
        <v>6.9475177035775867E-2</v>
      </c>
      <c r="L44" s="40">
        <f t="shared" si="21"/>
        <v>6.9223851215098567E-2</v>
      </c>
      <c r="M44" s="41">
        <f t="shared" si="21"/>
        <v>6.9199426764507618E-2</v>
      </c>
      <c r="N44" s="41">
        <f t="shared" si="21"/>
        <v>6.9567716789360134E-2</v>
      </c>
      <c r="O44" s="41">
        <f t="shared" si="21"/>
        <v>7.4338513306422674E-2</v>
      </c>
      <c r="P44" s="41">
        <f t="shared" si="21"/>
        <v>0.35099957501062473</v>
      </c>
      <c r="Q44" s="43">
        <f t="shared" si="21"/>
        <v>0.63663572679509628</v>
      </c>
      <c r="R44" s="25">
        <f t="shared" si="21"/>
        <v>7.4116690421639417E-2</v>
      </c>
    </row>
    <row r="45" spans="2:19" ht="15.6" thickBot="1" x14ac:dyDescent="0.3">
      <c r="C45" s="23"/>
      <c r="D45" s="23"/>
      <c r="E45" s="4"/>
      <c r="F45" s="37"/>
      <c r="G45" s="23"/>
      <c r="H45" s="23"/>
      <c r="I45" s="23"/>
      <c r="J45" s="23"/>
      <c r="K45" s="23"/>
      <c r="L45" s="37"/>
      <c r="M45" s="23"/>
      <c r="N45" s="23"/>
      <c r="O45" s="23"/>
      <c r="P45" s="23"/>
      <c r="Q45" s="17"/>
      <c r="R45" s="17"/>
    </row>
    <row r="46" spans="2:19" ht="16.2" thickBot="1" x14ac:dyDescent="0.35">
      <c r="B46" s="4"/>
      <c r="C46" s="24" t="s">
        <v>30</v>
      </c>
      <c r="D46" s="59" t="s">
        <v>18</v>
      </c>
      <c r="E46" s="4"/>
      <c r="F46" s="26">
        <f t="shared" ref="F46:Q46" si="22">F15+F21+F27+F33+F38+F42</f>
        <v>1673.3219999999999</v>
      </c>
      <c r="G46" s="27">
        <f t="shared" si="22"/>
        <v>1676.548</v>
      </c>
      <c r="H46" s="27">
        <f t="shared" si="22"/>
        <v>1643.4099999999999</v>
      </c>
      <c r="I46" s="27">
        <f t="shared" si="22"/>
        <v>1691.8259999999998</v>
      </c>
      <c r="J46" s="27">
        <f t="shared" si="22"/>
        <v>17231.693999999996</v>
      </c>
      <c r="K46" s="28">
        <f t="shared" si="22"/>
        <v>25626.058000000001</v>
      </c>
      <c r="L46" s="26">
        <f t="shared" si="22"/>
        <v>27428.081999999999</v>
      </c>
      <c r="M46" s="27">
        <f t="shared" si="22"/>
        <v>25254.053999999996</v>
      </c>
      <c r="N46" s="27">
        <f t="shared" si="22"/>
        <v>25023.786</v>
      </c>
      <c r="O46" s="27">
        <f t="shared" si="22"/>
        <v>11399.587999999998</v>
      </c>
      <c r="P46" s="27">
        <f t="shared" si="22"/>
        <v>1651.8039999999999</v>
      </c>
      <c r="Q46" s="28">
        <f t="shared" si="22"/>
        <v>1454.076</v>
      </c>
      <c r="R46" s="44">
        <f>SUM(F46:Q46)</f>
        <v>141754.24799999996</v>
      </c>
    </row>
    <row r="47" spans="2:19" ht="16.2" thickBot="1" x14ac:dyDescent="0.35">
      <c r="C47" s="9"/>
      <c r="D47" s="9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</row>
    <row r="48" spans="2:19" ht="18" thickBot="1" x14ac:dyDescent="0.35">
      <c r="C48" s="135" t="s">
        <v>118</v>
      </c>
      <c r="D48" s="168">
        <f>+'MODEL Oferta Formula Indexada'!D18</f>
        <v>10</v>
      </c>
      <c r="E48" s="9"/>
      <c r="F48" s="195" t="s">
        <v>33</v>
      </c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7"/>
      <c r="R48" s="3"/>
    </row>
    <row r="49" spans="2:18" ht="18" thickBot="1" x14ac:dyDescent="0.35">
      <c r="C49" s="131" t="s">
        <v>119</v>
      </c>
      <c r="D49" s="165">
        <f>+'MODEL Oferta Formula Indexada'!D19</f>
        <v>1</v>
      </c>
      <c r="E49" s="9"/>
      <c r="F49" s="181" t="s">
        <v>86</v>
      </c>
      <c r="G49" s="182"/>
      <c r="H49" s="182"/>
      <c r="I49" s="182"/>
      <c r="J49" s="182"/>
      <c r="K49" s="183"/>
      <c r="L49" s="181" t="s">
        <v>87</v>
      </c>
      <c r="M49" s="182"/>
      <c r="N49" s="182"/>
      <c r="O49" s="182"/>
      <c r="P49" s="182"/>
      <c r="Q49" s="183"/>
      <c r="R49" s="11"/>
    </row>
    <row r="50" spans="2:18" ht="16.2" thickBot="1" x14ac:dyDescent="0.35">
      <c r="B50" s="124" t="s">
        <v>1</v>
      </c>
      <c r="C50" s="125"/>
      <c r="D50" s="2" t="s">
        <v>2</v>
      </c>
      <c r="E50" s="9"/>
      <c r="F50" s="19" t="s">
        <v>12</v>
      </c>
      <c r="G50" s="20" t="s">
        <v>13</v>
      </c>
      <c r="H50" s="20" t="s">
        <v>14</v>
      </c>
      <c r="I50" s="20" t="s">
        <v>15</v>
      </c>
      <c r="J50" s="20" t="s">
        <v>16</v>
      </c>
      <c r="K50" s="21" t="s">
        <v>17</v>
      </c>
      <c r="L50" s="19" t="s">
        <v>6</v>
      </c>
      <c r="M50" s="20" t="s">
        <v>7</v>
      </c>
      <c r="N50" s="20" t="s">
        <v>8</v>
      </c>
      <c r="O50" s="20" t="s">
        <v>9</v>
      </c>
      <c r="P50" s="20" t="s">
        <v>10</v>
      </c>
      <c r="Q50" s="21" t="s">
        <v>11</v>
      </c>
      <c r="R50" s="18" t="s">
        <v>88</v>
      </c>
    </row>
    <row r="51" spans="2:18" ht="15.6" x14ac:dyDescent="0.3">
      <c r="B51" s="5"/>
      <c r="C51" s="72"/>
      <c r="D51" s="2" t="s">
        <v>31</v>
      </c>
      <c r="E51" s="4"/>
      <c r="F51" s="19">
        <v>31</v>
      </c>
      <c r="G51" s="20">
        <v>31</v>
      </c>
      <c r="H51" s="20">
        <v>30</v>
      </c>
      <c r="I51" s="20">
        <v>31</v>
      </c>
      <c r="J51" s="20">
        <v>30</v>
      </c>
      <c r="K51" s="21">
        <v>31</v>
      </c>
      <c r="L51" s="19">
        <v>31</v>
      </c>
      <c r="M51" s="132">
        <v>28</v>
      </c>
      <c r="N51" s="20">
        <v>31</v>
      </c>
      <c r="O51" s="20">
        <v>30</v>
      </c>
      <c r="P51" s="20">
        <v>31</v>
      </c>
      <c r="Q51" s="21">
        <v>30</v>
      </c>
      <c r="R51" s="73">
        <f>SUM(F51:Q51)</f>
        <v>365</v>
      </c>
    </row>
    <row r="52" spans="2:18" ht="16.5" customHeight="1" thickBot="1" x14ac:dyDescent="0.35">
      <c r="B52" s="5"/>
      <c r="C52" s="23"/>
      <c r="D52" s="23"/>
      <c r="E52" s="9"/>
      <c r="F52" s="29"/>
      <c r="G52" s="30"/>
      <c r="H52" s="30"/>
      <c r="I52" s="30"/>
      <c r="J52" s="30"/>
      <c r="K52" s="31"/>
      <c r="L52" s="32"/>
      <c r="M52" s="33"/>
      <c r="N52" s="33"/>
      <c r="O52" s="33"/>
      <c r="P52" s="33"/>
      <c r="Q52" s="34"/>
      <c r="R52" s="17"/>
    </row>
    <row r="53" spans="2:18" ht="16.2" thickBot="1" x14ac:dyDescent="0.35">
      <c r="B53" s="4"/>
      <c r="C53" s="22" t="s">
        <v>26</v>
      </c>
      <c r="D53" s="58" t="s">
        <v>0</v>
      </c>
      <c r="E53" s="9"/>
      <c r="F53" s="88">
        <v>10038</v>
      </c>
      <c r="G53" s="88">
        <v>9549</v>
      </c>
      <c r="H53" s="88">
        <v>10185</v>
      </c>
      <c r="I53" s="88">
        <v>11564</v>
      </c>
      <c r="J53" s="88">
        <v>292448</v>
      </c>
      <c r="K53" s="89">
        <v>453623</v>
      </c>
      <c r="L53" s="87">
        <v>489778</v>
      </c>
      <c r="M53" s="88">
        <v>514188</v>
      </c>
      <c r="N53" s="88">
        <v>384622</v>
      </c>
      <c r="O53" s="88">
        <v>285199</v>
      </c>
      <c r="P53" s="88">
        <v>78143</v>
      </c>
      <c r="Q53" s="89">
        <v>12448</v>
      </c>
      <c r="R53" s="90">
        <f>SUM(F53:Q53)</f>
        <v>2551785</v>
      </c>
    </row>
    <row r="54" spans="2:18" ht="15.6" x14ac:dyDescent="0.3">
      <c r="C54" s="93"/>
      <c r="D54" s="92"/>
      <c r="E54" s="4"/>
      <c r="F54" s="117"/>
      <c r="G54" s="118"/>
      <c r="H54" s="118"/>
      <c r="I54" s="118"/>
      <c r="J54" s="118"/>
      <c r="K54" s="119"/>
      <c r="L54" s="110"/>
      <c r="M54" s="94"/>
      <c r="N54" s="94"/>
      <c r="O54" s="94"/>
      <c r="P54" s="94"/>
      <c r="Q54" s="95"/>
      <c r="R54" s="96"/>
    </row>
    <row r="55" spans="2:18" ht="15.6" thickBot="1" x14ac:dyDescent="0.3">
      <c r="B55" s="5"/>
      <c r="C55" s="45" t="s">
        <v>64</v>
      </c>
      <c r="D55" s="2" t="s">
        <v>3</v>
      </c>
      <c r="E55" s="4"/>
      <c r="F55" s="133">
        <f>ROUND((D6*D49)/1000+D48/1000,6)</f>
        <v>5.3999999999999999E-2</v>
      </c>
      <c r="G55" s="120">
        <f t="shared" ref="G55:Q55" si="23">+F55</f>
        <v>5.3999999999999999E-2</v>
      </c>
      <c r="H55" s="120">
        <f t="shared" si="23"/>
        <v>5.3999999999999999E-2</v>
      </c>
      <c r="I55" s="120">
        <f t="shared" si="23"/>
        <v>5.3999999999999999E-2</v>
      </c>
      <c r="J55" s="120">
        <f t="shared" si="23"/>
        <v>5.3999999999999999E-2</v>
      </c>
      <c r="K55" s="121">
        <f t="shared" si="23"/>
        <v>5.3999999999999999E-2</v>
      </c>
      <c r="L55" s="134">
        <f t="shared" si="23"/>
        <v>5.3999999999999999E-2</v>
      </c>
      <c r="M55" s="85">
        <f t="shared" si="23"/>
        <v>5.3999999999999999E-2</v>
      </c>
      <c r="N55" s="85">
        <f t="shared" si="23"/>
        <v>5.3999999999999999E-2</v>
      </c>
      <c r="O55" s="85">
        <f t="shared" si="23"/>
        <v>5.3999999999999999E-2</v>
      </c>
      <c r="P55" s="85">
        <f t="shared" si="23"/>
        <v>5.3999999999999999E-2</v>
      </c>
      <c r="Q55" s="86">
        <f t="shared" si="23"/>
        <v>5.3999999999999999E-2</v>
      </c>
      <c r="R55" s="71"/>
    </row>
    <row r="56" spans="2:18" ht="16.2" thickBot="1" x14ac:dyDescent="0.35">
      <c r="B56" s="47" t="s">
        <v>19</v>
      </c>
      <c r="C56" s="46" t="s">
        <v>64</v>
      </c>
      <c r="D56" s="58" t="s">
        <v>4</v>
      </c>
      <c r="E56" s="51"/>
      <c r="F56" s="26">
        <f>+F55*F53</f>
        <v>542.05200000000002</v>
      </c>
      <c r="G56" s="27">
        <f t="shared" ref="G56:Q56" si="24">+G55*G53</f>
        <v>515.64599999999996</v>
      </c>
      <c r="H56" s="27">
        <f t="shared" si="24"/>
        <v>549.99</v>
      </c>
      <c r="I56" s="27">
        <f t="shared" si="24"/>
        <v>624.45600000000002</v>
      </c>
      <c r="J56" s="27">
        <f t="shared" si="24"/>
        <v>15792.191999999999</v>
      </c>
      <c r="K56" s="28">
        <f t="shared" si="24"/>
        <v>24495.642</v>
      </c>
      <c r="L56" s="91">
        <f t="shared" si="24"/>
        <v>26448.011999999999</v>
      </c>
      <c r="M56" s="27">
        <f t="shared" si="24"/>
        <v>27766.151999999998</v>
      </c>
      <c r="N56" s="27">
        <f t="shared" si="24"/>
        <v>20769.588</v>
      </c>
      <c r="O56" s="27">
        <f t="shared" si="24"/>
        <v>15400.745999999999</v>
      </c>
      <c r="P56" s="27">
        <f t="shared" si="24"/>
        <v>4219.7219999999998</v>
      </c>
      <c r="Q56" s="28">
        <f t="shared" si="24"/>
        <v>672.19200000000001</v>
      </c>
      <c r="R56" s="54">
        <f>SUM(F56:Q56)</f>
        <v>137796.39000000004</v>
      </c>
    </row>
    <row r="57" spans="2:18" ht="15" x14ac:dyDescent="0.25">
      <c r="B57" s="5"/>
      <c r="C57" s="23"/>
      <c r="D57" s="23"/>
      <c r="E57" s="4"/>
      <c r="F57" s="55"/>
      <c r="G57" s="56"/>
      <c r="H57" s="56"/>
      <c r="I57" s="56"/>
      <c r="J57" s="56"/>
      <c r="K57" s="57"/>
      <c r="L57" s="55"/>
      <c r="M57" s="56"/>
      <c r="N57" s="56"/>
      <c r="O57" s="56"/>
      <c r="P57" s="56"/>
      <c r="Q57" s="57"/>
      <c r="R57" s="70"/>
    </row>
    <row r="58" spans="2:18" ht="15" x14ac:dyDescent="0.25">
      <c r="B58" s="204" t="s">
        <v>41</v>
      </c>
      <c r="C58" s="45" t="s">
        <v>60</v>
      </c>
      <c r="D58" s="2" t="s">
        <v>4</v>
      </c>
      <c r="E58" s="4"/>
      <c r="F58" s="74">
        <f t="shared" ref="F58:Q58" si="25">ROUND(F17*F51,2)</f>
        <v>120.06</v>
      </c>
      <c r="G58" s="75">
        <f t="shared" si="25"/>
        <v>120.06</v>
      </c>
      <c r="H58" s="75">
        <f t="shared" si="25"/>
        <v>116.18</v>
      </c>
      <c r="I58" s="75">
        <f t="shared" si="25"/>
        <v>120.06</v>
      </c>
      <c r="J58" s="75">
        <f t="shared" si="25"/>
        <v>116.18</v>
      </c>
      <c r="K58" s="76">
        <f t="shared" si="25"/>
        <v>120.06</v>
      </c>
      <c r="L58" s="74">
        <f t="shared" si="25"/>
        <v>120.06</v>
      </c>
      <c r="M58" s="75">
        <f t="shared" si="25"/>
        <v>108.44</v>
      </c>
      <c r="N58" s="75">
        <f t="shared" si="25"/>
        <v>120.06</v>
      </c>
      <c r="O58" s="75">
        <f t="shared" si="25"/>
        <v>116.18</v>
      </c>
      <c r="P58" s="75">
        <f t="shared" si="25"/>
        <v>120.06</v>
      </c>
      <c r="Q58" s="76">
        <f t="shared" si="25"/>
        <v>116.18</v>
      </c>
      <c r="R58" s="97">
        <f>SUM(F58:Q58)</f>
        <v>1413.58</v>
      </c>
    </row>
    <row r="59" spans="2:18" ht="15.6" thickBot="1" x14ac:dyDescent="0.3">
      <c r="B59" s="205"/>
      <c r="C59" s="45" t="s">
        <v>61</v>
      </c>
      <c r="D59" s="45" t="s">
        <v>4</v>
      </c>
      <c r="E59" s="4"/>
      <c r="F59" s="74">
        <f t="shared" ref="F59:Q59" si="26">ROUND(F53*F18,2)</f>
        <v>0</v>
      </c>
      <c r="G59" s="75">
        <f t="shared" si="26"/>
        <v>0</v>
      </c>
      <c r="H59" s="75">
        <f t="shared" si="26"/>
        <v>0</v>
      </c>
      <c r="I59" s="75">
        <f t="shared" si="26"/>
        <v>0</v>
      </c>
      <c r="J59" s="75">
        <f t="shared" si="26"/>
        <v>0</v>
      </c>
      <c r="K59" s="76">
        <f t="shared" si="26"/>
        <v>0</v>
      </c>
      <c r="L59" s="74">
        <f t="shared" si="26"/>
        <v>0</v>
      </c>
      <c r="M59" s="75">
        <f t="shared" si="26"/>
        <v>0</v>
      </c>
      <c r="N59" s="75">
        <f t="shared" si="26"/>
        <v>0</v>
      </c>
      <c r="O59" s="75">
        <f t="shared" si="26"/>
        <v>0</v>
      </c>
      <c r="P59" s="75">
        <f t="shared" si="26"/>
        <v>0</v>
      </c>
      <c r="Q59" s="76">
        <f t="shared" si="26"/>
        <v>0</v>
      </c>
      <c r="R59" s="97">
        <f>SUM(F59:Q59)</f>
        <v>0</v>
      </c>
    </row>
    <row r="60" spans="2:18" ht="16.2" thickBot="1" x14ac:dyDescent="0.35">
      <c r="B60" s="206"/>
      <c r="C60" s="101" t="s">
        <v>43</v>
      </c>
      <c r="D60" s="58" t="s">
        <v>4</v>
      </c>
      <c r="E60" s="51"/>
      <c r="F60" s="26">
        <f>+F59+F58</f>
        <v>120.06</v>
      </c>
      <c r="G60" s="27">
        <f t="shared" ref="G60:Q60" si="27">SUM(G58:G59)</f>
        <v>120.06</v>
      </c>
      <c r="H60" s="27">
        <f t="shared" si="27"/>
        <v>116.18</v>
      </c>
      <c r="I60" s="27">
        <f t="shared" si="27"/>
        <v>120.06</v>
      </c>
      <c r="J60" s="27">
        <f t="shared" si="27"/>
        <v>116.18</v>
      </c>
      <c r="K60" s="28">
        <f t="shared" si="27"/>
        <v>120.06</v>
      </c>
      <c r="L60" s="91">
        <f t="shared" si="27"/>
        <v>120.06</v>
      </c>
      <c r="M60" s="27">
        <f t="shared" si="27"/>
        <v>108.44</v>
      </c>
      <c r="N60" s="27">
        <f t="shared" si="27"/>
        <v>120.06</v>
      </c>
      <c r="O60" s="27">
        <f t="shared" si="27"/>
        <v>116.18</v>
      </c>
      <c r="P60" s="27">
        <f t="shared" si="27"/>
        <v>120.06</v>
      </c>
      <c r="Q60" s="28">
        <f t="shared" si="27"/>
        <v>116.18</v>
      </c>
      <c r="R60" s="54">
        <f>SUM(F60:Q60)</f>
        <v>1413.58</v>
      </c>
    </row>
    <row r="61" spans="2:18" ht="15" x14ac:dyDescent="0.25">
      <c r="B61" s="5"/>
      <c r="C61" s="23"/>
      <c r="D61" s="23"/>
      <c r="E61" s="4"/>
      <c r="F61" s="55"/>
      <c r="G61" s="56"/>
      <c r="H61" s="56"/>
      <c r="I61" s="56"/>
      <c r="J61" s="56"/>
      <c r="K61" s="57"/>
      <c r="L61" s="55"/>
      <c r="M61" s="56"/>
      <c r="N61" s="56"/>
      <c r="O61" s="56"/>
      <c r="P61" s="56"/>
      <c r="Q61" s="57"/>
      <c r="R61" s="70"/>
    </row>
    <row r="62" spans="2:18" ht="15" x14ac:dyDescent="0.25">
      <c r="B62" s="207" t="s">
        <v>40</v>
      </c>
      <c r="C62" s="45" t="s">
        <v>92</v>
      </c>
      <c r="D62" s="2" t="s">
        <v>38</v>
      </c>
      <c r="E62" s="4"/>
      <c r="F62" s="166">
        <f>12307.010366/$R10</f>
        <v>33.717836619178087</v>
      </c>
      <c r="G62" s="85">
        <f>+F62</f>
        <v>33.717836619178087</v>
      </c>
      <c r="H62" s="85">
        <f t="shared" ref="H62:Q63" si="28">+G62</f>
        <v>33.717836619178087</v>
      </c>
      <c r="I62" s="85">
        <f t="shared" si="28"/>
        <v>33.717836619178087</v>
      </c>
      <c r="J62" s="85">
        <f t="shared" si="28"/>
        <v>33.717836619178087</v>
      </c>
      <c r="K62" s="86">
        <f t="shared" si="28"/>
        <v>33.717836619178087</v>
      </c>
      <c r="L62" s="84">
        <f t="shared" si="28"/>
        <v>33.717836619178087</v>
      </c>
      <c r="M62" s="85">
        <f t="shared" si="28"/>
        <v>33.717836619178087</v>
      </c>
      <c r="N62" s="85">
        <f t="shared" si="28"/>
        <v>33.717836619178087</v>
      </c>
      <c r="O62" s="85">
        <f t="shared" si="28"/>
        <v>33.717836619178087</v>
      </c>
      <c r="P62" s="85">
        <f t="shared" si="28"/>
        <v>33.717836619178087</v>
      </c>
      <c r="Q62" s="86">
        <f t="shared" si="28"/>
        <v>33.717836619178087</v>
      </c>
      <c r="R62" s="71"/>
    </row>
    <row r="63" spans="2:18" ht="15" x14ac:dyDescent="0.25">
      <c r="B63" s="207"/>
      <c r="C63" s="2" t="s">
        <v>93</v>
      </c>
      <c r="D63" s="2" t="s">
        <v>3</v>
      </c>
      <c r="E63" s="4"/>
      <c r="F63" s="166">
        <v>4.679E-3</v>
      </c>
      <c r="G63" s="85">
        <f>+F63</f>
        <v>4.679E-3</v>
      </c>
      <c r="H63" s="85">
        <f t="shared" si="28"/>
        <v>4.679E-3</v>
      </c>
      <c r="I63" s="85">
        <f t="shared" si="28"/>
        <v>4.679E-3</v>
      </c>
      <c r="J63" s="85">
        <f t="shared" si="28"/>
        <v>4.679E-3</v>
      </c>
      <c r="K63" s="86">
        <f t="shared" si="28"/>
        <v>4.679E-3</v>
      </c>
      <c r="L63" s="84">
        <f t="shared" si="28"/>
        <v>4.679E-3</v>
      </c>
      <c r="M63" s="85">
        <f t="shared" si="28"/>
        <v>4.679E-3</v>
      </c>
      <c r="N63" s="85">
        <f t="shared" si="28"/>
        <v>4.679E-3</v>
      </c>
      <c r="O63" s="85">
        <f t="shared" si="28"/>
        <v>4.679E-3</v>
      </c>
      <c r="P63" s="85">
        <f t="shared" si="28"/>
        <v>4.679E-3</v>
      </c>
      <c r="Q63" s="86">
        <f t="shared" si="28"/>
        <v>4.679E-3</v>
      </c>
      <c r="R63" s="71"/>
    </row>
    <row r="64" spans="2:18" ht="15" x14ac:dyDescent="0.25">
      <c r="B64" s="207"/>
      <c r="C64" s="45" t="s">
        <v>36</v>
      </c>
      <c r="D64" s="2" t="s">
        <v>4</v>
      </c>
      <c r="E64" s="4"/>
      <c r="F64" s="74">
        <f t="shared" ref="F64:Q64" si="29">ROUND(F62*F51,2)</f>
        <v>1045.25</v>
      </c>
      <c r="G64" s="75">
        <f t="shared" si="29"/>
        <v>1045.25</v>
      </c>
      <c r="H64" s="75">
        <f t="shared" si="29"/>
        <v>1011.54</v>
      </c>
      <c r="I64" s="75">
        <f t="shared" si="29"/>
        <v>1045.25</v>
      </c>
      <c r="J64" s="75">
        <f t="shared" si="29"/>
        <v>1011.54</v>
      </c>
      <c r="K64" s="76">
        <f t="shared" si="29"/>
        <v>1045.25</v>
      </c>
      <c r="L64" s="74">
        <f t="shared" si="29"/>
        <v>1045.25</v>
      </c>
      <c r="M64" s="75">
        <f t="shared" si="29"/>
        <v>944.1</v>
      </c>
      <c r="N64" s="75">
        <f t="shared" si="29"/>
        <v>1045.25</v>
      </c>
      <c r="O64" s="75">
        <f t="shared" si="29"/>
        <v>1011.54</v>
      </c>
      <c r="P64" s="75">
        <f t="shared" si="29"/>
        <v>1045.25</v>
      </c>
      <c r="Q64" s="76">
        <f t="shared" si="29"/>
        <v>1011.54</v>
      </c>
      <c r="R64" s="71"/>
    </row>
    <row r="65" spans="2:20" ht="15.6" thickBot="1" x14ac:dyDescent="0.3">
      <c r="B65" s="207"/>
      <c r="C65" s="45" t="s">
        <v>37</v>
      </c>
      <c r="D65" s="2" t="s">
        <v>4</v>
      </c>
      <c r="E65" s="4"/>
      <c r="F65" s="74">
        <f t="shared" ref="F65:Q65" si="30">ROUND(F63*F53,2)</f>
        <v>46.97</v>
      </c>
      <c r="G65" s="75">
        <f t="shared" si="30"/>
        <v>44.68</v>
      </c>
      <c r="H65" s="75">
        <f t="shared" si="30"/>
        <v>47.66</v>
      </c>
      <c r="I65" s="75">
        <f t="shared" si="30"/>
        <v>54.11</v>
      </c>
      <c r="J65" s="75">
        <f t="shared" si="30"/>
        <v>1368.36</v>
      </c>
      <c r="K65" s="76">
        <f t="shared" si="30"/>
        <v>2122.5</v>
      </c>
      <c r="L65" s="74">
        <f t="shared" si="30"/>
        <v>2291.67</v>
      </c>
      <c r="M65" s="75">
        <f t="shared" si="30"/>
        <v>2405.89</v>
      </c>
      <c r="N65" s="75">
        <f t="shared" si="30"/>
        <v>1799.65</v>
      </c>
      <c r="O65" s="75">
        <f t="shared" si="30"/>
        <v>1334.45</v>
      </c>
      <c r="P65" s="75">
        <f t="shared" si="30"/>
        <v>365.63</v>
      </c>
      <c r="Q65" s="76">
        <f t="shared" si="30"/>
        <v>58.24</v>
      </c>
      <c r="R65" s="39"/>
    </row>
    <row r="66" spans="2:20" ht="16.2" thickBot="1" x14ac:dyDescent="0.35">
      <c r="B66" s="207"/>
      <c r="C66" s="101" t="s">
        <v>42</v>
      </c>
      <c r="D66" s="58" t="s">
        <v>4</v>
      </c>
      <c r="E66" s="51"/>
      <c r="F66" s="26">
        <f t="shared" ref="F66:Q66" si="31">SUM(F64:F65)</f>
        <v>1092.22</v>
      </c>
      <c r="G66" s="27">
        <f t="shared" si="31"/>
        <v>1089.93</v>
      </c>
      <c r="H66" s="27">
        <f t="shared" si="31"/>
        <v>1059.2</v>
      </c>
      <c r="I66" s="27">
        <f t="shared" si="31"/>
        <v>1099.3599999999999</v>
      </c>
      <c r="J66" s="27">
        <f t="shared" si="31"/>
        <v>2379.8999999999996</v>
      </c>
      <c r="K66" s="28">
        <f t="shared" si="31"/>
        <v>3167.75</v>
      </c>
      <c r="L66" s="91">
        <f t="shared" si="31"/>
        <v>3336.92</v>
      </c>
      <c r="M66" s="27">
        <f t="shared" si="31"/>
        <v>3349.99</v>
      </c>
      <c r="N66" s="27">
        <f t="shared" si="31"/>
        <v>2844.9</v>
      </c>
      <c r="O66" s="27">
        <f t="shared" si="31"/>
        <v>2345.9899999999998</v>
      </c>
      <c r="P66" s="27">
        <f t="shared" si="31"/>
        <v>1410.88</v>
      </c>
      <c r="Q66" s="28">
        <f t="shared" si="31"/>
        <v>1069.78</v>
      </c>
      <c r="R66" s="54">
        <f>SUM(F66:Q66)</f>
        <v>24246.820000000003</v>
      </c>
    </row>
    <row r="67" spans="2:20" ht="15" x14ac:dyDescent="0.25">
      <c r="B67" s="5"/>
      <c r="C67" s="23"/>
      <c r="D67" s="23"/>
      <c r="E67" s="4"/>
      <c r="F67" s="55"/>
      <c r="G67" s="56"/>
      <c r="H67" s="56"/>
      <c r="I67" s="56"/>
      <c r="J67" s="56"/>
      <c r="K67" s="57"/>
      <c r="L67" s="55"/>
      <c r="M67" s="56"/>
      <c r="N67" s="56"/>
      <c r="O67" s="56"/>
      <c r="P67" s="56"/>
      <c r="Q67" s="57"/>
      <c r="R67" s="70"/>
    </row>
    <row r="68" spans="2:20" ht="15" x14ac:dyDescent="0.25">
      <c r="B68" s="208" t="s">
        <v>47</v>
      </c>
      <c r="C68" s="103" t="s">
        <v>96</v>
      </c>
      <c r="D68" s="2" t="s">
        <v>4</v>
      </c>
      <c r="E68" s="4"/>
      <c r="F68" s="74">
        <f t="shared" ref="F68:Q68" si="32">ROUND(F29*F51,2)</f>
        <v>8.5</v>
      </c>
      <c r="G68" s="75">
        <f t="shared" si="32"/>
        <v>8.5</v>
      </c>
      <c r="H68" s="75">
        <f t="shared" si="32"/>
        <v>8.23</v>
      </c>
      <c r="I68" s="75">
        <f t="shared" si="32"/>
        <v>8.5</v>
      </c>
      <c r="J68" s="75">
        <f t="shared" si="32"/>
        <v>8.23</v>
      </c>
      <c r="K68" s="76">
        <f t="shared" si="32"/>
        <v>8.5</v>
      </c>
      <c r="L68" s="74">
        <f t="shared" si="32"/>
        <v>8.5</v>
      </c>
      <c r="M68" s="75">
        <f t="shared" si="32"/>
        <v>7.68</v>
      </c>
      <c r="N68" s="75">
        <f t="shared" si="32"/>
        <v>8.5</v>
      </c>
      <c r="O68" s="75">
        <f t="shared" si="32"/>
        <v>8.23</v>
      </c>
      <c r="P68" s="75">
        <f t="shared" si="32"/>
        <v>8.5</v>
      </c>
      <c r="Q68" s="76">
        <f t="shared" si="32"/>
        <v>8.23</v>
      </c>
      <c r="R68" s="97">
        <f>SUM(F68:Q68)</f>
        <v>100.10000000000002</v>
      </c>
    </row>
    <row r="69" spans="2:20" ht="16.5" customHeight="1" thickBot="1" x14ac:dyDescent="0.3">
      <c r="B69" s="209"/>
      <c r="C69" s="103" t="s">
        <v>97</v>
      </c>
      <c r="D69" s="2" t="s">
        <v>4</v>
      </c>
      <c r="E69" s="4"/>
      <c r="F69" s="74">
        <f t="shared" ref="F69:Q69" si="33">ROUND(F53*F30,2)</f>
        <v>65.819999999999993</v>
      </c>
      <c r="G69" s="75">
        <f t="shared" si="33"/>
        <v>62.61</v>
      </c>
      <c r="H69" s="75">
        <f t="shared" si="33"/>
        <v>66.78</v>
      </c>
      <c r="I69" s="75">
        <f t="shared" si="33"/>
        <v>75.83</v>
      </c>
      <c r="J69" s="75">
        <f t="shared" si="33"/>
        <v>1917.58</v>
      </c>
      <c r="K69" s="76">
        <f t="shared" si="33"/>
        <v>2974.41</v>
      </c>
      <c r="L69" s="74">
        <f t="shared" si="33"/>
        <v>3211.47</v>
      </c>
      <c r="M69" s="75">
        <f t="shared" si="33"/>
        <v>3371.53</v>
      </c>
      <c r="N69" s="75">
        <f t="shared" si="33"/>
        <v>2521.9699999999998</v>
      </c>
      <c r="O69" s="75">
        <f t="shared" si="33"/>
        <v>1870.05</v>
      </c>
      <c r="P69" s="75">
        <f t="shared" si="33"/>
        <v>512.38</v>
      </c>
      <c r="Q69" s="76">
        <f t="shared" si="33"/>
        <v>81.62</v>
      </c>
      <c r="R69" s="97">
        <f>SUM(F69:Q69)</f>
        <v>16732.05</v>
      </c>
      <c r="T69" s="5"/>
    </row>
    <row r="70" spans="2:20" ht="16.2" thickBot="1" x14ac:dyDescent="0.35">
      <c r="B70" s="210"/>
      <c r="C70" s="122" t="s">
        <v>48</v>
      </c>
      <c r="D70" s="58" t="s">
        <v>4</v>
      </c>
      <c r="E70" s="4"/>
      <c r="F70" s="26">
        <f>+F69+F68</f>
        <v>74.319999999999993</v>
      </c>
      <c r="G70" s="27">
        <f t="shared" ref="G70:Q70" si="34">SUM(G68:G69)</f>
        <v>71.11</v>
      </c>
      <c r="H70" s="27">
        <f t="shared" si="34"/>
        <v>75.010000000000005</v>
      </c>
      <c r="I70" s="27">
        <f t="shared" si="34"/>
        <v>84.33</v>
      </c>
      <c r="J70" s="27">
        <f t="shared" si="34"/>
        <v>1925.81</v>
      </c>
      <c r="K70" s="28">
        <f t="shared" si="34"/>
        <v>2982.91</v>
      </c>
      <c r="L70" s="91">
        <f t="shared" si="34"/>
        <v>3219.97</v>
      </c>
      <c r="M70" s="27">
        <f t="shared" si="34"/>
        <v>3379.21</v>
      </c>
      <c r="N70" s="27">
        <f t="shared" si="34"/>
        <v>2530.4699999999998</v>
      </c>
      <c r="O70" s="27">
        <f t="shared" si="34"/>
        <v>1878.28</v>
      </c>
      <c r="P70" s="27">
        <f t="shared" si="34"/>
        <v>520.88</v>
      </c>
      <c r="Q70" s="28">
        <f t="shared" si="34"/>
        <v>89.850000000000009</v>
      </c>
      <c r="R70" s="54">
        <f>SUM(F70:Q70)</f>
        <v>16832.149999999998</v>
      </c>
    </row>
    <row r="71" spans="2:20" x14ac:dyDescent="0.25">
      <c r="B71" s="5"/>
      <c r="C71" s="5"/>
      <c r="D71" s="5"/>
      <c r="E71" s="5"/>
      <c r="F71" s="104"/>
      <c r="G71" s="105"/>
      <c r="H71" s="105"/>
      <c r="I71" s="105"/>
      <c r="J71" s="105"/>
      <c r="K71" s="106"/>
      <c r="L71" s="104"/>
      <c r="M71" s="105"/>
      <c r="N71" s="105"/>
      <c r="O71" s="105"/>
      <c r="P71" s="105"/>
      <c r="Q71" s="106"/>
      <c r="R71" s="107"/>
      <c r="S71" s="5"/>
    </row>
    <row r="72" spans="2:20" ht="15" x14ac:dyDescent="0.25">
      <c r="B72" s="2" t="s">
        <v>39</v>
      </c>
      <c r="C72" s="2" t="s">
        <v>49</v>
      </c>
      <c r="D72" s="2" t="s">
        <v>4</v>
      </c>
      <c r="E72" s="5"/>
      <c r="F72" s="74">
        <f t="shared" ref="F72:Q72" si="35">ROUND((F60+F66)*0.00966,2)</f>
        <v>11.71</v>
      </c>
      <c r="G72" s="75">
        <f t="shared" si="35"/>
        <v>11.69</v>
      </c>
      <c r="H72" s="75">
        <f t="shared" si="35"/>
        <v>11.35</v>
      </c>
      <c r="I72" s="75">
        <f t="shared" si="35"/>
        <v>11.78</v>
      </c>
      <c r="J72" s="75">
        <f t="shared" si="35"/>
        <v>24.11</v>
      </c>
      <c r="K72" s="76">
        <f t="shared" si="35"/>
        <v>31.76</v>
      </c>
      <c r="L72" s="74">
        <f t="shared" si="35"/>
        <v>33.39</v>
      </c>
      <c r="M72" s="75">
        <f t="shared" si="35"/>
        <v>33.409999999999997</v>
      </c>
      <c r="N72" s="75">
        <f t="shared" si="35"/>
        <v>28.64</v>
      </c>
      <c r="O72" s="75">
        <f t="shared" si="35"/>
        <v>23.78</v>
      </c>
      <c r="P72" s="75">
        <f t="shared" si="35"/>
        <v>14.79</v>
      </c>
      <c r="Q72" s="76">
        <f t="shared" si="35"/>
        <v>11.46</v>
      </c>
      <c r="R72" s="97">
        <f t="shared" ref="R72:R73" si="36">SUM(F72:Q72)</f>
        <v>247.87000000000003</v>
      </c>
      <c r="S72" s="5"/>
    </row>
    <row r="73" spans="2:20" ht="15" x14ac:dyDescent="0.25">
      <c r="B73" s="2" t="s">
        <v>57</v>
      </c>
      <c r="C73" s="2" t="s">
        <v>55</v>
      </c>
      <c r="D73" s="2" t="s">
        <v>4</v>
      </c>
      <c r="E73" s="5"/>
      <c r="F73" s="74">
        <f t="shared" ref="F73:Q73" si="37">ROUND((F60+F66+F70)*0.0014,2)</f>
        <v>1.8</v>
      </c>
      <c r="G73" s="75">
        <f t="shared" si="37"/>
        <v>1.79</v>
      </c>
      <c r="H73" s="75">
        <f t="shared" si="37"/>
        <v>1.75</v>
      </c>
      <c r="I73" s="75">
        <f t="shared" si="37"/>
        <v>1.83</v>
      </c>
      <c r="J73" s="75">
        <f t="shared" si="37"/>
        <v>6.19</v>
      </c>
      <c r="K73" s="76">
        <f t="shared" si="37"/>
        <v>8.7799999999999994</v>
      </c>
      <c r="L73" s="74">
        <f t="shared" si="37"/>
        <v>9.35</v>
      </c>
      <c r="M73" s="75">
        <f t="shared" si="37"/>
        <v>9.57</v>
      </c>
      <c r="N73" s="75">
        <f t="shared" si="37"/>
        <v>7.69</v>
      </c>
      <c r="O73" s="75">
        <f t="shared" si="37"/>
        <v>6.08</v>
      </c>
      <c r="P73" s="75">
        <f t="shared" si="37"/>
        <v>2.87</v>
      </c>
      <c r="Q73" s="76">
        <f t="shared" si="37"/>
        <v>1.79</v>
      </c>
      <c r="R73" s="97">
        <f t="shared" si="36"/>
        <v>59.489999999999995</v>
      </c>
      <c r="S73" s="5"/>
    </row>
    <row r="74" spans="2:20" ht="15.6" thickBot="1" x14ac:dyDescent="0.3">
      <c r="B74" s="2" t="s">
        <v>54</v>
      </c>
      <c r="C74" s="123" t="s">
        <v>56</v>
      </c>
      <c r="D74" s="60" t="s">
        <v>4</v>
      </c>
      <c r="E74" s="4"/>
      <c r="F74" s="78">
        <f t="shared" ref="F74:Q74" si="38">ROUND(F53*0.00054,2)</f>
        <v>5.42</v>
      </c>
      <c r="G74" s="79">
        <f t="shared" si="38"/>
        <v>5.16</v>
      </c>
      <c r="H74" s="79">
        <f t="shared" si="38"/>
        <v>5.5</v>
      </c>
      <c r="I74" s="79">
        <f t="shared" si="38"/>
        <v>6.24</v>
      </c>
      <c r="J74" s="79">
        <f t="shared" si="38"/>
        <v>157.91999999999999</v>
      </c>
      <c r="K74" s="80">
        <f t="shared" si="38"/>
        <v>244.96</v>
      </c>
      <c r="L74" s="78">
        <f t="shared" si="38"/>
        <v>264.48</v>
      </c>
      <c r="M74" s="79">
        <f t="shared" si="38"/>
        <v>277.66000000000003</v>
      </c>
      <c r="N74" s="79">
        <f t="shared" si="38"/>
        <v>207.7</v>
      </c>
      <c r="O74" s="79">
        <f t="shared" si="38"/>
        <v>154.01</v>
      </c>
      <c r="P74" s="79">
        <f t="shared" si="38"/>
        <v>42.2</v>
      </c>
      <c r="Q74" s="80">
        <f t="shared" si="38"/>
        <v>6.72</v>
      </c>
      <c r="R74" s="108">
        <f>SUM(F74:Q74)</f>
        <v>1377.9700000000003</v>
      </c>
    </row>
    <row r="75" spans="2:20" ht="16.2" thickBot="1" x14ac:dyDescent="0.35">
      <c r="B75" s="23"/>
      <c r="C75" s="22" t="s">
        <v>58</v>
      </c>
      <c r="D75" s="50" t="s">
        <v>4</v>
      </c>
      <c r="E75" s="61"/>
      <c r="F75" s="26">
        <f>SUM(F72:F74)</f>
        <v>18.93</v>
      </c>
      <c r="G75" s="27">
        <f t="shared" ref="G75:Q75" si="39">SUM(G72:G74)</f>
        <v>18.64</v>
      </c>
      <c r="H75" s="27">
        <f t="shared" si="39"/>
        <v>18.600000000000001</v>
      </c>
      <c r="I75" s="27">
        <f t="shared" si="39"/>
        <v>19.850000000000001</v>
      </c>
      <c r="J75" s="27">
        <f t="shared" si="39"/>
        <v>188.22</v>
      </c>
      <c r="K75" s="28">
        <f t="shared" si="39"/>
        <v>285.5</v>
      </c>
      <c r="L75" s="26">
        <f t="shared" si="39"/>
        <v>307.22000000000003</v>
      </c>
      <c r="M75" s="27">
        <f t="shared" si="39"/>
        <v>320.64000000000004</v>
      </c>
      <c r="N75" s="27">
        <f t="shared" si="39"/>
        <v>244.02999999999997</v>
      </c>
      <c r="O75" s="27">
        <f t="shared" si="39"/>
        <v>183.87</v>
      </c>
      <c r="P75" s="27">
        <f t="shared" si="39"/>
        <v>59.86</v>
      </c>
      <c r="Q75" s="49">
        <f t="shared" si="39"/>
        <v>19.97</v>
      </c>
      <c r="R75" s="54">
        <f>SUM(F75:Q75)</f>
        <v>1685.33</v>
      </c>
    </row>
    <row r="76" spans="2:20" ht="15.6" thickBot="1" x14ac:dyDescent="0.3">
      <c r="C76" s="23"/>
      <c r="D76" s="23"/>
      <c r="E76" s="4"/>
      <c r="F76" s="38"/>
      <c r="G76" s="6"/>
      <c r="H76" s="6"/>
      <c r="I76" s="6"/>
      <c r="J76" s="6"/>
      <c r="K76" s="39"/>
      <c r="L76" s="38"/>
      <c r="M76" s="6"/>
      <c r="N76" s="6"/>
      <c r="O76" s="6"/>
      <c r="P76" s="6"/>
      <c r="Q76" s="6"/>
      <c r="R76" s="71"/>
    </row>
    <row r="77" spans="2:20" ht="16.2" thickBot="1" x14ac:dyDescent="0.35">
      <c r="B77" s="102" t="s">
        <v>23</v>
      </c>
      <c r="C77" s="22" t="s">
        <v>63</v>
      </c>
      <c r="D77" s="59" t="s">
        <v>4</v>
      </c>
      <c r="E77" s="51"/>
      <c r="F77" s="52">
        <v>41.59</v>
      </c>
      <c r="G77" s="53">
        <v>41.59</v>
      </c>
      <c r="H77" s="53">
        <v>41.59</v>
      </c>
      <c r="I77" s="53">
        <v>41.59</v>
      </c>
      <c r="J77" s="53">
        <v>41.59</v>
      </c>
      <c r="K77" s="53">
        <v>41.59</v>
      </c>
      <c r="L77" s="52">
        <v>41.59</v>
      </c>
      <c r="M77" s="53">
        <v>41.59</v>
      </c>
      <c r="N77" s="53">
        <v>41.59</v>
      </c>
      <c r="O77" s="53">
        <v>41.59</v>
      </c>
      <c r="P77" s="53">
        <v>41.59</v>
      </c>
      <c r="Q77" s="44">
        <v>41.59</v>
      </c>
      <c r="R77" s="44">
        <f>SUM(F77:Q77)</f>
        <v>499.08000000000015</v>
      </c>
    </row>
    <row r="78" spans="2:20" ht="15.6" thickBot="1" x14ac:dyDescent="0.3">
      <c r="C78" s="23"/>
      <c r="D78" s="23"/>
      <c r="E78" s="4"/>
      <c r="F78" s="38"/>
      <c r="G78" s="6"/>
      <c r="H78" s="6"/>
      <c r="I78" s="6"/>
      <c r="J78" s="6"/>
      <c r="K78" s="6"/>
      <c r="L78" s="38"/>
      <c r="M78" s="6"/>
      <c r="N78" s="6"/>
      <c r="O78" s="6"/>
      <c r="P78" s="6"/>
      <c r="Q78" s="39"/>
      <c r="R78" s="39"/>
    </row>
    <row r="79" spans="2:20" ht="16.2" thickBot="1" x14ac:dyDescent="0.35">
      <c r="C79" s="24" t="s">
        <v>20</v>
      </c>
      <c r="D79" s="58" t="s">
        <v>3</v>
      </c>
      <c r="E79" s="4"/>
      <c r="F79" s="40">
        <f t="shared" ref="F79:R79" si="40">+F81/F53</f>
        <v>0.18820203227734608</v>
      </c>
      <c r="G79" s="41">
        <f t="shared" si="40"/>
        <v>0.19446811184417215</v>
      </c>
      <c r="H79" s="41">
        <f t="shared" si="40"/>
        <v>0.18267746686303388</v>
      </c>
      <c r="I79" s="41">
        <f t="shared" si="40"/>
        <v>0.17205517122103076</v>
      </c>
      <c r="J79" s="41">
        <f t="shared" si="40"/>
        <v>6.9906075610022975E-2</v>
      </c>
      <c r="K79" s="42">
        <f t="shared" si="40"/>
        <v>6.8544699012175317E-2</v>
      </c>
      <c r="L79" s="40">
        <f t="shared" si="40"/>
        <v>6.8344784780043202E-2</v>
      </c>
      <c r="M79" s="41">
        <f t="shared" si="40"/>
        <v>6.800240767968134E-2</v>
      </c>
      <c r="N79" s="41">
        <f t="shared" si="40"/>
        <v>6.9030471475890628E-2</v>
      </c>
      <c r="O79" s="41">
        <f t="shared" si="40"/>
        <v>7.0009558238282726E-2</v>
      </c>
      <c r="P79" s="41">
        <f t="shared" si="40"/>
        <v>8.155550721113855E-2</v>
      </c>
      <c r="Q79" s="43">
        <f t="shared" si="40"/>
        <v>0.16143653598971722</v>
      </c>
      <c r="R79" s="25">
        <f t="shared" si="40"/>
        <v>7.1508120786037993E-2</v>
      </c>
    </row>
    <row r="80" spans="2:20" ht="15.6" thickBot="1" x14ac:dyDescent="0.3">
      <c r="C80" s="23"/>
      <c r="D80" s="23"/>
      <c r="E80" s="4"/>
      <c r="F80" s="37"/>
      <c r="G80" s="23"/>
      <c r="H80" s="23"/>
      <c r="I80" s="23"/>
      <c r="J80" s="23"/>
      <c r="K80" s="23"/>
      <c r="L80" s="37"/>
      <c r="M80" s="23"/>
      <c r="N80" s="23"/>
      <c r="O80" s="23"/>
      <c r="P80" s="23"/>
      <c r="Q80" s="17"/>
      <c r="R80" s="17"/>
    </row>
    <row r="81" spans="2:18" ht="16.2" thickBot="1" x14ac:dyDescent="0.35">
      <c r="B81" s="4"/>
      <c r="C81" s="24" t="s">
        <v>50</v>
      </c>
      <c r="D81" s="59" t="s">
        <v>18</v>
      </c>
      <c r="E81" s="4"/>
      <c r="F81" s="26">
        <f t="shared" ref="F81:Q81" si="41">F56+F60+F66+F70+F75+F77</f>
        <v>1889.172</v>
      </c>
      <c r="G81" s="27">
        <f t="shared" si="41"/>
        <v>1856.9759999999999</v>
      </c>
      <c r="H81" s="27">
        <f t="shared" si="41"/>
        <v>1860.57</v>
      </c>
      <c r="I81" s="27">
        <f t="shared" si="41"/>
        <v>1989.6459999999997</v>
      </c>
      <c r="J81" s="27">
        <f t="shared" si="41"/>
        <v>20443.892</v>
      </c>
      <c r="K81" s="28">
        <f t="shared" si="41"/>
        <v>31093.452000000001</v>
      </c>
      <c r="L81" s="26">
        <f t="shared" si="41"/>
        <v>33473.771999999997</v>
      </c>
      <c r="M81" s="27">
        <f t="shared" si="41"/>
        <v>34966.02199999999</v>
      </c>
      <c r="N81" s="27">
        <f t="shared" si="41"/>
        <v>26550.638000000003</v>
      </c>
      <c r="O81" s="27">
        <f t="shared" si="41"/>
        <v>19966.655999999995</v>
      </c>
      <c r="P81" s="27">
        <f t="shared" si="41"/>
        <v>6372.9920000000002</v>
      </c>
      <c r="Q81" s="28">
        <f t="shared" si="41"/>
        <v>2009.5619999999999</v>
      </c>
      <c r="R81" s="44">
        <f>SUM(F81:Q81)</f>
        <v>182473.34999999998</v>
      </c>
    </row>
    <row r="82" spans="2:18" ht="13.8" thickBot="1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2:18" ht="21.6" thickBot="1" x14ac:dyDescent="0.45">
      <c r="B83" s="4"/>
      <c r="C83" s="177" t="s">
        <v>24</v>
      </c>
      <c r="D83" s="178"/>
      <c r="E83" s="178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80"/>
      <c r="R83" s="18" t="s">
        <v>88</v>
      </c>
    </row>
    <row r="84" spans="2:18" ht="15" x14ac:dyDescent="0.25">
      <c r="B84" s="4"/>
      <c r="C84" s="35" t="s">
        <v>27</v>
      </c>
      <c r="D84" s="35" t="s">
        <v>0</v>
      </c>
      <c r="E84" s="23"/>
      <c r="F84" s="62">
        <f t="shared" ref="F84:Q84" si="42">+F12+F53</f>
        <v>15071</v>
      </c>
      <c r="G84" s="63">
        <f t="shared" si="42"/>
        <v>14631</v>
      </c>
      <c r="H84" s="63">
        <f t="shared" si="42"/>
        <v>15345</v>
      </c>
      <c r="I84" s="63">
        <f t="shared" si="42"/>
        <v>16878</v>
      </c>
      <c r="J84" s="63">
        <f t="shared" si="42"/>
        <v>534379</v>
      </c>
      <c r="K84" s="64">
        <f t="shared" si="42"/>
        <v>822475</v>
      </c>
      <c r="L84" s="62">
        <f t="shared" si="42"/>
        <v>886001</v>
      </c>
      <c r="M84" s="63">
        <f t="shared" si="42"/>
        <v>879134</v>
      </c>
      <c r="N84" s="63">
        <f t="shared" si="42"/>
        <v>744326</v>
      </c>
      <c r="O84" s="63">
        <f t="shared" si="42"/>
        <v>438546</v>
      </c>
      <c r="P84" s="63">
        <f t="shared" si="42"/>
        <v>82849</v>
      </c>
      <c r="Q84" s="64">
        <f t="shared" si="42"/>
        <v>14732</v>
      </c>
      <c r="R84" s="68">
        <f>SUM(F84:Q84)</f>
        <v>4464367</v>
      </c>
    </row>
    <row r="85" spans="2:18" ht="15.6" thickBot="1" x14ac:dyDescent="0.3">
      <c r="B85" s="4"/>
      <c r="C85" s="45" t="s">
        <v>20</v>
      </c>
      <c r="D85" s="45" t="s">
        <v>5</v>
      </c>
      <c r="E85" s="5"/>
      <c r="F85" s="65">
        <f t="shared" ref="F85:R85" si="43">+F86/F84</f>
        <v>0.23638073120562669</v>
      </c>
      <c r="G85" s="66">
        <f t="shared" si="43"/>
        <v>0.2415093978538719</v>
      </c>
      <c r="H85" s="66">
        <f t="shared" si="43"/>
        <v>0.22834669273378949</v>
      </c>
      <c r="I85" s="66">
        <f t="shared" si="43"/>
        <v>0.21812252636568313</v>
      </c>
      <c r="J85" s="66">
        <f t="shared" si="43"/>
        <v>7.0503492839351839E-2</v>
      </c>
      <c r="K85" s="67">
        <f t="shared" si="43"/>
        <v>6.8961986686525423E-2</v>
      </c>
      <c r="L85" s="65">
        <f t="shared" si="43"/>
        <v>6.8737906616358216E-2</v>
      </c>
      <c r="M85" s="66">
        <f t="shared" si="43"/>
        <v>6.8499314097737074E-2</v>
      </c>
      <c r="N85" s="66">
        <f t="shared" si="43"/>
        <v>6.9290101380309166E-2</v>
      </c>
      <c r="O85" s="66">
        <f t="shared" si="43"/>
        <v>7.1523270078851453E-2</v>
      </c>
      <c r="P85" s="66">
        <f t="shared" si="43"/>
        <v>9.6860505256551072E-2</v>
      </c>
      <c r="Q85" s="67">
        <f t="shared" si="43"/>
        <v>0.23510982894379581</v>
      </c>
      <c r="R85" s="69">
        <f t="shared" si="43"/>
        <v>7.2625660031982134E-2</v>
      </c>
    </row>
    <row r="86" spans="2:18" ht="16.2" thickBot="1" x14ac:dyDescent="0.35">
      <c r="C86" s="47" t="s">
        <v>28</v>
      </c>
      <c r="D86" s="46" t="s">
        <v>4</v>
      </c>
      <c r="E86" s="5"/>
      <c r="F86" s="26">
        <f t="shared" ref="F86:Q86" si="44">F81+F46</f>
        <v>3562.4939999999997</v>
      </c>
      <c r="G86" s="27">
        <f t="shared" si="44"/>
        <v>3533.5239999999999</v>
      </c>
      <c r="H86" s="27">
        <f t="shared" si="44"/>
        <v>3503.9799999999996</v>
      </c>
      <c r="I86" s="27">
        <f t="shared" si="44"/>
        <v>3681.4719999999998</v>
      </c>
      <c r="J86" s="27">
        <f t="shared" si="44"/>
        <v>37675.585999999996</v>
      </c>
      <c r="K86" s="28">
        <f t="shared" si="44"/>
        <v>56719.51</v>
      </c>
      <c r="L86" s="26">
        <f t="shared" si="44"/>
        <v>60901.853999999992</v>
      </c>
      <c r="M86" s="27">
        <f t="shared" si="44"/>
        <v>60220.075999999986</v>
      </c>
      <c r="N86" s="27">
        <f t="shared" si="44"/>
        <v>51574.423999999999</v>
      </c>
      <c r="O86" s="27">
        <f t="shared" si="44"/>
        <v>31366.243999999992</v>
      </c>
      <c r="P86" s="27">
        <f t="shared" si="44"/>
        <v>8024.7960000000003</v>
      </c>
      <c r="Q86" s="28">
        <f t="shared" si="44"/>
        <v>3463.6379999999999</v>
      </c>
      <c r="R86" s="54">
        <f>ROUND(SUM(F86:Q86),2)</f>
        <v>324227.59999999998</v>
      </c>
    </row>
    <row r="87" spans="2:18" ht="16.2" thickBot="1" x14ac:dyDescent="0.35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09" t="s">
        <v>29</v>
      </c>
      <c r="R87" s="44">
        <f>ROUND(R86*0.21,2)</f>
        <v>68087.8</v>
      </c>
    </row>
    <row r="88" spans="2:18" ht="16.2" thickBot="1" x14ac:dyDescent="0.35">
      <c r="Q88" s="109" t="s">
        <v>51</v>
      </c>
      <c r="R88" s="44">
        <f>+R87+R86</f>
        <v>392315.39999999997</v>
      </c>
    </row>
  </sheetData>
  <mergeCells count="16">
    <mergeCell ref="B58:B60"/>
    <mergeCell ref="B62:B66"/>
    <mergeCell ref="B68:B70"/>
    <mergeCell ref="C83:Q83"/>
    <mergeCell ref="F5:Q5"/>
    <mergeCell ref="B29:B33"/>
    <mergeCell ref="B40:B42"/>
    <mergeCell ref="F48:Q48"/>
    <mergeCell ref="B9:C9"/>
    <mergeCell ref="B17:B21"/>
    <mergeCell ref="B23:B27"/>
    <mergeCell ref="F49:K49"/>
    <mergeCell ref="L49:Q49"/>
    <mergeCell ref="F7:Q7"/>
    <mergeCell ref="F8:K8"/>
    <mergeCell ref="L8:Q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23-EA47-4658-B47B-C80599BE0B2A}">
  <sheetPr>
    <pageSetUpPr fitToPage="1"/>
  </sheetPr>
  <dimension ref="B3:W88"/>
  <sheetViews>
    <sheetView zoomScale="55" zoomScaleNormal="55" workbookViewId="0">
      <selection activeCell="D48" sqref="D48:D49"/>
    </sheetView>
  </sheetViews>
  <sheetFormatPr baseColWidth="10" defaultRowHeight="13.2" x14ac:dyDescent="0.25"/>
  <cols>
    <col min="1" max="1" width="4.109375" customWidth="1"/>
    <col min="2" max="2" width="17.6640625" customWidth="1"/>
    <col min="3" max="3" width="87.44140625" bestFit="1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09375" bestFit="1" customWidth="1"/>
    <col min="11" max="11" width="16.33203125" bestFit="1" customWidth="1"/>
    <col min="12" max="12" width="15.88671875" bestFit="1" customWidth="1"/>
    <col min="13" max="13" width="15.33203125" bestFit="1" customWidth="1"/>
    <col min="14" max="14" width="16.109375" bestFit="1" customWidth="1"/>
    <col min="15" max="15" width="15.88671875" bestFit="1" customWidth="1"/>
    <col min="16" max="16" width="17" bestFit="1" customWidth="1"/>
    <col min="17" max="17" width="16.88671875" bestFit="1" customWidth="1"/>
    <col min="18" max="18" width="22.6640625" bestFit="1" customWidth="1"/>
    <col min="19" max="19" width="1.6640625" customWidth="1"/>
    <col min="23" max="23" width="17.5546875" bestFit="1" customWidth="1"/>
    <col min="24" max="24" width="32.109375" bestFit="1" customWidth="1"/>
    <col min="25" max="25" width="17.88671875" bestFit="1" customWidth="1"/>
    <col min="27" max="38" width="15.44140625" bestFit="1" customWidth="1"/>
    <col min="39" max="39" width="12.5546875" bestFit="1" customWidth="1"/>
  </cols>
  <sheetData>
    <row r="3" spans="2:23" ht="23.25" customHeight="1" x14ac:dyDescent="0.25"/>
    <row r="4" spans="2:23" ht="22.8" x14ac:dyDescent="0.4">
      <c r="E4" s="36" t="s">
        <v>99</v>
      </c>
    </row>
    <row r="5" spans="2:23" ht="25.2" thickBot="1" x14ac:dyDescent="0.45">
      <c r="E5" s="1"/>
      <c r="F5" s="211" t="s">
        <v>100</v>
      </c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2:23" ht="18" thickBot="1" x14ac:dyDescent="0.35">
      <c r="C6" s="129" t="s">
        <v>70</v>
      </c>
      <c r="D6" s="136">
        <v>30</v>
      </c>
    </row>
    <row r="7" spans="2:23" ht="18" thickBot="1" x14ac:dyDescent="0.35">
      <c r="C7" s="130" t="s">
        <v>116</v>
      </c>
      <c r="D7" s="163">
        <f>+'MODEL Oferta Formula Indexada'!D14</f>
        <v>10</v>
      </c>
      <c r="E7" s="4"/>
      <c r="F7" s="195" t="s">
        <v>32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3"/>
      <c r="V7" s="164"/>
      <c r="W7" s="164"/>
    </row>
    <row r="8" spans="2:23" ht="18" thickBot="1" x14ac:dyDescent="0.35">
      <c r="C8" s="131" t="s">
        <v>117</v>
      </c>
      <c r="D8" s="165">
        <f>+'MODEL Oferta Formula Indexada'!D15</f>
        <v>1</v>
      </c>
      <c r="E8" s="4"/>
      <c r="F8" s="181" t="s">
        <v>86</v>
      </c>
      <c r="G8" s="182"/>
      <c r="H8" s="182"/>
      <c r="I8" s="182"/>
      <c r="J8" s="182"/>
      <c r="K8" s="183"/>
      <c r="L8" s="181" t="s">
        <v>87</v>
      </c>
      <c r="M8" s="182"/>
      <c r="N8" s="182"/>
      <c r="O8" s="182"/>
      <c r="P8" s="182"/>
      <c r="Q8" s="183"/>
      <c r="R8" s="11"/>
    </row>
    <row r="9" spans="2:23" ht="16.2" thickBot="1" x14ac:dyDescent="0.35">
      <c r="B9" s="214" t="s">
        <v>1</v>
      </c>
      <c r="C9" s="215"/>
      <c r="D9" s="35" t="s">
        <v>2</v>
      </c>
      <c r="E9" s="4"/>
      <c r="F9" s="19" t="s">
        <v>12</v>
      </c>
      <c r="G9" s="20" t="s">
        <v>13</v>
      </c>
      <c r="H9" s="20" t="s">
        <v>14</v>
      </c>
      <c r="I9" s="20" t="s">
        <v>15</v>
      </c>
      <c r="J9" s="20" t="s">
        <v>16</v>
      </c>
      <c r="K9" s="21" t="s">
        <v>17</v>
      </c>
      <c r="L9" s="19" t="s">
        <v>6</v>
      </c>
      <c r="M9" s="20" t="s">
        <v>7</v>
      </c>
      <c r="N9" s="20" t="s">
        <v>8</v>
      </c>
      <c r="O9" s="20" t="s">
        <v>9</v>
      </c>
      <c r="P9" s="20" t="s">
        <v>10</v>
      </c>
      <c r="Q9" s="21" t="s">
        <v>11</v>
      </c>
      <c r="R9" s="18" t="s">
        <v>88</v>
      </c>
    </row>
    <row r="10" spans="2:23" ht="15.6" x14ac:dyDescent="0.3">
      <c r="B10" s="72"/>
      <c r="C10" s="72"/>
      <c r="D10" s="2" t="s">
        <v>31</v>
      </c>
      <c r="E10" s="4"/>
      <c r="F10" s="19">
        <v>31</v>
      </c>
      <c r="G10" s="20">
        <v>31</v>
      </c>
      <c r="H10" s="20">
        <v>30</v>
      </c>
      <c r="I10" s="20">
        <v>31</v>
      </c>
      <c r="J10" s="20">
        <v>30</v>
      </c>
      <c r="K10" s="21">
        <v>31</v>
      </c>
      <c r="L10" s="19">
        <v>31</v>
      </c>
      <c r="M10" s="132">
        <v>28</v>
      </c>
      <c r="N10" s="20">
        <v>31</v>
      </c>
      <c r="O10" s="20">
        <v>30</v>
      </c>
      <c r="P10" s="20">
        <v>31</v>
      </c>
      <c r="Q10" s="21">
        <v>30</v>
      </c>
      <c r="R10" s="73">
        <f>SUM(F10:Q10)</f>
        <v>365</v>
      </c>
    </row>
    <row r="11" spans="2:23" ht="6" customHeight="1" thickBot="1" x14ac:dyDescent="0.3">
      <c r="C11" s="6"/>
      <c r="D11" s="6"/>
      <c r="E11" s="4"/>
      <c r="F11" s="14"/>
      <c r="G11" s="15"/>
      <c r="H11" s="15"/>
      <c r="I11" s="15"/>
      <c r="J11" s="15"/>
      <c r="K11" s="16"/>
      <c r="L11" s="12"/>
      <c r="M11" s="10"/>
      <c r="N11" s="10"/>
      <c r="O11" s="10"/>
      <c r="P11" s="10"/>
      <c r="Q11" s="13"/>
      <c r="R11" s="17"/>
    </row>
    <row r="12" spans="2:23" ht="16.5" customHeight="1" thickBot="1" x14ac:dyDescent="0.35">
      <c r="C12" s="22" t="s">
        <v>25</v>
      </c>
      <c r="D12" s="58" t="s">
        <v>0</v>
      </c>
      <c r="E12" s="4"/>
      <c r="F12" s="111">
        <v>5033</v>
      </c>
      <c r="G12" s="111">
        <v>5082</v>
      </c>
      <c r="H12" s="111">
        <v>5160</v>
      </c>
      <c r="I12" s="111">
        <v>5314</v>
      </c>
      <c r="J12" s="111">
        <v>241931</v>
      </c>
      <c r="K12" s="112">
        <v>368852</v>
      </c>
      <c r="L12" s="87">
        <v>396223</v>
      </c>
      <c r="M12" s="88">
        <v>364946</v>
      </c>
      <c r="N12" s="88">
        <v>359704</v>
      </c>
      <c r="O12" s="88">
        <v>153347</v>
      </c>
      <c r="P12" s="88">
        <v>4706</v>
      </c>
      <c r="Q12" s="89">
        <v>2284</v>
      </c>
      <c r="R12" s="90">
        <f>SUM(F12:Q12)</f>
        <v>1912582</v>
      </c>
    </row>
    <row r="13" spans="2:23" ht="15.6" x14ac:dyDescent="0.3">
      <c r="C13" s="93"/>
      <c r="D13" s="92"/>
      <c r="E13" s="4"/>
      <c r="F13" s="117"/>
      <c r="G13" s="118"/>
      <c r="H13" s="118"/>
      <c r="I13" s="118"/>
      <c r="J13" s="118"/>
      <c r="K13" s="119"/>
      <c r="L13" s="110"/>
      <c r="M13" s="94"/>
      <c r="N13" s="94"/>
      <c r="O13" s="94"/>
      <c r="P13" s="94"/>
      <c r="Q13" s="95"/>
      <c r="R13" s="96"/>
    </row>
    <row r="14" spans="2:23" ht="15.6" thickBot="1" x14ac:dyDescent="0.3">
      <c r="B14" s="5"/>
      <c r="C14" s="45" t="s">
        <v>89</v>
      </c>
      <c r="D14" s="2" t="s">
        <v>3</v>
      </c>
      <c r="E14" s="4"/>
      <c r="F14" s="133">
        <f>ROUND((D6*D8)/1000+D7/1000,6)</f>
        <v>0.04</v>
      </c>
      <c r="G14" s="120">
        <f t="shared" ref="G14:Q14" si="0">+F14</f>
        <v>0.04</v>
      </c>
      <c r="H14" s="120">
        <f t="shared" si="0"/>
        <v>0.04</v>
      </c>
      <c r="I14" s="120">
        <f t="shared" si="0"/>
        <v>0.04</v>
      </c>
      <c r="J14" s="120">
        <f t="shared" si="0"/>
        <v>0.04</v>
      </c>
      <c r="K14" s="121">
        <f t="shared" si="0"/>
        <v>0.04</v>
      </c>
      <c r="L14" s="134">
        <f t="shared" si="0"/>
        <v>0.04</v>
      </c>
      <c r="M14" s="85">
        <f t="shared" si="0"/>
        <v>0.04</v>
      </c>
      <c r="N14" s="85">
        <f t="shared" si="0"/>
        <v>0.04</v>
      </c>
      <c r="O14" s="85">
        <f t="shared" si="0"/>
        <v>0.04</v>
      </c>
      <c r="P14" s="85">
        <f t="shared" si="0"/>
        <v>0.04</v>
      </c>
      <c r="Q14" s="86">
        <f t="shared" si="0"/>
        <v>0.04</v>
      </c>
      <c r="R14" s="71"/>
    </row>
    <row r="15" spans="2:23" ht="16.2" thickBot="1" x14ac:dyDescent="0.35">
      <c r="B15" s="47" t="s">
        <v>19</v>
      </c>
      <c r="C15" s="46" t="s">
        <v>64</v>
      </c>
      <c r="D15" s="58" t="s">
        <v>4</v>
      </c>
      <c r="E15" s="51"/>
      <c r="F15" s="113">
        <f>+F14*F12</f>
        <v>201.32</v>
      </c>
      <c r="G15" s="114">
        <f t="shared" ref="G15:Q15" si="1">+G14*G12</f>
        <v>203.28</v>
      </c>
      <c r="H15" s="114">
        <f t="shared" si="1"/>
        <v>206.4</v>
      </c>
      <c r="I15" s="114">
        <f t="shared" si="1"/>
        <v>212.56</v>
      </c>
      <c r="J15" s="115">
        <f t="shared" si="1"/>
        <v>9677.24</v>
      </c>
      <c r="K15" s="116">
        <f t="shared" si="1"/>
        <v>14754.08</v>
      </c>
      <c r="L15" s="91">
        <f t="shared" si="1"/>
        <v>15848.92</v>
      </c>
      <c r="M15" s="27">
        <f t="shared" si="1"/>
        <v>14597.84</v>
      </c>
      <c r="N15" s="27">
        <f t="shared" si="1"/>
        <v>14388.16</v>
      </c>
      <c r="O15" s="27">
        <f t="shared" si="1"/>
        <v>6133.88</v>
      </c>
      <c r="P15" s="27">
        <f t="shared" si="1"/>
        <v>188.24</v>
      </c>
      <c r="Q15" s="28">
        <f t="shared" si="1"/>
        <v>91.36</v>
      </c>
      <c r="R15" s="54">
        <f>SUM(F15:Q15)</f>
        <v>76503.280000000013</v>
      </c>
    </row>
    <row r="16" spans="2:23" ht="15" x14ac:dyDescent="0.25">
      <c r="B16" s="5"/>
      <c r="C16" s="23"/>
      <c r="D16" s="23"/>
      <c r="E16" s="4"/>
      <c r="F16" s="55"/>
      <c r="G16" s="56"/>
      <c r="H16" s="56"/>
      <c r="I16" s="56"/>
      <c r="J16" s="56"/>
      <c r="K16" s="57"/>
      <c r="L16" s="55"/>
      <c r="M16" s="56"/>
      <c r="N16" s="56"/>
      <c r="O16" s="56"/>
      <c r="P16" s="56"/>
      <c r="Q16" s="57"/>
      <c r="R16" s="70"/>
    </row>
    <row r="17" spans="2:18" ht="15" x14ac:dyDescent="0.25">
      <c r="B17" s="207" t="s">
        <v>41</v>
      </c>
      <c r="C17" s="45" t="s">
        <v>90</v>
      </c>
      <c r="D17" s="2" t="s">
        <v>38</v>
      </c>
      <c r="E17" s="4"/>
      <c r="F17" s="166">
        <f>1413.569881/R$10</f>
        <v>3.8727941945205475</v>
      </c>
      <c r="G17" s="85">
        <f>+F17</f>
        <v>3.8727941945205475</v>
      </c>
      <c r="H17" s="85">
        <f t="shared" ref="H17:Q18" si="2">+G17</f>
        <v>3.8727941945205475</v>
      </c>
      <c r="I17" s="85">
        <f t="shared" si="2"/>
        <v>3.8727941945205475</v>
      </c>
      <c r="J17" s="85">
        <f t="shared" si="2"/>
        <v>3.8727941945205475</v>
      </c>
      <c r="K17" s="86">
        <f t="shared" si="2"/>
        <v>3.8727941945205475</v>
      </c>
      <c r="L17" s="84">
        <f t="shared" si="2"/>
        <v>3.8727941945205475</v>
      </c>
      <c r="M17" s="85">
        <f t="shared" si="2"/>
        <v>3.8727941945205475</v>
      </c>
      <c r="N17" s="85">
        <f t="shared" si="2"/>
        <v>3.8727941945205475</v>
      </c>
      <c r="O17" s="85">
        <f t="shared" si="2"/>
        <v>3.8727941945205475</v>
      </c>
      <c r="P17" s="85">
        <f t="shared" si="2"/>
        <v>3.8727941945205475</v>
      </c>
      <c r="Q17" s="86">
        <f t="shared" si="2"/>
        <v>3.8727941945205475</v>
      </c>
      <c r="R17" s="71"/>
    </row>
    <row r="18" spans="2:18" ht="15" x14ac:dyDescent="0.25">
      <c r="B18" s="207"/>
      <c r="C18" s="45" t="s">
        <v>91</v>
      </c>
      <c r="D18" s="2" t="s">
        <v>44</v>
      </c>
      <c r="E18" s="4"/>
      <c r="F18" s="166">
        <v>0</v>
      </c>
      <c r="G18" s="85">
        <f>+F18</f>
        <v>0</v>
      </c>
      <c r="H18" s="85">
        <f t="shared" si="2"/>
        <v>0</v>
      </c>
      <c r="I18" s="85">
        <f t="shared" si="2"/>
        <v>0</v>
      </c>
      <c r="J18" s="85">
        <f t="shared" si="2"/>
        <v>0</v>
      </c>
      <c r="K18" s="86">
        <f t="shared" si="2"/>
        <v>0</v>
      </c>
      <c r="L18" s="84">
        <f t="shared" si="2"/>
        <v>0</v>
      </c>
      <c r="M18" s="85">
        <f t="shared" si="2"/>
        <v>0</v>
      </c>
      <c r="N18" s="85">
        <f t="shared" si="2"/>
        <v>0</v>
      </c>
      <c r="O18" s="85">
        <f t="shared" si="2"/>
        <v>0</v>
      </c>
      <c r="P18" s="85">
        <f t="shared" si="2"/>
        <v>0</v>
      </c>
      <c r="Q18" s="86">
        <f t="shared" si="2"/>
        <v>0</v>
      </c>
      <c r="R18" s="71"/>
    </row>
    <row r="19" spans="2:18" ht="15" x14ac:dyDescent="0.25">
      <c r="B19" s="207"/>
      <c r="C19" s="45" t="s">
        <v>45</v>
      </c>
      <c r="D19" s="2" t="s">
        <v>4</v>
      </c>
      <c r="E19" s="4"/>
      <c r="F19" s="74">
        <f>ROUND(F17*F10,2)</f>
        <v>120.06</v>
      </c>
      <c r="G19" s="75">
        <f t="shared" ref="G19:Q19" si="3">ROUND(G17*G10,2)</f>
        <v>120.06</v>
      </c>
      <c r="H19" s="75">
        <f t="shared" si="3"/>
        <v>116.18</v>
      </c>
      <c r="I19" s="75">
        <f t="shared" si="3"/>
        <v>120.06</v>
      </c>
      <c r="J19" s="75">
        <f t="shared" si="3"/>
        <v>116.18</v>
      </c>
      <c r="K19" s="76">
        <f t="shared" si="3"/>
        <v>120.06</v>
      </c>
      <c r="L19" s="74">
        <f t="shared" si="3"/>
        <v>120.06</v>
      </c>
      <c r="M19" s="75">
        <f t="shared" si="3"/>
        <v>108.44</v>
      </c>
      <c r="N19" s="75">
        <f t="shared" si="3"/>
        <v>120.06</v>
      </c>
      <c r="O19" s="75">
        <f t="shared" si="3"/>
        <v>116.18</v>
      </c>
      <c r="P19" s="75">
        <f t="shared" si="3"/>
        <v>120.06</v>
      </c>
      <c r="Q19" s="76">
        <f t="shared" si="3"/>
        <v>116.18</v>
      </c>
      <c r="R19" s="97">
        <f>SUM(F19:Q19)</f>
        <v>1413.58</v>
      </c>
    </row>
    <row r="20" spans="2:18" ht="15.6" thickBot="1" x14ac:dyDescent="0.3">
      <c r="B20" s="207"/>
      <c r="C20" s="45" t="s">
        <v>46</v>
      </c>
      <c r="D20" s="45" t="s">
        <v>4</v>
      </c>
      <c r="E20" s="4"/>
      <c r="F20" s="74">
        <f t="shared" ref="F20:Q20" si="4">ROUND(F12*F18,2)</f>
        <v>0</v>
      </c>
      <c r="G20" s="75">
        <f t="shared" si="4"/>
        <v>0</v>
      </c>
      <c r="H20" s="75">
        <f t="shared" si="4"/>
        <v>0</v>
      </c>
      <c r="I20" s="75">
        <f t="shared" si="4"/>
        <v>0</v>
      </c>
      <c r="J20" s="75">
        <f t="shared" si="4"/>
        <v>0</v>
      </c>
      <c r="K20" s="76">
        <f t="shared" si="4"/>
        <v>0</v>
      </c>
      <c r="L20" s="74">
        <f t="shared" si="4"/>
        <v>0</v>
      </c>
      <c r="M20" s="75">
        <f t="shared" si="4"/>
        <v>0</v>
      </c>
      <c r="N20" s="75">
        <f t="shared" si="4"/>
        <v>0</v>
      </c>
      <c r="O20" s="75">
        <f t="shared" si="4"/>
        <v>0</v>
      </c>
      <c r="P20" s="75">
        <f t="shared" si="4"/>
        <v>0</v>
      </c>
      <c r="Q20" s="76">
        <f t="shared" si="4"/>
        <v>0</v>
      </c>
      <c r="R20" s="97">
        <f>SUM(F20:Q20)</f>
        <v>0</v>
      </c>
    </row>
    <row r="21" spans="2:18" ht="16.2" thickBot="1" x14ac:dyDescent="0.35">
      <c r="B21" s="216"/>
      <c r="C21" s="101" t="s">
        <v>43</v>
      </c>
      <c r="D21" s="58" t="s">
        <v>4</v>
      </c>
      <c r="E21" s="51"/>
      <c r="F21" s="26">
        <f>+F20+F19</f>
        <v>120.06</v>
      </c>
      <c r="G21" s="27">
        <f t="shared" ref="G21:Q21" si="5">SUM(G19:G20)</f>
        <v>120.06</v>
      </c>
      <c r="H21" s="27">
        <f t="shared" si="5"/>
        <v>116.18</v>
      </c>
      <c r="I21" s="27">
        <f t="shared" si="5"/>
        <v>120.06</v>
      </c>
      <c r="J21" s="27">
        <f t="shared" si="5"/>
        <v>116.18</v>
      </c>
      <c r="K21" s="28">
        <f t="shared" si="5"/>
        <v>120.06</v>
      </c>
      <c r="L21" s="91">
        <f t="shared" si="5"/>
        <v>120.06</v>
      </c>
      <c r="M21" s="27">
        <f t="shared" si="5"/>
        <v>108.44</v>
      </c>
      <c r="N21" s="27">
        <f t="shared" si="5"/>
        <v>120.06</v>
      </c>
      <c r="O21" s="27">
        <f t="shared" si="5"/>
        <v>116.18</v>
      </c>
      <c r="P21" s="27">
        <f t="shared" si="5"/>
        <v>120.06</v>
      </c>
      <c r="Q21" s="28">
        <f t="shared" si="5"/>
        <v>116.18</v>
      </c>
      <c r="R21" s="54">
        <f>SUM(F21:Q21)</f>
        <v>1413.58</v>
      </c>
    </row>
    <row r="22" spans="2:18" ht="15" x14ac:dyDescent="0.25">
      <c r="B22" s="5"/>
      <c r="C22" s="23"/>
      <c r="D22" s="23"/>
      <c r="E22" s="4"/>
      <c r="F22" s="55"/>
      <c r="G22" s="56"/>
      <c r="H22" s="56"/>
      <c r="I22" s="56"/>
      <c r="J22" s="56"/>
      <c r="K22" s="57"/>
      <c r="L22" s="55"/>
      <c r="M22" s="56"/>
      <c r="N22" s="56"/>
      <c r="O22" s="56"/>
      <c r="P22" s="56"/>
      <c r="Q22" s="57"/>
      <c r="R22" s="70"/>
    </row>
    <row r="23" spans="2:18" ht="15" x14ac:dyDescent="0.25">
      <c r="B23" s="207" t="s">
        <v>40</v>
      </c>
      <c r="C23" s="45" t="s">
        <v>92</v>
      </c>
      <c r="D23" s="2" t="s">
        <v>38</v>
      </c>
      <c r="E23" s="4"/>
      <c r="F23" s="166">
        <f>12307.010366/$R10</f>
        <v>33.717836619178087</v>
      </c>
      <c r="G23" s="85">
        <f>+F23</f>
        <v>33.717836619178087</v>
      </c>
      <c r="H23" s="85">
        <f t="shared" ref="H23:Q24" si="6">+G23</f>
        <v>33.717836619178087</v>
      </c>
      <c r="I23" s="85">
        <f t="shared" si="6"/>
        <v>33.717836619178087</v>
      </c>
      <c r="J23" s="85">
        <f t="shared" si="6"/>
        <v>33.717836619178087</v>
      </c>
      <c r="K23" s="86">
        <f t="shared" si="6"/>
        <v>33.717836619178087</v>
      </c>
      <c r="L23" s="84">
        <f t="shared" si="6"/>
        <v>33.717836619178087</v>
      </c>
      <c r="M23" s="85">
        <f t="shared" si="6"/>
        <v>33.717836619178087</v>
      </c>
      <c r="N23" s="85">
        <f t="shared" si="6"/>
        <v>33.717836619178087</v>
      </c>
      <c r="O23" s="85">
        <f t="shared" si="6"/>
        <v>33.717836619178087</v>
      </c>
      <c r="P23" s="85">
        <f t="shared" si="6"/>
        <v>33.717836619178087</v>
      </c>
      <c r="Q23" s="86">
        <f t="shared" si="6"/>
        <v>33.717836619178087</v>
      </c>
      <c r="R23" s="71"/>
    </row>
    <row r="24" spans="2:18" ht="15" x14ac:dyDescent="0.25">
      <c r="B24" s="207"/>
      <c r="C24" s="2" t="s">
        <v>93</v>
      </c>
      <c r="D24" s="2" t="s">
        <v>3</v>
      </c>
      <c r="E24" s="4"/>
      <c r="F24" s="166">
        <v>4.679E-3</v>
      </c>
      <c r="G24" s="85">
        <f>+F24</f>
        <v>4.679E-3</v>
      </c>
      <c r="H24" s="85">
        <f t="shared" si="6"/>
        <v>4.679E-3</v>
      </c>
      <c r="I24" s="85">
        <f t="shared" si="6"/>
        <v>4.679E-3</v>
      </c>
      <c r="J24" s="85">
        <f t="shared" si="6"/>
        <v>4.679E-3</v>
      </c>
      <c r="K24" s="86">
        <f t="shared" si="6"/>
        <v>4.679E-3</v>
      </c>
      <c r="L24" s="84">
        <f t="shared" si="6"/>
        <v>4.679E-3</v>
      </c>
      <c r="M24" s="85">
        <f t="shared" si="6"/>
        <v>4.679E-3</v>
      </c>
      <c r="N24" s="85">
        <f t="shared" si="6"/>
        <v>4.679E-3</v>
      </c>
      <c r="O24" s="85">
        <f t="shared" si="6"/>
        <v>4.679E-3</v>
      </c>
      <c r="P24" s="85">
        <f t="shared" si="6"/>
        <v>4.679E-3</v>
      </c>
      <c r="Q24" s="86">
        <f t="shared" si="6"/>
        <v>4.679E-3</v>
      </c>
      <c r="R24" s="71"/>
    </row>
    <row r="25" spans="2:18" ht="15" x14ac:dyDescent="0.25">
      <c r="B25" s="207"/>
      <c r="C25" s="45" t="s">
        <v>34</v>
      </c>
      <c r="D25" s="2" t="s">
        <v>4</v>
      </c>
      <c r="E25" s="4"/>
      <c r="F25" s="74">
        <f t="shared" ref="F25:Q25" si="7">ROUND(F23*F10,2)</f>
        <v>1045.25</v>
      </c>
      <c r="G25" s="75">
        <f t="shared" si="7"/>
        <v>1045.25</v>
      </c>
      <c r="H25" s="75">
        <f t="shared" si="7"/>
        <v>1011.54</v>
      </c>
      <c r="I25" s="75">
        <f t="shared" si="7"/>
        <v>1045.25</v>
      </c>
      <c r="J25" s="75">
        <f t="shared" si="7"/>
        <v>1011.54</v>
      </c>
      <c r="K25" s="76">
        <f t="shared" si="7"/>
        <v>1045.25</v>
      </c>
      <c r="L25" s="74">
        <f t="shared" si="7"/>
        <v>1045.25</v>
      </c>
      <c r="M25" s="75">
        <f t="shared" si="7"/>
        <v>944.1</v>
      </c>
      <c r="N25" s="75">
        <f t="shared" si="7"/>
        <v>1045.25</v>
      </c>
      <c r="O25" s="75">
        <f t="shared" si="7"/>
        <v>1011.54</v>
      </c>
      <c r="P25" s="75">
        <f t="shared" si="7"/>
        <v>1045.25</v>
      </c>
      <c r="Q25" s="76">
        <f t="shared" si="7"/>
        <v>1011.54</v>
      </c>
      <c r="R25" s="97">
        <f>SUM(F25:Q25)</f>
        <v>12307.010000000002</v>
      </c>
    </row>
    <row r="26" spans="2:18" ht="15.6" thickBot="1" x14ac:dyDescent="0.3">
      <c r="B26" s="207"/>
      <c r="C26" s="2" t="s">
        <v>35</v>
      </c>
      <c r="D26" s="2" t="s">
        <v>4</v>
      </c>
      <c r="E26" s="4"/>
      <c r="F26" s="74">
        <f t="shared" ref="F26:Q26" si="8">ROUND(F24*F12,2)</f>
        <v>23.55</v>
      </c>
      <c r="G26" s="75">
        <f t="shared" si="8"/>
        <v>23.78</v>
      </c>
      <c r="H26" s="75">
        <f t="shared" si="8"/>
        <v>24.14</v>
      </c>
      <c r="I26" s="75">
        <f t="shared" si="8"/>
        <v>24.86</v>
      </c>
      <c r="J26" s="75">
        <f t="shared" si="8"/>
        <v>1132</v>
      </c>
      <c r="K26" s="76">
        <f t="shared" si="8"/>
        <v>1725.86</v>
      </c>
      <c r="L26" s="74">
        <f t="shared" si="8"/>
        <v>1853.93</v>
      </c>
      <c r="M26" s="75">
        <f t="shared" si="8"/>
        <v>1707.58</v>
      </c>
      <c r="N26" s="75">
        <f t="shared" si="8"/>
        <v>1683.06</v>
      </c>
      <c r="O26" s="75">
        <f t="shared" si="8"/>
        <v>717.51</v>
      </c>
      <c r="P26" s="75">
        <f t="shared" si="8"/>
        <v>22.02</v>
      </c>
      <c r="Q26" s="76">
        <f t="shared" si="8"/>
        <v>10.69</v>
      </c>
      <c r="R26" s="97">
        <f>SUM(F26:Q26)</f>
        <v>8948.9800000000014</v>
      </c>
    </row>
    <row r="27" spans="2:18" ht="16.2" thickBot="1" x14ac:dyDescent="0.35">
      <c r="B27" s="207"/>
      <c r="C27" s="101" t="s">
        <v>42</v>
      </c>
      <c r="D27" s="58" t="s">
        <v>4</v>
      </c>
      <c r="E27" s="51"/>
      <c r="F27" s="26">
        <f t="shared" ref="F27:Q27" si="9">SUM(F25:F26)</f>
        <v>1068.8</v>
      </c>
      <c r="G27" s="27">
        <f t="shared" si="9"/>
        <v>1069.03</v>
      </c>
      <c r="H27" s="27">
        <f t="shared" si="9"/>
        <v>1035.68</v>
      </c>
      <c r="I27" s="27">
        <f t="shared" si="9"/>
        <v>1070.1099999999999</v>
      </c>
      <c r="J27" s="27">
        <f t="shared" si="9"/>
        <v>2143.54</v>
      </c>
      <c r="K27" s="28">
        <f t="shared" si="9"/>
        <v>2771.1099999999997</v>
      </c>
      <c r="L27" s="91">
        <f t="shared" si="9"/>
        <v>2899.1800000000003</v>
      </c>
      <c r="M27" s="27">
        <f t="shared" si="9"/>
        <v>2651.68</v>
      </c>
      <c r="N27" s="27">
        <f t="shared" si="9"/>
        <v>2728.31</v>
      </c>
      <c r="O27" s="27">
        <f t="shared" si="9"/>
        <v>1729.05</v>
      </c>
      <c r="P27" s="27">
        <f t="shared" si="9"/>
        <v>1067.27</v>
      </c>
      <c r="Q27" s="28">
        <f t="shared" si="9"/>
        <v>1022.23</v>
      </c>
      <c r="R27" s="54">
        <f>SUM(F27:Q27)</f>
        <v>21255.99</v>
      </c>
    </row>
    <row r="28" spans="2:18" ht="15" x14ac:dyDescent="0.25">
      <c r="B28" s="5"/>
      <c r="C28" s="23"/>
      <c r="D28" s="23"/>
      <c r="E28" s="4"/>
      <c r="F28" s="55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7"/>
      <c r="R28" s="70"/>
    </row>
    <row r="29" spans="2:18" ht="15" x14ac:dyDescent="0.25">
      <c r="B29" s="208" t="s">
        <v>47</v>
      </c>
      <c r="C29" s="103" t="s">
        <v>94</v>
      </c>
      <c r="D29" s="2" t="s">
        <v>38</v>
      </c>
      <c r="E29" s="4"/>
      <c r="F29" s="166">
        <f>100.13/R$10</f>
        <v>0.27432876712328763</v>
      </c>
      <c r="G29" s="85">
        <f>+F29</f>
        <v>0.27432876712328763</v>
      </c>
      <c r="H29" s="85">
        <f t="shared" ref="H29:Q30" si="10">+G29</f>
        <v>0.27432876712328763</v>
      </c>
      <c r="I29" s="85">
        <f t="shared" si="10"/>
        <v>0.27432876712328763</v>
      </c>
      <c r="J29" s="85">
        <f t="shared" si="10"/>
        <v>0.27432876712328763</v>
      </c>
      <c r="K29" s="86">
        <f t="shared" si="10"/>
        <v>0.27432876712328763</v>
      </c>
      <c r="L29" s="84">
        <f t="shared" si="10"/>
        <v>0.27432876712328763</v>
      </c>
      <c r="M29" s="85">
        <f t="shared" si="10"/>
        <v>0.27432876712328763</v>
      </c>
      <c r="N29" s="85">
        <f t="shared" si="10"/>
        <v>0.27432876712328763</v>
      </c>
      <c r="O29" s="85">
        <f t="shared" si="10"/>
        <v>0.27432876712328763</v>
      </c>
      <c r="P29" s="85">
        <f t="shared" si="10"/>
        <v>0.27432876712328763</v>
      </c>
      <c r="Q29" s="86">
        <f t="shared" si="10"/>
        <v>0.27432876712328763</v>
      </c>
      <c r="R29" s="71"/>
    </row>
    <row r="30" spans="2:18" ht="15" x14ac:dyDescent="0.25">
      <c r="B30" s="209"/>
      <c r="C30" s="103" t="s">
        <v>95</v>
      </c>
      <c r="D30" s="2" t="s">
        <v>3</v>
      </c>
      <c r="E30" s="4"/>
      <c r="F30" s="167">
        <v>6.5570000000000003E-3</v>
      </c>
      <c r="G30" s="99">
        <f>+F30</f>
        <v>6.5570000000000003E-3</v>
      </c>
      <c r="H30" s="99">
        <f t="shared" si="10"/>
        <v>6.5570000000000003E-3</v>
      </c>
      <c r="I30" s="99">
        <f t="shared" si="10"/>
        <v>6.5570000000000003E-3</v>
      </c>
      <c r="J30" s="99">
        <f t="shared" si="10"/>
        <v>6.5570000000000003E-3</v>
      </c>
      <c r="K30" s="100">
        <f t="shared" si="10"/>
        <v>6.5570000000000003E-3</v>
      </c>
      <c r="L30" s="98">
        <f t="shared" si="10"/>
        <v>6.5570000000000003E-3</v>
      </c>
      <c r="M30" s="99">
        <f t="shared" si="10"/>
        <v>6.5570000000000003E-3</v>
      </c>
      <c r="N30" s="99">
        <f t="shared" si="10"/>
        <v>6.5570000000000003E-3</v>
      </c>
      <c r="O30" s="99">
        <f t="shared" si="10"/>
        <v>6.5570000000000003E-3</v>
      </c>
      <c r="P30" s="99">
        <f t="shared" si="10"/>
        <v>6.5570000000000003E-3</v>
      </c>
      <c r="Q30" s="100">
        <f t="shared" si="10"/>
        <v>6.5570000000000003E-3</v>
      </c>
      <c r="R30" s="71"/>
    </row>
    <row r="31" spans="2:18" ht="15" x14ac:dyDescent="0.25">
      <c r="B31" s="209"/>
      <c r="C31" s="103" t="s">
        <v>52</v>
      </c>
      <c r="D31" s="2" t="s">
        <v>4</v>
      </c>
      <c r="E31" s="4"/>
      <c r="F31" s="74">
        <f t="shared" ref="F31:Q31" si="11">ROUND(F29*F10,2)</f>
        <v>8.5</v>
      </c>
      <c r="G31" s="75">
        <f t="shared" si="11"/>
        <v>8.5</v>
      </c>
      <c r="H31" s="75">
        <f t="shared" si="11"/>
        <v>8.23</v>
      </c>
      <c r="I31" s="75">
        <f t="shared" si="11"/>
        <v>8.5</v>
      </c>
      <c r="J31" s="75">
        <f t="shared" si="11"/>
        <v>8.23</v>
      </c>
      <c r="K31" s="76">
        <f t="shared" si="11"/>
        <v>8.5</v>
      </c>
      <c r="L31" s="74">
        <f t="shared" si="11"/>
        <v>8.5</v>
      </c>
      <c r="M31" s="75">
        <f t="shared" si="11"/>
        <v>7.68</v>
      </c>
      <c r="N31" s="75">
        <f t="shared" si="11"/>
        <v>8.5</v>
      </c>
      <c r="O31" s="75">
        <f t="shared" si="11"/>
        <v>8.23</v>
      </c>
      <c r="P31" s="75">
        <f t="shared" si="11"/>
        <v>8.5</v>
      </c>
      <c r="Q31" s="76">
        <f t="shared" si="11"/>
        <v>8.23</v>
      </c>
      <c r="R31" s="97">
        <f>SUM(F31:Q31)</f>
        <v>100.10000000000002</v>
      </c>
    </row>
    <row r="32" spans="2:18" ht="16.5" customHeight="1" thickBot="1" x14ac:dyDescent="0.3">
      <c r="B32" s="209"/>
      <c r="C32" s="103" t="s">
        <v>53</v>
      </c>
      <c r="D32" s="2" t="s">
        <v>4</v>
      </c>
      <c r="E32" s="4"/>
      <c r="F32" s="74">
        <f t="shared" ref="F32:Q32" si="12">ROUND(F12*F30,2)</f>
        <v>33</v>
      </c>
      <c r="G32" s="75">
        <f t="shared" si="12"/>
        <v>33.32</v>
      </c>
      <c r="H32" s="75">
        <f t="shared" si="12"/>
        <v>33.83</v>
      </c>
      <c r="I32" s="75">
        <f t="shared" si="12"/>
        <v>34.840000000000003</v>
      </c>
      <c r="J32" s="75">
        <f t="shared" si="12"/>
        <v>1586.34</v>
      </c>
      <c r="K32" s="76">
        <f t="shared" si="12"/>
        <v>2418.56</v>
      </c>
      <c r="L32" s="74">
        <f t="shared" si="12"/>
        <v>2598.0300000000002</v>
      </c>
      <c r="M32" s="75">
        <f t="shared" si="12"/>
        <v>2392.9499999999998</v>
      </c>
      <c r="N32" s="75">
        <f t="shared" si="12"/>
        <v>2358.58</v>
      </c>
      <c r="O32" s="75">
        <f t="shared" si="12"/>
        <v>1005.5</v>
      </c>
      <c r="P32" s="75">
        <f t="shared" si="12"/>
        <v>30.86</v>
      </c>
      <c r="Q32" s="76">
        <f t="shared" si="12"/>
        <v>14.98</v>
      </c>
      <c r="R32" s="97">
        <f>SUM(F32:Q32)</f>
        <v>12540.789999999999</v>
      </c>
    </row>
    <row r="33" spans="2:19" ht="16.2" thickBot="1" x14ac:dyDescent="0.35">
      <c r="B33" s="210"/>
      <c r="C33" s="101" t="s">
        <v>48</v>
      </c>
      <c r="D33" s="58" t="s">
        <v>4</v>
      </c>
      <c r="E33" s="4"/>
      <c r="F33" s="26">
        <f>+F32+F31</f>
        <v>41.5</v>
      </c>
      <c r="G33" s="27">
        <f t="shared" ref="G33:Q33" si="13">SUM(G31:G32)</f>
        <v>41.82</v>
      </c>
      <c r="H33" s="27">
        <f t="shared" si="13"/>
        <v>42.06</v>
      </c>
      <c r="I33" s="27">
        <f t="shared" si="13"/>
        <v>43.34</v>
      </c>
      <c r="J33" s="27">
        <f t="shared" si="13"/>
        <v>1594.57</v>
      </c>
      <c r="K33" s="28">
        <f t="shared" si="13"/>
        <v>2427.06</v>
      </c>
      <c r="L33" s="91">
        <f t="shared" si="13"/>
        <v>2606.5300000000002</v>
      </c>
      <c r="M33" s="27">
        <f t="shared" si="13"/>
        <v>2400.6299999999997</v>
      </c>
      <c r="N33" s="27">
        <f t="shared" si="13"/>
        <v>2367.08</v>
      </c>
      <c r="O33" s="27">
        <f t="shared" si="13"/>
        <v>1013.73</v>
      </c>
      <c r="P33" s="27">
        <f t="shared" si="13"/>
        <v>39.36</v>
      </c>
      <c r="Q33" s="28">
        <f t="shared" si="13"/>
        <v>23.21</v>
      </c>
      <c r="R33" s="54">
        <f>SUM(F33:Q33)</f>
        <v>12640.89</v>
      </c>
    </row>
    <row r="34" spans="2:19" x14ac:dyDescent="0.25">
      <c r="B34" s="5"/>
      <c r="C34" s="5"/>
      <c r="D34" s="5"/>
      <c r="E34" s="5"/>
      <c r="F34" s="104"/>
      <c r="G34" s="105"/>
      <c r="H34" s="105"/>
      <c r="I34" s="105"/>
      <c r="J34" s="105"/>
      <c r="K34" s="106"/>
      <c r="L34" s="104"/>
      <c r="M34" s="105"/>
      <c r="N34" s="105"/>
      <c r="O34" s="105"/>
      <c r="P34" s="105"/>
      <c r="Q34" s="106"/>
      <c r="R34" s="107"/>
      <c r="S34" s="5"/>
    </row>
    <row r="35" spans="2:19" ht="15" x14ac:dyDescent="0.25">
      <c r="B35" s="2" t="s">
        <v>39</v>
      </c>
      <c r="C35" s="2" t="s">
        <v>49</v>
      </c>
      <c r="D35" s="2" t="s">
        <v>4</v>
      </c>
      <c r="E35" s="5"/>
      <c r="F35" s="74">
        <f t="shared" ref="F35:Q35" si="14">ROUND((F21+F27)*0.00966,2)</f>
        <v>11.48</v>
      </c>
      <c r="G35" s="75">
        <f t="shared" si="14"/>
        <v>11.49</v>
      </c>
      <c r="H35" s="75">
        <f t="shared" si="14"/>
        <v>11.13</v>
      </c>
      <c r="I35" s="75">
        <f t="shared" si="14"/>
        <v>11.5</v>
      </c>
      <c r="J35" s="75">
        <f t="shared" si="14"/>
        <v>21.83</v>
      </c>
      <c r="K35" s="76">
        <f t="shared" si="14"/>
        <v>27.93</v>
      </c>
      <c r="L35" s="74">
        <f t="shared" si="14"/>
        <v>29.17</v>
      </c>
      <c r="M35" s="75">
        <f t="shared" si="14"/>
        <v>26.66</v>
      </c>
      <c r="N35" s="75">
        <f t="shared" si="14"/>
        <v>27.52</v>
      </c>
      <c r="O35" s="75">
        <f t="shared" si="14"/>
        <v>17.82</v>
      </c>
      <c r="P35" s="75">
        <f t="shared" si="14"/>
        <v>11.47</v>
      </c>
      <c r="Q35" s="76">
        <f t="shared" si="14"/>
        <v>11</v>
      </c>
      <c r="R35" s="97">
        <f t="shared" ref="R35:R36" si="15">SUM(F35:Q35)</f>
        <v>219.00000000000003</v>
      </c>
      <c r="S35" s="5"/>
    </row>
    <row r="36" spans="2:19" ht="15" x14ac:dyDescent="0.25">
      <c r="B36" s="2" t="s">
        <v>57</v>
      </c>
      <c r="C36" s="2" t="s">
        <v>55</v>
      </c>
      <c r="D36" s="2" t="s">
        <v>4</v>
      </c>
      <c r="E36" s="5"/>
      <c r="F36" s="74">
        <f t="shared" ref="F36:Q36" si="16">ROUND((F21+F27+F33)*0.0014,2)</f>
        <v>1.72</v>
      </c>
      <c r="G36" s="75">
        <f t="shared" si="16"/>
        <v>1.72</v>
      </c>
      <c r="H36" s="75">
        <f t="shared" si="16"/>
        <v>1.67</v>
      </c>
      <c r="I36" s="75">
        <f t="shared" si="16"/>
        <v>1.73</v>
      </c>
      <c r="J36" s="75">
        <f t="shared" si="16"/>
        <v>5.4</v>
      </c>
      <c r="K36" s="76">
        <f t="shared" si="16"/>
        <v>7.45</v>
      </c>
      <c r="L36" s="74">
        <f t="shared" si="16"/>
        <v>7.88</v>
      </c>
      <c r="M36" s="75">
        <f t="shared" si="16"/>
        <v>7.23</v>
      </c>
      <c r="N36" s="75">
        <f t="shared" si="16"/>
        <v>7.3</v>
      </c>
      <c r="O36" s="75">
        <f t="shared" si="16"/>
        <v>4</v>
      </c>
      <c r="P36" s="75">
        <f t="shared" si="16"/>
        <v>1.72</v>
      </c>
      <c r="Q36" s="76">
        <f t="shared" si="16"/>
        <v>1.63</v>
      </c>
      <c r="R36" s="97">
        <f t="shared" si="15"/>
        <v>49.449999999999996</v>
      </c>
      <c r="S36" s="5"/>
    </row>
    <row r="37" spans="2:19" ht="15.6" thickBot="1" x14ac:dyDescent="0.3">
      <c r="B37" s="2" t="s">
        <v>54</v>
      </c>
      <c r="C37" s="123" t="s">
        <v>56</v>
      </c>
      <c r="D37" s="60" t="s">
        <v>4</v>
      </c>
      <c r="E37" s="4"/>
      <c r="F37" s="78">
        <f t="shared" ref="F37:Q37" si="17">ROUND(F12*0.00054,2)</f>
        <v>2.72</v>
      </c>
      <c r="G37" s="79">
        <f t="shared" si="17"/>
        <v>2.74</v>
      </c>
      <c r="H37" s="79">
        <f t="shared" si="17"/>
        <v>2.79</v>
      </c>
      <c r="I37" s="79">
        <f t="shared" si="17"/>
        <v>2.87</v>
      </c>
      <c r="J37" s="79">
        <f t="shared" si="17"/>
        <v>130.63999999999999</v>
      </c>
      <c r="K37" s="80">
        <f t="shared" si="17"/>
        <v>199.18</v>
      </c>
      <c r="L37" s="78">
        <f t="shared" si="17"/>
        <v>213.96</v>
      </c>
      <c r="M37" s="79">
        <f t="shared" si="17"/>
        <v>197.07</v>
      </c>
      <c r="N37" s="79">
        <f t="shared" si="17"/>
        <v>194.24</v>
      </c>
      <c r="O37" s="79">
        <f t="shared" si="17"/>
        <v>82.81</v>
      </c>
      <c r="P37" s="79">
        <f t="shared" si="17"/>
        <v>2.54</v>
      </c>
      <c r="Q37" s="80">
        <f t="shared" si="17"/>
        <v>1.23</v>
      </c>
      <c r="R37" s="108">
        <f>SUM(F37:Q37)</f>
        <v>1032.79</v>
      </c>
    </row>
    <row r="38" spans="2:19" ht="16.2" thickBot="1" x14ac:dyDescent="0.35">
      <c r="B38" s="23"/>
      <c r="C38" s="22" t="s">
        <v>58</v>
      </c>
      <c r="D38" s="50" t="s">
        <v>4</v>
      </c>
      <c r="E38" s="61"/>
      <c r="F38" s="26">
        <f>SUM(F35:F37)</f>
        <v>15.920000000000002</v>
      </c>
      <c r="G38" s="27">
        <f t="shared" ref="G38:Q38" si="18">SUM(G35:G37)</f>
        <v>15.950000000000001</v>
      </c>
      <c r="H38" s="27">
        <f t="shared" si="18"/>
        <v>15.59</v>
      </c>
      <c r="I38" s="27">
        <f t="shared" si="18"/>
        <v>16.100000000000001</v>
      </c>
      <c r="J38" s="27">
        <f t="shared" si="18"/>
        <v>157.86999999999998</v>
      </c>
      <c r="K38" s="28">
        <f t="shared" si="18"/>
        <v>234.56</v>
      </c>
      <c r="L38" s="26">
        <f t="shared" si="18"/>
        <v>251.01000000000002</v>
      </c>
      <c r="M38" s="27">
        <f t="shared" si="18"/>
        <v>230.95999999999998</v>
      </c>
      <c r="N38" s="27">
        <f t="shared" si="18"/>
        <v>229.06</v>
      </c>
      <c r="O38" s="27">
        <f t="shared" si="18"/>
        <v>104.63</v>
      </c>
      <c r="P38" s="27">
        <f t="shared" si="18"/>
        <v>15.73</v>
      </c>
      <c r="Q38" s="49">
        <f t="shared" si="18"/>
        <v>13.86</v>
      </c>
      <c r="R38" s="54">
        <f>SUM(F38:Q38)</f>
        <v>1301.24</v>
      </c>
    </row>
    <row r="39" spans="2:19" ht="15" x14ac:dyDescent="0.25">
      <c r="C39" s="23"/>
      <c r="D39" s="23"/>
      <c r="E39" s="4"/>
      <c r="F39" s="38"/>
      <c r="G39" s="6"/>
      <c r="H39" s="6"/>
      <c r="I39" s="6"/>
      <c r="J39" s="6"/>
      <c r="K39" s="39"/>
      <c r="L39" s="38"/>
      <c r="M39" s="6"/>
      <c r="N39" s="6"/>
      <c r="O39" s="6"/>
      <c r="P39" s="6"/>
      <c r="Q39" s="6"/>
      <c r="R39" s="71"/>
    </row>
    <row r="40" spans="2:19" ht="15" x14ac:dyDescent="0.25">
      <c r="B40" s="212" t="s">
        <v>23</v>
      </c>
      <c r="C40" s="126" t="s">
        <v>21</v>
      </c>
      <c r="D40" s="2" t="s">
        <v>4</v>
      </c>
      <c r="E40" s="4"/>
      <c r="F40" s="74">
        <f>26.03+19.23</f>
        <v>45.260000000000005</v>
      </c>
      <c r="G40" s="75">
        <v>45.260000000000005</v>
      </c>
      <c r="H40" s="75">
        <v>45.260000000000005</v>
      </c>
      <c r="I40" s="75">
        <v>45.260000000000005</v>
      </c>
      <c r="J40" s="75">
        <v>45.260000000000005</v>
      </c>
      <c r="K40" s="76">
        <v>45.260000000000005</v>
      </c>
      <c r="L40" s="74">
        <v>45.260000000000005</v>
      </c>
      <c r="M40" s="75">
        <v>45.260000000000005</v>
      </c>
      <c r="N40" s="75">
        <v>45.260000000000005</v>
      </c>
      <c r="O40" s="75">
        <v>45.260000000000005</v>
      </c>
      <c r="P40" s="75">
        <v>45.260000000000005</v>
      </c>
      <c r="Q40" s="77">
        <v>45.260000000000005</v>
      </c>
      <c r="R40" s="82">
        <f>SUM(F40:Q40)</f>
        <v>543.12</v>
      </c>
    </row>
    <row r="41" spans="2:19" ht="15.6" thickBot="1" x14ac:dyDescent="0.3">
      <c r="B41" s="212"/>
      <c r="C41" s="48" t="s">
        <v>22</v>
      </c>
      <c r="D41" s="45" t="s">
        <v>4</v>
      </c>
      <c r="E41" s="4"/>
      <c r="F41" s="78">
        <f>55+55</f>
        <v>110</v>
      </c>
      <c r="G41" s="79">
        <f t="shared" ref="G41:Q41" si="19">55+55</f>
        <v>110</v>
      </c>
      <c r="H41" s="79">
        <f t="shared" si="19"/>
        <v>110</v>
      </c>
      <c r="I41" s="79">
        <f t="shared" si="19"/>
        <v>110</v>
      </c>
      <c r="J41" s="79">
        <f t="shared" si="19"/>
        <v>110</v>
      </c>
      <c r="K41" s="80">
        <f t="shared" si="19"/>
        <v>110</v>
      </c>
      <c r="L41" s="78">
        <f t="shared" si="19"/>
        <v>110</v>
      </c>
      <c r="M41" s="79">
        <f t="shared" si="19"/>
        <v>110</v>
      </c>
      <c r="N41" s="79">
        <f t="shared" si="19"/>
        <v>110</v>
      </c>
      <c r="O41" s="79">
        <f t="shared" si="19"/>
        <v>110</v>
      </c>
      <c r="P41" s="79">
        <f t="shared" si="19"/>
        <v>110</v>
      </c>
      <c r="Q41" s="81">
        <f t="shared" si="19"/>
        <v>110</v>
      </c>
      <c r="R41" s="83">
        <f>SUM(F41:Q41)</f>
        <v>1320</v>
      </c>
    </row>
    <row r="42" spans="2:19" ht="16.2" thickBot="1" x14ac:dyDescent="0.35">
      <c r="B42" s="213"/>
      <c r="C42" s="22" t="s">
        <v>62</v>
      </c>
      <c r="D42" s="59" t="s">
        <v>4</v>
      </c>
      <c r="E42" s="51"/>
      <c r="F42" s="52">
        <f>+F41+F40</f>
        <v>155.26</v>
      </c>
      <c r="G42" s="53">
        <f t="shared" ref="G42:Q42" si="20">+G41+G40</f>
        <v>155.26</v>
      </c>
      <c r="H42" s="53">
        <f t="shared" si="20"/>
        <v>155.26</v>
      </c>
      <c r="I42" s="53">
        <f t="shared" si="20"/>
        <v>155.26</v>
      </c>
      <c r="J42" s="53">
        <f t="shared" si="20"/>
        <v>155.26</v>
      </c>
      <c r="K42" s="53">
        <f t="shared" si="20"/>
        <v>155.26</v>
      </c>
      <c r="L42" s="52">
        <f t="shared" si="20"/>
        <v>155.26</v>
      </c>
      <c r="M42" s="53">
        <f t="shared" si="20"/>
        <v>155.26</v>
      </c>
      <c r="N42" s="53">
        <f t="shared" si="20"/>
        <v>155.26</v>
      </c>
      <c r="O42" s="53">
        <f t="shared" si="20"/>
        <v>155.26</v>
      </c>
      <c r="P42" s="53">
        <f t="shared" si="20"/>
        <v>155.26</v>
      </c>
      <c r="Q42" s="44">
        <f t="shared" si="20"/>
        <v>155.26</v>
      </c>
      <c r="R42" s="44">
        <f>SUM(F42:Q42)</f>
        <v>1863.12</v>
      </c>
    </row>
    <row r="43" spans="2:19" ht="15.6" thickBot="1" x14ac:dyDescent="0.3">
      <c r="C43" s="23"/>
      <c r="D43" s="23"/>
      <c r="E43" s="4"/>
      <c r="F43" s="38"/>
      <c r="G43" s="6"/>
      <c r="H43" s="6"/>
      <c r="I43" s="6"/>
      <c r="J43" s="6"/>
      <c r="K43" s="6"/>
      <c r="L43" s="38"/>
      <c r="M43" s="6"/>
      <c r="N43" s="6"/>
      <c r="O43" s="6"/>
      <c r="P43" s="6"/>
      <c r="Q43" s="39"/>
      <c r="R43" s="39"/>
    </row>
    <row r="44" spans="2:19" ht="16.2" thickBot="1" x14ac:dyDescent="0.35">
      <c r="C44" s="24" t="s">
        <v>20</v>
      </c>
      <c r="D44" s="58" t="s">
        <v>3</v>
      </c>
      <c r="E44" s="4"/>
      <c r="F44" s="40">
        <f t="shared" ref="F44:R44" si="21">+F46/F12</f>
        <v>0.31847009735744086</v>
      </c>
      <c r="G44" s="41">
        <f t="shared" si="21"/>
        <v>0.31589925226288862</v>
      </c>
      <c r="H44" s="41">
        <f t="shared" si="21"/>
        <v>0.30449031007751942</v>
      </c>
      <c r="I44" s="41">
        <f t="shared" si="21"/>
        <v>0.30437147158449374</v>
      </c>
      <c r="J44" s="41">
        <f t="shared" si="21"/>
        <v>5.7225655248810611E-2</v>
      </c>
      <c r="K44" s="42">
        <f t="shared" si="21"/>
        <v>5.5475177035775869E-2</v>
      </c>
      <c r="L44" s="40">
        <f t="shared" si="21"/>
        <v>5.5223851215098554E-2</v>
      </c>
      <c r="M44" s="41">
        <f t="shared" si="21"/>
        <v>5.519942676450762E-2</v>
      </c>
      <c r="N44" s="41">
        <f t="shared" si="21"/>
        <v>5.5567716789360143E-2</v>
      </c>
      <c r="O44" s="41">
        <f t="shared" si="21"/>
        <v>6.0338513306422682E-2</v>
      </c>
      <c r="P44" s="41">
        <f t="shared" si="21"/>
        <v>0.33699957501062472</v>
      </c>
      <c r="Q44" s="43">
        <f t="shared" si="21"/>
        <v>0.62263572679509627</v>
      </c>
      <c r="R44" s="25">
        <f t="shared" si="21"/>
        <v>6.0116690421639439E-2</v>
      </c>
    </row>
    <row r="45" spans="2:19" ht="15.6" thickBot="1" x14ac:dyDescent="0.3">
      <c r="C45" s="23"/>
      <c r="D45" s="23"/>
      <c r="E45" s="4"/>
      <c r="F45" s="37"/>
      <c r="G45" s="23"/>
      <c r="H45" s="23"/>
      <c r="I45" s="23"/>
      <c r="J45" s="23"/>
      <c r="K45" s="23"/>
      <c r="L45" s="37"/>
      <c r="M45" s="23"/>
      <c r="N45" s="23"/>
      <c r="O45" s="23"/>
      <c r="P45" s="23"/>
      <c r="Q45" s="17"/>
      <c r="R45" s="17"/>
    </row>
    <row r="46" spans="2:19" ht="16.2" thickBot="1" x14ac:dyDescent="0.35">
      <c r="B46" s="4"/>
      <c r="C46" s="24" t="s">
        <v>30</v>
      </c>
      <c r="D46" s="59" t="s">
        <v>18</v>
      </c>
      <c r="E46" s="4"/>
      <c r="F46" s="26">
        <f t="shared" ref="F46:Q46" si="22">F15+F21+F27+F33+F38+F42</f>
        <v>1602.86</v>
      </c>
      <c r="G46" s="27">
        <f t="shared" si="22"/>
        <v>1605.3999999999999</v>
      </c>
      <c r="H46" s="27">
        <f t="shared" si="22"/>
        <v>1571.17</v>
      </c>
      <c r="I46" s="27">
        <f t="shared" si="22"/>
        <v>1617.4299999999998</v>
      </c>
      <c r="J46" s="27">
        <f t="shared" si="22"/>
        <v>13844.66</v>
      </c>
      <c r="K46" s="28">
        <f t="shared" si="22"/>
        <v>20462.13</v>
      </c>
      <c r="L46" s="26">
        <f t="shared" si="22"/>
        <v>21880.959999999995</v>
      </c>
      <c r="M46" s="27">
        <f t="shared" si="22"/>
        <v>20144.809999999998</v>
      </c>
      <c r="N46" s="27">
        <f t="shared" si="22"/>
        <v>19987.93</v>
      </c>
      <c r="O46" s="27">
        <f t="shared" si="22"/>
        <v>9252.73</v>
      </c>
      <c r="P46" s="27">
        <f t="shared" si="22"/>
        <v>1585.9199999999998</v>
      </c>
      <c r="Q46" s="28">
        <f t="shared" si="22"/>
        <v>1422.1</v>
      </c>
      <c r="R46" s="44">
        <f>SUM(F46:Q46)</f>
        <v>114978.1</v>
      </c>
    </row>
    <row r="47" spans="2:19" ht="16.2" thickBot="1" x14ac:dyDescent="0.35">
      <c r="C47" s="9"/>
      <c r="D47" s="9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</row>
    <row r="48" spans="2:19" ht="18" thickBot="1" x14ac:dyDescent="0.35">
      <c r="C48" s="135" t="s">
        <v>118</v>
      </c>
      <c r="D48" s="168">
        <f>+'MODEL Oferta Formula Indexada'!D18</f>
        <v>10</v>
      </c>
      <c r="E48" s="9"/>
      <c r="F48" s="195" t="s">
        <v>33</v>
      </c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7"/>
      <c r="R48" s="3"/>
    </row>
    <row r="49" spans="2:18" ht="18" thickBot="1" x14ac:dyDescent="0.35">
      <c r="C49" s="131" t="s">
        <v>119</v>
      </c>
      <c r="D49" s="165">
        <f>+'MODEL Oferta Formula Indexada'!D19</f>
        <v>1</v>
      </c>
      <c r="E49" s="9"/>
      <c r="F49" s="181" t="s">
        <v>86</v>
      </c>
      <c r="G49" s="182"/>
      <c r="H49" s="182"/>
      <c r="I49" s="182"/>
      <c r="J49" s="182"/>
      <c r="K49" s="183"/>
      <c r="L49" s="181" t="s">
        <v>87</v>
      </c>
      <c r="M49" s="182"/>
      <c r="N49" s="182"/>
      <c r="O49" s="182"/>
      <c r="P49" s="182"/>
      <c r="Q49" s="183"/>
      <c r="R49" s="11"/>
    </row>
    <row r="50" spans="2:18" ht="16.2" thickBot="1" x14ac:dyDescent="0.35">
      <c r="B50" s="124" t="s">
        <v>1</v>
      </c>
      <c r="C50" s="125"/>
      <c r="D50" s="2" t="s">
        <v>2</v>
      </c>
      <c r="E50" s="9"/>
      <c r="F50" s="19" t="s">
        <v>12</v>
      </c>
      <c r="G50" s="20" t="s">
        <v>13</v>
      </c>
      <c r="H50" s="20" t="s">
        <v>14</v>
      </c>
      <c r="I50" s="20" t="s">
        <v>15</v>
      </c>
      <c r="J50" s="20" t="s">
        <v>16</v>
      </c>
      <c r="K50" s="21" t="s">
        <v>17</v>
      </c>
      <c r="L50" s="19" t="s">
        <v>6</v>
      </c>
      <c r="M50" s="20" t="s">
        <v>7</v>
      </c>
      <c r="N50" s="20" t="s">
        <v>8</v>
      </c>
      <c r="O50" s="20" t="s">
        <v>9</v>
      </c>
      <c r="P50" s="20" t="s">
        <v>10</v>
      </c>
      <c r="Q50" s="21" t="s">
        <v>11</v>
      </c>
      <c r="R50" s="18" t="s">
        <v>88</v>
      </c>
    </row>
    <row r="51" spans="2:18" ht="15.6" x14ac:dyDescent="0.3">
      <c r="B51" s="5"/>
      <c r="C51" s="72"/>
      <c r="D51" s="2" t="s">
        <v>31</v>
      </c>
      <c r="E51" s="4"/>
      <c r="F51" s="19">
        <v>31</v>
      </c>
      <c r="G51" s="20">
        <v>31</v>
      </c>
      <c r="H51" s="20">
        <v>30</v>
      </c>
      <c r="I51" s="20">
        <v>31</v>
      </c>
      <c r="J51" s="20">
        <v>30</v>
      </c>
      <c r="K51" s="21">
        <v>31</v>
      </c>
      <c r="L51" s="19">
        <v>31</v>
      </c>
      <c r="M51" s="132">
        <v>28</v>
      </c>
      <c r="N51" s="20">
        <v>31</v>
      </c>
      <c r="O51" s="20">
        <v>30</v>
      </c>
      <c r="P51" s="20">
        <v>31</v>
      </c>
      <c r="Q51" s="21">
        <v>30</v>
      </c>
      <c r="R51" s="73">
        <f>SUM(F51:Q51)</f>
        <v>365</v>
      </c>
    </row>
    <row r="52" spans="2:18" ht="16.5" customHeight="1" thickBot="1" x14ac:dyDescent="0.35">
      <c r="B52" s="5"/>
      <c r="C52" s="23"/>
      <c r="D52" s="23"/>
      <c r="E52" s="9"/>
      <c r="F52" s="29"/>
      <c r="G52" s="30"/>
      <c r="H52" s="30"/>
      <c r="I52" s="30"/>
      <c r="J52" s="30"/>
      <c r="K52" s="31"/>
      <c r="L52" s="32"/>
      <c r="M52" s="33"/>
      <c r="N52" s="33"/>
      <c r="O52" s="33"/>
      <c r="P52" s="33"/>
      <c r="Q52" s="34"/>
      <c r="R52" s="17"/>
    </row>
    <row r="53" spans="2:18" ht="16.2" thickBot="1" x14ac:dyDescent="0.35">
      <c r="B53" s="4"/>
      <c r="C53" s="22" t="s">
        <v>26</v>
      </c>
      <c r="D53" s="58" t="s">
        <v>0</v>
      </c>
      <c r="E53" s="9"/>
      <c r="F53" s="88">
        <v>10038</v>
      </c>
      <c r="G53" s="88">
        <v>9549</v>
      </c>
      <c r="H53" s="88">
        <v>10185</v>
      </c>
      <c r="I53" s="88">
        <v>11564</v>
      </c>
      <c r="J53" s="88">
        <v>292448</v>
      </c>
      <c r="K53" s="89">
        <v>453623</v>
      </c>
      <c r="L53" s="87">
        <v>489778</v>
      </c>
      <c r="M53" s="88">
        <v>514188</v>
      </c>
      <c r="N53" s="88">
        <v>384622</v>
      </c>
      <c r="O53" s="88">
        <v>285199</v>
      </c>
      <c r="P53" s="88">
        <v>78143</v>
      </c>
      <c r="Q53" s="89">
        <v>12448</v>
      </c>
      <c r="R53" s="90">
        <f>SUM(F53:Q53)</f>
        <v>2551785</v>
      </c>
    </row>
    <row r="54" spans="2:18" ht="15.6" x14ac:dyDescent="0.3">
      <c r="C54" s="93"/>
      <c r="D54" s="92"/>
      <c r="E54" s="4"/>
      <c r="F54" s="117"/>
      <c r="G54" s="118"/>
      <c r="H54" s="118"/>
      <c r="I54" s="118"/>
      <c r="J54" s="118"/>
      <c r="K54" s="119"/>
      <c r="L54" s="110"/>
      <c r="M54" s="94"/>
      <c r="N54" s="94"/>
      <c r="O54" s="94"/>
      <c r="P54" s="94"/>
      <c r="Q54" s="95"/>
      <c r="R54" s="96"/>
    </row>
    <row r="55" spans="2:18" ht="15.6" thickBot="1" x14ac:dyDescent="0.3">
      <c r="B55" s="5"/>
      <c r="C55" s="45" t="s">
        <v>64</v>
      </c>
      <c r="D55" s="2" t="s">
        <v>3</v>
      </c>
      <c r="E55" s="4"/>
      <c r="F55" s="133">
        <f>ROUND((D6*D49)/1000+D48/1000,6)</f>
        <v>0.04</v>
      </c>
      <c r="G55" s="120">
        <f t="shared" ref="G55:Q55" si="23">+F55</f>
        <v>0.04</v>
      </c>
      <c r="H55" s="120">
        <f t="shared" si="23"/>
        <v>0.04</v>
      </c>
      <c r="I55" s="120">
        <f t="shared" si="23"/>
        <v>0.04</v>
      </c>
      <c r="J55" s="120">
        <f t="shared" si="23"/>
        <v>0.04</v>
      </c>
      <c r="K55" s="121">
        <f t="shared" si="23"/>
        <v>0.04</v>
      </c>
      <c r="L55" s="134">
        <f t="shared" si="23"/>
        <v>0.04</v>
      </c>
      <c r="M55" s="85">
        <f t="shared" si="23"/>
        <v>0.04</v>
      </c>
      <c r="N55" s="85">
        <f t="shared" si="23"/>
        <v>0.04</v>
      </c>
      <c r="O55" s="85">
        <f t="shared" si="23"/>
        <v>0.04</v>
      </c>
      <c r="P55" s="85">
        <f t="shared" si="23"/>
        <v>0.04</v>
      </c>
      <c r="Q55" s="86">
        <f t="shared" si="23"/>
        <v>0.04</v>
      </c>
      <c r="R55" s="71"/>
    </row>
    <row r="56" spans="2:18" ht="16.2" thickBot="1" x14ac:dyDescent="0.35">
      <c r="B56" s="47" t="s">
        <v>19</v>
      </c>
      <c r="C56" s="46" t="s">
        <v>64</v>
      </c>
      <c r="D56" s="58" t="s">
        <v>4</v>
      </c>
      <c r="E56" s="51"/>
      <c r="F56" s="26">
        <f>+F55*F53</f>
        <v>401.52</v>
      </c>
      <c r="G56" s="27">
        <f t="shared" ref="G56:Q56" si="24">+G55*G53</f>
        <v>381.96000000000004</v>
      </c>
      <c r="H56" s="27">
        <f t="shared" si="24"/>
        <v>407.40000000000003</v>
      </c>
      <c r="I56" s="27">
        <f t="shared" si="24"/>
        <v>462.56</v>
      </c>
      <c r="J56" s="27">
        <f t="shared" si="24"/>
        <v>11697.92</v>
      </c>
      <c r="K56" s="28">
        <f t="shared" si="24"/>
        <v>18144.920000000002</v>
      </c>
      <c r="L56" s="91">
        <f t="shared" si="24"/>
        <v>19591.12</v>
      </c>
      <c r="M56" s="27">
        <f t="shared" si="24"/>
        <v>20567.52</v>
      </c>
      <c r="N56" s="27">
        <f t="shared" si="24"/>
        <v>15384.880000000001</v>
      </c>
      <c r="O56" s="27">
        <f t="shared" si="24"/>
        <v>11407.960000000001</v>
      </c>
      <c r="P56" s="27">
        <f t="shared" si="24"/>
        <v>3125.7200000000003</v>
      </c>
      <c r="Q56" s="28">
        <f t="shared" si="24"/>
        <v>497.92</v>
      </c>
      <c r="R56" s="54">
        <f>SUM(F56:Q56)</f>
        <v>102071.40000000001</v>
      </c>
    </row>
    <row r="57" spans="2:18" ht="15" x14ac:dyDescent="0.25">
      <c r="B57" s="5"/>
      <c r="C57" s="23"/>
      <c r="D57" s="23"/>
      <c r="E57" s="4"/>
      <c r="F57" s="55"/>
      <c r="G57" s="56"/>
      <c r="H57" s="56"/>
      <c r="I57" s="56"/>
      <c r="J57" s="56"/>
      <c r="K57" s="57"/>
      <c r="L57" s="55"/>
      <c r="M57" s="56"/>
      <c r="N57" s="56"/>
      <c r="O57" s="56"/>
      <c r="P57" s="56"/>
      <c r="Q57" s="57"/>
      <c r="R57" s="70"/>
    </row>
    <row r="58" spans="2:18" ht="15" x14ac:dyDescent="0.25">
      <c r="B58" s="204" t="s">
        <v>41</v>
      </c>
      <c r="C58" s="45" t="s">
        <v>60</v>
      </c>
      <c r="D58" s="2" t="s">
        <v>4</v>
      </c>
      <c r="E58" s="4"/>
      <c r="F58" s="74">
        <f t="shared" ref="F58:Q58" si="25">ROUND(F17*F51,2)</f>
        <v>120.06</v>
      </c>
      <c r="G58" s="75">
        <f t="shared" si="25"/>
        <v>120.06</v>
      </c>
      <c r="H58" s="75">
        <f t="shared" si="25"/>
        <v>116.18</v>
      </c>
      <c r="I58" s="75">
        <f t="shared" si="25"/>
        <v>120.06</v>
      </c>
      <c r="J58" s="75">
        <f t="shared" si="25"/>
        <v>116.18</v>
      </c>
      <c r="K58" s="76">
        <f t="shared" si="25"/>
        <v>120.06</v>
      </c>
      <c r="L58" s="74">
        <f t="shared" si="25"/>
        <v>120.06</v>
      </c>
      <c r="M58" s="75">
        <f t="shared" si="25"/>
        <v>108.44</v>
      </c>
      <c r="N58" s="75">
        <f t="shared" si="25"/>
        <v>120.06</v>
      </c>
      <c r="O58" s="75">
        <f t="shared" si="25"/>
        <v>116.18</v>
      </c>
      <c r="P58" s="75">
        <f t="shared" si="25"/>
        <v>120.06</v>
      </c>
      <c r="Q58" s="76">
        <f t="shared" si="25"/>
        <v>116.18</v>
      </c>
      <c r="R58" s="97">
        <f>SUM(F58:Q58)</f>
        <v>1413.58</v>
      </c>
    </row>
    <row r="59" spans="2:18" ht="15.6" thickBot="1" x14ac:dyDescent="0.3">
      <c r="B59" s="205"/>
      <c r="C59" s="45" t="s">
        <v>61</v>
      </c>
      <c r="D59" s="45" t="s">
        <v>4</v>
      </c>
      <c r="E59" s="4"/>
      <c r="F59" s="74">
        <f t="shared" ref="F59:Q59" si="26">ROUND(F53*F18,2)</f>
        <v>0</v>
      </c>
      <c r="G59" s="75">
        <f t="shared" si="26"/>
        <v>0</v>
      </c>
      <c r="H59" s="75">
        <f t="shared" si="26"/>
        <v>0</v>
      </c>
      <c r="I59" s="75">
        <f t="shared" si="26"/>
        <v>0</v>
      </c>
      <c r="J59" s="75">
        <f t="shared" si="26"/>
        <v>0</v>
      </c>
      <c r="K59" s="76">
        <f t="shared" si="26"/>
        <v>0</v>
      </c>
      <c r="L59" s="74">
        <f t="shared" si="26"/>
        <v>0</v>
      </c>
      <c r="M59" s="75">
        <f t="shared" si="26"/>
        <v>0</v>
      </c>
      <c r="N59" s="75">
        <f t="shared" si="26"/>
        <v>0</v>
      </c>
      <c r="O59" s="75">
        <f t="shared" si="26"/>
        <v>0</v>
      </c>
      <c r="P59" s="75">
        <f t="shared" si="26"/>
        <v>0</v>
      </c>
      <c r="Q59" s="76">
        <f t="shared" si="26"/>
        <v>0</v>
      </c>
      <c r="R59" s="97">
        <f>SUM(F59:Q59)</f>
        <v>0</v>
      </c>
    </row>
    <row r="60" spans="2:18" ht="16.2" thickBot="1" x14ac:dyDescent="0.35">
      <c r="B60" s="206"/>
      <c r="C60" s="101" t="s">
        <v>43</v>
      </c>
      <c r="D60" s="58" t="s">
        <v>4</v>
      </c>
      <c r="E60" s="51"/>
      <c r="F60" s="26">
        <f>+F59+F58</f>
        <v>120.06</v>
      </c>
      <c r="G60" s="27">
        <f t="shared" ref="G60:Q60" si="27">SUM(G58:G59)</f>
        <v>120.06</v>
      </c>
      <c r="H60" s="27">
        <f t="shared" si="27"/>
        <v>116.18</v>
      </c>
      <c r="I60" s="27">
        <f t="shared" si="27"/>
        <v>120.06</v>
      </c>
      <c r="J60" s="27">
        <f t="shared" si="27"/>
        <v>116.18</v>
      </c>
      <c r="K60" s="28">
        <f t="shared" si="27"/>
        <v>120.06</v>
      </c>
      <c r="L60" s="91">
        <f t="shared" si="27"/>
        <v>120.06</v>
      </c>
      <c r="M60" s="27">
        <f t="shared" si="27"/>
        <v>108.44</v>
      </c>
      <c r="N60" s="27">
        <f t="shared" si="27"/>
        <v>120.06</v>
      </c>
      <c r="O60" s="27">
        <f t="shared" si="27"/>
        <v>116.18</v>
      </c>
      <c r="P60" s="27">
        <f t="shared" si="27"/>
        <v>120.06</v>
      </c>
      <c r="Q60" s="28">
        <f t="shared" si="27"/>
        <v>116.18</v>
      </c>
      <c r="R60" s="54">
        <f>SUM(F60:Q60)</f>
        <v>1413.58</v>
      </c>
    </row>
    <row r="61" spans="2:18" ht="15" x14ac:dyDescent="0.25">
      <c r="B61" s="5"/>
      <c r="C61" s="23"/>
      <c r="D61" s="23"/>
      <c r="E61" s="4"/>
      <c r="F61" s="55"/>
      <c r="G61" s="56"/>
      <c r="H61" s="56"/>
      <c r="I61" s="56"/>
      <c r="J61" s="56"/>
      <c r="K61" s="57"/>
      <c r="L61" s="55"/>
      <c r="M61" s="56"/>
      <c r="N61" s="56"/>
      <c r="O61" s="56"/>
      <c r="P61" s="56"/>
      <c r="Q61" s="57"/>
      <c r="R61" s="70"/>
    </row>
    <row r="62" spans="2:18" ht="15" x14ac:dyDescent="0.25">
      <c r="B62" s="207" t="s">
        <v>40</v>
      </c>
      <c r="C62" s="45" t="s">
        <v>92</v>
      </c>
      <c r="D62" s="2" t="s">
        <v>38</v>
      </c>
      <c r="E62" s="4"/>
      <c r="F62" s="166">
        <f>12307.010366/$R10</f>
        <v>33.717836619178087</v>
      </c>
      <c r="G62" s="85">
        <f>+F62</f>
        <v>33.717836619178087</v>
      </c>
      <c r="H62" s="85">
        <f t="shared" ref="H62:Q63" si="28">+G62</f>
        <v>33.717836619178087</v>
      </c>
      <c r="I62" s="85">
        <f t="shared" si="28"/>
        <v>33.717836619178087</v>
      </c>
      <c r="J62" s="85">
        <f t="shared" si="28"/>
        <v>33.717836619178087</v>
      </c>
      <c r="K62" s="86">
        <f t="shared" si="28"/>
        <v>33.717836619178087</v>
      </c>
      <c r="L62" s="84">
        <f t="shared" si="28"/>
        <v>33.717836619178087</v>
      </c>
      <c r="M62" s="85">
        <f t="shared" si="28"/>
        <v>33.717836619178087</v>
      </c>
      <c r="N62" s="85">
        <f t="shared" si="28"/>
        <v>33.717836619178087</v>
      </c>
      <c r="O62" s="85">
        <f t="shared" si="28"/>
        <v>33.717836619178087</v>
      </c>
      <c r="P62" s="85">
        <f t="shared" si="28"/>
        <v>33.717836619178087</v>
      </c>
      <c r="Q62" s="86">
        <f t="shared" si="28"/>
        <v>33.717836619178087</v>
      </c>
      <c r="R62" s="71"/>
    </row>
    <row r="63" spans="2:18" ht="15" x14ac:dyDescent="0.25">
      <c r="B63" s="207"/>
      <c r="C63" s="2" t="s">
        <v>93</v>
      </c>
      <c r="D63" s="2" t="s">
        <v>3</v>
      </c>
      <c r="E63" s="4"/>
      <c r="F63" s="166">
        <v>4.679E-3</v>
      </c>
      <c r="G63" s="85">
        <f>+F63</f>
        <v>4.679E-3</v>
      </c>
      <c r="H63" s="85">
        <f t="shared" si="28"/>
        <v>4.679E-3</v>
      </c>
      <c r="I63" s="85">
        <f t="shared" si="28"/>
        <v>4.679E-3</v>
      </c>
      <c r="J63" s="85">
        <f t="shared" si="28"/>
        <v>4.679E-3</v>
      </c>
      <c r="K63" s="86">
        <f t="shared" si="28"/>
        <v>4.679E-3</v>
      </c>
      <c r="L63" s="84">
        <f t="shared" si="28"/>
        <v>4.679E-3</v>
      </c>
      <c r="M63" s="85">
        <f t="shared" si="28"/>
        <v>4.679E-3</v>
      </c>
      <c r="N63" s="85">
        <f t="shared" si="28"/>
        <v>4.679E-3</v>
      </c>
      <c r="O63" s="85">
        <f t="shared" si="28"/>
        <v>4.679E-3</v>
      </c>
      <c r="P63" s="85">
        <f t="shared" si="28"/>
        <v>4.679E-3</v>
      </c>
      <c r="Q63" s="86">
        <f t="shared" si="28"/>
        <v>4.679E-3</v>
      </c>
      <c r="R63" s="71"/>
    </row>
    <row r="64" spans="2:18" ht="15" x14ac:dyDescent="0.25">
      <c r="B64" s="207"/>
      <c r="C64" s="45" t="s">
        <v>36</v>
      </c>
      <c r="D64" s="2" t="s">
        <v>4</v>
      </c>
      <c r="E64" s="4"/>
      <c r="F64" s="74">
        <f t="shared" ref="F64:Q64" si="29">ROUND(F62*F51,2)</f>
        <v>1045.25</v>
      </c>
      <c r="G64" s="75">
        <f t="shared" si="29"/>
        <v>1045.25</v>
      </c>
      <c r="H64" s="75">
        <f t="shared" si="29"/>
        <v>1011.54</v>
      </c>
      <c r="I64" s="75">
        <f t="shared" si="29"/>
        <v>1045.25</v>
      </c>
      <c r="J64" s="75">
        <f t="shared" si="29"/>
        <v>1011.54</v>
      </c>
      <c r="K64" s="76">
        <f t="shared" si="29"/>
        <v>1045.25</v>
      </c>
      <c r="L64" s="74">
        <f t="shared" si="29"/>
        <v>1045.25</v>
      </c>
      <c r="M64" s="75">
        <f t="shared" si="29"/>
        <v>944.1</v>
      </c>
      <c r="N64" s="75">
        <f t="shared" si="29"/>
        <v>1045.25</v>
      </c>
      <c r="O64" s="75">
        <f t="shared" si="29"/>
        <v>1011.54</v>
      </c>
      <c r="P64" s="75">
        <f t="shared" si="29"/>
        <v>1045.25</v>
      </c>
      <c r="Q64" s="76">
        <f t="shared" si="29"/>
        <v>1011.54</v>
      </c>
      <c r="R64" s="71"/>
    </row>
    <row r="65" spans="2:20" ht="15.6" thickBot="1" x14ac:dyDescent="0.3">
      <c r="B65" s="207"/>
      <c r="C65" s="45" t="s">
        <v>37</v>
      </c>
      <c r="D65" s="2" t="s">
        <v>4</v>
      </c>
      <c r="E65" s="4"/>
      <c r="F65" s="74">
        <f t="shared" ref="F65:Q65" si="30">ROUND(F63*F53,2)</f>
        <v>46.97</v>
      </c>
      <c r="G65" s="75">
        <f t="shared" si="30"/>
        <v>44.68</v>
      </c>
      <c r="H65" s="75">
        <f t="shared" si="30"/>
        <v>47.66</v>
      </c>
      <c r="I65" s="75">
        <f t="shared" si="30"/>
        <v>54.11</v>
      </c>
      <c r="J65" s="75">
        <f t="shared" si="30"/>
        <v>1368.36</v>
      </c>
      <c r="K65" s="76">
        <f t="shared" si="30"/>
        <v>2122.5</v>
      </c>
      <c r="L65" s="74">
        <f t="shared" si="30"/>
        <v>2291.67</v>
      </c>
      <c r="M65" s="75">
        <f t="shared" si="30"/>
        <v>2405.89</v>
      </c>
      <c r="N65" s="75">
        <f t="shared" si="30"/>
        <v>1799.65</v>
      </c>
      <c r="O65" s="75">
        <f t="shared" si="30"/>
        <v>1334.45</v>
      </c>
      <c r="P65" s="75">
        <f t="shared" si="30"/>
        <v>365.63</v>
      </c>
      <c r="Q65" s="76">
        <f t="shared" si="30"/>
        <v>58.24</v>
      </c>
      <c r="R65" s="39"/>
    </row>
    <row r="66" spans="2:20" ht="16.2" thickBot="1" x14ac:dyDescent="0.35">
      <c r="B66" s="207"/>
      <c r="C66" s="101" t="s">
        <v>42</v>
      </c>
      <c r="D66" s="58" t="s">
        <v>4</v>
      </c>
      <c r="E66" s="51"/>
      <c r="F66" s="26">
        <f t="shared" ref="F66:Q66" si="31">SUM(F64:F65)</f>
        <v>1092.22</v>
      </c>
      <c r="G66" s="27">
        <f t="shared" si="31"/>
        <v>1089.93</v>
      </c>
      <c r="H66" s="27">
        <f t="shared" si="31"/>
        <v>1059.2</v>
      </c>
      <c r="I66" s="27">
        <f t="shared" si="31"/>
        <v>1099.3599999999999</v>
      </c>
      <c r="J66" s="27">
        <f t="shared" si="31"/>
        <v>2379.8999999999996</v>
      </c>
      <c r="K66" s="28">
        <f t="shared" si="31"/>
        <v>3167.75</v>
      </c>
      <c r="L66" s="91">
        <f t="shared" si="31"/>
        <v>3336.92</v>
      </c>
      <c r="M66" s="27">
        <f t="shared" si="31"/>
        <v>3349.99</v>
      </c>
      <c r="N66" s="27">
        <f t="shared" si="31"/>
        <v>2844.9</v>
      </c>
      <c r="O66" s="27">
        <f t="shared" si="31"/>
        <v>2345.9899999999998</v>
      </c>
      <c r="P66" s="27">
        <f t="shared" si="31"/>
        <v>1410.88</v>
      </c>
      <c r="Q66" s="28">
        <f t="shared" si="31"/>
        <v>1069.78</v>
      </c>
      <c r="R66" s="54">
        <f>SUM(F66:Q66)</f>
        <v>24246.820000000003</v>
      </c>
    </row>
    <row r="67" spans="2:20" ht="15" x14ac:dyDescent="0.25">
      <c r="B67" s="5"/>
      <c r="C67" s="23"/>
      <c r="D67" s="23"/>
      <c r="E67" s="4"/>
      <c r="F67" s="55"/>
      <c r="G67" s="56"/>
      <c r="H67" s="56"/>
      <c r="I67" s="56"/>
      <c r="J67" s="56"/>
      <c r="K67" s="57"/>
      <c r="L67" s="55"/>
      <c r="M67" s="56"/>
      <c r="N67" s="56"/>
      <c r="O67" s="56"/>
      <c r="P67" s="56"/>
      <c r="Q67" s="57"/>
      <c r="R67" s="70"/>
    </row>
    <row r="68" spans="2:20" ht="15" x14ac:dyDescent="0.25">
      <c r="B68" s="208" t="s">
        <v>47</v>
      </c>
      <c r="C68" s="103" t="s">
        <v>96</v>
      </c>
      <c r="D68" s="2" t="s">
        <v>4</v>
      </c>
      <c r="E68" s="4"/>
      <c r="F68" s="74">
        <f t="shared" ref="F68:Q68" si="32">ROUND(F29*F51,2)</f>
        <v>8.5</v>
      </c>
      <c r="G68" s="75">
        <f t="shared" si="32"/>
        <v>8.5</v>
      </c>
      <c r="H68" s="75">
        <f t="shared" si="32"/>
        <v>8.23</v>
      </c>
      <c r="I68" s="75">
        <f t="shared" si="32"/>
        <v>8.5</v>
      </c>
      <c r="J68" s="75">
        <f t="shared" si="32"/>
        <v>8.23</v>
      </c>
      <c r="K68" s="76">
        <f t="shared" si="32"/>
        <v>8.5</v>
      </c>
      <c r="L68" s="74">
        <f t="shared" si="32"/>
        <v>8.5</v>
      </c>
      <c r="M68" s="75">
        <f t="shared" si="32"/>
        <v>7.68</v>
      </c>
      <c r="N68" s="75">
        <f t="shared" si="32"/>
        <v>8.5</v>
      </c>
      <c r="O68" s="75">
        <f t="shared" si="32"/>
        <v>8.23</v>
      </c>
      <c r="P68" s="75">
        <f t="shared" si="32"/>
        <v>8.5</v>
      </c>
      <c r="Q68" s="76">
        <f t="shared" si="32"/>
        <v>8.23</v>
      </c>
      <c r="R68" s="97">
        <f>SUM(F68:Q68)</f>
        <v>100.10000000000002</v>
      </c>
    </row>
    <row r="69" spans="2:20" ht="16.5" customHeight="1" thickBot="1" x14ac:dyDescent="0.3">
      <c r="B69" s="209"/>
      <c r="C69" s="103" t="s">
        <v>97</v>
      </c>
      <c r="D69" s="2" t="s">
        <v>4</v>
      </c>
      <c r="E69" s="4"/>
      <c r="F69" s="74">
        <f t="shared" ref="F69:Q69" si="33">ROUND(F53*F30,2)</f>
        <v>65.819999999999993</v>
      </c>
      <c r="G69" s="75">
        <f t="shared" si="33"/>
        <v>62.61</v>
      </c>
      <c r="H69" s="75">
        <f t="shared" si="33"/>
        <v>66.78</v>
      </c>
      <c r="I69" s="75">
        <f t="shared" si="33"/>
        <v>75.83</v>
      </c>
      <c r="J69" s="75">
        <f t="shared" si="33"/>
        <v>1917.58</v>
      </c>
      <c r="K69" s="76">
        <f t="shared" si="33"/>
        <v>2974.41</v>
      </c>
      <c r="L69" s="74">
        <f t="shared" si="33"/>
        <v>3211.47</v>
      </c>
      <c r="M69" s="75">
        <f t="shared" si="33"/>
        <v>3371.53</v>
      </c>
      <c r="N69" s="75">
        <f t="shared" si="33"/>
        <v>2521.9699999999998</v>
      </c>
      <c r="O69" s="75">
        <f t="shared" si="33"/>
        <v>1870.05</v>
      </c>
      <c r="P69" s="75">
        <f t="shared" si="33"/>
        <v>512.38</v>
      </c>
      <c r="Q69" s="76">
        <f t="shared" si="33"/>
        <v>81.62</v>
      </c>
      <c r="R69" s="97">
        <f>SUM(F69:Q69)</f>
        <v>16732.05</v>
      </c>
      <c r="T69" s="5"/>
    </row>
    <row r="70" spans="2:20" ht="16.2" thickBot="1" x14ac:dyDescent="0.35">
      <c r="B70" s="210"/>
      <c r="C70" s="122" t="s">
        <v>48</v>
      </c>
      <c r="D70" s="58" t="s">
        <v>4</v>
      </c>
      <c r="E70" s="4"/>
      <c r="F70" s="26">
        <f>+F69+F68</f>
        <v>74.319999999999993</v>
      </c>
      <c r="G70" s="27">
        <f t="shared" ref="G70:Q70" si="34">SUM(G68:G69)</f>
        <v>71.11</v>
      </c>
      <c r="H70" s="27">
        <f t="shared" si="34"/>
        <v>75.010000000000005</v>
      </c>
      <c r="I70" s="27">
        <f t="shared" si="34"/>
        <v>84.33</v>
      </c>
      <c r="J70" s="27">
        <f t="shared" si="34"/>
        <v>1925.81</v>
      </c>
      <c r="K70" s="28">
        <f t="shared" si="34"/>
        <v>2982.91</v>
      </c>
      <c r="L70" s="91">
        <f t="shared" si="34"/>
        <v>3219.97</v>
      </c>
      <c r="M70" s="27">
        <f t="shared" si="34"/>
        <v>3379.21</v>
      </c>
      <c r="N70" s="27">
        <f t="shared" si="34"/>
        <v>2530.4699999999998</v>
      </c>
      <c r="O70" s="27">
        <f t="shared" si="34"/>
        <v>1878.28</v>
      </c>
      <c r="P70" s="27">
        <f t="shared" si="34"/>
        <v>520.88</v>
      </c>
      <c r="Q70" s="28">
        <f t="shared" si="34"/>
        <v>89.850000000000009</v>
      </c>
      <c r="R70" s="54">
        <f>SUM(F70:Q70)</f>
        <v>16832.149999999998</v>
      </c>
    </row>
    <row r="71" spans="2:20" x14ac:dyDescent="0.25">
      <c r="B71" s="5"/>
      <c r="C71" s="5"/>
      <c r="D71" s="5"/>
      <c r="E71" s="5"/>
      <c r="F71" s="104"/>
      <c r="G71" s="105"/>
      <c r="H71" s="105"/>
      <c r="I71" s="105"/>
      <c r="J71" s="105"/>
      <c r="K71" s="106"/>
      <c r="L71" s="104"/>
      <c r="M71" s="105"/>
      <c r="N71" s="105"/>
      <c r="O71" s="105"/>
      <c r="P71" s="105"/>
      <c r="Q71" s="106"/>
      <c r="R71" s="107"/>
      <c r="S71" s="5"/>
    </row>
    <row r="72" spans="2:20" ht="15" x14ac:dyDescent="0.25">
      <c r="B72" s="2" t="s">
        <v>39</v>
      </c>
      <c r="C72" s="2" t="s">
        <v>49</v>
      </c>
      <c r="D72" s="2" t="s">
        <v>4</v>
      </c>
      <c r="E72" s="5"/>
      <c r="F72" s="74">
        <f t="shared" ref="F72:Q72" si="35">ROUND((F60+F66)*0.00966,2)</f>
        <v>11.71</v>
      </c>
      <c r="G72" s="75">
        <f t="shared" si="35"/>
        <v>11.69</v>
      </c>
      <c r="H72" s="75">
        <f t="shared" si="35"/>
        <v>11.35</v>
      </c>
      <c r="I72" s="75">
        <f t="shared" si="35"/>
        <v>11.78</v>
      </c>
      <c r="J72" s="75">
        <f t="shared" si="35"/>
        <v>24.11</v>
      </c>
      <c r="K72" s="76">
        <f t="shared" si="35"/>
        <v>31.76</v>
      </c>
      <c r="L72" s="74">
        <f t="shared" si="35"/>
        <v>33.39</v>
      </c>
      <c r="M72" s="75">
        <f t="shared" si="35"/>
        <v>33.409999999999997</v>
      </c>
      <c r="N72" s="75">
        <f t="shared" si="35"/>
        <v>28.64</v>
      </c>
      <c r="O72" s="75">
        <f t="shared" si="35"/>
        <v>23.78</v>
      </c>
      <c r="P72" s="75">
        <f t="shared" si="35"/>
        <v>14.79</v>
      </c>
      <c r="Q72" s="76">
        <f t="shared" si="35"/>
        <v>11.46</v>
      </c>
      <c r="R72" s="97">
        <f t="shared" ref="R72:R73" si="36">SUM(F72:Q72)</f>
        <v>247.87000000000003</v>
      </c>
      <c r="S72" s="5"/>
    </row>
    <row r="73" spans="2:20" ht="15" x14ac:dyDescent="0.25">
      <c r="B73" s="2" t="s">
        <v>57</v>
      </c>
      <c r="C73" s="2" t="s">
        <v>55</v>
      </c>
      <c r="D73" s="2" t="s">
        <v>4</v>
      </c>
      <c r="E73" s="5"/>
      <c r="F73" s="74">
        <f t="shared" ref="F73:Q73" si="37">ROUND((F60+F66+F70)*0.0014,2)</f>
        <v>1.8</v>
      </c>
      <c r="G73" s="75">
        <f t="shared" si="37"/>
        <v>1.79</v>
      </c>
      <c r="H73" s="75">
        <f t="shared" si="37"/>
        <v>1.75</v>
      </c>
      <c r="I73" s="75">
        <f t="shared" si="37"/>
        <v>1.83</v>
      </c>
      <c r="J73" s="75">
        <f t="shared" si="37"/>
        <v>6.19</v>
      </c>
      <c r="K73" s="76">
        <f t="shared" si="37"/>
        <v>8.7799999999999994</v>
      </c>
      <c r="L73" s="74">
        <f t="shared" si="37"/>
        <v>9.35</v>
      </c>
      <c r="M73" s="75">
        <f t="shared" si="37"/>
        <v>9.57</v>
      </c>
      <c r="N73" s="75">
        <f t="shared" si="37"/>
        <v>7.69</v>
      </c>
      <c r="O73" s="75">
        <f t="shared" si="37"/>
        <v>6.08</v>
      </c>
      <c r="P73" s="75">
        <f t="shared" si="37"/>
        <v>2.87</v>
      </c>
      <c r="Q73" s="76">
        <f t="shared" si="37"/>
        <v>1.79</v>
      </c>
      <c r="R73" s="97">
        <f t="shared" si="36"/>
        <v>59.489999999999995</v>
      </c>
      <c r="S73" s="5"/>
    </row>
    <row r="74" spans="2:20" ht="15.6" thickBot="1" x14ac:dyDescent="0.3">
      <c r="B74" s="2" t="s">
        <v>54</v>
      </c>
      <c r="C74" s="123" t="s">
        <v>56</v>
      </c>
      <c r="D74" s="60" t="s">
        <v>4</v>
      </c>
      <c r="E74" s="4"/>
      <c r="F74" s="78">
        <f t="shared" ref="F74:Q74" si="38">ROUND(F53*0.00054,2)</f>
        <v>5.42</v>
      </c>
      <c r="G74" s="79">
        <f t="shared" si="38"/>
        <v>5.16</v>
      </c>
      <c r="H74" s="79">
        <f t="shared" si="38"/>
        <v>5.5</v>
      </c>
      <c r="I74" s="79">
        <f t="shared" si="38"/>
        <v>6.24</v>
      </c>
      <c r="J74" s="79">
        <f t="shared" si="38"/>
        <v>157.91999999999999</v>
      </c>
      <c r="K74" s="80">
        <f t="shared" si="38"/>
        <v>244.96</v>
      </c>
      <c r="L74" s="78">
        <f t="shared" si="38"/>
        <v>264.48</v>
      </c>
      <c r="M74" s="79">
        <f t="shared" si="38"/>
        <v>277.66000000000003</v>
      </c>
      <c r="N74" s="79">
        <f t="shared" si="38"/>
        <v>207.7</v>
      </c>
      <c r="O74" s="79">
        <f t="shared" si="38"/>
        <v>154.01</v>
      </c>
      <c r="P74" s="79">
        <f t="shared" si="38"/>
        <v>42.2</v>
      </c>
      <c r="Q74" s="80">
        <f t="shared" si="38"/>
        <v>6.72</v>
      </c>
      <c r="R74" s="108">
        <f>SUM(F74:Q74)</f>
        <v>1377.9700000000003</v>
      </c>
    </row>
    <row r="75" spans="2:20" ht="16.2" thickBot="1" x14ac:dyDescent="0.35">
      <c r="B75" s="23"/>
      <c r="C75" s="22" t="s">
        <v>58</v>
      </c>
      <c r="D75" s="50" t="s">
        <v>4</v>
      </c>
      <c r="E75" s="61"/>
      <c r="F75" s="26">
        <f>SUM(F72:F74)</f>
        <v>18.93</v>
      </c>
      <c r="G75" s="27">
        <f t="shared" ref="G75:Q75" si="39">SUM(G72:G74)</f>
        <v>18.64</v>
      </c>
      <c r="H75" s="27">
        <f t="shared" si="39"/>
        <v>18.600000000000001</v>
      </c>
      <c r="I75" s="27">
        <f t="shared" si="39"/>
        <v>19.850000000000001</v>
      </c>
      <c r="J75" s="27">
        <f t="shared" si="39"/>
        <v>188.22</v>
      </c>
      <c r="K75" s="28">
        <f t="shared" si="39"/>
        <v>285.5</v>
      </c>
      <c r="L75" s="26">
        <f t="shared" si="39"/>
        <v>307.22000000000003</v>
      </c>
      <c r="M75" s="27">
        <f t="shared" si="39"/>
        <v>320.64000000000004</v>
      </c>
      <c r="N75" s="27">
        <f t="shared" si="39"/>
        <v>244.02999999999997</v>
      </c>
      <c r="O75" s="27">
        <f t="shared" si="39"/>
        <v>183.87</v>
      </c>
      <c r="P75" s="27">
        <f t="shared" si="39"/>
        <v>59.86</v>
      </c>
      <c r="Q75" s="49">
        <f t="shared" si="39"/>
        <v>19.97</v>
      </c>
      <c r="R75" s="54">
        <f>SUM(F75:Q75)</f>
        <v>1685.33</v>
      </c>
    </row>
    <row r="76" spans="2:20" ht="15.6" thickBot="1" x14ac:dyDescent="0.3">
      <c r="C76" s="23"/>
      <c r="D76" s="23"/>
      <c r="E76" s="4"/>
      <c r="F76" s="38"/>
      <c r="G76" s="6"/>
      <c r="H76" s="6"/>
      <c r="I76" s="6"/>
      <c r="J76" s="6"/>
      <c r="K76" s="39"/>
      <c r="L76" s="38"/>
      <c r="M76" s="6"/>
      <c r="N76" s="6"/>
      <c r="O76" s="6"/>
      <c r="P76" s="6"/>
      <c r="Q76" s="6"/>
      <c r="R76" s="71"/>
    </row>
    <row r="77" spans="2:20" ht="16.2" thickBot="1" x14ac:dyDescent="0.35">
      <c r="B77" s="102" t="s">
        <v>23</v>
      </c>
      <c r="C77" s="22" t="s">
        <v>63</v>
      </c>
      <c r="D77" s="59" t="s">
        <v>4</v>
      </c>
      <c r="E77" s="51"/>
      <c r="F77" s="52">
        <v>41.59</v>
      </c>
      <c r="G77" s="53">
        <v>41.59</v>
      </c>
      <c r="H77" s="53">
        <v>41.59</v>
      </c>
      <c r="I77" s="53">
        <v>41.59</v>
      </c>
      <c r="J77" s="53">
        <v>41.59</v>
      </c>
      <c r="K77" s="53">
        <v>41.59</v>
      </c>
      <c r="L77" s="52">
        <v>41.59</v>
      </c>
      <c r="M77" s="53">
        <v>41.59</v>
      </c>
      <c r="N77" s="53">
        <v>41.59</v>
      </c>
      <c r="O77" s="53">
        <v>41.59</v>
      </c>
      <c r="P77" s="53">
        <v>41.59</v>
      </c>
      <c r="Q77" s="44">
        <v>41.59</v>
      </c>
      <c r="R77" s="44">
        <f>SUM(F77:Q77)</f>
        <v>499.08000000000015</v>
      </c>
    </row>
    <row r="78" spans="2:20" ht="15.6" thickBot="1" x14ac:dyDescent="0.3">
      <c r="C78" s="23"/>
      <c r="D78" s="23"/>
      <c r="E78" s="4"/>
      <c r="F78" s="38"/>
      <c r="G78" s="6"/>
      <c r="H78" s="6"/>
      <c r="I78" s="6"/>
      <c r="J78" s="6"/>
      <c r="K78" s="6"/>
      <c r="L78" s="38"/>
      <c r="M78" s="6"/>
      <c r="N78" s="6"/>
      <c r="O78" s="6"/>
      <c r="P78" s="6"/>
      <c r="Q78" s="39"/>
      <c r="R78" s="39"/>
    </row>
    <row r="79" spans="2:20" ht="16.2" thickBot="1" x14ac:dyDescent="0.35">
      <c r="C79" s="24" t="s">
        <v>20</v>
      </c>
      <c r="D79" s="58" t="s">
        <v>3</v>
      </c>
      <c r="E79" s="4"/>
      <c r="F79" s="40">
        <f t="shared" ref="F79:R79" si="40">+F81/F53</f>
        <v>0.17420203227734607</v>
      </c>
      <c r="G79" s="41">
        <f t="shared" si="40"/>
        <v>0.18046811184417216</v>
      </c>
      <c r="H79" s="41">
        <f t="shared" si="40"/>
        <v>0.16867746686303386</v>
      </c>
      <c r="I79" s="41">
        <f t="shared" si="40"/>
        <v>0.15805517122103077</v>
      </c>
      <c r="J79" s="41">
        <f t="shared" si="40"/>
        <v>5.5906075610022976E-2</v>
      </c>
      <c r="K79" s="42">
        <f t="shared" si="40"/>
        <v>5.4544699012175318E-2</v>
      </c>
      <c r="L79" s="40">
        <f t="shared" si="40"/>
        <v>5.4344784780043204E-2</v>
      </c>
      <c r="M79" s="41">
        <f t="shared" si="40"/>
        <v>5.4002407679681355E-2</v>
      </c>
      <c r="N79" s="41">
        <f t="shared" si="40"/>
        <v>5.5030471475890616E-2</v>
      </c>
      <c r="O79" s="41">
        <f t="shared" si="40"/>
        <v>5.6009558238282749E-2</v>
      </c>
      <c r="P79" s="41">
        <f t="shared" si="40"/>
        <v>6.7555507211138552E-2</v>
      </c>
      <c r="Q79" s="43">
        <f t="shared" si="40"/>
        <v>0.14743653598971723</v>
      </c>
      <c r="R79" s="25">
        <f t="shared" si="40"/>
        <v>5.7508120786038001E-2</v>
      </c>
    </row>
    <row r="80" spans="2:20" ht="15.6" thickBot="1" x14ac:dyDescent="0.3">
      <c r="C80" s="23"/>
      <c r="D80" s="23"/>
      <c r="E80" s="4"/>
      <c r="F80" s="37"/>
      <c r="G80" s="23"/>
      <c r="H80" s="23"/>
      <c r="I80" s="23"/>
      <c r="J80" s="23"/>
      <c r="K80" s="23"/>
      <c r="L80" s="37"/>
      <c r="M80" s="23"/>
      <c r="N80" s="23"/>
      <c r="O80" s="23"/>
      <c r="P80" s="23"/>
      <c r="Q80" s="17"/>
      <c r="R80" s="17"/>
    </row>
    <row r="81" spans="2:18" ht="16.2" thickBot="1" x14ac:dyDescent="0.35">
      <c r="B81" s="4"/>
      <c r="C81" s="24" t="s">
        <v>50</v>
      </c>
      <c r="D81" s="59" t="s">
        <v>18</v>
      </c>
      <c r="E81" s="4"/>
      <c r="F81" s="26">
        <f t="shared" ref="F81:Q81" si="41">F56+F60+F66+F70+F75+F77</f>
        <v>1748.6399999999999</v>
      </c>
      <c r="G81" s="27">
        <f t="shared" si="41"/>
        <v>1723.29</v>
      </c>
      <c r="H81" s="27">
        <f t="shared" si="41"/>
        <v>1717.98</v>
      </c>
      <c r="I81" s="27">
        <f t="shared" si="41"/>
        <v>1827.7499999999998</v>
      </c>
      <c r="J81" s="27">
        <f t="shared" si="41"/>
        <v>16349.619999999999</v>
      </c>
      <c r="K81" s="28">
        <f t="shared" si="41"/>
        <v>24742.730000000003</v>
      </c>
      <c r="L81" s="26">
        <f t="shared" si="41"/>
        <v>26616.880000000001</v>
      </c>
      <c r="M81" s="27">
        <f t="shared" si="41"/>
        <v>27767.389999999996</v>
      </c>
      <c r="N81" s="27">
        <f t="shared" si="41"/>
        <v>21165.93</v>
      </c>
      <c r="O81" s="27">
        <f t="shared" si="41"/>
        <v>15973.870000000003</v>
      </c>
      <c r="P81" s="27">
        <f t="shared" si="41"/>
        <v>5278.99</v>
      </c>
      <c r="Q81" s="28">
        <f t="shared" si="41"/>
        <v>1835.29</v>
      </c>
      <c r="R81" s="44">
        <f>SUM(F81:Q81)</f>
        <v>146748.35999999999</v>
      </c>
    </row>
    <row r="82" spans="2:18" ht="13.8" thickBot="1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2:18" ht="21.6" thickBot="1" x14ac:dyDescent="0.45">
      <c r="B83" s="4"/>
      <c r="C83" s="177" t="s">
        <v>24</v>
      </c>
      <c r="D83" s="178"/>
      <c r="E83" s="178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80"/>
      <c r="R83" s="18" t="s">
        <v>88</v>
      </c>
    </row>
    <row r="84" spans="2:18" ht="15" x14ac:dyDescent="0.25">
      <c r="B84" s="4"/>
      <c r="C84" s="35" t="s">
        <v>27</v>
      </c>
      <c r="D84" s="35" t="s">
        <v>0</v>
      </c>
      <c r="E84" s="23"/>
      <c r="F84" s="62">
        <f t="shared" ref="F84:Q84" si="42">+F12+F53</f>
        <v>15071</v>
      </c>
      <c r="G84" s="63">
        <f t="shared" si="42"/>
        <v>14631</v>
      </c>
      <c r="H84" s="63">
        <f t="shared" si="42"/>
        <v>15345</v>
      </c>
      <c r="I84" s="63">
        <f t="shared" si="42"/>
        <v>16878</v>
      </c>
      <c r="J84" s="63">
        <f t="shared" si="42"/>
        <v>534379</v>
      </c>
      <c r="K84" s="64">
        <f t="shared" si="42"/>
        <v>822475</v>
      </c>
      <c r="L84" s="62">
        <f t="shared" si="42"/>
        <v>886001</v>
      </c>
      <c r="M84" s="63">
        <f t="shared" si="42"/>
        <v>879134</v>
      </c>
      <c r="N84" s="63">
        <f t="shared" si="42"/>
        <v>744326</v>
      </c>
      <c r="O84" s="63">
        <f t="shared" si="42"/>
        <v>438546</v>
      </c>
      <c r="P84" s="63">
        <f t="shared" si="42"/>
        <v>82849</v>
      </c>
      <c r="Q84" s="64">
        <f t="shared" si="42"/>
        <v>14732</v>
      </c>
      <c r="R84" s="68">
        <f>SUM(F84:Q84)</f>
        <v>4464367</v>
      </c>
    </row>
    <row r="85" spans="2:18" ht="15.6" thickBot="1" x14ac:dyDescent="0.3">
      <c r="B85" s="4"/>
      <c r="C85" s="45" t="s">
        <v>20</v>
      </c>
      <c r="D85" s="45" t="s">
        <v>5</v>
      </c>
      <c r="E85" s="5"/>
      <c r="F85" s="65">
        <f t="shared" ref="F85:R85" si="43">+F86/F84</f>
        <v>0.22238073120562671</v>
      </c>
      <c r="G85" s="66">
        <f t="shared" si="43"/>
        <v>0.22750939785387189</v>
      </c>
      <c r="H85" s="66">
        <f t="shared" si="43"/>
        <v>0.21434669273378951</v>
      </c>
      <c r="I85" s="66">
        <f t="shared" si="43"/>
        <v>0.20412252636568309</v>
      </c>
      <c r="J85" s="66">
        <f t="shared" si="43"/>
        <v>5.650349283935184E-2</v>
      </c>
      <c r="K85" s="67">
        <f t="shared" si="43"/>
        <v>5.4961986686525424E-2</v>
      </c>
      <c r="L85" s="65">
        <f t="shared" si="43"/>
        <v>5.4737906616358217E-2</v>
      </c>
      <c r="M85" s="66">
        <f t="shared" si="43"/>
        <v>5.4499314097737089E-2</v>
      </c>
      <c r="N85" s="66">
        <f t="shared" si="43"/>
        <v>5.5290101380309167E-2</v>
      </c>
      <c r="O85" s="66">
        <f t="shared" si="43"/>
        <v>5.7523270078851482E-2</v>
      </c>
      <c r="P85" s="66">
        <f t="shared" si="43"/>
        <v>8.2860505256551073E-2</v>
      </c>
      <c r="Q85" s="67">
        <f t="shared" si="43"/>
        <v>0.2211098289437958</v>
      </c>
      <c r="R85" s="69">
        <f t="shared" si="43"/>
        <v>5.862565958399029E-2</v>
      </c>
    </row>
    <row r="86" spans="2:18" ht="16.2" thickBot="1" x14ac:dyDescent="0.35">
      <c r="C86" s="47" t="s">
        <v>28</v>
      </c>
      <c r="D86" s="46" t="s">
        <v>4</v>
      </c>
      <c r="E86" s="5"/>
      <c r="F86" s="26">
        <f t="shared" ref="F86:Q86" si="44">F81+F46</f>
        <v>3351.5</v>
      </c>
      <c r="G86" s="27">
        <f t="shared" si="44"/>
        <v>3328.6899999999996</v>
      </c>
      <c r="H86" s="27">
        <f t="shared" si="44"/>
        <v>3289.15</v>
      </c>
      <c r="I86" s="27">
        <f t="shared" si="44"/>
        <v>3445.1799999999994</v>
      </c>
      <c r="J86" s="27">
        <f t="shared" si="44"/>
        <v>30194.28</v>
      </c>
      <c r="K86" s="28">
        <f t="shared" si="44"/>
        <v>45204.86</v>
      </c>
      <c r="L86" s="26">
        <f t="shared" si="44"/>
        <v>48497.84</v>
      </c>
      <c r="M86" s="27">
        <f t="shared" si="44"/>
        <v>47912.2</v>
      </c>
      <c r="N86" s="27">
        <f t="shared" si="44"/>
        <v>41153.86</v>
      </c>
      <c r="O86" s="27">
        <f t="shared" si="44"/>
        <v>25226.600000000002</v>
      </c>
      <c r="P86" s="27">
        <f t="shared" si="44"/>
        <v>6864.91</v>
      </c>
      <c r="Q86" s="28">
        <f t="shared" si="44"/>
        <v>3257.39</v>
      </c>
      <c r="R86" s="54">
        <f>ROUND(SUM(F86:Q86),2)</f>
        <v>261726.46</v>
      </c>
    </row>
    <row r="87" spans="2:18" ht="16.2" thickBot="1" x14ac:dyDescent="0.35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09" t="s">
        <v>29</v>
      </c>
      <c r="R87" s="44">
        <f>ROUND(R86*0.21,2)</f>
        <v>54962.559999999998</v>
      </c>
    </row>
    <row r="88" spans="2:18" ht="16.2" thickBot="1" x14ac:dyDescent="0.35">
      <c r="Q88" s="109" t="s">
        <v>51</v>
      </c>
      <c r="R88" s="44">
        <f>+R87+R86</f>
        <v>316689.02</v>
      </c>
    </row>
  </sheetData>
  <mergeCells count="16">
    <mergeCell ref="B58:B60"/>
    <mergeCell ref="B62:B66"/>
    <mergeCell ref="B68:B70"/>
    <mergeCell ref="C83:Q83"/>
    <mergeCell ref="B9:C9"/>
    <mergeCell ref="B17:B21"/>
    <mergeCell ref="F49:K49"/>
    <mergeCell ref="L49:Q49"/>
    <mergeCell ref="B29:B33"/>
    <mergeCell ref="B40:B42"/>
    <mergeCell ref="F48:Q48"/>
    <mergeCell ref="F5:Q5"/>
    <mergeCell ref="F7:Q7"/>
    <mergeCell ref="F8:K8"/>
    <mergeCell ref="L8:Q8"/>
    <mergeCell ref="B23:B27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te a new document." ma:contentTypeScope="" ma:versionID="08bd03de9dfd2373d8fd964e167c2b6f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2f83ad010a30933e6cf33a87705b254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22FB10-C17B-4C8C-A0CA-22CDA3FEF61F}"/>
</file>

<file path=customXml/itemProps2.xml><?xml version="1.0" encoding="utf-8"?>
<ds:datastoreItem xmlns:ds="http://schemas.openxmlformats.org/officeDocument/2006/customXml" ds:itemID="{63AEC772-A1C1-4DDB-B07B-CC88CD7B4BFB}"/>
</file>

<file path=customXml/itemProps3.xml><?xml version="1.0" encoding="utf-8"?>
<ds:datastoreItem xmlns:ds="http://schemas.openxmlformats.org/officeDocument/2006/customXml" ds:itemID="{9928BF2C-DFA1-45CB-AE38-24335EB5B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MODEL Oferta Formula Indexada</vt:lpstr>
      <vt:lpstr>Càlcul MODEL Oferta MIBGAS=44</vt:lpstr>
      <vt:lpstr>Càlcul MODEL Oferta MIBGAS=30</vt:lpstr>
    </vt:vector>
  </TitlesOfParts>
  <Company>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Miguel Maestre</dc:creator>
  <cp:lastModifiedBy>Irina Muñiz Garcia</cp:lastModifiedBy>
  <cp:lastPrinted>2023-03-16T08:30:41Z</cp:lastPrinted>
  <dcterms:created xsi:type="dcterms:W3CDTF">2004-12-09T09:23:28Z</dcterms:created>
  <dcterms:modified xsi:type="dcterms:W3CDTF">2025-10-21T10:37:37Z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