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theme/theme1.xml" ContentType="application/vnd.openxmlformats-officedocument.them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F:\DEF\BUSTIA\APROV\2 SUBMINISTRAMENTS\2.0.- OTA DEF\2.0.6.- Energia 704\CONTRACTES EN PREPARACIÓ\CONTR-2025-655 Subministrament de gas natural COR i COM\"/>
    </mc:Choice>
  </mc:AlternateContent>
  <xr:revisionPtr revIDLastSave="0" documentId="13_ncr:1_{F80C46A6-1F9D-4437-8F26-B032564F62A0}" xr6:coauthVersionLast="47" xr6:coauthVersionMax="47" xr10:uidLastSave="{00000000-0000-0000-0000-000000000000}"/>
  <bookViews>
    <workbookView xWindow="-96" yWindow="0" windowWidth="20820" windowHeight="16560" activeTab="2" xr2:uid="{00000000-000D-0000-FFFF-FFFF00000000}"/>
  </bookViews>
  <sheets>
    <sheet name="Consum Martorell" sheetId="8" r:id="rId1"/>
    <sheet name="Consum Rubí" sheetId="26" r:id="rId2"/>
    <sheet name="Càlcul Import de licita 1er Any" sheetId="27" r:id="rId3"/>
    <sheet name="Resum IMPORT LICITACIÓ 1er Any" sheetId="34" r:id="rId4"/>
    <sheet name="Resum IMPORT LICITACIO + 1 Pror" sheetId="3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35" l="1"/>
  <c r="H8" i="35"/>
  <c r="L8" i="35"/>
  <c r="H7" i="35"/>
  <c r="Q36" i="34"/>
  <c r="P36" i="34"/>
  <c r="O36" i="34"/>
  <c r="N36" i="34"/>
  <c r="M36" i="34"/>
  <c r="L36" i="34"/>
  <c r="K36" i="34"/>
  <c r="J36" i="34"/>
  <c r="I36" i="34"/>
  <c r="H36" i="34"/>
  <c r="G36" i="34"/>
  <c r="F36" i="34"/>
  <c r="Q12" i="34"/>
  <c r="P12" i="34"/>
  <c r="O12" i="34"/>
  <c r="N12" i="34"/>
  <c r="M12" i="34"/>
  <c r="L12" i="34"/>
  <c r="K12" i="34"/>
  <c r="J12" i="34"/>
  <c r="I12" i="34"/>
  <c r="H12" i="34"/>
  <c r="G12" i="34"/>
  <c r="F12" i="34"/>
  <c r="F53" i="27" l="1"/>
  <c r="F69" i="27" s="1"/>
  <c r="F12" i="27"/>
  <c r="F37" i="27" s="1"/>
  <c r="F62" i="27"/>
  <c r="F68" i="27"/>
  <c r="F14" i="27" l="1"/>
  <c r="Q53" i="27"/>
  <c r="P53" i="27"/>
  <c r="O53" i="27"/>
  <c r="N53" i="27"/>
  <c r="M53" i="27"/>
  <c r="L53" i="27"/>
  <c r="K53" i="27"/>
  <c r="J53" i="27"/>
  <c r="I53" i="27"/>
  <c r="H53" i="27"/>
  <c r="G53" i="27"/>
  <c r="Q12" i="27"/>
  <c r="P12" i="27"/>
  <c r="O12" i="27"/>
  <c r="N12" i="27"/>
  <c r="M12" i="27"/>
  <c r="L12" i="27"/>
  <c r="K12" i="27"/>
  <c r="J12" i="27"/>
  <c r="I12" i="27"/>
  <c r="H12" i="27"/>
  <c r="G12" i="27"/>
  <c r="J7" i="35" l="1"/>
  <c r="N8" i="35"/>
  <c r="N7" i="35"/>
  <c r="F10" i="35"/>
  <c r="F55" i="27"/>
  <c r="F38" i="34" s="1"/>
  <c r="F14" i="34"/>
  <c r="J8" i="35" l="1"/>
  <c r="Q49" i="34"/>
  <c r="P49" i="34"/>
  <c r="O49" i="34"/>
  <c r="N49" i="34"/>
  <c r="M49" i="34"/>
  <c r="L49" i="34"/>
  <c r="K49" i="34"/>
  <c r="J49" i="34"/>
  <c r="I49" i="34"/>
  <c r="H49" i="34"/>
  <c r="G49" i="34"/>
  <c r="F49" i="34"/>
  <c r="N56" i="34"/>
  <c r="M56" i="34"/>
  <c r="L56" i="34"/>
  <c r="K56" i="34"/>
  <c r="F56" i="34"/>
  <c r="R34" i="34"/>
  <c r="R12" i="34"/>
  <c r="F12" i="35" s="1"/>
  <c r="R10" i="34"/>
  <c r="H12" i="35" l="1"/>
  <c r="L12" i="35" s="1"/>
  <c r="N12" i="35"/>
  <c r="R49" i="34"/>
  <c r="G14" i="34"/>
  <c r="G38" i="34"/>
  <c r="F39" i="34"/>
  <c r="F53" i="34" s="1"/>
  <c r="I56" i="34"/>
  <c r="Q56" i="34"/>
  <c r="G56" i="34"/>
  <c r="O56" i="34"/>
  <c r="H56" i="34"/>
  <c r="P56" i="34"/>
  <c r="R36" i="34"/>
  <c r="F16" i="35" s="1"/>
  <c r="J56" i="34"/>
  <c r="F15" i="34"/>
  <c r="F29" i="34" s="1"/>
  <c r="J12" i="35" l="1"/>
  <c r="H16" i="35"/>
  <c r="F21" i="35"/>
  <c r="J16" i="35"/>
  <c r="J21" i="35" s="1"/>
  <c r="G15" i="34"/>
  <c r="G29" i="34" s="1"/>
  <c r="H14" i="34"/>
  <c r="R56" i="34"/>
  <c r="H38" i="34"/>
  <c r="G39" i="34"/>
  <c r="G53" i="34" s="1"/>
  <c r="G55" i="27"/>
  <c r="H55" i="27" s="1"/>
  <c r="I55" i="27" s="1"/>
  <c r="J55" i="27" s="1"/>
  <c r="K55" i="27" s="1"/>
  <c r="L55" i="27" s="1"/>
  <c r="M55" i="27" s="1"/>
  <c r="N55" i="27" s="1"/>
  <c r="O55" i="27" s="1"/>
  <c r="P55" i="27" s="1"/>
  <c r="Q55" i="27" s="1"/>
  <c r="G63" i="27"/>
  <c r="Q37" i="27"/>
  <c r="P37" i="27"/>
  <c r="O37" i="27"/>
  <c r="N37" i="27"/>
  <c r="M37" i="27"/>
  <c r="L37" i="27"/>
  <c r="K37" i="27"/>
  <c r="J37" i="27"/>
  <c r="I37" i="27"/>
  <c r="H37" i="27"/>
  <c r="G37" i="27"/>
  <c r="F32" i="27"/>
  <c r="F20" i="27"/>
  <c r="G18" i="27"/>
  <c r="H18" i="27" s="1"/>
  <c r="I18" i="27" s="1"/>
  <c r="J18" i="27" s="1"/>
  <c r="K18" i="27" s="1"/>
  <c r="L18" i="27" s="1"/>
  <c r="M18" i="27" s="1"/>
  <c r="N18" i="27" s="1"/>
  <c r="O18" i="27" s="1"/>
  <c r="P18" i="27" s="1"/>
  <c r="Q18" i="27" s="1"/>
  <c r="Q20" i="27" s="1"/>
  <c r="F26" i="27"/>
  <c r="G30" i="27"/>
  <c r="H30" i="27" s="1"/>
  <c r="I30" i="27" s="1"/>
  <c r="J30" i="27" s="1"/>
  <c r="K30" i="27" s="1"/>
  <c r="L30" i="27" s="1"/>
  <c r="M30" i="27" s="1"/>
  <c r="N30" i="27" s="1"/>
  <c r="O30" i="27" s="1"/>
  <c r="P30" i="27" s="1"/>
  <c r="Q30" i="27" s="1"/>
  <c r="Q32" i="27" s="1"/>
  <c r="G24" i="27"/>
  <c r="H24" i="27" s="1"/>
  <c r="H26" i="27" s="1"/>
  <c r="J74" i="27"/>
  <c r="I74" i="27"/>
  <c r="F65" i="27"/>
  <c r="Q74" i="27"/>
  <c r="M74" i="27"/>
  <c r="R12" i="27"/>
  <c r="G59" i="27" l="1"/>
  <c r="H21" i="35"/>
  <c r="L16" i="35"/>
  <c r="L59" i="27"/>
  <c r="N59" i="27"/>
  <c r="H59" i="27"/>
  <c r="O59" i="27"/>
  <c r="K59" i="27"/>
  <c r="P69" i="27"/>
  <c r="J69" i="27"/>
  <c r="I14" i="34"/>
  <c r="H15" i="34"/>
  <c r="H29" i="34" s="1"/>
  <c r="I38" i="34"/>
  <c r="H39" i="34"/>
  <c r="H53" i="34" s="1"/>
  <c r="F15" i="27"/>
  <c r="G14" i="27"/>
  <c r="H14" i="27" s="1"/>
  <c r="I14" i="27" s="1"/>
  <c r="J14" i="27" s="1"/>
  <c r="K14" i="27" s="1"/>
  <c r="L14" i="27" s="1"/>
  <c r="M14" i="27" s="1"/>
  <c r="N14" i="27" s="1"/>
  <c r="O14" i="27" s="1"/>
  <c r="P14" i="27" s="1"/>
  <c r="Q14" i="27" s="1"/>
  <c r="Q15" i="27" s="1"/>
  <c r="K69" i="27"/>
  <c r="L69" i="27"/>
  <c r="M69" i="27"/>
  <c r="N69" i="27"/>
  <c r="G69" i="27"/>
  <c r="O69" i="27"/>
  <c r="P59" i="27"/>
  <c r="H69" i="27"/>
  <c r="Q59" i="27"/>
  <c r="I69" i="27"/>
  <c r="Q69" i="27"/>
  <c r="M59" i="27"/>
  <c r="I59" i="27"/>
  <c r="J59" i="27"/>
  <c r="F59" i="27"/>
  <c r="F84" i="27"/>
  <c r="F56" i="27"/>
  <c r="G65" i="27"/>
  <c r="G56" i="27"/>
  <c r="H56" i="27"/>
  <c r="R77" i="27"/>
  <c r="H63" i="27"/>
  <c r="F74" i="27"/>
  <c r="N74" i="27"/>
  <c r="G74" i="27"/>
  <c r="O74" i="27"/>
  <c r="H74" i="27"/>
  <c r="P74" i="27"/>
  <c r="K74" i="27"/>
  <c r="R37" i="27"/>
  <c r="L74" i="27"/>
  <c r="K32" i="27"/>
  <c r="L32" i="27"/>
  <c r="N32" i="27"/>
  <c r="L20" i="27"/>
  <c r="G32" i="27"/>
  <c r="O32" i="27"/>
  <c r="M32" i="27"/>
  <c r="H32" i="27"/>
  <c r="P32" i="27"/>
  <c r="I32" i="27"/>
  <c r="J32" i="27"/>
  <c r="K20" i="27"/>
  <c r="N20" i="27"/>
  <c r="G20" i="27"/>
  <c r="O20" i="27"/>
  <c r="H20" i="27"/>
  <c r="P20" i="27"/>
  <c r="I20" i="27"/>
  <c r="J20" i="27"/>
  <c r="M20" i="27"/>
  <c r="G26" i="27"/>
  <c r="I24" i="27"/>
  <c r="R53" i="27"/>
  <c r="L21" i="35" l="1"/>
  <c r="N21" i="35" s="1"/>
  <c r="N16" i="35"/>
  <c r="L15" i="27"/>
  <c r="G15" i="27"/>
  <c r="J14" i="34"/>
  <c r="I15" i="34"/>
  <c r="I29" i="34" s="1"/>
  <c r="I39" i="34"/>
  <c r="I53" i="34" s="1"/>
  <c r="J38" i="34"/>
  <c r="N15" i="27"/>
  <c r="O15" i="27"/>
  <c r="P15" i="27"/>
  <c r="K15" i="27"/>
  <c r="H15" i="27"/>
  <c r="M15" i="27"/>
  <c r="J15" i="27"/>
  <c r="I15" i="27"/>
  <c r="R32" i="27"/>
  <c r="R74" i="27"/>
  <c r="I56" i="27"/>
  <c r="I63" i="27"/>
  <c r="H65" i="27"/>
  <c r="R20" i="27"/>
  <c r="I26" i="27"/>
  <c r="J24" i="27"/>
  <c r="K24" i="27" s="1"/>
  <c r="Q41" i="27"/>
  <c r="P41" i="27"/>
  <c r="O41" i="27"/>
  <c r="N41" i="27"/>
  <c r="M41" i="27"/>
  <c r="L41" i="27"/>
  <c r="K41" i="27"/>
  <c r="J41" i="27"/>
  <c r="I41" i="27"/>
  <c r="H41" i="27"/>
  <c r="G41" i="27"/>
  <c r="F41" i="27"/>
  <c r="F40" i="27"/>
  <c r="R15" i="27" l="1"/>
  <c r="J15" i="34"/>
  <c r="J29" i="34" s="1"/>
  <c r="K14" i="34"/>
  <c r="J39" i="34"/>
  <c r="J53" i="34" s="1"/>
  <c r="K38" i="34"/>
  <c r="R69" i="27"/>
  <c r="J63" i="27"/>
  <c r="I65" i="27"/>
  <c r="J56" i="27"/>
  <c r="J26" i="27"/>
  <c r="K26" i="27"/>
  <c r="L24" i="27"/>
  <c r="R51" i="27"/>
  <c r="R10" i="27"/>
  <c r="F23" i="27" l="1"/>
  <c r="G23" i="27" s="1"/>
  <c r="H23" i="27" s="1"/>
  <c r="I23" i="27" s="1"/>
  <c r="J23" i="27" s="1"/>
  <c r="K23" i="27" s="1"/>
  <c r="L23" i="27" s="1"/>
  <c r="M23" i="27" s="1"/>
  <c r="N23" i="27" s="1"/>
  <c r="O23" i="27" s="1"/>
  <c r="P23" i="27" s="1"/>
  <c r="Q23" i="27" s="1"/>
  <c r="Q25" i="27" s="1"/>
  <c r="F29" i="27"/>
  <c r="F17" i="27"/>
  <c r="F19" i="27" s="1"/>
  <c r="G62" i="27"/>
  <c r="H62" i="27" s="1"/>
  <c r="I62" i="27" s="1"/>
  <c r="J62" i="27" s="1"/>
  <c r="K62" i="27" s="1"/>
  <c r="L62" i="27" s="1"/>
  <c r="M62" i="27" s="1"/>
  <c r="N62" i="27" s="1"/>
  <c r="O62" i="27" s="1"/>
  <c r="P62" i="27" s="1"/>
  <c r="Q62" i="27" s="1"/>
  <c r="Q64" i="27" s="1"/>
  <c r="K15" i="34"/>
  <c r="K29" i="34" s="1"/>
  <c r="L14" i="34"/>
  <c r="K39" i="34"/>
  <c r="K53" i="34" s="1"/>
  <c r="L38" i="34"/>
  <c r="K56" i="27"/>
  <c r="K63" i="27"/>
  <c r="J65" i="27"/>
  <c r="L26" i="27"/>
  <c r="M24" i="27"/>
  <c r="F58" i="27" l="1"/>
  <c r="G29" i="27"/>
  <c r="H29" i="27" s="1"/>
  <c r="I29" i="27" s="1"/>
  <c r="J29" i="27" s="1"/>
  <c r="K29" i="27" s="1"/>
  <c r="L29" i="27" s="1"/>
  <c r="M29" i="27" s="1"/>
  <c r="N29" i="27" s="1"/>
  <c r="O29" i="27" s="1"/>
  <c r="P29" i="27" s="1"/>
  <c r="Q29" i="27" s="1"/>
  <c r="Q31" i="27" s="1"/>
  <c r="Q33" i="27" s="1"/>
  <c r="Q21" i="34" s="1"/>
  <c r="G64" i="27"/>
  <c r="G66" i="27" s="1"/>
  <c r="J64" i="27"/>
  <c r="J66" i="27" s="1"/>
  <c r="H64" i="27"/>
  <c r="H66" i="27" s="1"/>
  <c r="P64" i="27"/>
  <c r="I64" i="27"/>
  <c r="I66" i="27" s="1"/>
  <c r="L25" i="27"/>
  <c r="L27" i="27" s="1"/>
  <c r="L19" i="34" s="1"/>
  <c r="M64" i="27"/>
  <c r="O25" i="27"/>
  <c r="M25" i="27"/>
  <c r="N25" i="27"/>
  <c r="P25" i="27"/>
  <c r="N64" i="27"/>
  <c r="L64" i="27"/>
  <c r="K64" i="27"/>
  <c r="F64" i="27"/>
  <c r="F66" i="27" s="1"/>
  <c r="O64" i="27"/>
  <c r="L15" i="34"/>
  <c r="L29" i="34" s="1"/>
  <c r="M14" i="34"/>
  <c r="L39" i="34"/>
  <c r="L53" i="34" s="1"/>
  <c r="M38" i="34"/>
  <c r="G68" i="27"/>
  <c r="G70" i="27" s="1"/>
  <c r="G45" i="34" s="1"/>
  <c r="F31" i="27"/>
  <c r="F33" i="27" s="1"/>
  <c r="F21" i="34" s="1"/>
  <c r="P31" i="27"/>
  <c r="P33" i="27" s="1"/>
  <c r="P21" i="34" s="1"/>
  <c r="P68" i="27"/>
  <c r="P70" i="27" s="1"/>
  <c r="P45" i="34" s="1"/>
  <c r="L63" i="27"/>
  <c r="K65" i="27"/>
  <c r="L56" i="27"/>
  <c r="F70" i="27"/>
  <c r="G17" i="27"/>
  <c r="G58" i="27" s="1"/>
  <c r="H25" i="27"/>
  <c r="H27" i="27" s="1"/>
  <c r="H19" i="34" s="1"/>
  <c r="K25" i="27"/>
  <c r="K27" i="27" s="1"/>
  <c r="K19" i="34" s="1"/>
  <c r="J25" i="27"/>
  <c r="J27" i="27" s="1"/>
  <c r="J19" i="34" s="1"/>
  <c r="F25" i="27"/>
  <c r="G25" i="27"/>
  <c r="G27" i="27" s="1"/>
  <c r="G19" i="34" s="1"/>
  <c r="I25" i="27"/>
  <c r="I27" i="27" s="1"/>
  <c r="I19" i="34" s="1"/>
  <c r="M26" i="27"/>
  <c r="N24" i="27"/>
  <c r="J43" i="34" l="1"/>
  <c r="J72" i="27"/>
  <c r="J73" i="27"/>
  <c r="H43" i="34"/>
  <c r="H72" i="27"/>
  <c r="H73" i="27"/>
  <c r="I43" i="34"/>
  <c r="I72" i="27"/>
  <c r="I73" i="27"/>
  <c r="F43" i="34"/>
  <c r="F72" i="27"/>
  <c r="G43" i="34"/>
  <c r="G72" i="27"/>
  <c r="G73" i="27"/>
  <c r="F45" i="34"/>
  <c r="M27" i="27"/>
  <c r="M19" i="34" s="1"/>
  <c r="H31" i="27"/>
  <c r="H33" i="27" s="1"/>
  <c r="J68" i="27"/>
  <c r="J70" i="27" s="1"/>
  <c r="J45" i="34" s="1"/>
  <c r="J31" i="27"/>
  <c r="J33" i="27" s="1"/>
  <c r="J21" i="34" s="1"/>
  <c r="H68" i="27"/>
  <c r="H70" i="27" s="1"/>
  <c r="H45" i="34" s="1"/>
  <c r="G31" i="27"/>
  <c r="G33" i="27" s="1"/>
  <c r="G21" i="34" s="1"/>
  <c r="Q68" i="27"/>
  <c r="Q70" i="27" s="1"/>
  <c r="Q45" i="34" s="1"/>
  <c r="I68" i="27"/>
  <c r="I70" i="27" s="1"/>
  <c r="I45" i="34" s="1"/>
  <c r="I31" i="27"/>
  <c r="I33" i="27" s="1"/>
  <c r="I21" i="34" s="1"/>
  <c r="O68" i="27"/>
  <c r="O70" i="27" s="1"/>
  <c r="O45" i="34" s="1"/>
  <c r="O31" i="27"/>
  <c r="O33" i="27" s="1"/>
  <c r="O21" i="34" s="1"/>
  <c r="N68" i="27"/>
  <c r="N70" i="27" s="1"/>
  <c r="N45" i="34" s="1"/>
  <c r="M68" i="27"/>
  <c r="M70" i="27" s="1"/>
  <c r="M45" i="34" s="1"/>
  <c r="N31" i="27"/>
  <c r="N33" i="27" s="1"/>
  <c r="N21" i="34" s="1"/>
  <c r="M31" i="27"/>
  <c r="M33" i="27" s="1"/>
  <c r="M21" i="34" s="1"/>
  <c r="L68" i="27"/>
  <c r="L70" i="27" s="1"/>
  <c r="L45" i="34" s="1"/>
  <c r="K68" i="27"/>
  <c r="K70" i="27" s="1"/>
  <c r="K45" i="34" s="1"/>
  <c r="L31" i="27"/>
  <c r="L33" i="27" s="1"/>
  <c r="L21" i="34" s="1"/>
  <c r="K31" i="27"/>
  <c r="K33" i="27" s="1"/>
  <c r="K21" i="34" s="1"/>
  <c r="K66" i="27"/>
  <c r="N14" i="34"/>
  <c r="M15" i="34"/>
  <c r="M29" i="34" s="1"/>
  <c r="M39" i="34"/>
  <c r="M53" i="34" s="1"/>
  <c r="N38" i="34"/>
  <c r="F27" i="27"/>
  <c r="R25" i="27"/>
  <c r="F60" i="27"/>
  <c r="F73" i="27" s="1"/>
  <c r="G60" i="27"/>
  <c r="G41" i="34" s="1"/>
  <c r="M56" i="27"/>
  <c r="M63" i="27"/>
  <c r="L65" i="27"/>
  <c r="L66" i="27" s="1"/>
  <c r="F21" i="27"/>
  <c r="G19" i="27"/>
  <c r="G21" i="27" s="1"/>
  <c r="H17" i="27"/>
  <c r="H58" i="27" s="1"/>
  <c r="N26" i="27"/>
  <c r="N27" i="27" s="1"/>
  <c r="N19" i="34" s="1"/>
  <c r="O24" i="27"/>
  <c r="L43" i="34" l="1"/>
  <c r="L72" i="27"/>
  <c r="L73" i="27"/>
  <c r="K43" i="34"/>
  <c r="K72" i="27"/>
  <c r="K73" i="27"/>
  <c r="G17" i="34"/>
  <c r="G36" i="27"/>
  <c r="G35" i="27"/>
  <c r="F17" i="34"/>
  <c r="F36" i="27"/>
  <c r="F35" i="27"/>
  <c r="R33" i="27"/>
  <c r="R68" i="27"/>
  <c r="H21" i="34"/>
  <c r="R31" i="27"/>
  <c r="R70" i="27"/>
  <c r="F19" i="34"/>
  <c r="F41" i="34"/>
  <c r="N15" i="34"/>
  <c r="N29" i="34" s="1"/>
  <c r="O14" i="34"/>
  <c r="O38" i="34"/>
  <c r="N39" i="34"/>
  <c r="N53" i="34" s="1"/>
  <c r="N63" i="27"/>
  <c r="M65" i="27"/>
  <c r="M66" i="27" s="1"/>
  <c r="H60" i="27"/>
  <c r="H41" i="34" s="1"/>
  <c r="N56" i="27"/>
  <c r="I17" i="27"/>
  <c r="I58" i="27" s="1"/>
  <c r="H19" i="27"/>
  <c r="O26" i="27"/>
  <c r="O27" i="27" s="1"/>
  <c r="O19" i="34" s="1"/>
  <c r="P24" i="27"/>
  <c r="M43" i="34" l="1"/>
  <c r="M72" i="27"/>
  <c r="M73" i="27"/>
  <c r="F38" i="27"/>
  <c r="P14" i="34"/>
  <c r="O15" i="34"/>
  <c r="O29" i="34" s="1"/>
  <c r="P38" i="34"/>
  <c r="O39" i="34"/>
  <c r="O53" i="34" s="1"/>
  <c r="G75" i="27"/>
  <c r="G81" i="27" s="1"/>
  <c r="O56" i="27"/>
  <c r="F75" i="27"/>
  <c r="F81" i="27" s="1"/>
  <c r="O63" i="27"/>
  <c r="N65" i="27"/>
  <c r="N66" i="27" s="1"/>
  <c r="G38" i="27"/>
  <c r="H21" i="27"/>
  <c r="I19" i="27"/>
  <c r="J17" i="27"/>
  <c r="J58" i="27" s="1"/>
  <c r="P26" i="27"/>
  <c r="P27" i="27" s="1"/>
  <c r="P19" i="34" s="1"/>
  <c r="Q24" i="27"/>
  <c r="Q26" i="27" s="1"/>
  <c r="G84" i="27"/>
  <c r="H84" i="27"/>
  <c r="I84" i="27"/>
  <c r="J84" i="27"/>
  <c r="K84" i="27"/>
  <c r="L84" i="27"/>
  <c r="M84" i="27"/>
  <c r="N84" i="27"/>
  <c r="O84" i="27"/>
  <c r="P84" i="27"/>
  <c r="Q84" i="27"/>
  <c r="R41" i="27"/>
  <c r="R40" i="27"/>
  <c r="N43" i="34" l="1"/>
  <c r="N72" i="27"/>
  <c r="N73" i="27"/>
  <c r="H17" i="34"/>
  <c r="H36" i="27"/>
  <c r="H35" i="27"/>
  <c r="G23" i="34"/>
  <c r="F23" i="34"/>
  <c r="G79" i="27"/>
  <c r="G47" i="34"/>
  <c r="F47" i="34"/>
  <c r="F79" i="27"/>
  <c r="P15" i="34"/>
  <c r="P29" i="34" s="1"/>
  <c r="Q14" i="34"/>
  <c r="Q15" i="34" s="1"/>
  <c r="Q29" i="34" s="1"/>
  <c r="Q38" i="34"/>
  <c r="Q39" i="34" s="1"/>
  <c r="Q53" i="34" s="1"/>
  <c r="P39" i="34"/>
  <c r="P53" i="34" s="1"/>
  <c r="Q27" i="27"/>
  <c r="Q19" i="34" s="1"/>
  <c r="R19" i="34" s="1"/>
  <c r="R26" i="27"/>
  <c r="H75" i="27"/>
  <c r="H81" i="27" s="1"/>
  <c r="I60" i="27"/>
  <c r="I41" i="34" s="1"/>
  <c r="O65" i="27"/>
  <c r="O66" i="27" s="1"/>
  <c r="P63" i="27"/>
  <c r="Q56" i="27"/>
  <c r="P56" i="27"/>
  <c r="J60" i="27"/>
  <c r="J41" i="34" s="1"/>
  <c r="J19" i="27"/>
  <c r="J21" i="27" s="1"/>
  <c r="K17" i="27"/>
  <c r="K58" i="27" s="1"/>
  <c r="I21" i="27"/>
  <c r="R84" i="27"/>
  <c r="O43" i="34" l="1"/>
  <c r="O73" i="27"/>
  <c r="O72" i="27"/>
  <c r="I17" i="34"/>
  <c r="I36" i="27"/>
  <c r="I35" i="27"/>
  <c r="J17" i="34"/>
  <c r="J36" i="27"/>
  <c r="J35" i="27"/>
  <c r="R27" i="27"/>
  <c r="H79" i="27"/>
  <c r="H47" i="34"/>
  <c r="F51" i="34"/>
  <c r="G51" i="34"/>
  <c r="R15" i="34"/>
  <c r="R45" i="34"/>
  <c r="R21" i="34"/>
  <c r="R39" i="34"/>
  <c r="R56" i="27"/>
  <c r="Q63" i="27"/>
  <c r="Q65" i="27" s="1"/>
  <c r="Q66" i="27" s="1"/>
  <c r="P65" i="27"/>
  <c r="P66" i="27" s="1"/>
  <c r="R59" i="27"/>
  <c r="H38" i="27"/>
  <c r="K19" i="27"/>
  <c r="L17" i="27"/>
  <c r="L58" i="27" s="1"/>
  <c r="Q43" i="34" l="1"/>
  <c r="Q72" i="27"/>
  <c r="Q73" i="27"/>
  <c r="P43" i="34"/>
  <c r="P72" i="27"/>
  <c r="P73" i="27"/>
  <c r="H23" i="34"/>
  <c r="H51" i="34"/>
  <c r="R66" i="27"/>
  <c r="J75" i="27"/>
  <c r="J81" i="27" s="1"/>
  <c r="K60" i="27"/>
  <c r="K41" i="34" s="1"/>
  <c r="I75" i="27"/>
  <c r="L60" i="27"/>
  <c r="L41" i="34" s="1"/>
  <c r="I38" i="27"/>
  <c r="J38" i="27"/>
  <c r="L19" i="27"/>
  <c r="L21" i="27" s="1"/>
  <c r="M17" i="27"/>
  <c r="M58" i="27" s="1"/>
  <c r="K21" i="27"/>
  <c r="R43" i="34" l="1"/>
  <c r="I47" i="34"/>
  <c r="I51" i="34" s="1"/>
  <c r="I81" i="27"/>
  <c r="K17" i="34"/>
  <c r="K36" i="27"/>
  <c r="K35" i="27"/>
  <c r="L17" i="34"/>
  <c r="L36" i="27"/>
  <c r="L35" i="27"/>
  <c r="I23" i="34"/>
  <c r="J23" i="34"/>
  <c r="J46" i="27"/>
  <c r="J79" i="27"/>
  <c r="J47" i="34"/>
  <c r="M60" i="27"/>
  <c r="M41" i="34" s="1"/>
  <c r="M19" i="27"/>
  <c r="N17" i="27"/>
  <c r="N58" i="27" s="1"/>
  <c r="Q42" i="27"/>
  <c r="Q25" i="34" s="1"/>
  <c r="P42" i="27"/>
  <c r="P25" i="34" s="1"/>
  <c r="O42" i="27"/>
  <c r="O25" i="34" s="1"/>
  <c r="N42" i="27"/>
  <c r="N25" i="34" s="1"/>
  <c r="M42" i="27"/>
  <c r="M25" i="34" s="1"/>
  <c r="L42" i="27"/>
  <c r="L25" i="34" s="1"/>
  <c r="K42" i="27"/>
  <c r="K25" i="34" s="1"/>
  <c r="J42" i="27"/>
  <c r="I42" i="27"/>
  <c r="I46" i="27" s="1"/>
  <c r="H42" i="27"/>
  <c r="H46" i="27" s="1"/>
  <c r="G42" i="27"/>
  <c r="G46" i="27" s="1"/>
  <c r="F42" i="27"/>
  <c r="F46" i="27" s="1"/>
  <c r="J86" i="27" l="1"/>
  <c r="J25" i="34"/>
  <c r="J27" i="34" s="1"/>
  <c r="F44" i="27"/>
  <c r="F25" i="34"/>
  <c r="G86" i="27"/>
  <c r="G25" i="34"/>
  <c r="J51" i="34"/>
  <c r="H86" i="27"/>
  <c r="H25" i="34"/>
  <c r="I86" i="27"/>
  <c r="I25" i="34"/>
  <c r="N60" i="27"/>
  <c r="N41" i="34" s="1"/>
  <c r="K75" i="27"/>
  <c r="L38" i="27"/>
  <c r="L46" i="27" s="1"/>
  <c r="I79" i="27"/>
  <c r="L75" i="27"/>
  <c r="L81" i="27" s="1"/>
  <c r="K38" i="27"/>
  <c r="N19" i="27"/>
  <c r="N21" i="27" s="1"/>
  <c r="O17" i="27"/>
  <c r="O58" i="27" s="1"/>
  <c r="M21" i="27"/>
  <c r="R42" i="27"/>
  <c r="K47" i="34" l="1"/>
  <c r="K51" i="34" s="1"/>
  <c r="K81" i="27"/>
  <c r="M17" i="34"/>
  <c r="M36" i="27"/>
  <c r="M35" i="27"/>
  <c r="N17" i="34"/>
  <c r="N36" i="27"/>
  <c r="N35" i="27"/>
  <c r="K23" i="34"/>
  <c r="K27" i="34" s="1"/>
  <c r="K46" i="27"/>
  <c r="J58" i="34"/>
  <c r="J57" i="34" s="1"/>
  <c r="I27" i="34"/>
  <c r="I58" i="34"/>
  <c r="I57" i="34" s="1"/>
  <c r="G27" i="34"/>
  <c r="G58" i="34"/>
  <c r="G57" i="34" s="1"/>
  <c r="R25" i="34"/>
  <c r="H27" i="34"/>
  <c r="H58" i="34"/>
  <c r="H57" i="34" s="1"/>
  <c r="L79" i="27"/>
  <c r="L47" i="34"/>
  <c r="F86" i="27"/>
  <c r="F85" i="27" s="1"/>
  <c r="L44" i="27"/>
  <c r="L23" i="34"/>
  <c r="L27" i="34" s="1"/>
  <c r="M75" i="27"/>
  <c r="M81" i="27" s="1"/>
  <c r="O60" i="27"/>
  <c r="O41" i="34" s="1"/>
  <c r="O19" i="27"/>
  <c r="O21" i="27" s="1"/>
  <c r="P17" i="27"/>
  <c r="P58" i="27" s="1"/>
  <c r="G44" i="27"/>
  <c r="I44" i="27"/>
  <c r="I85" i="27"/>
  <c r="H44" i="27"/>
  <c r="H85" i="27"/>
  <c r="J44" i="27"/>
  <c r="J85" i="27"/>
  <c r="K58" i="34" l="1"/>
  <c r="K57" i="34" s="1"/>
  <c r="O17" i="34"/>
  <c r="O36" i="27"/>
  <c r="O35" i="27"/>
  <c r="L58" i="34"/>
  <c r="L57" i="34" s="1"/>
  <c r="L51" i="34"/>
  <c r="L86" i="27"/>
  <c r="L85" i="27" s="1"/>
  <c r="F27" i="34"/>
  <c r="F58" i="34"/>
  <c r="F57" i="34" s="1"/>
  <c r="M79" i="27"/>
  <c r="M47" i="34"/>
  <c r="K44" i="27"/>
  <c r="K86" i="27"/>
  <c r="K85" i="27" s="1"/>
  <c r="N38" i="27"/>
  <c r="N46" i="27" s="1"/>
  <c r="M38" i="27"/>
  <c r="M46" i="27" s="1"/>
  <c r="N75" i="27"/>
  <c r="K79" i="27"/>
  <c r="P60" i="27"/>
  <c r="P41" i="34" s="1"/>
  <c r="P19" i="27"/>
  <c r="P21" i="27" s="1"/>
  <c r="Q17" i="27"/>
  <c r="Q58" i="27" s="1"/>
  <c r="G85" i="27"/>
  <c r="N47" i="34" l="1"/>
  <c r="N51" i="34" s="1"/>
  <c r="N81" i="27"/>
  <c r="P17" i="34"/>
  <c r="P36" i="27"/>
  <c r="P35" i="27"/>
  <c r="M86" i="27"/>
  <c r="M85" i="27" s="1"/>
  <c r="M23" i="34"/>
  <c r="N44" i="27"/>
  <c r="N23" i="34"/>
  <c r="N27" i="34" s="1"/>
  <c r="M51" i="34"/>
  <c r="O75" i="27"/>
  <c r="O81" i="27" s="1"/>
  <c r="Q60" i="27"/>
  <c r="Q41" i="34" s="1"/>
  <c r="R58" i="27"/>
  <c r="O38" i="27"/>
  <c r="O46" i="27" s="1"/>
  <c r="Q19" i="27"/>
  <c r="R19" i="27" s="1"/>
  <c r="M44" i="27" l="1"/>
  <c r="N86" i="27"/>
  <c r="N85" i="27" s="1"/>
  <c r="N58" i="34"/>
  <c r="N57" i="34" s="1"/>
  <c r="O44" i="27"/>
  <c r="O23" i="34"/>
  <c r="O27" i="34" s="1"/>
  <c r="O79" i="27"/>
  <c r="O47" i="34"/>
  <c r="R41" i="34"/>
  <c r="P75" i="27"/>
  <c r="P81" i="27" s="1"/>
  <c r="R73" i="27"/>
  <c r="R60" i="27"/>
  <c r="N79" i="27"/>
  <c r="P38" i="27"/>
  <c r="P46" i="27" s="1"/>
  <c r="Q21" i="27"/>
  <c r="Q17" i="34" l="1"/>
  <c r="R17" i="34" s="1"/>
  <c r="Q36" i="27"/>
  <c r="Q35" i="27"/>
  <c r="P79" i="27"/>
  <c r="P47" i="34"/>
  <c r="O86" i="27"/>
  <c r="O85" i="27" s="1"/>
  <c r="P44" i="27"/>
  <c r="P23" i="34"/>
  <c r="P27" i="34" s="1"/>
  <c r="M27" i="34"/>
  <c r="M58" i="34"/>
  <c r="Q75" i="27"/>
  <c r="R72" i="27"/>
  <c r="R21" i="27"/>
  <c r="R36" i="27"/>
  <c r="Q47" i="34" l="1"/>
  <c r="Q51" i="34" s="1"/>
  <c r="Q81" i="27"/>
  <c r="P86" i="27"/>
  <c r="P85" i="27" s="1"/>
  <c r="O51" i="34"/>
  <c r="O58" i="34"/>
  <c r="O57" i="34" s="1"/>
  <c r="R53" i="34"/>
  <c r="M57" i="34"/>
  <c r="P51" i="34"/>
  <c r="P58" i="34"/>
  <c r="P57" i="34" s="1"/>
  <c r="R75" i="27"/>
  <c r="Q38" i="27"/>
  <c r="R35" i="27"/>
  <c r="R47" i="34" l="1"/>
  <c r="Q23" i="34"/>
  <c r="Q27" i="34" s="1"/>
  <c r="Q46" i="27"/>
  <c r="R51" i="34"/>
  <c r="F18" i="35"/>
  <c r="R29" i="34"/>
  <c r="Q79" i="27"/>
  <c r="R81" i="27"/>
  <c r="R79" i="27" s="1"/>
  <c r="R38" i="27"/>
  <c r="Q86" i="27"/>
  <c r="R23" i="34" l="1"/>
  <c r="Q58" i="34"/>
  <c r="Q57" i="34" s="1"/>
  <c r="R27" i="34"/>
  <c r="F14" i="35"/>
  <c r="F23" i="35" s="1"/>
  <c r="H18" i="35"/>
  <c r="J18" i="35" s="1"/>
  <c r="R46" i="27"/>
  <c r="R44" i="27" s="1"/>
  <c r="Q44" i="27"/>
  <c r="R58" i="34" l="1"/>
  <c r="R57" i="34" s="1"/>
  <c r="H14" i="35"/>
  <c r="L14" i="35" s="1"/>
  <c r="F22" i="35"/>
  <c r="F24" i="35"/>
  <c r="L18" i="35"/>
  <c r="Q85" i="27"/>
  <c r="R86" i="27"/>
  <c r="R59" i="34" l="1"/>
  <c r="R60" i="34" s="1"/>
  <c r="H23" i="35"/>
  <c r="H24" i="35" s="1"/>
  <c r="H25" i="35" s="1"/>
  <c r="N14" i="35"/>
  <c r="J14" i="35"/>
  <c r="J23" i="35" s="1"/>
  <c r="L23" i="35"/>
  <c r="N18" i="35"/>
  <c r="F25" i="35"/>
  <c r="R85" i="27"/>
  <c r="R87" i="27"/>
  <c r="R88" i="27" s="1"/>
  <c r="N23" i="35" l="1"/>
  <c r="N22" i="35" s="1"/>
  <c r="H22" i="35"/>
  <c r="J22" i="35"/>
  <c r="J24" i="35"/>
  <c r="J25" i="35" s="1"/>
  <c r="L24" i="35"/>
  <c r="L25" i="35" s="1"/>
  <c r="N25" i="35" s="1"/>
  <c r="L22" i="35"/>
  <c r="N24" i="3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MASTER</author>
  </authors>
  <commentList>
    <comment ref="R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MASTER:</t>
        </r>
        <r>
          <rPr>
            <sz val="9"/>
            <color indexed="81"/>
            <rFont val="Tahoma"/>
            <family val="2"/>
          </rPr>
          <t xml:space="preserve">
Estimat Real Nov.2017 a Oct. 2018</t>
        </r>
      </text>
    </comment>
    <comment ref="R5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MASTER:</t>
        </r>
        <r>
          <rPr>
            <sz val="9"/>
            <color indexed="81"/>
            <rFont val="Tahoma"/>
            <family val="2"/>
          </rPr>
          <t xml:space="preserve">
Real 2021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MASTER</author>
  </authors>
  <commentList>
    <comment ref="R12" authorId="0" shapeId="0" xr:uid="{ACA43495-4571-49BF-8E61-7E683864BA58}">
      <text>
        <r>
          <rPr>
            <b/>
            <sz val="9"/>
            <color indexed="81"/>
            <rFont val="Tahoma"/>
            <family val="2"/>
          </rPr>
          <t>MASTER:</t>
        </r>
        <r>
          <rPr>
            <sz val="9"/>
            <color indexed="81"/>
            <rFont val="Tahoma"/>
            <family val="2"/>
          </rPr>
          <t xml:space="preserve">
Estimat Real Nov.2017 a Oct. 2018</t>
        </r>
      </text>
    </comment>
    <comment ref="R36" authorId="0" shapeId="0" xr:uid="{9F5A6E4B-0E41-41B7-84C5-7B963DA6069E}">
      <text>
        <r>
          <rPr>
            <b/>
            <sz val="9"/>
            <color indexed="81"/>
            <rFont val="Tahoma"/>
            <family val="2"/>
          </rPr>
          <t>MASTER:</t>
        </r>
        <r>
          <rPr>
            <sz val="9"/>
            <color indexed="81"/>
            <rFont val="Tahoma"/>
            <family val="2"/>
          </rPr>
          <t xml:space="preserve">
Real 2021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MASTER</author>
  </authors>
  <commentList>
    <comment ref="F16" authorId="0" shapeId="0" xr:uid="{DD529F83-5FC8-4F28-BF8F-88A44709931B}">
      <text>
        <r>
          <rPr>
            <b/>
            <sz val="9"/>
            <color indexed="81"/>
            <rFont val="Tahoma"/>
            <family val="2"/>
          </rPr>
          <t>MASTER:</t>
        </r>
        <r>
          <rPr>
            <sz val="9"/>
            <color indexed="81"/>
            <rFont val="Tahoma"/>
            <family val="2"/>
          </rPr>
          <t xml:space="preserve">
Real 2021</t>
        </r>
      </text>
    </comment>
  </commentList>
</comments>
</file>

<file path=xl/sharedStrings.xml><?xml version="1.0" encoding="utf-8"?>
<sst xmlns="http://schemas.openxmlformats.org/spreadsheetml/2006/main" count="375" uniqueCount="107">
  <si>
    <t>kWh</t>
  </si>
  <si>
    <t>Concepte</t>
  </si>
  <si>
    <t>Unitats</t>
  </si>
  <si>
    <t>Euro/kWh</t>
  </si>
  <si>
    <t>Euros</t>
  </si>
  <si>
    <t>Euros/kWh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</si>
  <si>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</si>
  <si>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</si>
  <si>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</si>
  <si>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</si>
  <si>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</si>
  <si>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</si>
  <si>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</si>
  <si>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</si>
  <si>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</si>
  <si>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</si>
  <si>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</si>
  <si>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</si>
  <si>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Total Anual</t>
  </si>
  <si>
    <t>kWh/mes</t>
  </si>
  <si>
    <t>kWh/Any TAM</t>
  </si>
  <si>
    <t>Euro</t>
  </si>
  <si>
    <t>Total</t>
  </si>
  <si>
    <t>Preu Final</t>
  </si>
  <si>
    <t>TAM</t>
  </si>
  <si>
    <t>Lloguer Comptador</t>
  </si>
  <si>
    <t>Temp. Promig</t>
  </si>
  <si>
    <t>TALLER DE MARTORELL (MÒBIL + MOTOR) CUPS ES0217901000001917QB</t>
  </si>
  <si>
    <t>TALLER DE RUBÍ CUPS ES02179010000022712TZ</t>
  </si>
  <si>
    <t>Anys</t>
  </si>
  <si>
    <t>Lloguer Corrector</t>
  </si>
  <si>
    <t>Lloguer</t>
  </si>
  <si>
    <t>Suma Taller de Martorell i Taller de Rubí</t>
  </si>
  <si>
    <t>Consum Martorell</t>
  </si>
  <si>
    <t>Consum Rubí</t>
  </si>
  <si>
    <t>Suma Consums</t>
  </si>
  <si>
    <t>Total IVA Exclòs</t>
  </si>
  <si>
    <t xml:space="preserve">IVA 21 % </t>
  </si>
  <si>
    <t>Total Martorell sense IVA</t>
  </si>
  <si>
    <t>Dies Mes</t>
  </si>
  <si>
    <t>GAS MARTORELL CUPS: ES0217901000001917QB (MÒBIL + MOTOR) - Tarifa RLTA6 - c/ Montserrat s/n (08760 Martorell - Barcelona)</t>
  </si>
  <si>
    <t>GAS RUBÍ COR CUPS: ES02179010000022712TZ - Tarifa RLTB6 - c/Antoni Sedó s/n (08191 Rubí - Barcelona)</t>
  </si>
  <si>
    <t>Peatge Quota Fixa RLTA.6</t>
  </si>
  <si>
    <t>Peatge Variable RLTA.6</t>
  </si>
  <si>
    <t>Peatge Quota Fixa RLTB.6</t>
  </si>
  <si>
    <t>Peatge Variable RLTB.6</t>
  </si>
  <si>
    <t>Euro Client/dia</t>
  </si>
  <si>
    <t>Quota GTS</t>
  </si>
  <si>
    <t>Peatge Xarxa Local</t>
  </si>
  <si>
    <t>Peatge Transport</t>
  </si>
  <si>
    <t>Total Peatge Xarxa Local</t>
  </si>
  <si>
    <t>Total Peatge Transport</t>
  </si>
  <si>
    <t>Euro /kWh/dia</t>
  </si>
  <si>
    <t>Peatge Quota Fixa RL.6</t>
  </si>
  <si>
    <t>Peatge Variable RL.6</t>
  </si>
  <si>
    <t>Càrrecs</t>
  </si>
  <si>
    <t>Total Càrrecs</t>
  </si>
  <si>
    <t>Quota Gestió Tècnica Sistema sobre Peatges 0,966 %</t>
  </si>
  <si>
    <t>Total Rubí COR sense IVA</t>
  </si>
  <si>
    <t>Total A/ IVA</t>
  </si>
  <si>
    <t>Càrrecs Quota Fixa RL.6</t>
  </si>
  <si>
    <t>Càrrecs Variable RL.6</t>
  </si>
  <si>
    <t>Impost</t>
  </si>
  <si>
    <t>Taxa CNMC Sobre Peatges i Càrrec 0,14 %</t>
  </si>
  <si>
    <t>Impost d'Hidrocarburs 0,00054 Euros/kWh activitat industrial</t>
  </si>
  <si>
    <t>Taxa CNMC</t>
  </si>
  <si>
    <t>Total Quota Taxa e Impost</t>
  </si>
  <si>
    <t>Total Peatge Xarxa Local RLTA.6</t>
  </si>
  <si>
    <t>Total Càrrecs RL.6</t>
  </si>
  <si>
    <t>ESTIMACIÓ IMPORT DE LICITACIÓ</t>
  </si>
  <si>
    <t>Peatge Quota Fixa RL.6 (preu unitari de la filera 17)</t>
  </si>
  <si>
    <t>Peatge Variable RL.6 (preu unitari de la filera 18)</t>
  </si>
  <si>
    <t>RESUM IMPORT DE LICITACIÓ</t>
  </si>
  <si>
    <t>Total Quota GTS, Taxa CNMC e Impost Hidrocarburs</t>
  </si>
  <si>
    <t>Total Peatge Xarxa Local  RLTB.6</t>
  </si>
  <si>
    <t>Import total lloguer Comptador i Corrector</t>
  </si>
  <si>
    <t>Import total lloguer comptador</t>
  </si>
  <si>
    <t>Matèria Prima amb marge comercial + Peatges d'accés comercials + FNEE</t>
  </si>
  <si>
    <t>Temperatura Promig Mensual Terrassa [ ºC ] http://infomet.meteo.ub.edu/clima/terrassa/</t>
  </si>
  <si>
    <r>
      <rPr>
        <b/>
        <sz val="14"/>
        <rFont val="Arial"/>
        <family val="2"/>
      </rPr>
      <t>GDAES_D+1</t>
    </r>
    <r>
      <rPr>
        <sz val="14"/>
        <rFont val="Arial"/>
        <family val="2"/>
      </rPr>
      <t xml:space="preserve"> Promig Mes [Euros/MWh]</t>
    </r>
  </si>
  <si>
    <t>SUBMINISTRAMENT GAS TALLER DE MARTORELL I TALLER DE RUBÍ</t>
  </si>
  <si>
    <t>Inici Període</t>
  </si>
  <si>
    <t>Fi Període</t>
  </si>
  <si>
    <t>Import Martorell sense IVA</t>
  </si>
  <si>
    <t>Import Rubí COR sense IVA</t>
  </si>
  <si>
    <t>Primer Any</t>
  </si>
  <si>
    <t>Contracte 1er. Any</t>
  </si>
  <si>
    <t>Contracte 2on. Any</t>
  </si>
  <si>
    <t>Pròrroga</t>
  </si>
  <si>
    <t>Contracte més una Pròrroga</t>
  </si>
  <si>
    <t>CONTRACTE</t>
  </si>
  <si>
    <t>Mesos de 2026</t>
  </si>
  <si>
    <t>Mesos de 2027</t>
  </si>
  <si>
    <r>
      <t xml:space="preserve">FACTOR </t>
    </r>
    <r>
      <rPr>
        <b/>
        <sz val="14"/>
        <rFont val="Arial"/>
        <family val="2"/>
      </rPr>
      <t>SUMADOR</t>
    </r>
    <r>
      <rPr>
        <sz val="14"/>
        <rFont val="Arial"/>
        <family val="2"/>
      </rPr>
      <t xml:space="preserve"> ESTIMAT </t>
    </r>
    <r>
      <rPr>
        <b/>
        <sz val="14"/>
        <rFont val="Arial"/>
        <family val="2"/>
      </rPr>
      <t>RLTB 6</t>
    </r>
    <r>
      <rPr>
        <sz val="14"/>
        <rFont val="Arial"/>
        <family val="2"/>
      </rPr>
      <t xml:space="preserve">  [Euros/MWh]</t>
    </r>
  </si>
  <si>
    <r>
      <t xml:space="preserve">FACTOR </t>
    </r>
    <r>
      <rPr>
        <b/>
        <sz val="14"/>
        <rFont val="Arial"/>
        <family val="2"/>
      </rPr>
      <t>SUMADOR</t>
    </r>
    <r>
      <rPr>
        <sz val="14"/>
        <rFont val="Arial"/>
        <family val="2"/>
      </rPr>
      <t xml:space="preserve"> ESTIMAT </t>
    </r>
    <r>
      <rPr>
        <b/>
        <sz val="14"/>
        <rFont val="Arial"/>
        <family val="2"/>
      </rPr>
      <t xml:space="preserve">RLTA 6 </t>
    </r>
    <r>
      <rPr>
        <sz val="14"/>
        <rFont val="Arial"/>
        <family val="2"/>
      </rPr>
      <t xml:space="preserve"> [Euros/MWh]</t>
    </r>
  </si>
  <si>
    <r>
      <t xml:space="preserve">FACTOR </t>
    </r>
    <r>
      <rPr>
        <b/>
        <sz val="14"/>
        <rFont val="Arial"/>
        <family val="2"/>
      </rPr>
      <t>MULTIPLICADOR</t>
    </r>
    <r>
      <rPr>
        <sz val="14"/>
        <rFont val="Arial"/>
        <family val="2"/>
      </rPr>
      <t xml:space="preserve"> ESTIMAT </t>
    </r>
    <r>
      <rPr>
        <b/>
        <sz val="14"/>
        <rFont val="Arial"/>
        <family val="2"/>
      </rPr>
      <t>RLTA 6</t>
    </r>
  </si>
  <si>
    <r>
      <t xml:space="preserve">FACTOR </t>
    </r>
    <r>
      <rPr>
        <b/>
        <sz val="14"/>
        <rFont val="Arial"/>
        <family val="2"/>
      </rPr>
      <t>MULTIPLICADOR</t>
    </r>
    <r>
      <rPr>
        <sz val="14"/>
        <rFont val="Arial"/>
        <family val="2"/>
      </rPr>
      <t xml:space="preserve"> ESTIMAT </t>
    </r>
    <r>
      <rPr>
        <b/>
        <sz val="14"/>
        <rFont val="Arial"/>
        <family val="2"/>
      </rPr>
      <t>RLTB 6</t>
    </r>
  </si>
  <si>
    <r>
      <t>Matèria Prima amb marge comercial + Peatges d'accés comercials + FNEE (</t>
    </r>
    <r>
      <rPr>
        <sz val="12"/>
        <color rgb="FFFF0000"/>
        <rFont val="Arial"/>
        <family val="2"/>
      </rPr>
      <t>Ordre TED/197/2025, de 26 de febrer</t>
    </r>
    <r>
      <rPr>
        <sz val="12"/>
        <rFont val="Arial"/>
        <family val="2"/>
      </rPr>
      <t>)</t>
    </r>
  </si>
  <si>
    <t>Peatge Sortada Fixa RL.6 (Resolución de 27 de mayo de 2025, de la CNMC)</t>
  </si>
  <si>
    <t>Peatge Sortida Fixa RL.6  (Resolución de 27 de mayo de 2025, de la CNMC)</t>
  </si>
  <si>
    <t>Càrrecs Quota Fixa RL.6 (Orden TED/1013/2024, de 20 de septiembre)</t>
  </si>
  <si>
    <t>Càrrecs Variable RL.6 (Orden TED/1013/2024, de 20 de septiembre)</t>
  </si>
  <si>
    <t>Càrrecs Quota Fixa RL.6 (preu unitari de la filera 29)</t>
  </si>
  <si>
    <t>Càrrecs Variable RL.6 (preu unitari de la filera 30)</t>
  </si>
  <si>
    <t>Peatge Variable RL6 (Resolución de 27 de mayo de 2025, de la CNMC)</t>
  </si>
  <si>
    <t>Peatge Quota Fixa RL6 (Resolución de 27 de mayo de 2025, de la CNMC)</t>
  </si>
  <si>
    <t>SUBMINISTRAMENT GAS TALLER DE MARTORELL I TALLER DE RUBÍ (Període juliol de 2026 a juny de 2029)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</si>
</sst>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#,##0.000000"/>
    <numFmt numFmtId="166" formatCode="#,##0.0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0"/>
      <color rgb="FFFF0000"/>
      <name val="Arial"/>
      <family val="2"/>
    </font>
    <font>
      <sz val="14"/>
      <name val="Arial"/>
      <family val="2"/>
    </font>
    <font>
      <b/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FF3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2" fillId="0" borderId="0" xfId="0" applyFont="1"/>
    <xf numFmtId="3" fontId="0" fillId="0" borderId="0" xfId="0" applyNumberFormat="1"/>
    <xf numFmtId="0" fontId="5" fillId="0" borderId="1" xfId="0" applyFont="1" applyBorder="1"/>
    <xf numFmtId="0" fontId="2" fillId="0" borderId="7" xfId="0" applyFont="1" applyBorder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6" fillId="0" borderId="0" xfId="0" applyFont="1"/>
    <xf numFmtId="3" fontId="1" fillId="0" borderId="0" xfId="0" applyNumberFormat="1" applyFont="1"/>
    <xf numFmtId="0" fontId="1" fillId="0" borderId="0" xfId="0" applyFont="1"/>
    <xf numFmtId="0" fontId="9" fillId="0" borderId="0" xfId="0" applyFont="1"/>
    <xf numFmtId="4" fontId="10" fillId="0" borderId="0" xfId="0" applyNumberFormat="1" applyFont="1"/>
    <xf numFmtId="4" fontId="6" fillId="0" borderId="0" xfId="0" applyNumberFormat="1" applyFont="1"/>
    <xf numFmtId="0" fontId="10" fillId="0" borderId="0" xfId="0" applyFont="1"/>
    <xf numFmtId="3" fontId="9" fillId="0" borderId="0" xfId="0" applyNumberFormat="1" applyFont="1"/>
    <xf numFmtId="0" fontId="11" fillId="0" borderId="5" xfId="0" applyFont="1" applyBorder="1" applyAlignment="1">
      <alignment horizontal="center"/>
    </xf>
    <xf numFmtId="3" fontId="9" fillId="0" borderId="32" xfId="0" applyNumberFormat="1" applyFont="1" applyBorder="1"/>
    <xf numFmtId="3" fontId="9" fillId="0" borderId="33" xfId="0" applyNumberFormat="1" applyFont="1" applyBorder="1"/>
    <xf numFmtId="3" fontId="9" fillId="0" borderId="35" xfId="0" applyNumberFormat="1" applyFont="1" applyBorder="1"/>
    <xf numFmtId="3" fontId="9" fillId="0" borderId="36" xfId="0" applyNumberFormat="1" applyFont="1" applyBorder="1"/>
    <xf numFmtId="3" fontId="9" fillId="0" borderId="37" xfId="0" applyNumberFormat="1" applyFont="1" applyBorder="1"/>
    <xf numFmtId="0" fontId="5" fillId="0" borderId="33" xfId="0" applyFont="1" applyBorder="1"/>
    <xf numFmtId="0" fontId="4" fillId="0" borderId="27" xfId="0" applyFont="1" applyBorder="1" applyAlignment="1">
      <alignment horizontal="center"/>
    </xf>
    <xf numFmtId="0" fontId="5" fillId="0" borderId="28" xfId="0" applyFont="1" applyBorder="1"/>
    <xf numFmtId="0" fontId="5" fillId="0" borderId="29" xfId="0" applyFont="1" applyBorder="1"/>
    <xf numFmtId="0" fontId="5" fillId="0" borderId="22" xfId="0" applyFont="1" applyBorder="1"/>
    <xf numFmtId="0" fontId="4" fillId="0" borderId="8" xfId="0" applyFont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8" xfId="0" applyFont="1" applyBorder="1"/>
    <xf numFmtId="164" fontId="4" fillId="0" borderId="21" xfId="0" applyNumberFormat="1" applyFont="1" applyBorder="1"/>
    <xf numFmtId="4" fontId="4" fillId="0" borderId="8" xfId="0" applyNumberFormat="1" applyFont="1" applyBorder="1"/>
    <xf numFmtId="4" fontId="4" fillId="0" borderId="12" xfId="0" applyNumberFormat="1" applyFont="1" applyBorder="1"/>
    <xf numFmtId="4" fontId="4" fillId="0" borderId="14" xfId="0" applyNumberFormat="1" applyFont="1" applyBorder="1"/>
    <xf numFmtId="3" fontId="5" fillId="0" borderId="35" xfId="0" applyNumberFormat="1" applyFont="1" applyBorder="1"/>
    <xf numFmtId="3" fontId="5" fillId="0" borderId="36" xfId="0" applyNumberFormat="1" applyFont="1" applyBorder="1"/>
    <xf numFmtId="3" fontId="5" fillId="0" borderId="37" xfId="0" applyNumberFormat="1" applyFont="1" applyBorder="1"/>
    <xf numFmtId="3" fontId="5" fillId="0" borderId="32" xfId="0" applyNumberFormat="1" applyFont="1" applyBorder="1"/>
    <xf numFmtId="3" fontId="5" fillId="0" borderId="0" xfId="0" applyNumberFormat="1" applyFont="1"/>
    <xf numFmtId="3" fontId="5" fillId="0" borderId="33" xfId="0" applyNumberFormat="1" applyFont="1" applyBorder="1"/>
    <xf numFmtId="0" fontId="5" fillId="0" borderId="11" xfId="0" applyFont="1" applyBorder="1"/>
    <xf numFmtId="0" fontId="13" fillId="0" borderId="0" xfId="0" applyFont="1"/>
    <xf numFmtId="0" fontId="5" fillId="0" borderId="32" xfId="0" applyFont="1" applyBorder="1"/>
    <xf numFmtId="0" fontId="9" fillId="0" borderId="32" xfId="0" applyFont="1" applyBorder="1"/>
    <xf numFmtId="0" fontId="9" fillId="0" borderId="33" xfId="0" applyFont="1" applyBorder="1"/>
    <xf numFmtId="164" fontId="4" fillId="0" borderId="8" xfId="0" applyNumberFormat="1" applyFont="1" applyBorder="1"/>
    <xf numFmtId="164" fontId="4" fillId="0" borderId="12" xfId="0" applyNumberFormat="1" applyFont="1" applyBorder="1"/>
    <xf numFmtId="164" fontId="4" fillId="0" borderId="13" xfId="0" applyNumberFormat="1" applyFont="1" applyBorder="1"/>
    <xf numFmtId="164" fontId="4" fillId="0" borderId="14" xfId="0" applyNumberFormat="1" applyFont="1" applyBorder="1"/>
    <xf numFmtId="4" fontId="4" fillId="0" borderId="21" xfId="0" applyNumberFormat="1" applyFont="1" applyBorder="1"/>
    <xf numFmtId="0" fontId="5" fillId="0" borderId="15" xfId="0" applyFont="1" applyBorder="1"/>
    <xf numFmtId="0" fontId="5" fillId="0" borderId="14" xfId="0" applyFont="1" applyBorder="1"/>
    <xf numFmtId="0" fontId="5" fillId="0" borderId="8" xfId="0" applyFont="1" applyBorder="1"/>
    <xf numFmtId="0" fontId="5" fillId="0" borderId="15" xfId="0" applyFont="1" applyBorder="1" applyAlignment="1">
      <alignment horizontal="center" vertical="center" wrapText="1"/>
    </xf>
    <xf numFmtId="4" fontId="4" fillId="0" borderId="13" xfId="0" applyNumberFormat="1" applyFont="1" applyBorder="1"/>
    <xf numFmtId="0" fontId="4" fillId="0" borderId="12" xfId="0" applyFont="1" applyBorder="1"/>
    <xf numFmtId="0" fontId="11" fillId="0" borderId="0" xfId="0" applyFont="1"/>
    <xf numFmtId="4" fontId="4" fillId="0" borderId="20" xfId="0" applyNumberFormat="1" applyFont="1" applyBorder="1"/>
    <xf numFmtId="4" fontId="4" fillId="0" borderId="9" xfId="0" applyNumberFormat="1" applyFont="1" applyBorder="1"/>
    <xf numFmtId="4" fontId="4" fillId="0" borderId="10" xfId="0" applyNumberFormat="1" applyFont="1" applyBorder="1"/>
    <xf numFmtId="3" fontId="9" fillId="0" borderId="49" xfId="0" applyNumberFormat="1" applyFont="1" applyBorder="1"/>
    <xf numFmtId="3" fontId="9" fillId="0" borderId="50" xfId="0" applyNumberFormat="1" applyFont="1" applyBorder="1"/>
    <xf numFmtId="3" fontId="9" fillId="0" borderId="48" xfId="0" applyNumberFormat="1" applyFont="1" applyBorder="1"/>
    <xf numFmtId="0" fontId="4" fillId="0" borderId="21" xfId="0" applyFont="1" applyBorder="1"/>
    <xf numFmtId="0" fontId="4" fillId="0" borderId="14" xfId="0" applyFont="1" applyBorder="1"/>
    <xf numFmtId="0" fontId="5" fillId="0" borderId="19" xfId="0" applyFont="1" applyBorder="1"/>
    <xf numFmtId="0" fontId="11" fillId="0" borderId="9" xfId="0" applyFont="1" applyBorder="1"/>
    <xf numFmtId="3" fontId="5" fillId="0" borderId="52" xfId="0" applyNumberFormat="1" applyFont="1" applyBorder="1"/>
    <xf numFmtId="3" fontId="5" fillId="0" borderId="53" xfId="0" applyNumberFormat="1" applyFont="1" applyBorder="1"/>
    <xf numFmtId="3" fontId="5" fillId="0" borderId="22" xfId="0" applyNumberFormat="1" applyFont="1" applyBorder="1"/>
    <xf numFmtId="164" fontId="5" fillId="0" borderId="40" xfId="0" applyNumberFormat="1" applyFont="1" applyBorder="1"/>
    <xf numFmtId="164" fontId="5" fillId="0" borderId="15" xfId="0" applyNumberFormat="1" applyFont="1" applyBorder="1"/>
    <xf numFmtId="164" fontId="5" fillId="0" borderId="41" xfId="0" applyNumberFormat="1" applyFont="1" applyBorder="1"/>
    <xf numFmtId="166" fontId="5" fillId="0" borderId="54" xfId="0" applyNumberFormat="1" applyFont="1" applyBorder="1"/>
    <xf numFmtId="164" fontId="5" fillId="0" borderId="26" xfId="0" applyNumberFormat="1" applyFont="1" applyBorder="1"/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/>
    </xf>
    <xf numFmtId="0" fontId="9" fillId="0" borderId="7" xfId="0" applyFont="1" applyBorder="1"/>
    <xf numFmtId="0" fontId="9" fillId="0" borderId="5" xfId="0" applyFont="1" applyBorder="1"/>
    <xf numFmtId="0" fontId="5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4" fontId="5" fillId="0" borderId="30" xfId="0" applyNumberFormat="1" applyFont="1" applyBorder="1"/>
    <xf numFmtId="4" fontId="5" fillId="0" borderId="1" xfId="0" applyNumberFormat="1" applyFont="1" applyBorder="1"/>
    <xf numFmtId="4" fontId="5" fillId="0" borderId="31" xfId="0" applyNumberFormat="1" applyFont="1" applyBorder="1"/>
    <xf numFmtId="4" fontId="5" fillId="0" borderId="2" xfId="0" applyNumberFormat="1" applyFont="1" applyBorder="1"/>
    <xf numFmtId="4" fontId="5" fillId="0" borderId="23" xfId="0" applyNumberFormat="1" applyFont="1" applyBorder="1"/>
    <xf numFmtId="4" fontId="5" fillId="0" borderId="24" xfId="0" applyNumberFormat="1" applyFont="1" applyBorder="1"/>
    <xf numFmtId="4" fontId="5" fillId="0" borderId="25" xfId="0" applyNumberFormat="1" applyFont="1" applyBorder="1"/>
    <xf numFmtId="4" fontId="5" fillId="0" borderId="34" xfId="0" applyNumberFormat="1" applyFont="1" applyBorder="1"/>
    <xf numFmtId="4" fontId="5" fillId="0" borderId="4" xfId="0" applyNumberFormat="1" applyFont="1" applyBorder="1"/>
    <xf numFmtId="4" fontId="5" fillId="0" borderId="51" xfId="0" applyNumberFormat="1" applyFont="1" applyBorder="1"/>
    <xf numFmtId="165" fontId="5" fillId="0" borderId="30" xfId="0" applyNumberFormat="1" applyFont="1" applyBorder="1"/>
    <xf numFmtId="165" fontId="5" fillId="0" borderId="1" xfId="0" applyNumberFormat="1" applyFont="1" applyBorder="1"/>
    <xf numFmtId="165" fontId="5" fillId="0" borderId="31" xfId="0" applyNumberFormat="1" applyFont="1" applyBorder="1"/>
    <xf numFmtId="3" fontId="4" fillId="0" borderId="8" xfId="0" applyNumberFormat="1" applyFont="1" applyBorder="1"/>
    <xf numFmtId="3" fontId="4" fillId="0" borderId="12" xfId="0" applyNumberFormat="1" applyFont="1" applyBorder="1"/>
    <xf numFmtId="3" fontId="4" fillId="0" borderId="14" xfId="0" applyNumberFormat="1" applyFont="1" applyBorder="1"/>
    <xf numFmtId="166" fontId="4" fillId="0" borderId="21" xfId="0" applyNumberFormat="1" applyFont="1" applyBorder="1"/>
    <xf numFmtId="0" fontId="5" fillId="0" borderId="2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4" fontId="4" fillId="0" borderId="55" xfId="0" applyNumberFormat="1" applyFont="1" applyBorder="1"/>
    <xf numFmtId="0" fontId="4" fillId="0" borderId="0" xfId="0" applyFont="1"/>
    <xf numFmtId="0" fontId="4" fillId="0" borderId="56" xfId="0" applyFont="1" applyBorder="1" applyAlignment="1">
      <alignment horizontal="center" vertical="center" wrapText="1"/>
    </xf>
    <xf numFmtId="3" fontId="4" fillId="0" borderId="57" xfId="0" applyNumberFormat="1" applyFont="1" applyBorder="1"/>
    <xf numFmtId="3" fontId="4" fillId="0" borderId="58" xfId="0" applyNumberFormat="1" applyFont="1" applyBorder="1"/>
    <xf numFmtId="166" fontId="4" fillId="0" borderId="33" xfId="0" applyNumberFormat="1" applyFont="1" applyBorder="1"/>
    <xf numFmtId="4" fontId="5" fillId="0" borderId="5" xfId="0" applyNumberFormat="1" applyFont="1" applyBorder="1"/>
    <xf numFmtId="165" fontId="5" fillId="0" borderId="38" xfId="0" applyNumberFormat="1" applyFont="1" applyBorder="1"/>
    <xf numFmtId="165" fontId="5" fillId="0" borderId="11" xfId="0" applyNumberFormat="1" applyFont="1" applyBorder="1"/>
    <xf numFmtId="165" fontId="5" fillId="0" borderId="39" xfId="0" applyNumberFormat="1" applyFont="1" applyBorder="1"/>
    <xf numFmtId="0" fontId="4" fillId="0" borderId="8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6" xfId="0" applyFont="1" applyBorder="1"/>
    <xf numFmtId="165" fontId="5" fillId="0" borderId="6" xfId="0" applyNumberFormat="1" applyFont="1" applyBorder="1"/>
    <xf numFmtId="0" fontId="1" fillId="0" borderId="49" xfId="0" applyFont="1" applyBorder="1"/>
    <xf numFmtId="0" fontId="1" fillId="0" borderId="50" xfId="0" applyFont="1" applyBorder="1"/>
    <xf numFmtId="0" fontId="1" fillId="0" borderId="48" xfId="0" applyFont="1" applyBorder="1"/>
    <xf numFmtId="0" fontId="1" fillId="0" borderId="7" xfId="0" applyFont="1" applyBorder="1"/>
    <xf numFmtId="4" fontId="5" fillId="0" borderId="45" xfId="0" applyNumberFormat="1" applyFont="1" applyBorder="1"/>
    <xf numFmtId="4" fontId="2" fillId="0" borderId="10" xfId="0" applyNumberFormat="1" applyFont="1" applyBorder="1"/>
    <xf numFmtId="3" fontId="4" fillId="0" borderId="56" xfId="0" applyNumberFormat="1" applyFont="1" applyBorder="1"/>
    <xf numFmtId="3" fontId="4" fillId="0" borderId="47" xfId="0" applyNumberFormat="1" applyFont="1" applyBorder="1"/>
    <xf numFmtId="3" fontId="4" fillId="0" borderId="46" xfId="0" applyNumberFormat="1" applyFont="1" applyBorder="1"/>
    <xf numFmtId="4" fontId="4" fillId="0" borderId="42" xfId="0" applyNumberFormat="1" applyFont="1" applyBorder="1"/>
    <xf numFmtId="4" fontId="4" fillId="0" borderId="43" xfId="0" applyNumberFormat="1" applyFont="1" applyBorder="1"/>
    <xf numFmtId="4" fontId="4" fillId="0" borderId="44" xfId="0" applyNumberFormat="1" applyFont="1" applyBorder="1"/>
    <xf numFmtId="4" fontId="4" fillId="0" borderId="37" xfId="0" applyNumberFormat="1" applyFont="1" applyBorder="1"/>
    <xf numFmtId="3" fontId="4" fillId="0" borderId="52" xfId="0" applyNumberFormat="1" applyFont="1" applyBorder="1"/>
    <xf numFmtId="3" fontId="4" fillId="0" borderId="53" xfId="0" applyNumberFormat="1" applyFont="1" applyBorder="1"/>
    <xf numFmtId="3" fontId="4" fillId="0" borderId="22" xfId="0" applyNumberFormat="1" applyFont="1" applyBorder="1"/>
    <xf numFmtId="165" fontId="5" fillId="0" borderId="24" xfId="0" applyNumberFormat="1" applyFont="1" applyBorder="1"/>
    <xf numFmtId="165" fontId="5" fillId="0" borderId="25" xfId="0" applyNumberFormat="1" applyFont="1" applyBorder="1"/>
    <xf numFmtId="0" fontId="4" fillId="0" borderId="55" xfId="0" applyFont="1" applyBorder="1" applyAlignment="1">
      <alignment vertical="center" wrapText="1"/>
    </xf>
    <xf numFmtId="0" fontId="5" fillId="0" borderId="15" xfId="0" applyFont="1" applyBorder="1" applyAlignment="1">
      <alignment horizontal="left" vertical="center" wrapText="1"/>
    </xf>
    <xf numFmtId="165" fontId="9" fillId="2" borderId="23" xfId="0" applyNumberFormat="1" applyFont="1" applyFill="1" applyBorder="1"/>
    <xf numFmtId="0" fontId="4" fillId="0" borderId="8" xfId="0" applyFont="1" applyBorder="1" applyAlignment="1">
      <alignment horizontal="left" vertical="center" wrapText="1"/>
    </xf>
    <xf numFmtId="0" fontId="16" fillId="3" borderId="22" xfId="0" applyFont="1" applyFill="1" applyBorder="1"/>
    <xf numFmtId="0" fontId="16" fillId="0" borderId="23" xfId="0" applyFont="1" applyBorder="1" applyAlignment="1">
      <alignment horizontal="right" vertical="center"/>
    </xf>
    <xf numFmtId="0" fontId="16" fillId="3" borderId="25" xfId="0" applyFont="1" applyFill="1" applyBorder="1"/>
    <xf numFmtId="0" fontId="16" fillId="0" borderId="52" xfId="0" applyFont="1" applyBorder="1" applyAlignment="1">
      <alignment horizontal="right" vertical="center"/>
    </xf>
    <xf numFmtId="0" fontId="16" fillId="0" borderId="38" xfId="0" applyFont="1" applyBorder="1" applyAlignment="1">
      <alignment horizontal="right" vertical="center"/>
    </xf>
    <xf numFmtId="0" fontId="16" fillId="3" borderId="39" xfId="0" applyFont="1" applyFill="1" applyBorder="1"/>
    <xf numFmtId="0" fontId="16" fillId="0" borderId="20" xfId="0" applyFont="1" applyBorder="1" applyAlignment="1" applyProtection="1">
      <alignment horizontal="right"/>
      <protection locked="0"/>
    </xf>
    <xf numFmtId="0" fontId="16" fillId="3" borderId="10" xfId="0" applyFont="1" applyFill="1" applyBorder="1"/>
    <xf numFmtId="14" fontId="0" fillId="0" borderId="0" xfId="0" applyNumberFormat="1"/>
    <xf numFmtId="0" fontId="9" fillId="0" borderId="29" xfId="0" applyFont="1" applyBorder="1"/>
    <xf numFmtId="0" fontId="5" fillId="0" borderId="5" xfId="0" applyFont="1" applyBorder="1"/>
    <xf numFmtId="14" fontId="14" fillId="0" borderId="7" xfId="0" applyNumberFormat="1" applyFont="1" applyBorder="1" applyAlignment="1">
      <alignment horizontal="center"/>
    </xf>
    <xf numFmtId="14" fontId="14" fillId="0" borderId="5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/>
    <xf numFmtId="166" fontId="14" fillId="0" borderId="5" xfId="0" applyNumberFormat="1" applyFont="1" applyBorder="1"/>
    <xf numFmtId="4" fontId="14" fillId="0" borderId="10" xfId="0" applyNumberFormat="1" applyFont="1" applyBorder="1"/>
    <xf numFmtId="4" fontId="17" fillId="0" borderId="5" xfId="0" applyNumberFormat="1" applyFont="1" applyBorder="1"/>
    <xf numFmtId="0" fontId="17" fillId="0" borderId="5" xfId="0" applyFont="1" applyBorder="1"/>
    <xf numFmtId="164" fontId="14" fillId="0" borderId="26" xfId="0" applyNumberFormat="1" applyFont="1" applyBorder="1"/>
    <xf numFmtId="4" fontId="9" fillId="0" borderId="5" xfId="0" applyNumberFormat="1" applyFont="1" applyBorder="1"/>
    <xf numFmtId="14" fontId="5" fillId="0" borderId="7" xfId="0" applyNumberFormat="1" applyFont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6" fontId="5" fillId="0" borderId="5" xfId="0" applyNumberFormat="1" applyFont="1" applyBorder="1"/>
    <xf numFmtId="4" fontId="5" fillId="0" borderId="10" xfId="0" applyNumberFormat="1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21" xfId="0" applyFont="1" applyBorder="1"/>
    <xf numFmtId="0" fontId="5" fillId="0" borderId="56" xfId="0" applyFont="1" applyBorder="1" applyAlignment="1">
      <alignment horizontal="center" vertical="center" wrapText="1"/>
    </xf>
    <xf numFmtId="3" fontId="5" fillId="0" borderId="10" xfId="0" applyNumberFormat="1" applyFont="1" applyBorder="1"/>
    <xf numFmtId="3" fontId="14" fillId="0" borderId="10" xfId="0" applyNumberFormat="1" applyFont="1" applyBorder="1"/>
    <xf numFmtId="3" fontId="5" fillId="0" borderId="54" xfId="0" applyNumberFormat="1" applyFont="1" applyBorder="1"/>
    <xf numFmtId="3" fontId="14" fillId="0" borderId="54" xfId="0" applyNumberFormat="1" applyFont="1" applyBorder="1"/>
    <xf numFmtId="165" fontId="5" fillId="4" borderId="30" xfId="0" applyNumberFormat="1" applyFont="1" applyFill="1" applyBorder="1"/>
    <xf numFmtId="165" fontId="5" fillId="4" borderId="38" xfId="0" applyNumberFormat="1" applyFont="1" applyFill="1" applyBorder="1"/>
    <xf numFmtId="0" fontId="1" fillId="0" borderId="2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2" fillId="2" borderId="20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2" borderId="50" xfId="0" applyFont="1" applyFill="1" applyBorder="1" applyAlignment="1">
      <alignment horizontal="center"/>
    </xf>
    <xf numFmtId="0" fontId="12" fillId="2" borderId="48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4" fillId="2" borderId="20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14" fillId="2" borderId="21" xfId="0" applyFont="1" applyFill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59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/>
    </xf>
    <xf numFmtId="0" fontId="5" fillId="2" borderId="20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1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99FF33"/>
      <color rgb="FFA8D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296351344828484E-2"/>
          <c:y val="0.14792942148617061"/>
          <c:w val="0.8512758919253719"/>
          <c:h val="0.60946921652302299"/>
        </c:manualLayout>
      </c:layout>
      <c:lineChart>
        <c:grouping val="standard"/>
        <c:varyColors val="0"/>
        <c:ser>
          <c:idx val="10"/>
          <c:order val="0"/>
          <c:tx>
            <c:strRef>
              <c:f>'Consum Martorell'!$A$23</c:f>
              <c:strCache>
                <c:ptCount val="1"/>
                <c:pt idx="0">
                  <c:v>2023</c:v>
                </c:pt>
              </c:strCache>
            </c:strRef>
          </c:tx>
          <c:cat>
            <c:strRef>
              <c:f>'Consum Martorell'!$B$3:$M$3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'Consum Martorell'!$B$23:$M$23</c:f>
              <c:numCache>
                <c:formatCode>#,##0</c:formatCode>
                <c:ptCount val="12"/>
                <c:pt idx="0">
                  <c:v>556203</c:v>
                </c:pt>
                <c:pt idx="1">
                  <c:v>483112</c:v>
                </c:pt>
                <c:pt idx="2">
                  <c:v>168048</c:v>
                </c:pt>
                <c:pt idx="3">
                  <c:v>33136</c:v>
                </c:pt>
                <c:pt idx="4">
                  <c:v>7501</c:v>
                </c:pt>
                <c:pt idx="5">
                  <c:v>1182</c:v>
                </c:pt>
                <c:pt idx="6">
                  <c:v>5134</c:v>
                </c:pt>
                <c:pt idx="7">
                  <c:v>5107</c:v>
                </c:pt>
                <c:pt idx="8">
                  <c:v>5763</c:v>
                </c:pt>
                <c:pt idx="9">
                  <c:v>7985</c:v>
                </c:pt>
                <c:pt idx="10">
                  <c:v>205739</c:v>
                </c:pt>
                <c:pt idx="11">
                  <c:v>328182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7D7-4AC2-B692-C65D75F09823}"/>
            </c:ext>
          </c:extLst>
        </c:ser>
        <c:ser>
          <c:idx val="11"/>
          <c:order val="1"/>
          <c:tx>
            <c:strRef>
              <c:f>'Consum Martorell'!$A$24</c:f>
              <c:strCache>
                <c:ptCount val="1"/>
                <c:pt idx="0">
                  <c:v>2024</c:v>
                </c:pt>
              </c:strCache>
            </c:strRef>
          </c:tx>
          <c:cat>
            <c:strRef>
              <c:f>'Consum Martorell'!$B$3:$M$3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'Consum Martorell'!$B$24:$M$24</c:f>
              <c:numCache>
                <c:formatCode>#,##0</c:formatCode>
                <c:ptCount val="12"/>
                <c:pt idx="0">
                  <c:v>457150</c:v>
                </c:pt>
                <c:pt idx="1">
                  <c:v>250950</c:v>
                </c:pt>
                <c:pt idx="2">
                  <c:v>210729</c:v>
                </c:pt>
                <c:pt idx="3">
                  <c:v>124733</c:v>
                </c:pt>
                <c:pt idx="4">
                  <c:v>11611</c:v>
                </c:pt>
                <c:pt idx="5">
                  <c:v>6785</c:v>
                </c:pt>
                <c:pt idx="6">
                  <c:v>6343</c:v>
                </c:pt>
                <c:pt idx="7">
                  <c:v>5985</c:v>
                </c:pt>
                <c:pt idx="8">
                  <c:v>8360</c:v>
                </c:pt>
                <c:pt idx="9">
                  <c:v>4302</c:v>
                </c:pt>
                <c:pt idx="10">
                  <c:v>138960</c:v>
                </c:pt>
                <c:pt idx="11">
                  <c:v>395954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7D7-4AC2-B692-C65D75F09823}"/>
            </c:ext>
          </c:extLst>
        </c:ser>
        <c:ser>
          <c:idx val="9"/>
          <c:order val="2"/>
          <c:tx>
            <c:strRef>
              <c:f>'Consum Martorell'!$A$25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star"/>
            <c:size val="9"/>
            <c:spPr>
              <a:solidFill>
                <a:srgbClr val="FF00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strRef>
              <c:f>'Consum Martorell'!$B$3:$M$3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'Consum Martorell'!$B$25:$M$25</c:f>
              <c:numCache>
                <c:formatCode>#,##0</c:formatCode>
                <c:ptCount val="12"/>
                <c:pt idx="0">
                  <c:v>474825</c:v>
                </c:pt>
                <c:pt idx="1">
                  <c:v>376077</c:v>
                </c:pt>
                <c:pt idx="2">
                  <c:v>274647</c:v>
                </c:pt>
                <c:pt idx="3">
                  <c:v>135963</c:v>
                </c:pt>
                <c:pt idx="4">
                  <c:v>45740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7D7-4AC2-B692-C65D75F09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800512"/>
        <c:axId val="203038016"/>
      </c:lineChart>
      <c:catAx>
        <c:axId val="20480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03038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3038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ca-ES"/>
                  <a:t>kWh/Mes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04800512"/>
        <c:crosses val="autoZero"/>
        <c:crossBetween val="between"/>
      </c:valAx>
      <c:spPr>
        <a:solidFill>
          <a:sysClr val="window" lastClr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3827241294678421"/>
          <c:y val="0.22485272065897935"/>
          <c:w val="5.3657407407407411E-2"/>
          <c:h val="0.43822498931819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79894807658804E-2"/>
          <c:y val="0.14705882352941177"/>
          <c:w val="0.85029234846254154"/>
          <c:h val="0.61176470588235299"/>
        </c:manualLayout>
      </c:layout>
      <c:lineChart>
        <c:grouping val="standard"/>
        <c:varyColors val="0"/>
        <c:ser>
          <c:idx val="9"/>
          <c:order val="0"/>
          <c:tx>
            <c:strRef>
              <c:f>'Consum Martorell'!$A$56</c:f>
              <c:strCache>
                <c:ptCount val="1"/>
                <c:pt idx="0">
                  <c:v>2023</c:v>
                </c:pt>
              </c:strCache>
            </c:strRef>
          </c:tx>
          <c:cat>
            <c:strRef>
              <c:f>'Consum Martorell'!$B$3:$M$3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'Consum Martorell'!$B$56:$M$56</c:f>
              <c:numCache>
                <c:formatCode>#,##0</c:formatCode>
                <c:ptCount val="12"/>
                <c:pt idx="0">
                  <c:v>2072562</c:v>
                </c:pt>
                <c:pt idx="1">
                  <c:v>2190728</c:v>
                </c:pt>
                <c:pt idx="2">
                  <c:v>1999072</c:v>
                </c:pt>
                <c:pt idx="3">
                  <c:v>1878861</c:v>
                </c:pt>
                <c:pt idx="4">
                  <c:v>1881656</c:v>
                </c:pt>
                <c:pt idx="5">
                  <c:v>1880554</c:v>
                </c:pt>
                <c:pt idx="6">
                  <c:v>1880655</c:v>
                </c:pt>
                <c:pt idx="7">
                  <c:v>1880680</c:v>
                </c:pt>
                <c:pt idx="8">
                  <c:v>1881283</c:v>
                </c:pt>
                <c:pt idx="9">
                  <c:v>1883954</c:v>
                </c:pt>
                <c:pt idx="10">
                  <c:v>1847762</c:v>
                </c:pt>
                <c:pt idx="11">
                  <c:v>1807092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8-46DB-A134-3ED9B38D114C}"/>
            </c:ext>
          </c:extLst>
        </c:ser>
        <c:ser>
          <c:idx val="10"/>
          <c:order val="1"/>
          <c:tx>
            <c:strRef>
              <c:f>'Consum Martorell'!$A$57</c:f>
              <c:strCache>
                <c:ptCount val="1"/>
                <c:pt idx="0">
                  <c:v>2024</c:v>
                </c:pt>
              </c:strCache>
            </c:strRef>
          </c:tx>
          <c:cat>
            <c:strRef>
              <c:f>'Consum Martorell'!$B$3:$M$3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'Consum Martorell'!$B$57:$M$57</c:f>
              <c:numCache>
                <c:formatCode>#,##0</c:formatCode>
                <c:ptCount val="12"/>
                <c:pt idx="0">
                  <c:v>1708039</c:v>
                </c:pt>
                <c:pt idx="1">
                  <c:v>1475877</c:v>
                </c:pt>
                <c:pt idx="2">
                  <c:v>1518558</c:v>
                </c:pt>
                <c:pt idx="3">
                  <c:v>1610155</c:v>
                </c:pt>
                <c:pt idx="4">
                  <c:v>1614265</c:v>
                </c:pt>
                <c:pt idx="5">
                  <c:v>1619868</c:v>
                </c:pt>
                <c:pt idx="6">
                  <c:v>1621077</c:v>
                </c:pt>
                <c:pt idx="7">
                  <c:v>1621955</c:v>
                </c:pt>
                <c:pt idx="8">
                  <c:v>1624552</c:v>
                </c:pt>
                <c:pt idx="9">
                  <c:v>1620869</c:v>
                </c:pt>
                <c:pt idx="10">
                  <c:v>1554090</c:v>
                </c:pt>
                <c:pt idx="11">
                  <c:v>1621862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C8-46DB-A134-3ED9B38D114C}"/>
            </c:ext>
          </c:extLst>
        </c:ser>
        <c:ser>
          <c:idx val="8"/>
          <c:order val="2"/>
          <c:tx>
            <c:strRef>
              <c:f>'Consum Martorell'!$A$58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star"/>
            <c:size val="9"/>
            <c:spPr>
              <a:solidFill>
                <a:srgbClr val="FF00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strRef>
              <c:f>'Consum Martorell'!$B$3:$M$3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'Consum Martorell'!$B$58:$M$58</c:f>
              <c:numCache>
                <c:formatCode>#,##0</c:formatCode>
                <c:ptCount val="12"/>
                <c:pt idx="0">
                  <c:v>1639537</c:v>
                </c:pt>
                <c:pt idx="1">
                  <c:v>1764664</c:v>
                </c:pt>
                <c:pt idx="2">
                  <c:v>1828582</c:v>
                </c:pt>
                <c:pt idx="3">
                  <c:v>1839812</c:v>
                </c:pt>
                <c:pt idx="4">
                  <c:v>1873941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8C8-46DB-A134-3ED9B38D1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802048"/>
        <c:axId val="203074368"/>
      </c:lineChart>
      <c:catAx>
        <c:axId val="20480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03074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3074368"/>
        <c:scaling>
          <c:orientation val="minMax"/>
          <c:min val="1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ca-ES"/>
                  <a:t>kWh/Mes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04802048"/>
        <c:crosses val="autoZero"/>
        <c:crossBetween val="between"/>
      </c:valAx>
      <c:spPr>
        <a:solidFill>
          <a:sysClr val="window" lastClr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3827241294678421"/>
          <c:y val="0.22941176470588234"/>
          <c:w val="5.3657407407407411E-2"/>
          <c:h val="0.4348540278619018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567182569993E-2"/>
          <c:y val="0.13297872340425532"/>
          <c:w val="0.85495977727882289"/>
          <c:h val="0.64893617021276595"/>
        </c:manualLayout>
      </c:layout>
      <c:scatterChart>
        <c:scatterStyle val="lineMarker"/>
        <c:varyColors val="0"/>
        <c:ser>
          <c:idx val="2"/>
          <c:order val="0"/>
          <c:tx>
            <c:strRef>
              <c:f>'Consum Martorell'!$A$90</c:f>
              <c:strCache>
                <c:ptCount val="1"/>
                <c:pt idx="0">
                  <c:v>2023</c:v>
                </c:pt>
              </c:strCache>
            </c:strRef>
          </c:tx>
          <c:spPr>
            <a:ln w="19050">
              <a:noFill/>
            </a:ln>
          </c:spPr>
          <c:xVal>
            <c:numRef>
              <c:f>'Consum Martorell'!$B$90:$M$90</c:f>
              <c:numCache>
                <c:formatCode>0.00</c:formatCode>
                <c:ptCount val="12"/>
                <c:pt idx="0">
                  <c:v>7.9322580645161276</c:v>
                </c:pt>
                <c:pt idx="1">
                  <c:v>8.7928571428571427</c:v>
                </c:pt>
                <c:pt idx="2">
                  <c:v>13.248387096774197</c:v>
                </c:pt>
                <c:pt idx="3">
                  <c:v>15.356666666666666</c:v>
                </c:pt>
                <c:pt idx="4">
                  <c:v>17.429032258064517</c:v>
                </c:pt>
                <c:pt idx="5">
                  <c:v>22.929999999999996</c:v>
                </c:pt>
                <c:pt idx="6">
                  <c:v>25.890322580645169</c:v>
                </c:pt>
                <c:pt idx="7">
                  <c:v>25.754838709677419</c:v>
                </c:pt>
                <c:pt idx="8">
                  <c:v>22.54</c:v>
                </c:pt>
                <c:pt idx="9">
                  <c:v>19.570967741935487</c:v>
                </c:pt>
                <c:pt idx="10">
                  <c:v>14.053333333333331</c:v>
                </c:pt>
                <c:pt idx="11">
                  <c:v>10.609677419354838</c:v>
                </c:pt>
              </c:numCache>
            </c:numRef>
          </c:xVal>
          <c:yVal>
            <c:numRef>
              <c:f>'Consum Martorell'!$B$23:$M$23</c:f>
              <c:numCache>
                <c:formatCode>#,##0</c:formatCode>
                <c:ptCount val="12"/>
                <c:pt idx="0">
                  <c:v>556203</c:v>
                </c:pt>
                <c:pt idx="1">
                  <c:v>483112</c:v>
                </c:pt>
                <c:pt idx="2">
                  <c:v>168048</c:v>
                </c:pt>
                <c:pt idx="3">
                  <c:v>33136</c:v>
                </c:pt>
                <c:pt idx="4">
                  <c:v>7501</c:v>
                </c:pt>
                <c:pt idx="5">
                  <c:v>1182</c:v>
                </c:pt>
                <c:pt idx="6">
                  <c:v>5134</c:v>
                </c:pt>
                <c:pt idx="7">
                  <c:v>5107</c:v>
                </c:pt>
                <c:pt idx="8">
                  <c:v>5763</c:v>
                </c:pt>
                <c:pt idx="9">
                  <c:v>7985</c:v>
                </c:pt>
                <c:pt idx="10">
                  <c:v>205739</c:v>
                </c:pt>
                <c:pt idx="11">
                  <c:v>328182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DCA-477F-B9C3-8C31790384D0}"/>
            </c:ext>
          </c:extLst>
        </c:ser>
        <c:ser>
          <c:idx val="0"/>
          <c:order val="1"/>
          <c:tx>
            <c:strRef>
              <c:f>'Consum Martorell'!$A$91</c:f>
              <c:strCache>
                <c:ptCount val="1"/>
                <c:pt idx="0">
                  <c:v>2024</c:v>
                </c:pt>
              </c:strCache>
            </c:strRef>
          </c:tx>
          <c:spPr>
            <a:ln w="19050">
              <a:noFill/>
            </a:ln>
          </c:spPr>
          <c:xVal>
            <c:numRef>
              <c:f>'Consum Martorell'!$B$91:$M$91</c:f>
              <c:numCache>
                <c:formatCode>0.00</c:formatCode>
                <c:ptCount val="12"/>
                <c:pt idx="0">
                  <c:v>10.241935483870968</c:v>
                </c:pt>
                <c:pt idx="1">
                  <c:v>12.224137931034484</c:v>
                </c:pt>
                <c:pt idx="2">
                  <c:v>12.603225806451613</c:v>
                </c:pt>
                <c:pt idx="3">
                  <c:v>14.593333333333335</c:v>
                </c:pt>
                <c:pt idx="4">
                  <c:v>17.516129032258061</c:v>
                </c:pt>
                <c:pt idx="5">
                  <c:v>21.246666666666666</c:v>
                </c:pt>
                <c:pt idx="6">
                  <c:v>25.593548387096771</c:v>
                </c:pt>
                <c:pt idx="7">
                  <c:v>25.819354838709685</c:v>
                </c:pt>
                <c:pt idx="8">
                  <c:v>20.226666666666663</c:v>
                </c:pt>
                <c:pt idx="9">
                  <c:v>17.719354838709677</c:v>
                </c:pt>
                <c:pt idx="10">
                  <c:v>13.95</c:v>
                </c:pt>
                <c:pt idx="11">
                  <c:v>9.4967741935483865</c:v>
                </c:pt>
              </c:numCache>
            </c:numRef>
          </c:xVal>
          <c:yVal>
            <c:numRef>
              <c:f>'Consum Martorell'!$B$24:$M$24</c:f>
              <c:numCache>
                <c:formatCode>#,##0</c:formatCode>
                <c:ptCount val="12"/>
                <c:pt idx="0">
                  <c:v>457150</c:v>
                </c:pt>
                <c:pt idx="1">
                  <c:v>250950</c:v>
                </c:pt>
                <c:pt idx="2">
                  <c:v>210729</c:v>
                </c:pt>
                <c:pt idx="3">
                  <c:v>124733</c:v>
                </c:pt>
                <c:pt idx="4">
                  <c:v>11611</c:v>
                </c:pt>
                <c:pt idx="5">
                  <c:v>6785</c:v>
                </c:pt>
                <c:pt idx="6">
                  <c:v>6343</c:v>
                </c:pt>
                <c:pt idx="7">
                  <c:v>5985</c:v>
                </c:pt>
                <c:pt idx="8">
                  <c:v>8360</c:v>
                </c:pt>
                <c:pt idx="9">
                  <c:v>4302</c:v>
                </c:pt>
                <c:pt idx="10">
                  <c:v>138960</c:v>
                </c:pt>
                <c:pt idx="11">
                  <c:v>395954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DCA-477F-B9C3-8C31790384D0}"/>
            </c:ext>
          </c:extLst>
        </c:ser>
        <c:ser>
          <c:idx val="9"/>
          <c:order val="2"/>
          <c:tx>
            <c:strRef>
              <c:f>'Consum Martorell'!$A$92</c:f>
              <c:strCache>
                <c:ptCount val="1"/>
                <c:pt idx="0">
                  <c:v>2025</c:v>
                </c:pt>
              </c:strCache>
            </c:strRef>
          </c:tx>
          <c:spPr>
            <a:ln w="19050">
              <a:noFill/>
            </a:ln>
          </c:spPr>
          <c:marker>
            <c:symbol val="star"/>
            <c:size val="9"/>
            <c:spPr>
              <a:solidFill>
                <a:srgbClr val="FF00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xVal>
            <c:numRef>
              <c:f>'Consum Martorell'!$B$92:$M$92</c:f>
              <c:numCache>
                <c:formatCode>0.00</c:formatCode>
                <c:ptCount val="12"/>
                <c:pt idx="0">
                  <c:v>9.8387096774193541</c:v>
                </c:pt>
                <c:pt idx="1">
                  <c:v>10.1</c:v>
                </c:pt>
                <c:pt idx="2">
                  <c:v>10.990322580645161</c:v>
                </c:pt>
                <c:pt idx="3">
                  <c:v>14.779999999999998</c:v>
                </c:pt>
                <c:pt idx="4">
                  <c:v>18.090322580645161</c:v>
                </c:pt>
              </c:numCache>
            </c:numRef>
          </c:xVal>
          <c:yVal>
            <c:numRef>
              <c:f>'Consum Martorell'!$B$25:$M$25</c:f>
              <c:numCache>
                <c:formatCode>#,##0</c:formatCode>
                <c:ptCount val="12"/>
                <c:pt idx="0">
                  <c:v>474825</c:v>
                </c:pt>
                <c:pt idx="1">
                  <c:v>376077</c:v>
                </c:pt>
                <c:pt idx="2">
                  <c:v>274647</c:v>
                </c:pt>
                <c:pt idx="3">
                  <c:v>135963</c:v>
                </c:pt>
                <c:pt idx="4">
                  <c:v>45740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DCA-477F-B9C3-8C3179038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077824"/>
        <c:axId val="203078400"/>
      </c:scatterChart>
      <c:valAx>
        <c:axId val="203077824"/>
        <c:scaling>
          <c:orientation val="minMax"/>
          <c:max val="30"/>
          <c:min val="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a-ES"/>
                  <a:t>Título Temperatura eje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03078400"/>
        <c:crosses val="autoZero"/>
        <c:crossBetween val="midCat"/>
      </c:valAx>
      <c:valAx>
        <c:axId val="203078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ca-ES"/>
                  <a:t>kWh/Mes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03077824"/>
        <c:crosses val="autoZero"/>
        <c:crossBetween val="midCat"/>
      </c:valAx>
      <c:spPr>
        <a:solidFill>
          <a:sysClr val="window" lastClr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3967019491416015"/>
          <c:y val="0.25531914893617019"/>
          <c:w val="3.5218502406118318E-2"/>
          <c:h val="0.315092918464458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960745469540208E-2"/>
          <c:y val="0.14881038882526987"/>
          <c:w val="0.85165400508790379"/>
          <c:h val="0.60714638640710106"/>
        </c:manualLayout>
      </c:layout>
      <c:lineChart>
        <c:grouping val="standard"/>
        <c:varyColors val="0"/>
        <c:ser>
          <c:idx val="7"/>
          <c:order val="0"/>
          <c:tx>
            <c:strRef>
              <c:f>'Consum Rubí'!$A$23</c:f>
              <c:strCache>
                <c:ptCount val="1"/>
                <c:pt idx="0">
                  <c:v>2023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'Consum Rubí'!$B$3:$M$3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'Consum Rubí'!$B$23:$M$23</c:f>
              <c:numCache>
                <c:formatCode>#,##0</c:formatCode>
                <c:ptCount val="12"/>
                <c:pt idx="0">
                  <c:v>489778</c:v>
                </c:pt>
                <c:pt idx="1">
                  <c:v>514188</c:v>
                </c:pt>
                <c:pt idx="2">
                  <c:v>384622</c:v>
                </c:pt>
                <c:pt idx="3">
                  <c:v>285199</c:v>
                </c:pt>
                <c:pt idx="4">
                  <c:v>78143</c:v>
                </c:pt>
                <c:pt idx="5">
                  <c:v>12448</c:v>
                </c:pt>
                <c:pt idx="6">
                  <c:v>10038</c:v>
                </c:pt>
                <c:pt idx="7">
                  <c:v>9549</c:v>
                </c:pt>
                <c:pt idx="8">
                  <c:v>10185</c:v>
                </c:pt>
                <c:pt idx="9">
                  <c:v>11564</c:v>
                </c:pt>
                <c:pt idx="10">
                  <c:v>292448</c:v>
                </c:pt>
                <c:pt idx="11">
                  <c:v>453623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10-4568-8CF3-795B3B28EFA3}"/>
            </c:ext>
          </c:extLst>
        </c:ser>
        <c:ser>
          <c:idx val="0"/>
          <c:order val="1"/>
          <c:tx>
            <c:v>2004</c:v>
          </c:tx>
          <c:cat>
            <c:strRef>
              <c:f>'Consum Rubí'!$B$3:$M$3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{}</c:f>
            </c:numRef>
          </c:val>
          <c:smooth val="0"/>
          <c:extLst>
            <c:ext xmlns:c16="http://schemas.microsoft.com/office/drawing/2014/chart" uri="{C3380CC4-5D6E-409C-BE32-E72D297353CC}">
              <c16:uniqueId val="{00000002-1F10-4568-8CF3-795B3B28EFA3}"/>
            </c:ext>
          </c:extLst>
        </c:ser>
        <c:ser>
          <c:idx val="6"/>
          <c:order val="2"/>
          <c:tx>
            <c:strRef>
              <c:f>'Consum Rubí'!$A$24</c:f>
              <c:strCache>
                <c:ptCount val="1"/>
                <c:pt idx="0">
                  <c:v>2024</c:v>
                </c:pt>
              </c:strCache>
            </c:strRef>
          </c:tx>
          <c:cat>
            <c:strRef>
              <c:f>'Consum Rubí'!$B$3:$M$3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'Consum Rubí'!$B$24:$M$24</c:f>
              <c:numCache>
                <c:formatCode>#,##0</c:formatCode>
                <c:ptCount val="12"/>
                <c:pt idx="0">
                  <c:v>508373</c:v>
                </c:pt>
                <c:pt idx="1">
                  <c:v>399085</c:v>
                </c:pt>
                <c:pt idx="2">
                  <c:v>380899</c:v>
                </c:pt>
                <c:pt idx="3">
                  <c:v>309590</c:v>
                </c:pt>
                <c:pt idx="4">
                  <c:v>251138</c:v>
                </c:pt>
                <c:pt idx="5">
                  <c:v>138431</c:v>
                </c:pt>
                <c:pt idx="6">
                  <c:v>6916</c:v>
                </c:pt>
                <c:pt idx="7">
                  <c:v>6186</c:v>
                </c:pt>
                <c:pt idx="8">
                  <c:v>7384</c:v>
                </c:pt>
                <c:pt idx="9">
                  <c:v>7430</c:v>
                </c:pt>
                <c:pt idx="10">
                  <c:v>201534</c:v>
                </c:pt>
                <c:pt idx="11">
                  <c:v>332061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F10-4568-8CF3-795B3B28EFA3}"/>
            </c:ext>
          </c:extLst>
        </c:ser>
        <c:ser>
          <c:idx val="1"/>
          <c:order val="3"/>
          <c:tx>
            <c:v>2005</c:v>
          </c:tx>
          <c:cat>
            <c:strRef>
              <c:f>'Consum Rubí'!$B$3:$M$3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{}</c:f>
            </c:numRef>
          </c:val>
          <c:smooth val="0"/>
          <c:extLst>
            <c:ext xmlns:c16="http://schemas.microsoft.com/office/drawing/2014/chart" uri="{C3380CC4-5D6E-409C-BE32-E72D297353CC}">
              <c16:uniqueId val="{00000004-1F10-4568-8CF3-795B3B28EFA3}"/>
            </c:ext>
          </c:extLst>
        </c:ser>
        <c:ser>
          <c:idx val="2"/>
          <c:order val="4"/>
          <c:tx>
            <c:v>2006</c:v>
          </c:tx>
          <c:cat>
            <c:strRef>
              <c:f>'Consum Rubí'!$B$3:$M$3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{}</c:f>
            </c:numRef>
          </c:val>
          <c:smooth val="0"/>
          <c:extLst>
            <c:ext xmlns:c16="http://schemas.microsoft.com/office/drawing/2014/chart" uri="{C3380CC4-5D6E-409C-BE32-E72D297353CC}">
              <c16:uniqueId val="{00000005-1F10-4568-8CF3-795B3B28EFA3}"/>
            </c:ext>
          </c:extLst>
        </c:ser>
        <c:ser>
          <c:idx val="3"/>
          <c:order val="5"/>
          <c:tx>
            <c:v>2007</c:v>
          </c:tx>
          <c:cat>
            <c:strRef>
              <c:f>'Consum Rubí'!$B$3:$M$3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{}</c:f>
            </c:numRef>
          </c:val>
          <c:smooth val="0"/>
          <c:extLst>
            <c:ext xmlns:c16="http://schemas.microsoft.com/office/drawing/2014/chart" uri="{C3380CC4-5D6E-409C-BE32-E72D297353CC}">
              <c16:uniqueId val="{00000006-1F10-4568-8CF3-795B3B28EFA3}"/>
            </c:ext>
          </c:extLst>
        </c:ser>
        <c:ser>
          <c:idx val="4"/>
          <c:order val="6"/>
          <c:tx>
            <c:v>2008</c:v>
          </c:tx>
          <c:cat>
            <c:strRef>
              <c:f>'Consum Rubí'!$B$3:$M$3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{}</c:f>
            </c:numRef>
          </c:val>
          <c:smooth val="0"/>
          <c:extLst>
            <c:ext xmlns:c16="http://schemas.microsoft.com/office/drawing/2014/chart" uri="{C3380CC4-5D6E-409C-BE32-E72D297353CC}">
              <c16:uniqueId val="{00000007-1F10-4568-8CF3-795B3B28EFA3}"/>
            </c:ext>
          </c:extLst>
        </c:ser>
        <c:ser>
          <c:idx val="5"/>
          <c:order val="7"/>
          <c:tx>
            <c:v>2009</c:v>
          </c:tx>
          <c:cat>
            <c:strRef>
              <c:f>'Consum Rubí'!$B$3:$M$3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{}</c:f>
            </c:numRef>
          </c:val>
          <c:smooth val="0"/>
          <c:extLst>
            <c:ext xmlns:c16="http://schemas.microsoft.com/office/drawing/2014/chart" uri="{C3380CC4-5D6E-409C-BE32-E72D297353CC}">
              <c16:uniqueId val="{00000008-1F10-4568-8CF3-795B3B28EFA3}"/>
            </c:ext>
          </c:extLst>
        </c:ser>
        <c:ser>
          <c:idx val="9"/>
          <c:order val="8"/>
          <c:tx>
            <c:strRef>
              <c:f>'Consum Rubí'!$A$25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star"/>
            <c:size val="9"/>
            <c:spPr>
              <a:solidFill>
                <a:srgbClr val="FF00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strRef>
              <c:f>'Consum Rubí'!$B$3:$M$3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'Consum Rubí'!$B$25:$M$25</c:f>
              <c:numCache>
                <c:formatCode>#,##0</c:formatCode>
                <c:ptCount val="12"/>
                <c:pt idx="0">
                  <c:v>419716</c:v>
                </c:pt>
                <c:pt idx="1">
                  <c:v>308634</c:v>
                </c:pt>
                <c:pt idx="2">
                  <c:v>322653</c:v>
                </c:pt>
                <c:pt idx="3">
                  <c:v>240212</c:v>
                </c:pt>
                <c:pt idx="4">
                  <c:v>182001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F10-4568-8CF3-795B3B28E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620736"/>
        <c:axId val="212882496"/>
      </c:lineChart>
      <c:catAx>
        <c:axId val="14962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2882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2882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a-ES"/>
                  <a:t>kWh/mes</a:t>
                </a:r>
              </a:p>
            </c:rich>
          </c:tx>
          <c:layout>
            <c:manualLayout>
              <c:xMode val="edge"/>
              <c:yMode val="edge"/>
              <c:x val="1.4298493264854628E-2"/>
              <c:y val="0.303573193203550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1496207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3744496467703153"/>
          <c:y val="0.2261917910144102"/>
          <c:w val="5.4541176470588239E-2"/>
          <c:h val="0.440787708553974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960745469540208E-2"/>
          <c:y val="0.14881038882526987"/>
          <c:w val="0.85165400508790379"/>
          <c:h val="0.60714638640710106"/>
        </c:manualLayout>
      </c:layout>
      <c:lineChart>
        <c:grouping val="standard"/>
        <c:varyColors val="0"/>
        <c:ser>
          <c:idx val="7"/>
          <c:order val="0"/>
          <c:tx>
            <c:strRef>
              <c:f>'Consum Rubí'!$A$56</c:f>
              <c:strCache>
                <c:ptCount val="1"/>
                <c:pt idx="0">
                  <c:v>2023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'Consum Rubí'!$B$3:$M$3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'Consum Rubí'!$B$56:$M$56</c:f>
              <c:numCache>
                <c:formatCode>#,##0</c:formatCode>
                <c:ptCount val="12"/>
                <c:pt idx="0">
                  <c:v>3176307</c:v>
                </c:pt>
                <c:pt idx="1">
                  <c:v>3249153</c:v>
                </c:pt>
                <c:pt idx="2">
                  <c:v>3196490</c:v>
                </c:pt>
                <c:pt idx="3">
                  <c:v>3061490</c:v>
                </c:pt>
                <c:pt idx="4">
                  <c:v>2846893</c:v>
                </c:pt>
                <c:pt idx="5">
                  <c:v>2604420</c:v>
                </c:pt>
                <c:pt idx="6">
                  <c:v>2561009</c:v>
                </c:pt>
                <c:pt idx="7">
                  <c:v>2539705</c:v>
                </c:pt>
                <c:pt idx="8">
                  <c:v>2513183</c:v>
                </c:pt>
                <c:pt idx="9">
                  <c:v>2481951</c:v>
                </c:pt>
                <c:pt idx="10">
                  <c:v>2564979</c:v>
                </c:pt>
                <c:pt idx="11">
                  <c:v>2551785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21-4A34-BFF3-D50FBC65C917}"/>
            </c:ext>
          </c:extLst>
        </c:ser>
        <c:ser>
          <c:idx val="11"/>
          <c:order val="1"/>
          <c:tx>
            <c:strRef>
              <c:f>'Consum Rubí'!$A$57</c:f>
              <c:strCache>
                <c:ptCount val="1"/>
                <c:pt idx="0">
                  <c:v>2024</c:v>
                </c:pt>
              </c:strCache>
            </c:strRef>
          </c:tx>
          <c:cat>
            <c:strRef>
              <c:f>'Consum Rubí'!$B$3:$M$3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'Consum Rubí'!$B$57:$M$57</c:f>
              <c:numCache>
                <c:formatCode>#,##0</c:formatCode>
                <c:ptCount val="12"/>
                <c:pt idx="0">
                  <c:v>2570380</c:v>
                </c:pt>
                <c:pt idx="1">
                  <c:v>2455277</c:v>
                </c:pt>
                <c:pt idx="2">
                  <c:v>2451554</c:v>
                </c:pt>
                <c:pt idx="3">
                  <c:v>2475945</c:v>
                </c:pt>
                <c:pt idx="4">
                  <c:v>2648940</c:v>
                </c:pt>
                <c:pt idx="5">
                  <c:v>2774923</c:v>
                </c:pt>
                <c:pt idx="6">
                  <c:v>2771801</c:v>
                </c:pt>
                <c:pt idx="7">
                  <c:v>2768438</c:v>
                </c:pt>
                <c:pt idx="8">
                  <c:v>2765637</c:v>
                </c:pt>
                <c:pt idx="9">
                  <c:v>2761503</c:v>
                </c:pt>
                <c:pt idx="10">
                  <c:v>2670589</c:v>
                </c:pt>
                <c:pt idx="11">
                  <c:v>2549027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21-4A34-BFF3-D50FBC65C917}"/>
            </c:ext>
          </c:extLst>
        </c:ser>
        <c:ser>
          <c:idx val="0"/>
          <c:order val="2"/>
          <c:tx>
            <c:v>2004</c:v>
          </c:tx>
          <c:cat>
            <c:strRef>
              <c:f>'Consum Rubí'!$B$3:$M$3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{}</c:f>
            </c:numRef>
          </c:val>
          <c:smooth val="0"/>
          <c:extLst>
            <c:ext xmlns:c16="http://schemas.microsoft.com/office/drawing/2014/chart" uri="{C3380CC4-5D6E-409C-BE32-E72D297353CC}">
              <c16:uniqueId val="{00000003-B621-4A34-BFF3-D50FBC65C917}"/>
            </c:ext>
          </c:extLst>
        </c:ser>
        <c:ser>
          <c:idx val="1"/>
          <c:order val="3"/>
          <c:tx>
            <c:v>2005</c:v>
          </c:tx>
          <c:cat>
            <c:strRef>
              <c:f>'Consum Rubí'!$B$3:$M$3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{}</c:f>
            </c:numRef>
          </c:val>
          <c:smooth val="0"/>
          <c:extLst>
            <c:ext xmlns:c16="http://schemas.microsoft.com/office/drawing/2014/chart" uri="{C3380CC4-5D6E-409C-BE32-E72D297353CC}">
              <c16:uniqueId val="{00000004-B621-4A34-BFF3-D50FBC65C917}"/>
            </c:ext>
          </c:extLst>
        </c:ser>
        <c:ser>
          <c:idx val="9"/>
          <c:order val="4"/>
          <c:tx>
            <c:strRef>
              <c:f>'Consum Rubí'!$A$58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star"/>
            <c:size val="9"/>
            <c:spPr>
              <a:solidFill>
                <a:srgbClr val="FF00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strRef>
              <c:f>'Consum Rubí'!$B$3:$M$3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'Consum Rubí'!$B$58:$M$58</c:f>
              <c:numCache>
                <c:formatCode>#,##0</c:formatCode>
                <c:ptCount val="12"/>
                <c:pt idx="0">
                  <c:v>2460370</c:v>
                </c:pt>
                <c:pt idx="1">
                  <c:v>2369919</c:v>
                </c:pt>
                <c:pt idx="2">
                  <c:v>2311673</c:v>
                </c:pt>
                <c:pt idx="3">
                  <c:v>2242295</c:v>
                </c:pt>
                <c:pt idx="4">
                  <c:v>2173158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21-4A34-BFF3-D50FBC65C917}"/>
            </c:ext>
          </c:extLst>
        </c:ser>
        <c:ser>
          <c:idx val="2"/>
          <c:order val="5"/>
          <c:tx>
            <c:v>2006</c:v>
          </c:tx>
          <c:cat>
            <c:strRef>
              <c:f>'Consum Rubí'!$B$3:$M$3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{}</c:f>
            </c:numRef>
          </c:val>
          <c:smooth val="0"/>
          <c:extLst>
            <c:ext xmlns:c16="http://schemas.microsoft.com/office/drawing/2014/chart" uri="{C3380CC4-5D6E-409C-BE32-E72D297353CC}">
              <c16:uniqueId val="{00000006-B621-4A34-BFF3-D50FBC65C917}"/>
            </c:ext>
          </c:extLst>
        </c:ser>
        <c:ser>
          <c:idx val="3"/>
          <c:order val="6"/>
          <c:tx>
            <c:v>2007</c:v>
          </c:tx>
          <c:cat>
            <c:strRef>
              <c:f>'Consum Rubí'!$B$3:$M$3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{}</c:f>
            </c:numRef>
          </c:val>
          <c:smooth val="0"/>
          <c:extLst>
            <c:ext xmlns:c16="http://schemas.microsoft.com/office/drawing/2014/chart" uri="{C3380CC4-5D6E-409C-BE32-E72D297353CC}">
              <c16:uniqueId val="{00000007-B621-4A34-BFF3-D50FBC65C917}"/>
            </c:ext>
          </c:extLst>
        </c:ser>
        <c:ser>
          <c:idx val="4"/>
          <c:order val="7"/>
          <c:tx>
            <c:v>2008</c:v>
          </c:tx>
          <c:cat>
            <c:strRef>
              <c:f>'Consum Rubí'!$B$3:$M$3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{}</c:f>
            </c:numRef>
          </c:val>
          <c:smooth val="0"/>
          <c:extLst>
            <c:ext xmlns:c16="http://schemas.microsoft.com/office/drawing/2014/chart" uri="{C3380CC4-5D6E-409C-BE32-E72D297353CC}">
              <c16:uniqueId val="{00000008-B621-4A34-BFF3-D50FBC65C917}"/>
            </c:ext>
          </c:extLst>
        </c:ser>
        <c:ser>
          <c:idx val="5"/>
          <c:order val="8"/>
          <c:tx>
            <c:v>2009</c:v>
          </c:tx>
          <c:cat>
            <c:strRef>
              <c:f>'Consum Rubí'!$B$3:$M$3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{}</c:f>
            </c:numRef>
          </c:val>
          <c:smooth val="0"/>
          <c:extLst>
            <c:ext xmlns:c16="http://schemas.microsoft.com/office/drawing/2014/chart" uri="{C3380CC4-5D6E-409C-BE32-E72D297353CC}">
              <c16:uniqueId val="{00000009-B621-4A34-BFF3-D50FBC65C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610496"/>
        <c:axId val="212884800"/>
      </c:lineChart>
      <c:catAx>
        <c:axId val="21361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2884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2884800"/>
        <c:scaling>
          <c:orientation val="minMax"/>
          <c:min val="18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a-ES"/>
                  <a:t>kWh/mes</a:t>
                </a:r>
              </a:p>
            </c:rich>
          </c:tx>
          <c:layout>
            <c:manualLayout>
              <c:xMode val="edge"/>
              <c:yMode val="edge"/>
              <c:x val="1.4298493264854628E-2"/>
              <c:y val="0.303573193203550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36104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3744496467703153"/>
          <c:y val="0.2261917910144102"/>
          <c:w val="5.4541176470588239E-2"/>
          <c:h val="0.440787708553974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892890229531523E-2"/>
          <c:y val="0.13369018865461191"/>
          <c:w val="0.85625037329553799"/>
          <c:h val="0.52941314707226317"/>
        </c:manualLayout>
      </c:layout>
      <c:scatterChart>
        <c:scatterStyle val="lineMarker"/>
        <c:varyColors val="0"/>
        <c:ser>
          <c:idx val="2"/>
          <c:order val="0"/>
          <c:tx>
            <c:strRef>
              <c:f>'Consum Rubí'!$A$90</c:f>
              <c:strCache>
                <c:ptCount val="1"/>
                <c:pt idx="0">
                  <c:v>2023</c:v>
                </c:pt>
              </c:strCache>
            </c:strRef>
          </c:tx>
          <c:spPr>
            <a:ln w="19050">
              <a:noFill/>
            </a:ln>
          </c:spPr>
          <c:marker>
            <c:spPr>
              <a:ln>
                <a:solidFill>
                  <a:srgbClr val="0070C0"/>
                </a:solidFill>
              </a:ln>
            </c:spPr>
          </c:marker>
          <c:xVal>
            <c:numRef>
              <c:f>'Consum Rubí'!$B$90:$M$90</c:f>
              <c:numCache>
                <c:formatCode>0.00</c:formatCode>
                <c:ptCount val="12"/>
                <c:pt idx="0">
                  <c:v>7.9322580645161276</c:v>
                </c:pt>
                <c:pt idx="1">
                  <c:v>8.7928571428571427</c:v>
                </c:pt>
                <c:pt idx="2">
                  <c:v>13.248387096774197</c:v>
                </c:pt>
                <c:pt idx="3">
                  <c:v>15.356666666666666</c:v>
                </c:pt>
                <c:pt idx="4">
                  <c:v>17.429032258064517</c:v>
                </c:pt>
                <c:pt idx="5">
                  <c:v>22.929999999999996</c:v>
                </c:pt>
                <c:pt idx="6">
                  <c:v>25.890322580645169</c:v>
                </c:pt>
                <c:pt idx="7">
                  <c:v>25.754838709677419</c:v>
                </c:pt>
                <c:pt idx="8">
                  <c:v>22.540000000000003</c:v>
                </c:pt>
                <c:pt idx="9">
                  <c:v>19.570967741935487</c:v>
                </c:pt>
                <c:pt idx="10">
                  <c:v>14.053333333333331</c:v>
                </c:pt>
                <c:pt idx="11">
                  <c:v>10.609677419354838</c:v>
                </c:pt>
              </c:numCache>
            </c:numRef>
          </c:xVal>
          <c:yVal>
            <c:numRef>
              <c:f>'Consum Rubí'!$B$23:$M$23</c:f>
              <c:numCache>
                <c:formatCode>#,##0</c:formatCode>
                <c:ptCount val="12"/>
                <c:pt idx="0">
                  <c:v>489778</c:v>
                </c:pt>
                <c:pt idx="1">
                  <c:v>514188</c:v>
                </c:pt>
                <c:pt idx="2">
                  <c:v>384622</c:v>
                </c:pt>
                <c:pt idx="3">
                  <c:v>285199</c:v>
                </c:pt>
                <c:pt idx="4">
                  <c:v>78143</c:v>
                </c:pt>
                <c:pt idx="5">
                  <c:v>12448</c:v>
                </c:pt>
                <c:pt idx="6">
                  <c:v>10038</c:v>
                </c:pt>
                <c:pt idx="7">
                  <c:v>9549</c:v>
                </c:pt>
                <c:pt idx="8">
                  <c:v>10185</c:v>
                </c:pt>
                <c:pt idx="9">
                  <c:v>11564</c:v>
                </c:pt>
                <c:pt idx="10">
                  <c:v>292448</c:v>
                </c:pt>
                <c:pt idx="11">
                  <c:v>453623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048-429B-9211-1369A458AECA}"/>
            </c:ext>
          </c:extLst>
        </c:ser>
        <c:ser>
          <c:idx val="7"/>
          <c:order val="1"/>
          <c:tx>
            <c:strRef>
              <c:f>'Consum Rubí'!$A$91</c:f>
              <c:strCache>
                <c:ptCount val="1"/>
                <c:pt idx="0">
                  <c:v>2024</c:v>
                </c:pt>
              </c:strCache>
            </c:strRef>
          </c:tx>
          <c:spPr>
            <a:ln w="19050">
              <a:noFill/>
            </a:ln>
          </c:spPr>
          <c:marker>
            <c:symbol val="dot"/>
            <c:size val="9"/>
            <c:spPr>
              <a:noFill/>
              <a:ln w="15875">
                <a:solidFill>
                  <a:schemeClr val="accent1">
                    <a:lumMod val="40000"/>
                    <a:lumOff val="60000"/>
                  </a:schemeClr>
                </a:solidFill>
                <a:prstDash val="solid"/>
              </a:ln>
            </c:spPr>
          </c:marker>
          <c:xVal>
            <c:numRef>
              <c:f>'Consum Rubí'!$B$91:$M$91</c:f>
              <c:numCache>
                <c:formatCode>0.00</c:formatCode>
                <c:ptCount val="12"/>
                <c:pt idx="0">
                  <c:v>10.241935483870968</c:v>
                </c:pt>
                <c:pt idx="1">
                  <c:v>12.224137931034484</c:v>
                </c:pt>
                <c:pt idx="2">
                  <c:v>12.603225806451613</c:v>
                </c:pt>
                <c:pt idx="3">
                  <c:v>14.593333333333335</c:v>
                </c:pt>
                <c:pt idx="4">
                  <c:v>17.516129032258061</c:v>
                </c:pt>
                <c:pt idx="5">
                  <c:v>21.246666666666666</c:v>
                </c:pt>
                <c:pt idx="6">
                  <c:v>25.593548387096771</c:v>
                </c:pt>
                <c:pt idx="7">
                  <c:v>25.819354838709685</c:v>
                </c:pt>
                <c:pt idx="8">
                  <c:v>20.226666666666663</c:v>
                </c:pt>
                <c:pt idx="9">
                  <c:v>17.719354838709677</c:v>
                </c:pt>
                <c:pt idx="10">
                  <c:v>13.95</c:v>
                </c:pt>
                <c:pt idx="11">
                  <c:v>9.4967741935483865</c:v>
                </c:pt>
              </c:numCache>
            </c:numRef>
          </c:xVal>
          <c:yVal>
            <c:numRef>
              <c:f>'Consum Rubí'!$B$24:$M$24</c:f>
              <c:numCache>
                <c:formatCode>#,##0</c:formatCode>
                <c:ptCount val="12"/>
                <c:pt idx="0">
                  <c:v>508373</c:v>
                </c:pt>
                <c:pt idx="1">
                  <c:v>399085</c:v>
                </c:pt>
                <c:pt idx="2">
                  <c:v>380899</c:v>
                </c:pt>
                <c:pt idx="3">
                  <c:v>309590</c:v>
                </c:pt>
                <c:pt idx="4">
                  <c:v>251138</c:v>
                </c:pt>
                <c:pt idx="5">
                  <c:v>138431</c:v>
                </c:pt>
                <c:pt idx="6">
                  <c:v>6916</c:v>
                </c:pt>
                <c:pt idx="7">
                  <c:v>6186</c:v>
                </c:pt>
                <c:pt idx="8">
                  <c:v>7384</c:v>
                </c:pt>
                <c:pt idx="9">
                  <c:v>7430</c:v>
                </c:pt>
                <c:pt idx="10">
                  <c:v>201534</c:v>
                </c:pt>
                <c:pt idx="11">
                  <c:v>332061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048-429B-9211-1369A458AECA}"/>
            </c:ext>
          </c:extLst>
        </c:ser>
        <c:ser>
          <c:idx val="9"/>
          <c:order val="2"/>
          <c:tx>
            <c:strRef>
              <c:f>'Consum Rubí'!$A$92</c:f>
              <c:strCache>
                <c:ptCount val="1"/>
                <c:pt idx="0">
                  <c:v>2025</c:v>
                </c:pt>
              </c:strCache>
            </c:strRef>
          </c:tx>
          <c:spPr>
            <a:ln w="19050">
              <a:noFill/>
            </a:ln>
          </c:spPr>
          <c:marker>
            <c:symbol val="star"/>
            <c:size val="9"/>
            <c:spPr>
              <a:solidFill>
                <a:srgbClr val="FF00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xVal>
            <c:numRef>
              <c:f>'Consum Rubí'!$B$92:$M$92</c:f>
              <c:numCache>
                <c:formatCode>0.00</c:formatCode>
                <c:ptCount val="12"/>
                <c:pt idx="0">
                  <c:v>9.8387096774193541</c:v>
                </c:pt>
                <c:pt idx="1">
                  <c:v>10.1</c:v>
                </c:pt>
                <c:pt idx="2">
                  <c:v>10.990322580645161</c:v>
                </c:pt>
                <c:pt idx="3">
                  <c:v>14.779999999999998</c:v>
                </c:pt>
              </c:numCache>
            </c:numRef>
          </c:xVal>
          <c:yVal>
            <c:numRef>
              <c:f>'Consum Rubí'!$B$25:$M$25</c:f>
              <c:numCache>
                <c:formatCode>#,##0</c:formatCode>
                <c:ptCount val="12"/>
                <c:pt idx="0">
                  <c:v>419716</c:v>
                </c:pt>
                <c:pt idx="1">
                  <c:v>308634</c:v>
                </c:pt>
                <c:pt idx="2">
                  <c:v>322653</c:v>
                </c:pt>
                <c:pt idx="3">
                  <c:v>240212</c:v>
                </c:pt>
                <c:pt idx="4">
                  <c:v>182001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048-429B-9211-1369A458A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739200"/>
        <c:axId val="213739776"/>
      </c:scatterChart>
      <c:valAx>
        <c:axId val="213739200"/>
        <c:scaling>
          <c:orientation val="minMax"/>
          <c:max val="30"/>
          <c:min val="5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a-ES"/>
                  <a:t>Temperatura</a:t>
                </a:r>
              </a:p>
            </c:rich>
          </c:tx>
          <c:layout>
            <c:manualLayout>
              <c:xMode val="edge"/>
              <c:yMode val="edge"/>
              <c:x val="0.46964306189098332"/>
              <c:y val="0.8074887394738560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3739776"/>
        <c:crosses val="autoZero"/>
        <c:crossBetween val="midCat"/>
      </c:valAx>
      <c:valAx>
        <c:axId val="213739776"/>
        <c:scaling>
          <c:orientation val="minMax"/>
          <c:max val="7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a-ES"/>
                  <a:t>kWh/Mes</a:t>
                </a:r>
              </a:p>
            </c:rich>
          </c:tx>
          <c:layout>
            <c:manualLayout>
              <c:xMode val="edge"/>
              <c:yMode val="edge"/>
              <c:x val="1.4285720513794169E-2"/>
              <c:y val="0.262032769763039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3739200"/>
        <c:crosses val="autoZero"/>
        <c:crossBetween val="midCat"/>
      </c:valAx>
      <c:spPr>
        <a:noFill/>
        <a:ln w="12700">
          <a:solidFill>
            <a:schemeClr val="accent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3978332561371003"/>
          <c:y val="0.1925136281041793"/>
          <c:w val="3.5004075961093097E-2"/>
          <c:h val="0.2964913826331149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14</xdr:col>
      <xdr:colOff>0</xdr:colOff>
      <xdr:row>34</xdr:row>
      <xdr:rowOff>152400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64525874-F04E-4E93-8E4A-8BF6D2F321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58</xdr:row>
      <xdr:rowOff>0</xdr:rowOff>
    </xdr:from>
    <xdr:to>
      <xdr:col>14</xdr:col>
      <xdr:colOff>0</xdr:colOff>
      <xdr:row>68</xdr:row>
      <xdr:rowOff>0</xdr:rowOff>
    </xdr:to>
    <xdr:graphicFrame macro="">
      <xdr:nvGraphicFramePr>
        <xdr:cNvPr id="5" name="Gráfico 2">
          <a:extLst>
            <a:ext uri="{FF2B5EF4-FFF2-40B4-BE49-F238E27FC236}">
              <a16:creationId xmlns:a16="http://schemas.microsoft.com/office/drawing/2014/main" id="{C87D5DED-C987-4137-B3DA-A285AEC969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92</xdr:row>
      <xdr:rowOff>0</xdr:rowOff>
    </xdr:from>
    <xdr:to>
      <xdr:col>14</xdr:col>
      <xdr:colOff>0</xdr:colOff>
      <xdr:row>103</xdr:row>
      <xdr:rowOff>0</xdr:rowOff>
    </xdr:to>
    <xdr:graphicFrame macro="">
      <xdr:nvGraphicFramePr>
        <xdr:cNvPr id="6" name="Gráfico 3">
          <a:extLst>
            <a:ext uri="{FF2B5EF4-FFF2-40B4-BE49-F238E27FC236}">
              <a16:creationId xmlns:a16="http://schemas.microsoft.com/office/drawing/2014/main" id="{D0EE2830-87F4-4119-843E-DE9B481C3B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14</xdr:col>
      <xdr:colOff>0</xdr:colOff>
      <xdr:row>34</xdr:row>
      <xdr:rowOff>142875</xdr:rowOff>
    </xdr:to>
    <xdr:graphicFrame macro="">
      <xdr:nvGraphicFramePr>
        <xdr:cNvPr id="5" name="Gráfico 2">
          <a:extLst>
            <a:ext uri="{FF2B5EF4-FFF2-40B4-BE49-F238E27FC236}">
              <a16:creationId xmlns:a16="http://schemas.microsoft.com/office/drawing/2014/main" id="{27944FFC-E7B0-4B92-8BFF-F1084CCC4F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58</xdr:row>
      <xdr:rowOff>0</xdr:rowOff>
    </xdr:from>
    <xdr:to>
      <xdr:col>14</xdr:col>
      <xdr:colOff>0</xdr:colOff>
      <xdr:row>67</xdr:row>
      <xdr:rowOff>142875</xdr:rowOff>
    </xdr:to>
    <xdr:graphicFrame macro="">
      <xdr:nvGraphicFramePr>
        <xdr:cNvPr id="6" name="Gráfico 2">
          <a:extLst>
            <a:ext uri="{FF2B5EF4-FFF2-40B4-BE49-F238E27FC236}">
              <a16:creationId xmlns:a16="http://schemas.microsoft.com/office/drawing/2014/main" id="{637338EE-E0F2-42B6-BD9D-FDD1684AFF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92</xdr:row>
      <xdr:rowOff>38100</xdr:rowOff>
    </xdr:from>
    <xdr:to>
      <xdr:col>14</xdr:col>
      <xdr:colOff>0</xdr:colOff>
      <xdr:row>103</xdr:row>
      <xdr:rowOff>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3D086828-0729-4811-AC26-971889C8FB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658091</xdr:colOff>
      <xdr:row>4</xdr:row>
      <xdr:rowOff>300004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112818" cy="12005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736023</xdr:colOff>
      <xdr:row>4</xdr:row>
      <xdr:rowOff>344286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6435806-5B1F-4FDD-BF88-E4640512C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90750" cy="12448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830035</xdr:colOff>
      <xdr:row>6</xdr:row>
      <xdr:rowOff>40389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957EC56-2713-48BE-8684-77CEEBB33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85999" cy="14283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2"/>
  <sheetViews>
    <sheetView showGridLines="0" zoomScale="85" zoomScaleNormal="85" workbookViewId="0">
      <selection activeCell="N22" sqref="N22"/>
    </sheetView>
  </sheetViews>
  <sheetFormatPr baseColWidth="10" defaultRowHeight="13.2" x14ac:dyDescent="0.25"/>
  <cols>
    <col min="1" max="1" width="13.109375" bestFit="1" customWidth="1"/>
    <col min="2" max="14" width="13.109375" customWidth="1"/>
    <col min="15" max="15" width="2.109375" customWidth="1"/>
  </cols>
  <sheetData>
    <row r="1" spans="1:14" x14ac:dyDescent="0.25">
      <c r="A1" s="175" t="s">
        <v>27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7"/>
    </row>
    <row r="2" spans="1:14" x14ac:dyDescent="0.25">
      <c r="A2" s="174" t="s">
        <v>19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</row>
    <row r="3" spans="1:14" x14ac:dyDescent="0.25">
      <c r="B3" s="75" t="s">
        <v>6</v>
      </c>
      <c r="C3" s="75" t="s">
        <v>7</v>
      </c>
      <c r="D3" s="75" t="s">
        <v>8</v>
      </c>
      <c r="E3" s="75" t="s">
        <v>9</v>
      </c>
      <c r="F3" s="75" t="s">
        <v>10</v>
      </c>
      <c r="G3" s="75" t="s">
        <v>11</v>
      </c>
      <c r="H3" s="75" t="s">
        <v>12</v>
      </c>
      <c r="I3" s="75" t="s">
        <v>13</v>
      </c>
      <c r="J3" s="75" t="s">
        <v>14</v>
      </c>
      <c r="K3" s="75" t="s">
        <v>15</v>
      </c>
      <c r="L3" s="75" t="s">
        <v>16</v>
      </c>
      <c r="M3" s="75" t="s">
        <v>17</v>
      </c>
      <c r="N3" s="75" t="s">
        <v>18</v>
      </c>
    </row>
    <row r="4" spans="1:14" hidden="1" x14ac:dyDescent="0.25">
      <c r="A4">
        <v>2004</v>
      </c>
      <c r="B4" s="8">
        <v>322614</v>
      </c>
      <c r="C4" s="8">
        <v>367522</v>
      </c>
      <c r="D4" s="8">
        <v>368382</v>
      </c>
      <c r="E4" s="8">
        <v>102065</v>
      </c>
      <c r="F4" s="8">
        <v>0</v>
      </c>
      <c r="G4" s="8">
        <v>112</v>
      </c>
      <c r="H4" s="8">
        <v>0</v>
      </c>
      <c r="I4" s="8">
        <v>281</v>
      </c>
      <c r="J4" s="8">
        <v>0</v>
      </c>
      <c r="K4" s="8">
        <v>0</v>
      </c>
      <c r="L4" s="8">
        <v>242807</v>
      </c>
      <c r="M4" s="8">
        <v>354213</v>
      </c>
      <c r="N4" s="2">
        <v>1757996</v>
      </c>
    </row>
    <row r="5" spans="1:14" hidden="1" x14ac:dyDescent="0.25">
      <c r="A5">
        <v>2005</v>
      </c>
      <c r="B5" s="8">
        <v>513147</v>
      </c>
      <c r="C5" s="8">
        <v>561699</v>
      </c>
      <c r="D5" s="8">
        <v>349951</v>
      </c>
      <c r="E5" s="8">
        <v>74250</v>
      </c>
      <c r="F5" s="8">
        <v>3585</v>
      </c>
      <c r="G5" s="8">
        <v>4479</v>
      </c>
      <c r="H5" s="8">
        <v>1529</v>
      </c>
      <c r="I5" s="8">
        <v>3102</v>
      </c>
      <c r="J5" s="8">
        <v>3717</v>
      </c>
      <c r="K5" s="8">
        <v>4146</v>
      </c>
      <c r="L5" s="8">
        <v>190502</v>
      </c>
      <c r="M5" s="8">
        <v>454564</v>
      </c>
      <c r="N5" s="2">
        <v>2164671</v>
      </c>
    </row>
    <row r="6" spans="1:14" hidden="1" x14ac:dyDescent="0.25">
      <c r="A6">
        <v>2006</v>
      </c>
      <c r="B6" s="8">
        <v>612847</v>
      </c>
      <c r="C6" s="8">
        <v>449866</v>
      </c>
      <c r="D6" s="8">
        <v>286990</v>
      </c>
      <c r="E6" s="8">
        <v>23818</v>
      </c>
      <c r="F6" s="8">
        <v>3848</v>
      </c>
      <c r="G6" s="8">
        <v>3603</v>
      </c>
      <c r="H6" s="8">
        <v>2292</v>
      </c>
      <c r="I6" s="8">
        <v>2843</v>
      </c>
      <c r="J6" s="8">
        <v>2334</v>
      </c>
      <c r="K6" s="8">
        <v>3189</v>
      </c>
      <c r="L6" s="8">
        <v>142496</v>
      </c>
      <c r="M6" s="8">
        <v>349437</v>
      </c>
      <c r="N6" s="2">
        <v>1883563</v>
      </c>
    </row>
    <row r="7" spans="1:14" hidden="1" x14ac:dyDescent="0.25">
      <c r="A7">
        <v>2007</v>
      </c>
      <c r="B7" s="8">
        <v>612134</v>
      </c>
      <c r="C7" s="8">
        <v>296073</v>
      </c>
      <c r="D7" s="8">
        <v>218471</v>
      </c>
      <c r="E7" s="8">
        <v>131669</v>
      </c>
      <c r="F7" s="8">
        <v>5479</v>
      </c>
      <c r="G7" s="8">
        <v>3925</v>
      </c>
      <c r="H7" s="8">
        <v>1678</v>
      </c>
      <c r="I7" s="8">
        <v>2555</v>
      </c>
      <c r="J7" s="8">
        <v>2526</v>
      </c>
      <c r="K7" s="8">
        <v>3291</v>
      </c>
      <c r="L7" s="8">
        <v>306283</v>
      </c>
      <c r="M7" s="8">
        <v>333308</v>
      </c>
      <c r="N7" s="2">
        <v>1917392</v>
      </c>
    </row>
    <row r="8" spans="1:14" hidden="1" x14ac:dyDescent="0.25">
      <c r="A8">
        <v>2008</v>
      </c>
      <c r="B8" s="8">
        <v>621114</v>
      </c>
      <c r="C8" s="8">
        <v>442552</v>
      </c>
      <c r="D8" s="8">
        <v>190320</v>
      </c>
      <c r="E8" s="8">
        <v>106629</v>
      </c>
      <c r="F8" s="8">
        <v>12686</v>
      </c>
      <c r="G8" s="8">
        <v>3263</v>
      </c>
      <c r="H8" s="8">
        <v>2242</v>
      </c>
      <c r="I8" s="8">
        <v>2640</v>
      </c>
      <c r="J8" s="8">
        <v>3373</v>
      </c>
      <c r="K8" s="8">
        <v>698</v>
      </c>
      <c r="L8" s="8">
        <v>374481</v>
      </c>
      <c r="M8" s="8">
        <v>545370</v>
      </c>
      <c r="N8" s="2">
        <v>2305368</v>
      </c>
    </row>
    <row r="9" spans="1:14" hidden="1" x14ac:dyDescent="0.25">
      <c r="A9">
        <v>2009</v>
      </c>
      <c r="B9" s="8">
        <v>756718</v>
      </c>
      <c r="C9" s="8">
        <v>510427</v>
      </c>
      <c r="D9" s="8">
        <v>332707</v>
      </c>
      <c r="E9" s="8">
        <v>209228</v>
      </c>
      <c r="F9" s="8">
        <v>16617</v>
      </c>
      <c r="G9" s="8">
        <v>3716</v>
      </c>
      <c r="H9" s="8">
        <v>2296</v>
      </c>
      <c r="I9" s="8">
        <v>1215</v>
      </c>
      <c r="J9" s="8">
        <v>2162</v>
      </c>
      <c r="K9" s="8">
        <v>10085</v>
      </c>
      <c r="L9" s="8">
        <v>200166</v>
      </c>
      <c r="M9" s="8">
        <v>540873</v>
      </c>
      <c r="N9" s="2">
        <v>2586210</v>
      </c>
    </row>
    <row r="10" spans="1:14" hidden="1" x14ac:dyDescent="0.25">
      <c r="A10">
        <v>2010</v>
      </c>
      <c r="B10" s="8">
        <v>603713</v>
      </c>
      <c r="C10" s="8">
        <v>646392</v>
      </c>
      <c r="D10" s="8">
        <v>444013</v>
      </c>
      <c r="E10" s="8">
        <v>142823</v>
      </c>
      <c r="F10" s="8">
        <v>31502</v>
      </c>
      <c r="G10" s="8">
        <v>3214</v>
      </c>
      <c r="H10" s="8">
        <v>1486</v>
      </c>
      <c r="I10" s="8">
        <v>4096</v>
      </c>
      <c r="J10" s="8">
        <v>4796</v>
      </c>
      <c r="K10" s="8">
        <v>88099</v>
      </c>
      <c r="L10" s="8">
        <v>475128</v>
      </c>
      <c r="M10" s="8">
        <v>740151</v>
      </c>
      <c r="N10" s="2">
        <v>3185413</v>
      </c>
    </row>
    <row r="11" spans="1:14" hidden="1" x14ac:dyDescent="0.25">
      <c r="A11">
        <v>2011</v>
      </c>
      <c r="B11" s="8">
        <v>590466</v>
      </c>
      <c r="C11" s="8">
        <v>574349</v>
      </c>
      <c r="D11" s="8">
        <v>393530</v>
      </c>
      <c r="E11" s="8">
        <v>62188</v>
      </c>
      <c r="F11" s="8">
        <v>10963</v>
      </c>
      <c r="G11" s="8">
        <v>7664</v>
      </c>
      <c r="H11" s="8">
        <v>5459</v>
      </c>
      <c r="I11" s="8">
        <v>5631</v>
      </c>
      <c r="J11" s="8">
        <v>4819</v>
      </c>
      <c r="K11" s="8">
        <v>7060</v>
      </c>
      <c r="L11" s="8">
        <v>122425</v>
      </c>
      <c r="M11" s="8">
        <v>409842</v>
      </c>
      <c r="N11" s="2">
        <v>2194396</v>
      </c>
    </row>
    <row r="12" spans="1:14" hidden="1" x14ac:dyDescent="0.25">
      <c r="A12">
        <v>2012</v>
      </c>
      <c r="B12" s="8">
        <v>747090</v>
      </c>
      <c r="C12" s="8">
        <v>639592</v>
      </c>
      <c r="D12" s="8">
        <v>364405</v>
      </c>
      <c r="E12" s="8">
        <v>215924</v>
      </c>
      <c r="F12" s="8">
        <v>17054</v>
      </c>
      <c r="G12" s="8">
        <v>5863</v>
      </c>
      <c r="H12" s="8">
        <v>4768</v>
      </c>
      <c r="I12" s="8">
        <v>5294</v>
      </c>
      <c r="J12" s="8">
        <v>4807</v>
      </c>
      <c r="K12" s="8">
        <v>48851</v>
      </c>
      <c r="L12" s="8">
        <v>314350</v>
      </c>
      <c r="M12" s="8">
        <v>455972</v>
      </c>
      <c r="N12" s="2">
        <v>2823970</v>
      </c>
    </row>
    <row r="13" spans="1:14" hidden="1" x14ac:dyDescent="0.25">
      <c r="A13">
        <v>2013</v>
      </c>
      <c r="B13" s="8">
        <v>558383</v>
      </c>
      <c r="C13" s="8">
        <v>568912</v>
      </c>
      <c r="D13" s="8">
        <v>408592</v>
      </c>
      <c r="E13" s="8">
        <v>137618</v>
      </c>
      <c r="F13" s="8">
        <v>39444</v>
      </c>
      <c r="G13" s="8">
        <v>23744</v>
      </c>
      <c r="H13" s="8">
        <v>4567</v>
      </c>
      <c r="I13" s="8">
        <v>3934</v>
      </c>
      <c r="J13" s="8">
        <v>5601</v>
      </c>
      <c r="K13" s="8">
        <v>4750</v>
      </c>
      <c r="L13" s="8">
        <v>271015</v>
      </c>
      <c r="M13" s="8">
        <v>475872</v>
      </c>
      <c r="N13" s="2">
        <v>2502432</v>
      </c>
    </row>
    <row r="14" spans="1:14" hidden="1" x14ac:dyDescent="0.25">
      <c r="A14">
        <v>2014</v>
      </c>
      <c r="B14" s="8">
        <v>654093</v>
      </c>
      <c r="C14" s="8">
        <v>450665</v>
      </c>
      <c r="D14" s="8">
        <v>376145</v>
      </c>
      <c r="E14" s="8">
        <v>97416</v>
      </c>
      <c r="F14" s="8">
        <v>6591</v>
      </c>
      <c r="G14" s="8">
        <v>5734</v>
      </c>
      <c r="H14" s="8">
        <v>3793</v>
      </c>
      <c r="I14" s="8">
        <v>3792</v>
      </c>
      <c r="J14" s="8">
        <v>3872</v>
      </c>
      <c r="K14" s="8">
        <v>7016</v>
      </c>
      <c r="L14" s="8">
        <v>202111</v>
      </c>
      <c r="M14" s="8">
        <v>324507</v>
      </c>
      <c r="N14" s="2">
        <v>2135735</v>
      </c>
    </row>
    <row r="15" spans="1:14" hidden="1" x14ac:dyDescent="0.25">
      <c r="A15">
        <v>2015</v>
      </c>
      <c r="B15" s="8">
        <v>620307</v>
      </c>
      <c r="C15" s="8">
        <v>589391</v>
      </c>
      <c r="D15" s="8">
        <v>290717</v>
      </c>
      <c r="E15" s="8">
        <v>143775</v>
      </c>
      <c r="F15" s="8">
        <v>6400</v>
      </c>
      <c r="G15" s="8">
        <v>5734</v>
      </c>
      <c r="H15" s="8">
        <v>3359</v>
      </c>
      <c r="I15" s="8">
        <v>3419</v>
      </c>
      <c r="J15" s="8">
        <v>6501</v>
      </c>
      <c r="K15" s="8">
        <v>31277</v>
      </c>
      <c r="L15" s="8">
        <v>166280</v>
      </c>
      <c r="M15" s="8">
        <v>437529</v>
      </c>
      <c r="N15" s="2">
        <v>2304689</v>
      </c>
    </row>
    <row r="16" spans="1:14" hidden="1" x14ac:dyDescent="0.25">
      <c r="A16">
        <v>2016</v>
      </c>
      <c r="B16" s="8">
        <v>454038</v>
      </c>
      <c r="C16" s="8">
        <v>453009</v>
      </c>
      <c r="D16" s="8">
        <v>501030</v>
      </c>
      <c r="E16" s="8">
        <v>75656</v>
      </c>
      <c r="F16" s="8">
        <v>44122</v>
      </c>
      <c r="G16" s="8">
        <v>6912</v>
      </c>
      <c r="H16" s="8">
        <v>4095</v>
      </c>
      <c r="I16" s="8">
        <v>7148</v>
      </c>
      <c r="J16" s="8">
        <v>11025</v>
      </c>
      <c r="K16" s="8">
        <v>11315</v>
      </c>
      <c r="L16" s="8">
        <v>212723</v>
      </c>
      <c r="M16" s="8">
        <v>347579</v>
      </c>
      <c r="N16" s="2">
        <v>2128652</v>
      </c>
    </row>
    <row r="17" spans="1:14" hidden="1" x14ac:dyDescent="0.25">
      <c r="A17">
        <v>2017</v>
      </c>
      <c r="B17" s="8">
        <v>629374</v>
      </c>
      <c r="C17" s="8">
        <v>410640</v>
      </c>
      <c r="D17" s="8">
        <v>298331</v>
      </c>
      <c r="E17" s="8">
        <v>145915</v>
      </c>
      <c r="F17" s="8">
        <v>17822</v>
      </c>
      <c r="G17" s="8">
        <v>9068</v>
      </c>
      <c r="H17" s="8">
        <v>7628</v>
      </c>
      <c r="I17" s="8">
        <v>4637</v>
      </c>
      <c r="J17" s="8">
        <v>12506</v>
      </c>
      <c r="K17" s="8">
        <v>23095</v>
      </c>
      <c r="L17" s="8">
        <v>526529</v>
      </c>
      <c r="M17" s="8">
        <v>560572</v>
      </c>
      <c r="N17" s="2">
        <v>2646117</v>
      </c>
    </row>
    <row r="18" spans="1:14" hidden="1" x14ac:dyDescent="0.25">
      <c r="A18">
        <v>2018</v>
      </c>
      <c r="B18" s="8">
        <v>610670</v>
      </c>
      <c r="C18" s="8">
        <v>740276</v>
      </c>
      <c r="D18" s="8">
        <v>465760</v>
      </c>
      <c r="E18" s="8">
        <v>175211</v>
      </c>
      <c r="F18" s="8">
        <v>69422</v>
      </c>
      <c r="G18" s="8">
        <v>7068</v>
      </c>
      <c r="H18" s="8">
        <v>4515</v>
      </c>
      <c r="I18" s="8">
        <v>3113</v>
      </c>
      <c r="J18" s="8">
        <v>6246</v>
      </c>
      <c r="K18" s="8">
        <v>62235</v>
      </c>
      <c r="L18" s="8">
        <v>347280</v>
      </c>
      <c r="M18" s="8">
        <v>294156</v>
      </c>
      <c r="N18" s="2">
        <v>2785952</v>
      </c>
    </row>
    <row r="19" spans="1:14" hidden="1" x14ac:dyDescent="0.25">
      <c r="A19">
        <v>2019</v>
      </c>
      <c r="B19" s="8">
        <v>616990</v>
      </c>
      <c r="C19" s="8">
        <v>423380.7</v>
      </c>
      <c r="D19" s="8">
        <v>302148</v>
      </c>
      <c r="E19" s="8">
        <v>142584</v>
      </c>
      <c r="F19" s="8">
        <v>18369</v>
      </c>
      <c r="G19" s="8">
        <v>4633</v>
      </c>
      <c r="H19" s="8">
        <v>3886</v>
      </c>
      <c r="I19" s="8">
        <v>3724</v>
      </c>
      <c r="J19" s="8">
        <v>3026</v>
      </c>
      <c r="K19" s="8">
        <v>14616</v>
      </c>
      <c r="L19" s="8">
        <v>417849</v>
      </c>
      <c r="M19" s="8">
        <v>388507</v>
      </c>
      <c r="N19" s="2">
        <v>2339712.7000000002</v>
      </c>
    </row>
    <row r="20" spans="1:14" hidden="1" x14ac:dyDescent="0.25">
      <c r="A20">
        <v>2020</v>
      </c>
      <c r="B20" s="8">
        <v>558459</v>
      </c>
      <c r="C20" s="8">
        <v>294163</v>
      </c>
      <c r="D20" s="8">
        <v>208286</v>
      </c>
      <c r="E20" s="8">
        <v>58550</v>
      </c>
      <c r="F20" s="8">
        <v>1725</v>
      </c>
      <c r="G20" s="8">
        <v>2070</v>
      </c>
      <c r="H20" s="8">
        <v>411</v>
      </c>
      <c r="I20" s="8">
        <v>0</v>
      </c>
      <c r="J20" s="8">
        <v>1313</v>
      </c>
      <c r="K20" s="8">
        <v>65792</v>
      </c>
      <c r="L20" s="8">
        <v>280135</v>
      </c>
      <c r="M20" s="8">
        <v>531563</v>
      </c>
      <c r="N20" s="2">
        <v>2002467</v>
      </c>
    </row>
    <row r="21" spans="1:14" hidden="1" x14ac:dyDescent="0.25">
      <c r="A21">
        <v>2021</v>
      </c>
      <c r="B21" s="8">
        <v>593691</v>
      </c>
      <c r="C21" s="8">
        <v>350781</v>
      </c>
      <c r="D21" s="8">
        <v>156355</v>
      </c>
      <c r="E21" s="8">
        <v>79515</v>
      </c>
      <c r="F21" s="8">
        <v>20699</v>
      </c>
      <c r="G21" s="8">
        <v>2894</v>
      </c>
      <c r="H21" s="8">
        <v>860</v>
      </c>
      <c r="I21" s="8">
        <v>5817</v>
      </c>
      <c r="J21" s="8">
        <v>9460</v>
      </c>
      <c r="K21" s="8">
        <v>25044</v>
      </c>
      <c r="L21" s="8">
        <v>311604</v>
      </c>
      <c r="M21" s="8">
        <v>421846</v>
      </c>
      <c r="N21" s="2">
        <v>1978566</v>
      </c>
    </row>
    <row r="22" spans="1:14" x14ac:dyDescent="0.25">
      <c r="A22">
        <v>2022</v>
      </c>
      <c r="B22" s="8">
        <v>396223</v>
      </c>
      <c r="C22" s="8">
        <v>364946</v>
      </c>
      <c r="D22" s="8">
        <v>359704</v>
      </c>
      <c r="E22" s="8">
        <v>153347</v>
      </c>
      <c r="F22" s="8">
        <v>4706</v>
      </c>
      <c r="G22" s="8">
        <v>2284</v>
      </c>
      <c r="H22" s="8">
        <v>5033</v>
      </c>
      <c r="I22" s="8">
        <v>5082</v>
      </c>
      <c r="J22" s="8">
        <v>5160</v>
      </c>
      <c r="K22" s="8">
        <v>5314</v>
      </c>
      <c r="L22" s="8">
        <v>241931</v>
      </c>
      <c r="M22" s="8">
        <v>368852</v>
      </c>
      <c r="N22" s="2">
        <v>1912582</v>
      </c>
    </row>
    <row r="23" spans="1:14" x14ac:dyDescent="0.25">
      <c r="A23">
        <v>2023</v>
      </c>
      <c r="B23" s="8">
        <v>556203</v>
      </c>
      <c r="C23" s="8">
        <v>483112</v>
      </c>
      <c r="D23" s="8">
        <v>168048</v>
      </c>
      <c r="E23" s="8">
        <v>33136</v>
      </c>
      <c r="F23" s="8">
        <v>7501</v>
      </c>
      <c r="G23" s="8">
        <v>1182</v>
      </c>
      <c r="H23" s="8">
        <v>5134</v>
      </c>
      <c r="I23" s="8">
        <v>5107</v>
      </c>
      <c r="J23" s="8">
        <v>5763</v>
      </c>
      <c r="K23" s="8">
        <v>7985</v>
      </c>
      <c r="L23" s="8">
        <v>205739</v>
      </c>
      <c r="M23" s="8">
        <v>328182</v>
      </c>
      <c r="N23" s="2">
        <v>1807092</v>
      </c>
    </row>
    <row r="24" spans="1:14" x14ac:dyDescent="0.25">
      <c r="A24">
        <v>2024</v>
      </c>
      <c r="B24" s="8">
        <v>457150</v>
      </c>
      <c r="C24" s="8">
        <v>250950</v>
      </c>
      <c r="D24" s="8">
        <v>210729</v>
      </c>
      <c r="E24" s="8">
        <v>124733</v>
      </c>
      <c r="F24" s="8">
        <v>11611</v>
      </c>
      <c r="G24" s="8">
        <v>6785</v>
      </c>
      <c r="H24" s="8">
        <v>6343</v>
      </c>
      <c r="I24" s="8">
        <v>5985</v>
      </c>
      <c r="J24" s="8">
        <v>8360</v>
      </c>
      <c r="K24" s="8">
        <v>4302</v>
      </c>
      <c r="L24" s="8">
        <v>138960</v>
      </c>
      <c r="M24" s="8">
        <v>395954</v>
      </c>
      <c r="N24" s="2">
        <v>1621862</v>
      </c>
    </row>
    <row r="25" spans="1:14" x14ac:dyDescent="0.25">
      <c r="A25">
        <v>2025</v>
      </c>
      <c r="B25" s="8">
        <v>474825</v>
      </c>
      <c r="C25" s="8">
        <v>376077</v>
      </c>
      <c r="D25" s="8">
        <v>274647</v>
      </c>
      <c r="E25" s="8">
        <v>135963</v>
      </c>
      <c r="F25" s="8">
        <v>45740</v>
      </c>
      <c r="G25" s="8"/>
      <c r="H25" s="8"/>
      <c r="I25" s="8"/>
      <c r="J25" s="8"/>
      <c r="K25" s="8"/>
      <c r="L25" s="8"/>
      <c r="M25" s="8"/>
      <c r="N25" s="2">
        <v>1307252</v>
      </c>
    </row>
    <row r="36" spans="1:13" ht="12.75" hidden="1" customHeight="1" x14ac:dyDescent="0.25">
      <c r="A36" s="178" t="s">
        <v>20</v>
      </c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</row>
    <row r="37" spans="1:13" ht="12.75" hidden="1" customHeight="1" x14ac:dyDescent="0.25">
      <c r="B37" s="75" t="s">
        <v>6</v>
      </c>
      <c r="C37" s="75" t="s">
        <v>7</v>
      </c>
      <c r="D37" s="75" t="s">
        <v>8</v>
      </c>
      <c r="E37" s="75" t="s">
        <v>9</v>
      </c>
      <c r="F37" s="75" t="s">
        <v>10</v>
      </c>
      <c r="G37" s="75" t="s">
        <v>11</v>
      </c>
      <c r="H37" s="75" t="s">
        <v>12</v>
      </c>
      <c r="I37" s="75" t="s">
        <v>13</v>
      </c>
      <c r="J37" s="75" t="s">
        <v>14</v>
      </c>
      <c r="K37" s="75" t="s">
        <v>15</v>
      </c>
      <c r="L37" s="75" t="s">
        <v>16</v>
      </c>
      <c r="M37" s="75" t="s">
        <v>17</v>
      </c>
    </row>
    <row r="38" spans="1:13" hidden="1" x14ac:dyDescent="0.25">
      <c r="A38">
        <v>2005</v>
      </c>
      <c r="B38" s="2">
        <v>1948529</v>
      </c>
      <c r="C38" s="2">
        <v>2142706</v>
      </c>
      <c r="D38" s="2">
        <v>2124275</v>
      </c>
      <c r="E38" s="2">
        <v>2096460</v>
      </c>
      <c r="F38" s="2">
        <v>2100045</v>
      </c>
      <c r="G38" s="2">
        <v>2104412</v>
      </c>
      <c r="H38" s="2">
        <v>2105941</v>
      </c>
      <c r="I38" s="2">
        <v>2108762</v>
      </c>
      <c r="J38" s="2">
        <v>2112479</v>
      </c>
      <c r="K38" s="2">
        <v>2116625</v>
      </c>
      <c r="L38" s="2">
        <v>2064320</v>
      </c>
      <c r="M38" s="2">
        <v>2164671</v>
      </c>
    </row>
    <row r="39" spans="1:13" hidden="1" x14ac:dyDescent="0.25">
      <c r="A39">
        <v>2006</v>
      </c>
      <c r="B39" s="2">
        <v>2264371</v>
      </c>
      <c r="C39" s="2">
        <v>2152538</v>
      </c>
      <c r="D39" s="2">
        <v>2089577</v>
      </c>
      <c r="E39" s="2">
        <v>2039145</v>
      </c>
      <c r="F39" s="2">
        <v>2039408</v>
      </c>
      <c r="G39" s="2">
        <v>2038532</v>
      </c>
      <c r="H39" s="2">
        <v>2039295</v>
      </c>
      <c r="I39" s="2">
        <v>2039036</v>
      </c>
      <c r="J39" s="2">
        <v>2037653</v>
      </c>
      <c r="K39" s="2">
        <v>2036696</v>
      </c>
      <c r="L39" s="2">
        <v>1988690</v>
      </c>
      <c r="M39" s="2">
        <v>1883563</v>
      </c>
    </row>
    <row r="40" spans="1:13" hidden="1" x14ac:dyDescent="0.25">
      <c r="A40">
        <v>2007</v>
      </c>
      <c r="B40" s="2">
        <v>1882850</v>
      </c>
      <c r="C40" s="2">
        <v>1729057</v>
      </c>
      <c r="D40" s="2">
        <v>1660538</v>
      </c>
      <c r="E40" s="2">
        <v>1768389</v>
      </c>
      <c r="F40" s="2">
        <v>1770020</v>
      </c>
      <c r="G40" s="2">
        <v>1770342</v>
      </c>
      <c r="H40" s="2">
        <v>1769728</v>
      </c>
      <c r="I40" s="2">
        <v>1769440</v>
      </c>
      <c r="J40" s="2">
        <v>1769632</v>
      </c>
      <c r="K40" s="2">
        <v>1769734</v>
      </c>
      <c r="L40" s="2">
        <v>1933521</v>
      </c>
      <c r="M40" s="2">
        <v>1917392</v>
      </c>
    </row>
    <row r="41" spans="1:13" hidden="1" x14ac:dyDescent="0.25">
      <c r="A41">
        <v>2008</v>
      </c>
      <c r="B41" s="2">
        <v>1926372</v>
      </c>
      <c r="C41" s="2">
        <v>2072851</v>
      </c>
      <c r="D41" s="2">
        <v>2044700</v>
      </c>
      <c r="E41" s="2">
        <v>2019660</v>
      </c>
      <c r="F41" s="2">
        <v>2026867</v>
      </c>
      <c r="G41" s="2">
        <v>2026205</v>
      </c>
      <c r="H41" s="2">
        <v>2026769</v>
      </c>
      <c r="I41" s="2">
        <v>2026854</v>
      </c>
      <c r="J41" s="2">
        <v>2027701</v>
      </c>
      <c r="K41" s="2">
        <v>2025108</v>
      </c>
      <c r="L41" s="2">
        <v>2093306</v>
      </c>
      <c r="M41" s="2">
        <v>2305368</v>
      </c>
    </row>
    <row r="42" spans="1:13" hidden="1" x14ac:dyDescent="0.25">
      <c r="A42">
        <v>2009</v>
      </c>
      <c r="B42" s="2">
        <v>2440972</v>
      </c>
      <c r="C42" s="2">
        <v>2508847</v>
      </c>
      <c r="D42" s="2">
        <v>2651234</v>
      </c>
      <c r="E42" s="2">
        <v>2753833</v>
      </c>
      <c r="F42" s="2">
        <v>2757764</v>
      </c>
      <c r="G42" s="2">
        <v>2758217</v>
      </c>
      <c r="H42" s="2">
        <v>2758271</v>
      </c>
      <c r="I42" s="2">
        <v>2756846</v>
      </c>
      <c r="J42" s="2">
        <v>2755635</v>
      </c>
      <c r="K42" s="2">
        <v>2765022</v>
      </c>
      <c r="L42" s="2">
        <v>2590707</v>
      </c>
      <c r="M42" s="2">
        <v>2586210</v>
      </c>
    </row>
    <row r="43" spans="1:13" hidden="1" x14ac:dyDescent="0.25">
      <c r="A43">
        <v>2010</v>
      </c>
      <c r="B43" s="2">
        <v>2433205</v>
      </c>
      <c r="C43" s="2">
        <v>2569170</v>
      </c>
      <c r="D43" s="2">
        <v>2680476</v>
      </c>
      <c r="E43" s="2">
        <v>2614071</v>
      </c>
      <c r="F43" s="2">
        <v>2628956</v>
      </c>
      <c r="G43" s="2">
        <v>2628454</v>
      </c>
      <c r="H43" s="2">
        <v>2627644</v>
      </c>
      <c r="I43" s="2">
        <v>2630525</v>
      </c>
      <c r="J43" s="2">
        <v>2633159</v>
      </c>
      <c r="K43" s="2">
        <v>2711173</v>
      </c>
      <c r="L43" s="2">
        <v>2986135</v>
      </c>
      <c r="M43" s="2">
        <v>3185413</v>
      </c>
    </row>
    <row r="44" spans="1:13" hidden="1" x14ac:dyDescent="0.25">
      <c r="A44">
        <v>2011</v>
      </c>
      <c r="B44" s="2">
        <v>3172166</v>
      </c>
      <c r="C44" s="2">
        <v>3100123</v>
      </c>
      <c r="D44" s="2">
        <v>3049640</v>
      </c>
      <c r="E44" s="2">
        <v>2969005</v>
      </c>
      <c r="F44" s="2">
        <v>2948466</v>
      </c>
      <c r="G44" s="2">
        <v>2952916</v>
      </c>
      <c r="H44" s="2">
        <v>2956889</v>
      </c>
      <c r="I44" s="2">
        <v>2958424</v>
      </c>
      <c r="J44" s="2">
        <v>2958447</v>
      </c>
      <c r="K44" s="2">
        <v>2877408</v>
      </c>
      <c r="L44" s="2">
        <v>2524705</v>
      </c>
      <c r="M44" s="2">
        <v>2194396</v>
      </c>
    </row>
    <row r="45" spans="1:13" hidden="1" x14ac:dyDescent="0.25">
      <c r="A45">
        <v>2012</v>
      </c>
      <c r="B45" s="2">
        <v>2351020</v>
      </c>
      <c r="C45" s="2">
        <v>2416263</v>
      </c>
      <c r="D45" s="2">
        <v>2387138</v>
      </c>
      <c r="E45" s="2">
        <v>2540874</v>
      </c>
      <c r="F45" s="2">
        <v>2546965</v>
      </c>
      <c r="G45" s="2">
        <v>2545164</v>
      </c>
      <c r="H45" s="2">
        <v>2544473</v>
      </c>
      <c r="I45" s="2">
        <v>2544136</v>
      </c>
      <c r="J45" s="2">
        <v>2544124</v>
      </c>
      <c r="K45" s="2">
        <v>2585915</v>
      </c>
      <c r="L45" s="2">
        <v>2777840</v>
      </c>
      <c r="M45" s="2">
        <v>2823970</v>
      </c>
    </row>
    <row r="46" spans="1:13" hidden="1" x14ac:dyDescent="0.25">
      <c r="A46">
        <v>2013</v>
      </c>
      <c r="B46" s="2">
        <v>2635263</v>
      </c>
      <c r="C46" s="2">
        <v>2564583</v>
      </c>
      <c r="D46" s="2">
        <v>2608770</v>
      </c>
      <c r="E46" s="2">
        <v>2530464</v>
      </c>
      <c r="F46" s="2">
        <v>2552854</v>
      </c>
      <c r="G46" s="2">
        <v>2570735</v>
      </c>
      <c r="H46" s="2">
        <v>2570534</v>
      </c>
      <c r="I46" s="2">
        <v>2569174</v>
      </c>
      <c r="J46" s="2">
        <v>2569968</v>
      </c>
      <c r="K46" s="2">
        <v>2525867</v>
      </c>
      <c r="L46" s="2">
        <v>2482532</v>
      </c>
      <c r="M46" s="2">
        <v>2502432</v>
      </c>
    </row>
    <row r="47" spans="1:13" hidden="1" x14ac:dyDescent="0.25">
      <c r="A47">
        <v>2014</v>
      </c>
      <c r="B47" s="2">
        <v>2598142</v>
      </c>
      <c r="C47" s="2">
        <v>2479895</v>
      </c>
      <c r="D47" s="2">
        <v>2447448</v>
      </c>
      <c r="E47" s="2">
        <v>2407246</v>
      </c>
      <c r="F47" s="2">
        <v>2374393</v>
      </c>
      <c r="G47" s="2">
        <v>2356383</v>
      </c>
      <c r="H47" s="2">
        <v>2355609</v>
      </c>
      <c r="I47" s="2">
        <v>2355467</v>
      </c>
      <c r="J47" s="2">
        <v>2353738</v>
      </c>
      <c r="K47" s="2">
        <v>2356004</v>
      </c>
      <c r="L47" s="2">
        <v>2287100</v>
      </c>
      <c r="M47" s="2">
        <v>2135735</v>
      </c>
    </row>
    <row r="48" spans="1:13" hidden="1" x14ac:dyDescent="0.25">
      <c r="A48">
        <v>2015</v>
      </c>
      <c r="B48" s="2">
        <v>2101949</v>
      </c>
      <c r="C48" s="2">
        <v>2240675</v>
      </c>
      <c r="D48" s="2">
        <v>2155247</v>
      </c>
      <c r="E48" s="2">
        <v>2201606</v>
      </c>
      <c r="F48" s="2">
        <v>2201415</v>
      </c>
      <c r="G48" s="2">
        <v>2201415</v>
      </c>
      <c r="H48" s="2">
        <v>2200981</v>
      </c>
      <c r="I48" s="2">
        <v>2200608</v>
      </c>
      <c r="J48" s="2">
        <v>2203237</v>
      </c>
      <c r="K48" s="2">
        <v>2227498</v>
      </c>
      <c r="L48" s="2">
        <v>2191667</v>
      </c>
      <c r="M48" s="2">
        <v>2304689</v>
      </c>
    </row>
    <row r="49" spans="1:13" hidden="1" x14ac:dyDescent="0.25">
      <c r="A49">
        <v>2016</v>
      </c>
      <c r="B49" s="2">
        <v>2138420</v>
      </c>
      <c r="C49" s="2">
        <v>2002038</v>
      </c>
      <c r="D49" s="2">
        <v>2212351</v>
      </c>
      <c r="E49" s="2">
        <v>2144232</v>
      </c>
      <c r="F49" s="2">
        <v>2181954</v>
      </c>
      <c r="G49" s="2">
        <v>2183132</v>
      </c>
      <c r="H49" s="2">
        <v>2183868</v>
      </c>
      <c r="I49" s="2">
        <v>2187597</v>
      </c>
      <c r="J49" s="2">
        <v>2192121</v>
      </c>
      <c r="K49" s="2">
        <v>2172159</v>
      </c>
      <c r="L49" s="2">
        <v>2218602</v>
      </c>
      <c r="M49" s="2">
        <v>2128652</v>
      </c>
    </row>
    <row r="50" spans="1:13" hidden="1" x14ac:dyDescent="0.25">
      <c r="A50">
        <v>2017</v>
      </c>
      <c r="B50" s="2">
        <v>2303988</v>
      </c>
      <c r="C50" s="2">
        <v>2261619</v>
      </c>
      <c r="D50" s="2">
        <v>2058920</v>
      </c>
      <c r="E50" s="2">
        <v>2129179</v>
      </c>
      <c r="F50" s="2">
        <v>2102879</v>
      </c>
      <c r="G50" s="2">
        <v>2105035</v>
      </c>
      <c r="H50" s="2">
        <v>2108568</v>
      </c>
      <c r="I50" s="2">
        <v>2106057</v>
      </c>
      <c r="J50" s="2">
        <v>2107538</v>
      </c>
      <c r="K50" s="2">
        <v>2119318</v>
      </c>
      <c r="L50" s="2">
        <v>2433124</v>
      </c>
      <c r="M50" s="2">
        <v>2646117</v>
      </c>
    </row>
    <row r="51" spans="1:13" hidden="1" x14ac:dyDescent="0.25">
      <c r="A51">
        <v>2018</v>
      </c>
      <c r="B51" s="2">
        <v>2627413</v>
      </c>
      <c r="C51" s="2">
        <v>2957049</v>
      </c>
      <c r="D51" s="2">
        <v>3124478</v>
      </c>
      <c r="E51" s="2">
        <v>3153774</v>
      </c>
      <c r="F51" s="2">
        <v>3205374</v>
      </c>
      <c r="G51" s="2">
        <v>3203374</v>
      </c>
      <c r="H51" s="2">
        <v>3200261</v>
      </c>
      <c r="I51" s="2">
        <v>3198737</v>
      </c>
      <c r="J51" s="2">
        <v>3192477</v>
      </c>
      <c r="K51" s="2">
        <v>3231617</v>
      </c>
      <c r="L51" s="2">
        <v>3052368</v>
      </c>
      <c r="M51" s="2">
        <v>2785952</v>
      </c>
    </row>
    <row r="52" spans="1:13" hidden="1" x14ac:dyDescent="0.25">
      <c r="A52">
        <v>2019</v>
      </c>
      <c r="B52" s="2">
        <v>2792272</v>
      </c>
      <c r="C52" s="2">
        <v>2475376.7000000002</v>
      </c>
      <c r="D52" s="2">
        <v>2311764.7000000002</v>
      </c>
      <c r="E52" s="2">
        <v>2279137.7000000002</v>
      </c>
      <c r="F52" s="2">
        <v>2228084.7000000002</v>
      </c>
      <c r="G52" s="2">
        <v>2225649.7000000002</v>
      </c>
      <c r="H52" s="2">
        <v>2225020.7000000002</v>
      </c>
      <c r="I52" s="2">
        <v>2225631.7000000002</v>
      </c>
      <c r="J52" s="2">
        <v>2222411.7000000002</v>
      </c>
      <c r="K52" s="2">
        <v>2174792.7000000002</v>
      </c>
      <c r="L52" s="2">
        <v>2245361.7000000002</v>
      </c>
      <c r="M52" s="2">
        <v>2339712.7000000002</v>
      </c>
    </row>
    <row r="53" spans="1:13" hidden="1" x14ac:dyDescent="0.25">
      <c r="A53">
        <v>2020</v>
      </c>
      <c r="B53" s="2">
        <v>2281181.7000000002</v>
      </c>
      <c r="C53" s="2">
        <v>2151964</v>
      </c>
      <c r="D53" s="2">
        <v>2058102</v>
      </c>
      <c r="E53" s="2">
        <v>1974068</v>
      </c>
      <c r="F53" s="2">
        <v>1957424</v>
      </c>
      <c r="G53" s="2">
        <v>1954861</v>
      </c>
      <c r="H53" s="2">
        <v>1951386</v>
      </c>
      <c r="I53" s="2">
        <v>1947662</v>
      </c>
      <c r="J53" s="2">
        <v>1945949</v>
      </c>
      <c r="K53" s="2">
        <v>1997125</v>
      </c>
      <c r="L53" s="2">
        <v>1859411</v>
      </c>
      <c r="M53" s="2">
        <v>2002467</v>
      </c>
    </row>
    <row r="54" spans="1:13" hidden="1" x14ac:dyDescent="0.25">
      <c r="A54">
        <v>2021</v>
      </c>
      <c r="B54" s="2">
        <v>2037699</v>
      </c>
      <c r="C54" s="2">
        <v>2094317</v>
      </c>
      <c r="D54" s="2">
        <v>2042386</v>
      </c>
      <c r="E54" s="2">
        <v>2063351</v>
      </c>
      <c r="F54" s="2">
        <v>2082325</v>
      </c>
      <c r="G54" s="2">
        <v>2083149</v>
      </c>
      <c r="H54" s="2">
        <v>2083598</v>
      </c>
      <c r="I54" s="2">
        <v>2089415</v>
      </c>
      <c r="J54" s="2">
        <v>2097562</v>
      </c>
      <c r="K54" s="2">
        <v>2056814</v>
      </c>
      <c r="L54" s="2">
        <v>2088283</v>
      </c>
      <c r="M54" s="2">
        <v>1978566</v>
      </c>
    </row>
    <row r="55" spans="1:13" x14ac:dyDescent="0.25">
      <c r="A55">
        <v>2022</v>
      </c>
      <c r="B55" s="2">
        <v>1781098</v>
      </c>
      <c r="C55" s="2">
        <v>1795263</v>
      </c>
      <c r="D55" s="2">
        <v>1998612</v>
      </c>
      <c r="E55" s="2">
        <v>2072444</v>
      </c>
      <c r="F55" s="2">
        <v>2056451</v>
      </c>
      <c r="G55" s="2">
        <v>2055841</v>
      </c>
      <c r="H55" s="2">
        <v>2060014</v>
      </c>
      <c r="I55" s="2">
        <v>2059279</v>
      </c>
      <c r="J55" s="2">
        <v>2054979</v>
      </c>
      <c r="K55" s="2">
        <v>2035249</v>
      </c>
      <c r="L55" s="2">
        <v>1965576</v>
      </c>
      <c r="M55" s="2">
        <v>1912582</v>
      </c>
    </row>
    <row r="56" spans="1:13" x14ac:dyDescent="0.25">
      <c r="A56">
        <v>2023</v>
      </c>
      <c r="B56" s="2">
        <v>2072562</v>
      </c>
      <c r="C56" s="2">
        <v>2190728</v>
      </c>
      <c r="D56" s="2">
        <v>1999072</v>
      </c>
      <c r="E56" s="2">
        <v>1878861</v>
      </c>
      <c r="F56" s="2">
        <v>1881656</v>
      </c>
      <c r="G56" s="2">
        <v>1880554</v>
      </c>
      <c r="H56" s="2">
        <v>1880655</v>
      </c>
      <c r="I56" s="2">
        <v>1880680</v>
      </c>
      <c r="J56" s="2">
        <v>1881283</v>
      </c>
      <c r="K56" s="2">
        <v>1883954</v>
      </c>
      <c r="L56" s="2">
        <v>1847762</v>
      </c>
      <c r="M56" s="2">
        <v>1807092</v>
      </c>
    </row>
    <row r="57" spans="1:13" x14ac:dyDescent="0.25">
      <c r="A57">
        <v>2024</v>
      </c>
      <c r="B57" s="2">
        <v>1708039</v>
      </c>
      <c r="C57" s="2">
        <v>1475877</v>
      </c>
      <c r="D57" s="2">
        <v>1518558</v>
      </c>
      <c r="E57" s="2">
        <v>1610155</v>
      </c>
      <c r="F57" s="2">
        <v>1614265</v>
      </c>
      <c r="G57" s="2">
        <v>1619868</v>
      </c>
      <c r="H57" s="2">
        <v>1621077</v>
      </c>
      <c r="I57" s="2">
        <v>1621955</v>
      </c>
      <c r="J57" s="2">
        <v>1624552</v>
      </c>
      <c r="K57" s="2">
        <v>1620869</v>
      </c>
      <c r="L57" s="2">
        <v>1554090</v>
      </c>
      <c r="M57" s="2">
        <v>1621862</v>
      </c>
    </row>
    <row r="58" spans="1:13" x14ac:dyDescent="0.25">
      <c r="A58">
        <v>2025</v>
      </c>
      <c r="B58" s="2">
        <v>1639537</v>
      </c>
      <c r="C58" s="2">
        <v>1764664</v>
      </c>
      <c r="D58" s="2">
        <v>1828582</v>
      </c>
      <c r="E58" s="2">
        <v>1839812</v>
      </c>
      <c r="F58" s="2">
        <v>1873941</v>
      </c>
      <c r="G58" s="2"/>
      <c r="H58" s="2"/>
      <c r="I58" s="2"/>
      <c r="J58" s="2"/>
      <c r="K58" s="2"/>
      <c r="L58" s="2"/>
      <c r="M58" s="2"/>
    </row>
    <row r="67" spans="1:14" ht="12.75" hidden="1" customHeight="1" x14ac:dyDescent="0.25"/>
    <row r="68" spans="1:14" ht="12.75" hidden="1" customHeight="1" x14ac:dyDescent="0.25"/>
    <row r="69" spans="1:14" ht="12.75" hidden="1" customHeight="1" x14ac:dyDescent="0.25">
      <c r="A69" s="171" t="s">
        <v>78</v>
      </c>
      <c r="B69" s="172"/>
      <c r="C69" s="172"/>
      <c r="D69" s="172"/>
      <c r="E69" s="172"/>
      <c r="F69" s="172"/>
      <c r="G69" s="172"/>
      <c r="H69" s="172"/>
      <c r="I69" s="172"/>
      <c r="J69" s="172"/>
      <c r="K69" s="172"/>
      <c r="L69" s="172"/>
      <c r="M69" s="173"/>
    </row>
    <row r="70" spans="1:14" ht="12.75" hidden="1" customHeight="1" x14ac:dyDescent="0.25">
      <c r="A70" s="75" t="s">
        <v>24</v>
      </c>
      <c r="B70" s="75" t="s">
        <v>6</v>
      </c>
      <c r="C70" s="75" t="s">
        <v>7</v>
      </c>
      <c r="D70" s="75" t="s">
        <v>8</v>
      </c>
      <c r="E70" s="75" t="s">
        <v>9</v>
      </c>
      <c r="F70" s="75" t="s">
        <v>10</v>
      </c>
      <c r="G70" s="75" t="s">
        <v>11</v>
      </c>
      <c r="H70" s="75" t="s">
        <v>12</v>
      </c>
      <c r="I70" s="75" t="s">
        <v>13</v>
      </c>
      <c r="J70" s="75" t="s">
        <v>14</v>
      </c>
      <c r="K70" s="75" t="s">
        <v>15</v>
      </c>
      <c r="L70" s="75" t="s">
        <v>16</v>
      </c>
      <c r="M70" s="75" t="s">
        <v>17</v>
      </c>
      <c r="N70" s="9" t="s">
        <v>26</v>
      </c>
    </row>
    <row r="71" spans="1:14" hidden="1" x14ac:dyDescent="0.25">
      <c r="A71" s="75">
        <v>2004</v>
      </c>
      <c r="B71" s="6">
        <v>8.9709677419354836</v>
      </c>
      <c r="C71" s="6">
        <v>7.8964285714285714</v>
      </c>
      <c r="D71" s="6">
        <v>9.5709677419354833</v>
      </c>
      <c r="E71" s="6">
        <v>12.296666666666665</v>
      </c>
      <c r="F71" s="6">
        <v>15.493548387096773</v>
      </c>
      <c r="G71" s="6">
        <v>21.57</v>
      </c>
      <c r="H71" s="6">
        <v>22.696774193548389</v>
      </c>
      <c r="I71" s="6">
        <v>23.967741935483868</v>
      </c>
      <c r="J71" s="6">
        <v>20.953333333333333</v>
      </c>
      <c r="K71" s="6">
        <v>17.741935483870968</v>
      </c>
      <c r="L71" s="6">
        <v>10.443333333333332</v>
      </c>
      <c r="M71" s="6">
        <v>8.9161290322580626</v>
      </c>
      <c r="N71" s="5">
        <v>15.043152201740911</v>
      </c>
    </row>
    <row r="72" spans="1:14" hidden="1" x14ac:dyDescent="0.25">
      <c r="A72" s="75">
        <v>2005</v>
      </c>
      <c r="B72" s="6">
        <v>6.1870967741935479</v>
      </c>
      <c r="C72" s="6">
        <v>5.9571428571428564</v>
      </c>
      <c r="D72" s="6">
        <v>9.6354838709677431</v>
      </c>
      <c r="E72" s="6">
        <v>13.42</v>
      </c>
      <c r="F72" s="6">
        <v>18.045161290322579</v>
      </c>
      <c r="G72" s="6">
        <v>23.006666666666668</v>
      </c>
      <c r="H72" s="6">
        <v>24.022580645161288</v>
      </c>
      <c r="I72" s="6">
        <v>21.99677419354839</v>
      </c>
      <c r="J72" s="6">
        <v>19.736666666666668</v>
      </c>
      <c r="K72" s="6">
        <v>16.948387096774198</v>
      </c>
      <c r="L72" s="6">
        <v>10.956666666666665</v>
      </c>
      <c r="M72" s="6">
        <v>5.9258064516129041</v>
      </c>
      <c r="N72" s="5">
        <v>14.65320276497696</v>
      </c>
    </row>
    <row r="73" spans="1:14" hidden="1" x14ac:dyDescent="0.25">
      <c r="A73" s="75">
        <v>2006</v>
      </c>
      <c r="B73" s="6">
        <v>6.9258064516129032</v>
      </c>
      <c r="C73" s="6">
        <v>7.8857142857142861</v>
      </c>
      <c r="D73" s="6">
        <v>11.751612903225807</v>
      </c>
      <c r="E73" s="6">
        <v>14.453333333333331</v>
      </c>
      <c r="F73" s="6">
        <v>18.454838709677418</v>
      </c>
      <c r="G73" s="6">
        <v>21.633333333333336</v>
      </c>
      <c r="H73" s="6">
        <v>26.090322580645161</v>
      </c>
      <c r="I73" s="6">
        <v>22.296774193548387</v>
      </c>
      <c r="J73" s="6">
        <v>20.833333333333336</v>
      </c>
      <c r="K73" s="6">
        <v>18.183870967741928</v>
      </c>
      <c r="L73" s="6">
        <v>13.699999999999998</v>
      </c>
      <c r="M73" s="6">
        <v>8.8064516129032278</v>
      </c>
      <c r="N73" s="5">
        <v>15.917949308755761</v>
      </c>
    </row>
    <row r="74" spans="1:14" hidden="1" x14ac:dyDescent="0.25">
      <c r="A74" s="75">
        <v>2007</v>
      </c>
      <c r="B74" s="6">
        <v>8.9677419354838683</v>
      </c>
      <c r="C74" s="6">
        <v>10.700000000000001</v>
      </c>
      <c r="D74" s="6">
        <v>11.177419354838706</v>
      </c>
      <c r="E74" s="6">
        <v>14.659999999999998</v>
      </c>
      <c r="F74" s="6">
        <v>17.754838709677422</v>
      </c>
      <c r="G74" s="6">
        <v>21.356666666666673</v>
      </c>
      <c r="H74" s="6">
        <v>22.948387096774198</v>
      </c>
      <c r="I74" s="6">
        <v>22.248387096774195</v>
      </c>
      <c r="J74" s="6">
        <v>19.949999999999996</v>
      </c>
      <c r="K74" s="6">
        <v>15.896774193548389</v>
      </c>
      <c r="L74" s="6">
        <v>10.263333333333334</v>
      </c>
      <c r="M74" s="6">
        <v>8.2451612903225815</v>
      </c>
      <c r="N74" s="5">
        <v>15.347392473118278</v>
      </c>
    </row>
    <row r="75" spans="1:14" hidden="1" x14ac:dyDescent="0.25">
      <c r="A75" s="75">
        <v>2008</v>
      </c>
      <c r="B75" s="6">
        <v>9.4483870967741943</v>
      </c>
      <c r="C75" s="6">
        <v>9.9896551724137925</v>
      </c>
      <c r="D75" s="6">
        <v>10.603225806451613</v>
      </c>
      <c r="E75" s="6">
        <v>13.466666666666667</v>
      </c>
      <c r="F75" s="6">
        <v>16.151612903225804</v>
      </c>
      <c r="G75" s="6">
        <v>20.293333333333333</v>
      </c>
      <c r="H75" s="6">
        <v>23.241935483870968</v>
      </c>
      <c r="I75" s="6">
        <v>23.554838709677412</v>
      </c>
      <c r="J75" s="6">
        <v>19.59333333333333</v>
      </c>
      <c r="K75" s="6">
        <v>16.035483870967745</v>
      </c>
      <c r="L75" s="6">
        <v>9.9482758620689662</v>
      </c>
      <c r="M75" s="6">
        <v>7.5483870967741939</v>
      </c>
      <c r="N75" s="5">
        <v>14.989594611296502</v>
      </c>
    </row>
    <row r="76" spans="1:14" hidden="1" x14ac:dyDescent="0.25">
      <c r="A76" s="75">
        <v>2009</v>
      </c>
      <c r="B76" s="6">
        <v>7.1</v>
      </c>
      <c r="C76" s="6">
        <v>8.5035714285714299</v>
      </c>
      <c r="D76" s="6">
        <v>11.03225806451613</v>
      </c>
      <c r="E76" s="6">
        <v>12.713333333333335</v>
      </c>
      <c r="F76" s="6">
        <v>18.745161290322581</v>
      </c>
      <c r="G76" s="6">
        <v>22.153333333333332</v>
      </c>
      <c r="H76" s="6">
        <v>23.948387096774191</v>
      </c>
      <c r="I76" s="6">
        <v>24.948387096774201</v>
      </c>
      <c r="J76" s="6">
        <v>20.296666666666663</v>
      </c>
      <c r="K76" s="6">
        <v>17.216129032258067</v>
      </c>
      <c r="L76" s="6">
        <v>12.803333333333331</v>
      </c>
      <c r="M76" s="6">
        <v>8.5290322580645199</v>
      </c>
      <c r="N76" s="5">
        <v>15.665799411162316</v>
      </c>
    </row>
    <row r="77" spans="1:14" hidden="1" x14ac:dyDescent="0.25">
      <c r="A77" s="75">
        <v>2010</v>
      </c>
      <c r="B77" s="6">
        <v>6.6193548387096763</v>
      </c>
      <c r="C77" s="6">
        <v>7.6428571428571415</v>
      </c>
      <c r="D77" s="6">
        <v>9.3258064516129036</v>
      </c>
      <c r="E77" s="6">
        <v>13.636666666666667</v>
      </c>
      <c r="F77" s="6">
        <v>15.480645161290326</v>
      </c>
      <c r="G77" s="6">
        <v>20.043333333333333</v>
      </c>
      <c r="H77" s="6">
        <v>24.883870967741927</v>
      </c>
      <c r="I77" s="6">
        <v>23.267741935483876</v>
      </c>
      <c r="J77" s="6">
        <v>19.876666666666672</v>
      </c>
      <c r="K77" s="6">
        <v>15.258064516129032</v>
      </c>
      <c r="L77" s="6">
        <v>10.163333333333332</v>
      </c>
      <c r="M77" s="6">
        <v>7.7096774193548372</v>
      </c>
      <c r="N77" s="5">
        <v>14.492334869431643</v>
      </c>
    </row>
    <row r="78" spans="1:14" hidden="1" x14ac:dyDescent="0.25">
      <c r="A78" s="75">
        <v>2011</v>
      </c>
      <c r="B78" s="6">
        <v>7.693548387096774</v>
      </c>
      <c r="C78" s="6">
        <v>9.35</v>
      </c>
      <c r="D78" s="6">
        <v>10.835483870967744</v>
      </c>
      <c r="E78" s="6">
        <v>15.8</v>
      </c>
      <c r="F78" s="6">
        <v>18.445161290322584</v>
      </c>
      <c r="G78" s="6">
        <v>20.15666666666667</v>
      </c>
      <c r="H78" s="6">
        <v>21.79354838709677</v>
      </c>
      <c r="I78" s="6">
        <v>24.195</v>
      </c>
      <c r="J78" s="6">
        <v>21.98</v>
      </c>
      <c r="K78" s="6">
        <v>17.845161290322579</v>
      </c>
      <c r="L78" s="6">
        <v>13.676666666666669</v>
      </c>
      <c r="M78" s="6">
        <v>9.2838709677419367</v>
      </c>
      <c r="N78" s="5">
        <v>15.921258960573477</v>
      </c>
    </row>
    <row r="79" spans="1:14" hidden="1" x14ac:dyDescent="0.25">
      <c r="A79" s="75">
        <v>2012</v>
      </c>
      <c r="B79" s="6">
        <v>8.2354838709677409</v>
      </c>
      <c r="C79" s="6">
        <v>6.4068965517241372</v>
      </c>
      <c r="D79" s="6">
        <v>12.364516129032259</v>
      </c>
      <c r="E79" s="6">
        <v>12.776666666666666</v>
      </c>
      <c r="F79" s="6">
        <v>17.954838709677421</v>
      </c>
      <c r="G79" s="6">
        <v>22.833333333333336</v>
      </c>
      <c r="H79" s="6">
        <v>23.222580645161294</v>
      </c>
      <c r="I79" s="6">
        <v>25.48064516129033</v>
      </c>
      <c r="J79" s="6">
        <v>20.709999999999994</v>
      </c>
      <c r="K79" s="6">
        <v>16.812903225806448</v>
      </c>
      <c r="L79" s="6">
        <v>12.053333333333333</v>
      </c>
      <c r="M79" s="6">
        <v>8.9935483870967747</v>
      </c>
      <c r="N79" s="5">
        <v>15.653728834507481</v>
      </c>
    </row>
    <row r="80" spans="1:14" hidden="1" x14ac:dyDescent="0.25">
      <c r="A80" s="75">
        <v>2013</v>
      </c>
      <c r="B80" s="6">
        <v>8.5516129032258075</v>
      </c>
      <c r="C80" s="6">
        <v>7.4857142857142858</v>
      </c>
      <c r="D80" s="6">
        <v>11.035483870967743</v>
      </c>
      <c r="E80" s="6">
        <v>13.426666666666669</v>
      </c>
      <c r="F80" s="6">
        <v>14.683870967741935</v>
      </c>
      <c r="G80" s="6">
        <v>19.836666666666662</v>
      </c>
      <c r="H80" s="6">
        <v>24.625806451612902</v>
      </c>
      <c r="I80" s="6">
        <v>23.467741935483872</v>
      </c>
      <c r="J80" s="6">
        <v>20.673333333333332</v>
      </c>
      <c r="K80" s="6">
        <v>18.56129032258065</v>
      </c>
      <c r="L80" s="6">
        <v>11.416666666666668</v>
      </c>
      <c r="M80" s="6">
        <v>8.4967741935483883</v>
      </c>
      <c r="N80" s="5">
        <v>15.188469022017408</v>
      </c>
    </row>
    <row r="81" spans="1:14" hidden="1" x14ac:dyDescent="0.25">
      <c r="A81" s="75">
        <v>2014</v>
      </c>
      <c r="B81" s="6">
        <v>9.1419354838709683</v>
      </c>
      <c r="C81" s="6">
        <v>9.3535714285714295</v>
      </c>
      <c r="D81" s="6">
        <v>11.64516129032258</v>
      </c>
      <c r="E81" s="6">
        <v>15.16666666666667</v>
      </c>
      <c r="F81" s="6">
        <v>16.167741935483871</v>
      </c>
      <c r="G81" s="6">
        <v>21.543333333333333</v>
      </c>
      <c r="H81" s="6">
        <v>22.800000000000008</v>
      </c>
      <c r="I81" s="6">
        <v>22.767741935483869</v>
      </c>
      <c r="J81" s="6">
        <v>21.32</v>
      </c>
      <c r="K81" s="6">
        <v>18.93548387096774</v>
      </c>
      <c r="L81" s="6">
        <v>13.45</v>
      </c>
      <c r="M81" s="6">
        <v>8.4387096774193537</v>
      </c>
      <c r="N81" s="5">
        <v>15.894195468509984</v>
      </c>
    </row>
    <row r="82" spans="1:14" hidden="1" x14ac:dyDescent="0.25">
      <c r="A82" s="75">
        <v>2015</v>
      </c>
      <c r="B82" s="6">
        <v>8.0419354838709669</v>
      </c>
      <c r="C82" s="6">
        <v>7.5892857142857144</v>
      </c>
      <c r="D82" s="6">
        <v>11.77741935483871</v>
      </c>
      <c r="E82" s="6">
        <v>14.196666666666662</v>
      </c>
      <c r="F82" s="6">
        <v>19</v>
      </c>
      <c r="G82" s="6">
        <v>22.723333333333326</v>
      </c>
      <c r="H82" s="6">
        <v>26.254838709677415</v>
      </c>
      <c r="I82" s="6">
        <v>23.541935483870969</v>
      </c>
      <c r="J82" s="6">
        <v>19.456666666666667</v>
      </c>
      <c r="K82" s="6">
        <v>16.232258064516127</v>
      </c>
      <c r="L82" s="6">
        <v>12.809999999999999</v>
      </c>
      <c r="M82" s="6">
        <v>10.722580645161292</v>
      </c>
      <c r="N82" s="5">
        <v>16.028910010240654</v>
      </c>
    </row>
    <row r="83" spans="1:14" hidden="1" x14ac:dyDescent="0.25">
      <c r="A83" s="75">
        <v>2016</v>
      </c>
      <c r="B83" s="6">
        <v>10.016129032258064</v>
      </c>
      <c r="C83" s="6">
        <v>10.372413793103449</v>
      </c>
      <c r="D83" s="6">
        <v>10.358064516129033</v>
      </c>
      <c r="E83" s="6">
        <v>13.326666666666664</v>
      </c>
      <c r="F83" s="6">
        <v>16.048387096774192</v>
      </c>
      <c r="G83" s="6">
        <v>20.850000000000005</v>
      </c>
      <c r="H83" s="6">
        <v>24.506451612903227</v>
      </c>
      <c r="I83" s="6">
        <v>23.938709677419357</v>
      </c>
      <c r="J83" s="6">
        <v>21.590000000000007</v>
      </c>
      <c r="K83" s="6">
        <v>16.693548387096772</v>
      </c>
      <c r="L83" s="6">
        <v>11.852941176470587</v>
      </c>
      <c r="M83" s="6">
        <v>9.6840000000000011</v>
      </c>
      <c r="N83" s="5">
        <v>15.769775996568447</v>
      </c>
    </row>
    <row r="84" spans="1:14" hidden="1" x14ac:dyDescent="0.25">
      <c r="A84" s="75">
        <v>2017</v>
      </c>
      <c r="B84" s="6">
        <v>7.1419354838709657</v>
      </c>
      <c r="C84" s="6">
        <v>10.996428571428572</v>
      </c>
      <c r="D84" s="6">
        <v>12.941935483870965</v>
      </c>
      <c r="E84" s="6">
        <v>14.163333333333336</v>
      </c>
      <c r="F84" s="6">
        <v>18.777419354838706</v>
      </c>
      <c r="G84" s="6">
        <v>24.243333333333332</v>
      </c>
      <c r="H84" s="6">
        <v>24.609677419354835</v>
      </c>
      <c r="I84" s="6">
        <v>24.941935483870978</v>
      </c>
      <c r="J84" s="6">
        <v>19.480000000000008</v>
      </c>
      <c r="K84" s="6">
        <v>18.109677419354838</v>
      </c>
      <c r="L84" s="6">
        <v>11.29</v>
      </c>
      <c r="M84" s="6">
        <v>7.8516129032258073</v>
      </c>
      <c r="N84" s="5">
        <v>16.212274065540196</v>
      </c>
    </row>
    <row r="85" spans="1:14" hidden="1" x14ac:dyDescent="0.25">
      <c r="A85" s="75">
        <v>2018</v>
      </c>
      <c r="B85" s="6">
        <v>9.9677419354838701</v>
      </c>
      <c r="C85" s="6">
        <v>6.7107142857142863</v>
      </c>
      <c r="D85" s="6">
        <v>10.635483870967743</v>
      </c>
      <c r="E85" s="6">
        <v>14.876666666666669</v>
      </c>
      <c r="F85" s="6">
        <v>16.893548387096775</v>
      </c>
      <c r="G85" s="6">
        <v>21.753333333333337</v>
      </c>
      <c r="H85" s="6">
        <v>25.303225806451611</v>
      </c>
      <c r="I85" s="6">
        <v>25.193548387096779</v>
      </c>
      <c r="J85" s="6">
        <v>22.273333333333333</v>
      </c>
      <c r="K85" s="6">
        <v>16.780645161290323</v>
      </c>
      <c r="L85" s="6">
        <v>12.110000000000003</v>
      </c>
      <c r="M85" s="6">
        <v>9.9354838709677402</v>
      </c>
      <c r="N85" s="5">
        <v>16.036143753200207</v>
      </c>
    </row>
    <row r="86" spans="1:14" hidden="1" x14ac:dyDescent="0.25">
      <c r="A86" s="75">
        <v>2019</v>
      </c>
      <c r="B86" s="6">
        <v>7.2516129032258076</v>
      </c>
      <c r="C86" s="6">
        <v>10.453571428571427</v>
      </c>
      <c r="D86" s="6">
        <v>12.438709677419352</v>
      </c>
      <c r="E86" s="6">
        <v>13.066666666666665</v>
      </c>
      <c r="F86" s="6">
        <v>15.748387096774193</v>
      </c>
      <c r="G86" s="6">
        <v>22.2</v>
      </c>
      <c r="H86" s="6">
        <v>25.609677419354831</v>
      </c>
      <c r="I86" s="6">
        <v>25.206451612903219</v>
      </c>
      <c r="J86" s="6">
        <v>21.826666666666668</v>
      </c>
      <c r="K86" s="6">
        <v>17.954838709677411</v>
      </c>
      <c r="L86" s="6">
        <v>11.186666666666669</v>
      </c>
      <c r="M86" s="6">
        <v>10.819354838709677</v>
      </c>
      <c r="N86" s="5">
        <v>16.146883640552989</v>
      </c>
    </row>
    <row r="87" spans="1:14" hidden="1" x14ac:dyDescent="0.25">
      <c r="A87" s="75">
        <v>2020</v>
      </c>
      <c r="B87" s="6">
        <v>8.9129032258064527</v>
      </c>
      <c r="C87" s="6">
        <v>12.241379310344829</v>
      </c>
      <c r="D87" s="6">
        <v>11.503225806451614</v>
      </c>
      <c r="E87" s="6">
        <v>14.406666666666665</v>
      </c>
      <c r="F87" s="6">
        <v>19.56129032258065</v>
      </c>
      <c r="G87" s="6">
        <v>20.513333333333332</v>
      </c>
      <c r="H87" s="6">
        <v>25.093548387096774</v>
      </c>
      <c r="I87" s="6">
        <v>25.193548387096779</v>
      </c>
      <c r="J87" s="6">
        <v>20.876666666666662</v>
      </c>
      <c r="K87" s="6">
        <v>15.506451612903225</v>
      </c>
      <c r="L87" s="6">
        <v>13.323333333333334</v>
      </c>
      <c r="M87" s="6">
        <v>8.8580645161290334</v>
      </c>
      <c r="N87" s="5">
        <v>16.332534297367445</v>
      </c>
    </row>
    <row r="88" spans="1:14" hidden="1" x14ac:dyDescent="0.25">
      <c r="A88" s="75">
        <v>2021</v>
      </c>
      <c r="B88" s="6">
        <v>7.2967741935483863</v>
      </c>
      <c r="C88" s="6">
        <v>11.074999999999999</v>
      </c>
      <c r="D88" s="6">
        <v>11.429032258064517</v>
      </c>
      <c r="E88" s="6">
        <v>12.42333333333333</v>
      </c>
      <c r="F88" s="6">
        <v>17.14193548387097</v>
      </c>
      <c r="G88" s="6">
        <v>22.753333333333334</v>
      </c>
      <c r="H88" s="6">
        <v>24.625806451612902</v>
      </c>
      <c r="I88" s="6">
        <v>24.135483870967743</v>
      </c>
      <c r="J88" s="6">
        <v>21.810000000000002</v>
      </c>
      <c r="K88" s="6">
        <v>16.929032258064513</v>
      </c>
      <c r="L88" s="6">
        <v>11.033333333333333</v>
      </c>
      <c r="M88" s="76">
        <v>9.9580645161290313</v>
      </c>
      <c r="N88" s="5">
        <v>15.884260752688173</v>
      </c>
    </row>
    <row r="89" spans="1:14" x14ac:dyDescent="0.25">
      <c r="A89" s="75">
        <v>2022</v>
      </c>
      <c r="B89" s="6">
        <v>8.4387096774193555</v>
      </c>
      <c r="C89" s="6">
        <v>10.875000000000002</v>
      </c>
      <c r="D89" s="6">
        <v>11.003225806451614</v>
      </c>
      <c r="E89" s="6">
        <v>13.833333333333336</v>
      </c>
      <c r="F89" s="6">
        <v>20.164516129032258</v>
      </c>
      <c r="G89" s="6">
        <v>24.749999999999996</v>
      </c>
      <c r="H89" s="6">
        <v>26.619354838709675</v>
      </c>
      <c r="I89" s="6">
        <v>26.170967741935481</v>
      </c>
      <c r="J89" s="6">
        <v>21.853333333333332</v>
      </c>
      <c r="K89" s="6">
        <v>19.619354838709675</v>
      </c>
      <c r="L89" s="6">
        <v>14.109999999999998</v>
      </c>
      <c r="M89" s="76">
        <v>11.306451612903228</v>
      </c>
      <c r="N89" s="5">
        <v>17.395353942652328</v>
      </c>
    </row>
    <row r="90" spans="1:14" x14ac:dyDescent="0.25">
      <c r="A90" s="75">
        <v>2023</v>
      </c>
      <c r="B90" s="6">
        <v>7.9322580645161276</v>
      </c>
      <c r="C90" s="6">
        <v>8.7928571428571427</v>
      </c>
      <c r="D90" s="6">
        <v>13.248387096774197</v>
      </c>
      <c r="E90" s="6">
        <v>15.356666666666666</v>
      </c>
      <c r="F90" s="6">
        <v>17.429032258064517</v>
      </c>
      <c r="G90" s="6">
        <v>22.929999999999996</v>
      </c>
      <c r="H90" s="6">
        <v>25.890322580645169</v>
      </c>
      <c r="I90" s="6">
        <v>25.754838709677419</v>
      </c>
      <c r="J90" s="6">
        <v>22.54</v>
      </c>
      <c r="K90" s="6">
        <v>19.570967741935487</v>
      </c>
      <c r="L90" s="6">
        <v>14.053333333333331</v>
      </c>
      <c r="M90" s="76">
        <v>10.609677419354838</v>
      </c>
      <c r="N90" s="5">
        <v>17.00902841781874</v>
      </c>
    </row>
    <row r="91" spans="1:14" x14ac:dyDescent="0.25">
      <c r="A91" s="75">
        <v>2024</v>
      </c>
      <c r="B91" s="6">
        <v>10.241935483870968</v>
      </c>
      <c r="C91" s="6">
        <v>12.224137931034484</v>
      </c>
      <c r="D91" s="6">
        <v>12.603225806451613</v>
      </c>
      <c r="E91" s="6">
        <v>14.593333333333335</v>
      </c>
      <c r="F91" s="6">
        <v>17.516129032258061</v>
      </c>
      <c r="G91" s="6">
        <v>21.246666666666666</v>
      </c>
      <c r="H91" s="6">
        <v>25.593548387096771</v>
      </c>
      <c r="I91" s="6">
        <v>25.819354838709685</v>
      </c>
      <c r="J91" s="6">
        <v>20.226666666666663</v>
      </c>
      <c r="K91" s="6">
        <v>17.719354838709677</v>
      </c>
      <c r="L91" s="6">
        <v>13.95</v>
      </c>
      <c r="M91" s="6">
        <v>9.4967741935483865</v>
      </c>
      <c r="N91" s="5">
        <v>16.769260598195526</v>
      </c>
    </row>
    <row r="92" spans="1:14" x14ac:dyDescent="0.25">
      <c r="A92" s="75">
        <v>2025</v>
      </c>
      <c r="B92" s="6">
        <v>9.8387096774193541</v>
      </c>
      <c r="C92" s="6">
        <v>10.1</v>
      </c>
      <c r="D92" s="6">
        <v>10.990322580645161</v>
      </c>
      <c r="E92" s="6">
        <v>14.779999999999998</v>
      </c>
      <c r="F92" s="6">
        <v>18.090322580645161</v>
      </c>
      <c r="G92" s="6"/>
      <c r="H92" s="6"/>
      <c r="I92" s="6"/>
      <c r="J92" s="6"/>
      <c r="K92" s="6"/>
      <c r="L92" s="6"/>
      <c r="M92" s="6"/>
      <c r="N92" s="5"/>
    </row>
  </sheetData>
  <mergeCells count="4">
    <mergeCell ref="A69:M69"/>
    <mergeCell ref="A2:N2"/>
    <mergeCell ref="A1:N1"/>
    <mergeCell ref="A36:M3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92"/>
  <sheetViews>
    <sheetView showGridLines="0" zoomScale="85" zoomScaleNormal="85" workbookViewId="0">
      <selection activeCell="P55" sqref="P55"/>
    </sheetView>
  </sheetViews>
  <sheetFormatPr baseColWidth="10" defaultRowHeight="13.2" x14ac:dyDescent="0.25"/>
  <cols>
    <col min="2" max="14" width="13.109375" customWidth="1"/>
    <col min="15" max="15" width="2.44140625" customWidth="1"/>
  </cols>
  <sheetData>
    <row r="1" spans="1:14" x14ac:dyDescent="0.25">
      <c r="A1" s="175" t="s">
        <v>28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7"/>
    </row>
    <row r="2" spans="1:14" x14ac:dyDescent="0.25">
      <c r="A2" s="174" t="s">
        <v>19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</row>
    <row r="3" spans="1:14" x14ac:dyDescent="0.25">
      <c r="A3" s="75" t="s">
        <v>29</v>
      </c>
      <c r="B3" s="75" t="s">
        <v>6</v>
      </c>
      <c r="C3" s="75" t="s">
        <v>7</v>
      </c>
      <c r="D3" s="75" t="s">
        <v>8</v>
      </c>
      <c r="E3" s="75" t="s">
        <v>9</v>
      </c>
      <c r="F3" s="75" t="s">
        <v>10</v>
      </c>
      <c r="G3" s="75" t="s">
        <v>11</v>
      </c>
      <c r="H3" s="75" t="s">
        <v>12</v>
      </c>
      <c r="I3" s="75" t="s">
        <v>13</v>
      </c>
      <c r="J3" s="75" t="s">
        <v>14</v>
      </c>
      <c r="K3" s="75" t="s">
        <v>15</v>
      </c>
      <c r="L3" s="75" t="s">
        <v>16</v>
      </c>
      <c r="M3" s="75" t="s">
        <v>17</v>
      </c>
      <c r="N3" s="75" t="s">
        <v>22</v>
      </c>
    </row>
    <row r="4" spans="1:14" hidden="1" x14ac:dyDescent="0.25">
      <c r="A4">
        <v>2004</v>
      </c>
      <c r="B4" s="2">
        <v>283635</v>
      </c>
      <c r="C4" s="2">
        <v>409262</v>
      </c>
      <c r="D4" s="2">
        <v>405332</v>
      </c>
      <c r="E4" s="2">
        <v>214139</v>
      </c>
      <c r="F4" s="2">
        <v>128275</v>
      </c>
      <c r="G4" s="2">
        <v>20403</v>
      </c>
      <c r="H4" s="2">
        <v>25473</v>
      </c>
      <c r="I4" s="2">
        <v>24241</v>
      </c>
      <c r="J4" s="2">
        <v>16439</v>
      </c>
      <c r="K4" s="2">
        <v>31264</v>
      </c>
      <c r="L4" s="2">
        <v>93599</v>
      </c>
      <c r="M4" s="2">
        <v>345484</v>
      </c>
      <c r="N4" s="2">
        <v>1997546</v>
      </c>
    </row>
    <row r="5" spans="1:14" hidden="1" x14ac:dyDescent="0.25">
      <c r="A5">
        <v>2005</v>
      </c>
      <c r="B5" s="2">
        <v>416864</v>
      </c>
      <c r="C5" s="2">
        <v>453671</v>
      </c>
      <c r="D5" s="2">
        <v>281525</v>
      </c>
      <c r="E5" s="2">
        <v>0</v>
      </c>
      <c r="F5" s="2">
        <v>185658</v>
      </c>
      <c r="G5" s="2">
        <v>16486</v>
      </c>
      <c r="H5" s="2">
        <v>17035</v>
      </c>
      <c r="I5" s="2">
        <v>17035</v>
      </c>
      <c r="J5" s="2">
        <v>20779</v>
      </c>
      <c r="K5" s="2">
        <v>23352</v>
      </c>
      <c r="L5" s="2">
        <v>181456</v>
      </c>
      <c r="M5" s="2">
        <v>494255</v>
      </c>
      <c r="N5" s="2">
        <v>2108116</v>
      </c>
    </row>
    <row r="6" spans="1:14" hidden="1" x14ac:dyDescent="0.25">
      <c r="A6">
        <v>2006</v>
      </c>
      <c r="B6" s="2">
        <v>489496</v>
      </c>
      <c r="C6" s="2">
        <v>553301</v>
      </c>
      <c r="D6" s="2">
        <v>312351</v>
      </c>
      <c r="E6" s="2">
        <v>27670</v>
      </c>
      <c r="F6" s="2">
        <v>28410</v>
      </c>
      <c r="G6" s="2">
        <v>24147</v>
      </c>
      <c r="H6" s="2">
        <v>15776</v>
      </c>
      <c r="I6" s="2">
        <v>18932</v>
      </c>
      <c r="J6" s="2">
        <v>17874</v>
      </c>
      <c r="K6" s="2">
        <v>29073</v>
      </c>
      <c r="L6" s="2">
        <v>212921</v>
      </c>
      <c r="M6" s="2">
        <v>394729</v>
      </c>
      <c r="N6" s="2">
        <v>2124680</v>
      </c>
    </row>
    <row r="7" spans="1:14" hidden="1" x14ac:dyDescent="0.25">
      <c r="A7">
        <v>2007</v>
      </c>
      <c r="B7" s="2">
        <v>509119</v>
      </c>
      <c r="C7" s="2">
        <v>444326</v>
      </c>
      <c r="D7" s="2">
        <v>372695</v>
      </c>
      <c r="E7" s="2">
        <v>250742</v>
      </c>
      <c r="F7" s="2">
        <v>51412</v>
      </c>
      <c r="G7" s="2">
        <v>32493</v>
      </c>
      <c r="H7" s="2">
        <v>27512</v>
      </c>
      <c r="I7" s="2">
        <v>21009</v>
      </c>
      <c r="J7" s="2">
        <v>26690</v>
      </c>
      <c r="K7" s="2">
        <v>35774</v>
      </c>
      <c r="L7" s="2">
        <v>232702</v>
      </c>
      <c r="M7" s="2">
        <v>322564</v>
      </c>
      <c r="N7" s="2">
        <v>2327038</v>
      </c>
    </row>
    <row r="8" spans="1:14" hidden="1" x14ac:dyDescent="0.25">
      <c r="A8">
        <v>2008</v>
      </c>
      <c r="B8" s="2">
        <v>654111</v>
      </c>
      <c r="C8" s="2">
        <v>358171</v>
      </c>
      <c r="D8" s="2">
        <v>302800</v>
      </c>
      <c r="E8" s="2">
        <v>70159</v>
      </c>
      <c r="F8" s="2">
        <v>39376</v>
      </c>
      <c r="G8" s="2">
        <v>37175</v>
      </c>
      <c r="H8" s="2">
        <v>29658</v>
      </c>
      <c r="I8" s="2">
        <v>21613</v>
      </c>
      <c r="J8" s="2">
        <v>35023</v>
      </c>
      <c r="K8" s="2">
        <v>48806</v>
      </c>
      <c r="L8" s="2">
        <v>383841</v>
      </c>
      <c r="M8" s="2">
        <v>434522</v>
      </c>
      <c r="N8" s="2">
        <v>2415255</v>
      </c>
    </row>
    <row r="9" spans="1:14" hidden="1" x14ac:dyDescent="0.25">
      <c r="A9">
        <v>2009</v>
      </c>
      <c r="B9" s="2">
        <v>645169</v>
      </c>
      <c r="C9" s="2">
        <v>468676</v>
      </c>
      <c r="D9" s="2">
        <v>412094</v>
      </c>
      <c r="E9" s="2">
        <v>248369</v>
      </c>
      <c r="F9" s="2">
        <v>35224</v>
      </c>
      <c r="G9" s="2">
        <v>39546</v>
      </c>
      <c r="H9" s="2">
        <v>27767</v>
      </c>
      <c r="I9" s="2">
        <v>27016</v>
      </c>
      <c r="J9" s="2">
        <v>41775</v>
      </c>
      <c r="K9" s="2">
        <v>50082</v>
      </c>
      <c r="L9" s="2">
        <v>224554</v>
      </c>
      <c r="M9" s="2">
        <v>453487</v>
      </c>
      <c r="N9" s="2">
        <v>2673759</v>
      </c>
    </row>
    <row r="10" spans="1:14" hidden="1" x14ac:dyDescent="0.25">
      <c r="A10">
        <v>2010</v>
      </c>
      <c r="B10" s="2">
        <v>457697</v>
      </c>
      <c r="C10" s="2">
        <v>475299</v>
      </c>
      <c r="D10" s="2">
        <v>441069</v>
      </c>
      <c r="E10" s="2">
        <v>195134</v>
      </c>
      <c r="F10" s="2">
        <v>41018</v>
      </c>
      <c r="G10" s="2">
        <v>43507</v>
      </c>
      <c r="H10" s="2">
        <v>32632</v>
      </c>
      <c r="I10" s="2">
        <v>28155</v>
      </c>
      <c r="J10" s="2">
        <v>35865</v>
      </c>
      <c r="K10" s="2">
        <v>121197</v>
      </c>
      <c r="L10" s="2">
        <v>425238</v>
      </c>
      <c r="M10" s="2">
        <v>342296</v>
      </c>
      <c r="N10" s="2">
        <v>2639107</v>
      </c>
    </row>
    <row r="11" spans="1:14" hidden="1" x14ac:dyDescent="0.25">
      <c r="A11">
        <v>2011</v>
      </c>
      <c r="B11" s="2">
        <v>569731</v>
      </c>
      <c r="C11" s="2">
        <v>401042</v>
      </c>
      <c r="D11" s="2">
        <v>342305</v>
      </c>
      <c r="E11" s="2">
        <v>135800</v>
      </c>
      <c r="F11" s="2">
        <v>36223</v>
      </c>
      <c r="G11" s="2">
        <v>43529</v>
      </c>
      <c r="H11" s="2">
        <v>28635</v>
      </c>
      <c r="I11" s="2">
        <v>36102</v>
      </c>
      <c r="J11" s="2">
        <v>33298</v>
      </c>
      <c r="K11" s="2">
        <v>41883</v>
      </c>
      <c r="L11" s="2">
        <v>287909</v>
      </c>
      <c r="M11" s="2">
        <v>412980</v>
      </c>
      <c r="N11" s="2">
        <v>2369437</v>
      </c>
    </row>
    <row r="12" spans="1:14" hidden="1" x14ac:dyDescent="0.25">
      <c r="A12">
        <v>2012</v>
      </c>
      <c r="B12" s="2">
        <v>483792</v>
      </c>
      <c r="C12" s="2">
        <v>552699</v>
      </c>
      <c r="D12" s="2">
        <v>347073</v>
      </c>
      <c r="E12" s="2">
        <v>151526</v>
      </c>
      <c r="F12" s="2">
        <v>91446</v>
      </c>
      <c r="G12" s="2">
        <v>31957</v>
      </c>
      <c r="H12" s="2">
        <v>25741</v>
      </c>
      <c r="I12" s="2">
        <v>27227</v>
      </c>
      <c r="J12" s="2">
        <v>27127</v>
      </c>
      <c r="K12" s="2">
        <v>29982</v>
      </c>
      <c r="L12" s="2">
        <v>320910</v>
      </c>
      <c r="M12" s="2">
        <v>289358</v>
      </c>
      <c r="N12" s="2">
        <v>2378838</v>
      </c>
    </row>
    <row r="13" spans="1:14" hidden="1" x14ac:dyDescent="0.25">
      <c r="A13">
        <v>2013</v>
      </c>
      <c r="B13" s="2">
        <v>602843</v>
      </c>
      <c r="C13" s="2">
        <v>319763</v>
      </c>
      <c r="D13" s="2">
        <v>423217</v>
      </c>
      <c r="E13" s="2">
        <v>221564</v>
      </c>
      <c r="F13" s="2">
        <v>43907</v>
      </c>
      <c r="G13" s="2">
        <v>41436</v>
      </c>
      <c r="H13" s="2">
        <v>37807</v>
      </c>
      <c r="I13" s="2">
        <v>28992</v>
      </c>
      <c r="J13" s="2">
        <v>33328</v>
      </c>
      <c r="K13" s="2">
        <v>41942</v>
      </c>
      <c r="L13" s="2">
        <v>207776</v>
      </c>
      <c r="M13" s="2">
        <v>476888</v>
      </c>
      <c r="N13" s="2">
        <v>2479463</v>
      </c>
    </row>
    <row r="14" spans="1:14" hidden="1" x14ac:dyDescent="0.25">
      <c r="A14">
        <v>2014</v>
      </c>
      <c r="B14" s="2">
        <v>508489</v>
      </c>
      <c r="C14" s="2">
        <v>444380</v>
      </c>
      <c r="D14" s="2">
        <v>371186</v>
      </c>
      <c r="E14" s="2">
        <v>196196</v>
      </c>
      <c r="F14" s="2">
        <v>56965</v>
      </c>
      <c r="G14" s="2">
        <v>47445</v>
      </c>
      <c r="H14" s="2">
        <v>46674</v>
      </c>
      <c r="I14" s="2">
        <v>35662</v>
      </c>
      <c r="J14" s="2">
        <v>38268</v>
      </c>
      <c r="K14" s="2">
        <v>51226</v>
      </c>
      <c r="L14" s="2">
        <v>218608</v>
      </c>
      <c r="M14" s="2">
        <v>372069</v>
      </c>
      <c r="N14" s="2">
        <v>2387168</v>
      </c>
    </row>
    <row r="15" spans="1:14" hidden="1" x14ac:dyDescent="0.25">
      <c r="A15">
        <v>2015</v>
      </c>
      <c r="B15" s="2">
        <v>631361</v>
      </c>
      <c r="C15" s="2">
        <v>372395</v>
      </c>
      <c r="D15" s="2">
        <v>302240</v>
      </c>
      <c r="E15" s="2">
        <v>256734</v>
      </c>
      <c r="F15" s="2">
        <v>58859</v>
      </c>
      <c r="G15" s="2">
        <v>24988</v>
      </c>
      <c r="H15" s="2">
        <v>29111</v>
      </c>
      <c r="I15" s="2">
        <v>22706</v>
      </c>
      <c r="J15" s="2">
        <v>26043</v>
      </c>
      <c r="K15" s="2">
        <v>56175</v>
      </c>
      <c r="L15" s="2">
        <v>272079</v>
      </c>
      <c r="M15" s="2">
        <v>303189</v>
      </c>
      <c r="N15" s="2">
        <v>2355880</v>
      </c>
    </row>
    <row r="16" spans="1:14" hidden="1" x14ac:dyDescent="0.25">
      <c r="A16">
        <v>2016</v>
      </c>
      <c r="B16" s="2">
        <v>426537</v>
      </c>
      <c r="C16" s="2">
        <v>342756</v>
      </c>
      <c r="D16" s="2">
        <v>398227</v>
      </c>
      <c r="E16" s="2">
        <v>188017</v>
      </c>
      <c r="F16" s="2">
        <v>45208</v>
      </c>
      <c r="G16" s="2">
        <v>42843</v>
      </c>
      <c r="H16" s="2">
        <v>31131</v>
      </c>
      <c r="I16" s="2">
        <v>37341</v>
      </c>
      <c r="J16" s="2">
        <v>37361</v>
      </c>
      <c r="K16" s="2">
        <v>38081</v>
      </c>
      <c r="L16" s="2">
        <v>218180</v>
      </c>
      <c r="M16" s="2">
        <v>247095</v>
      </c>
      <c r="N16" s="2">
        <v>2052777</v>
      </c>
    </row>
    <row r="17" spans="1:14" hidden="1" x14ac:dyDescent="0.25">
      <c r="A17">
        <v>2017</v>
      </c>
      <c r="B17" s="2">
        <v>512002</v>
      </c>
      <c r="C17" s="2">
        <v>358838</v>
      </c>
      <c r="D17" s="2">
        <v>299918</v>
      </c>
      <c r="E17" s="2">
        <v>288352</v>
      </c>
      <c r="F17" s="2">
        <v>180730</v>
      </c>
      <c r="G17" s="2">
        <v>51471</v>
      </c>
      <c r="H17" s="2">
        <v>39798</v>
      </c>
      <c r="I17" s="2">
        <v>52803</v>
      </c>
      <c r="J17" s="2">
        <v>33006</v>
      </c>
      <c r="K17" s="2">
        <v>36104</v>
      </c>
      <c r="L17" s="2">
        <v>330652</v>
      </c>
      <c r="M17" s="2">
        <v>506843</v>
      </c>
      <c r="N17" s="2">
        <v>2690517</v>
      </c>
    </row>
    <row r="18" spans="1:14" hidden="1" x14ac:dyDescent="0.25">
      <c r="A18">
        <v>2018</v>
      </c>
      <c r="B18" s="2">
        <v>419471</v>
      </c>
      <c r="C18" s="2">
        <v>349822</v>
      </c>
      <c r="D18" s="2">
        <v>318549</v>
      </c>
      <c r="E18" s="2">
        <v>219055</v>
      </c>
      <c r="F18" s="2">
        <v>165503</v>
      </c>
      <c r="G18" s="2">
        <v>115932</v>
      </c>
      <c r="H18" s="2">
        <v>95131</v>
      </c>
      <c r="I18" s="2">
        <v>95021</v>
      </c>
      <c r="J18" s="2">
        <v>102117</v>
      </c>
      <c r="K18" s="2">
        <v>194744</v>
      </c>
      <c r="L18" s="2">
        <v>352260</v>
      </c>
      <c r="M18" s="2">
        <v>412257</v>
      </c>
      <c r="N18" s="2">
        <v>2839862</v>
      </c>
    </row>
    <row r="19" spans="1:14" hidden="1" x14ac:dyDescent="0.25">
      <c r="A19">
        <v>2019</v>
      </c>
      <c r="B19" s="2">
        <v>563473</v>
      </c>
      <c r="C19" s="2">
        <v>403545</v>
      </c>
      <c r="D19" s="2">
        <v>288300</v>
      </c>
      <c r="E19" s="2">
        <v>268069</v>
      </c>
      <c r="F19" s="2">
        <v>95327</v>
      </c>
      <c r="G19" s="2">
        <v>40615</v>
      </c>
      <c r="H19" s="2">
        <v>31351</v>
      </c>
      <c r="I19" s="2">
        <v>30526</v>
      </c>
      <c r="J19" s="2">
        <v>35250</v>
      </c>
      <c r="K19" s="2">
        <v>68253</v>
      </c>
      <c r="L19" s="2">
        <v>342308</v>
      </c>
      <c r="M19" s="2">
        <v>369829</v>
      </c>
      <c r="N19" s="2">
        <v>2536846</v>
      </c>
    </row>
    <row r="20" spans="1:14" hidden="1" x14ac:dyDescent="0.25">
      <c r="A20">
        <v>2020</v>
      </c>
      <c r="B20" s="2">
        <v>489452</v>
      </c>
      <c r="C20" s="2">
        <v>332736</v>
      </c>
      <c r="D20" s="2">
        <v>376408</v>
      </c>
      <c r="E20" s="2">
        <v>274278</v>
      </c>
      <c r="F20" s="2">
        <v>159840</v>
      </c>
      <c r="G20" s="2">
        <v>140507</v>
      </c>
      <c r="H20" s="2">
        <v>104372</v>
      </c>
      <c r="I20" s="2">
        <v>90924</v>
      </c>
      <c r="J20" s="2">
        <v>101135</v>
      </c>
      <c r="K20" s="2">
        <v>154651</v>
      </c>
      <c r="L20" s="2">
        <v>281691</v>
      </c>
      <c r="M20" s="2">
        <v>459529</v>
      </c>
      <c r="N20" s="2">
        <v>2965523</v>
      </c>
    </row>
    <row r="21" spans="1:14" hidden="1" x14ac:dyDescent="0.25">
      <c r="A21">
        <v>2021</v>
      </c>
      <c r="B21" s="2">
        <v>514822</v>
      </c>
      <c r="C21" s="2">
        <v>354164</v>
      </c>
      <c r="D21" s="2">
        <v>427754</v>
      </c>
      <c r="E21" s="2">
        <v>364696</v>
      </c>
      <c r="F21" s="2">
        <v>153700</v>
      </c>
      <c r="G21" s="2">
        <v>108253</v>
      </c>
      <c r="H21" s="2">
        <v>107335</v>
      </c>
      <c r="I21" s="2">
        <v>120336</v>
      </c>
      <c r="J21" s="2">
        <v>125100</v>
      </c>
      <c r="K21" s="2">
        <v>239723</v>
      </c>
      <c r="L21" s="2">
        <v>461306</v>
      </c>
      <c r="M21" s="2">
        <v>550562</v>
      </c>
      <c r="N21" s="2">
        <v>3527751</v>
      </c>
    </row>
    <row r="22" spans="1:14" x14ac:dyDescent="0.25">
      <c r="A22">
        <v>2022</v>
      </c>
      <c r="B22" s="2">
        <v>535591</v>
      </c>
      <c r="C22" s="2">
        <v>441342</v>
      </c>
      <c r="D22" s="2">
        <v>437285</v>
      </c>
      <c r="E22" s="2">
        <v>420199</v>
      </c>
      <c r="F22" s="2">
        <v>292740</v>
      </c>
      <c r="G22" s="2">
        <v>254921</v>
      </c>
      <c r="H22" s="2">
        <v>53449</v>
      </c>
      <c r="I22" s="2">
        <v>30853</v>
      </c>
      <c r="J22" s="2">
        <v>36707</v>
      </c>
      <c r="K22" s="2">
        <v>42796</v>
      </c>
      <c r="L22" s="2">
        <v>209420</v>
      </c>
      <c r="M22" s="2">
        <v>466817</v>
      </c>
      <c r="N22" s="2">
        <v>3222120</v>
      </c>
    </row>
    <row r="23" spans="1:14" x14ac:dyDescent="0.25">
      <c r="A23">
        <v>2023</v>
      </c>
      <c r="B23" s="2">
        <v>489778</v>
      </c>
      <c r="C23" s="2">
        <v>514188</v>
      </c>
      <c r="D23" s="2">
        <v>384622</v>
      </c>
      <c r="E23" s="2">
        <v>285199</v>
      </c>
      <c r="F23" s="2">
        <v>78143</v>
      </c>
      <c r="G23" s="2">
        <v>12448</v>
      </c>
      <c r="H23" s="2">
        <v>10038</v>
      </c>
      <c r="I23" s="2">
        <v>9549</v>
      </c>
      <c r="J23" s="2">
        <v>10185</v>
      </c>
      <c r="K23" s="2">
        <v>11564</v>
      </c>
      <c r="L23" s="2">
        <v>292448</v>
      </c>
      <c r="M23" s="2">
        <v>453623</v>
      </c>
      <c r="N23" s="2">
        <v>2551785</v>
      </c>
    </row>
    <row r="24" spans="1:14" x14ac:dyDescent="0.25">
      <c r="A24">
        <v>2024</v>
      </c>
      <c r="B24" s="2">
        <v>508373</v>
      </c>
      <c r="C24" s="2">
        <v>399085</v>
      </c>
      <c r="D24" s="2">
        <v>380899</v>
      </c>
      <c r="E24" s="2">
        <v>309590</v>
      </c>
      <c r="F24" s="2">
        <v>251138</v>
      </c>
      <c r="G24" s="2">
        <v>138431</v>
      </c>
      <c r="H24" s="2">
        <v>6916</v>
      </c>
      <c r="I24" s="2">
        <v>6186</v>
      </c>
      <c r="J24" s="2">
        <v>7384</v>
      </c>
      <c r="K24" s="2">
        <v>7430</v>
      </c>
      <c r="L24" s="2">
        <v>201534</v>
      </c>
      <c r="M24" s="2">
        <v>332061</v>
      </c>
      <c r="N24" s="2">
        <v>2549027</v>
      </c>
    </row>
    <row r="25" spans="1:14" x14ac:dyDescent="0.25">
      <c r="A25">
        <v>2025</v>
      </c>
      <c r="B25" s="2">
        <v>419716</v>
      </c>
      <c r="C25" s="2">
        <v>308634</v>
      </c>
      <c r="D25" s="2">
        <v>322653</v>
      </c>
      <c r="E25" s="2">
        <v>240212</v>
      </c>
      <c r="F25" s="2">
        <v>182001</v>
      </c>
      <c r="G25" s="2"/>
      <c r="H25" s="2"/>
      <c r="I25" s="2"/>
      <c r="J25" s="2"/>
      <c r="K25" s="2"/>
      <c r="L25" s="2"/>
      <c r="M25" s="2"/>
      <c r="N25" s="2">
        <v>1473216</v>
      </c>
    </row>
    <row r="36" spans="1:13" ht="12.75" hidden="1" customHeight="1" x14ac:dyDescent="0.25">
      <c r="A36" s="179" t="s">
        <v>20</v>
      </c>
      <c r="B36" s="172"/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3"/>
    </row>
    <row r="37" spans="1:13" ht="12.75" hidden="1" customHeight="1" x14ac:dyDescent="0.25">
      <c r="A37" s="75" t="s">
        <v>24</v>
      </c>
      <c r="B37" s="75" t="s">
        <v>6</v>
      </c>
      <c r="C37" s="75" t="s">
        <v>7</v>
      </c>
      <c r="D37" s="75" t="s">
        <v>8</v>
      </c>
      <c r="E37" s="75" t="s">
        <v>9</v>
      </c>
      <c r="F37" s="75" t="s">
        <v>10</v>
      </c>
      <c r="G37" s="75" t="s">
        <v>11</v>
      </c>
      <c r="H37" s="75" t="s">
        <v>12</v>
      </c>
      <c r="I37" s="75" t="s">
        <v>13</v>
      </c>
      <c r="J37" s="75" t="s">
        <v>14</v>
      </c>
      <c r="K37" s="75" t="s">
        <v>15</v>
      </c>
      <c r="L37" s="75" t="s">
        <v>16</v>
      </c>
      <c r="M37" s="75" t="s">
        <v>17</v>
      </c>
    </row>
    <row r="38" spans="1:13" hidden="1" x14ac:dyDescent="0.25">
      <c r="A38">
        <v>2005</v>
      </c>
      <c r="B38" s="2">
        <v>2130775</v>
      </c>
      <c r="C38" s="2">
        <v>2175184</v>
      </c>
      <c r="D38" s="2">
        <v>2051377</v>
      </c>
      <c r="E38" s="2">
        <v>1837238</v>
      </c>
      <c r="F38" s="2">
        <v>1894621</v>
      </c>
      <c r="G38" s="2">
        <v>1890704</v>
      </c>
      <c r="H38" s="2">
        <v>1882266</v>
      </c>
      <c r="I38" s="2">
        <v>1875060</v>
      </c>
      <c r="J38" s="2">
        <v>1879400</v>
      </c>
      <c r="K38" s="2">
        <v>1871488</v>
      </c>
      <c r="L38" s="2">
        <v>1959345</v>
      </c>
      <c r="M38" s="2">
        <v>2108116</v>
      </c>
    </row>
    <row r="39" spans="1:13" hidden="1" x14ac:dyDescent="0.25">
      <c r="A39">
        <v>2006</v>
      </c>
      <c r="B39" s="2">
        <v>2180748</v>
      </c>
      <c r="C39" s="2">
        <v>2280378</v>
      </c>
      <c r="D39" s="2">
        <v>2311204</v>
      </c>
      <c r="E39" s="2">
        <v>2338874</v>
      </c>
      <c r="F39" s="2">
        <v>2181626</v>
      </c>
      <c r="G39" s="2">
        <v>2189287</v>
      </c>
      <c r="H39" s="2">
        <v>2188028</v>
      </c>
      <c r="I39" s="2">
        <v>2189925</v>
      </c>
      <c r="J39" s="2">
        <v>2187020</v>
      </c>
      <c r="K39" s="2">
        <v>2192741</v>
      </c>
      <c r="L39" s="2">
        <v>2224206</v>
      </c>
      <c r="M39" s="2">
        <v>2124680</v>
      </c>
    </row>
    <row r="40" spans="1:13" hidden="1" x14ac:dyDescent="0.25">
      <c r="A40">
        <v>2007</v>
      </c>
      <c r="B40" s="2">
        <v>2144303</v>
      </c>
      <c r="C40" s="2">
        <v>2035328</v>
      </c>
      <c r="D40" s="2">
        <v>2095672</v>
      </c>
      <c r="E40" s="2">
        <v>2318744</v>
      </c>
      <c r="F40" s="2">
        <v>2341746</v>
      </c>
      <c r="G40" s="2">
        <v>2350092</v>
      </c>
      <c r="H40" s="2">
        <v>2361828</v>
      </c>
      <c r="I40" s="2">
        <v>2363905</v>
      </c>
      <c r="J40" s="2">
        <v>2372721</v>
      </c>
      <c r="K40" s="2">
        <v>2379422</v>
      </c>
      <c r="L40" s="2">
        <v>2399203</v>
      </c>
      <c r="M40" s="2">
        <v>2327038</v>
      </c>
    </row>
    <row r="41" spans="1:13" hidden="1" x14ac:dyDescent="0.25">
      <c r="A41">
        <v>2008</v>
      </c>
      <c r="B41" s="2">
        <v>2472030</v>
      </c>
      <c r="C41" s="2">
        <v>2385875</v>
      </c>
      <c r="D41" s="2">
        <v>2315980</v>
      </c>
      <c r="E41" s="2">
        <v>2135397</v>
      </c>
      <c r="F41" s="2">
        <v>2123361</v>
      </c>
      <c r="G41" s="2">
        <v>2128043</v>
      </c>
      <c r="H41" s="2">
        <v>2130189</v>
      </c>
      <c r="I41" s="2">
        <v>2130793</v>
      </c>
      <c r="J41" s="2">
        <v>2139126</v>
      </c>
      <c r="K41" s="2">
        <v>2152158</v>
      </c>
      <c r="L41" s="2">
        <v>2303297</v>
      </c>
      <c r="M41" s="2">
        <v>2415255</v>
      </c>
    </row>
    <row r="42" spans="1:13" hidden="1" x14ac:dyDescent="0.25">
      <c r="A42">
        <v>2009</v>
      </c>
      <c r="B42" s="2">
        <v>2406313</v>
      </c>
      <c r="C42" s="2">
        <v>2516818</v>
      </c>
      <c r="D42" s="2">
        <v>2626112</v>
      </c>
      <c r="E42" s="2">
        <v>2804322</v>
      </c>
      <c r="F42" s="2">
        <v>2800170</v>
      </c>
      <c r="G42" s="2">
        <v>2802541</v>
      </c>
      <c r="H42" s="2">
        <v>2800650</v>
      </c>
      <c r="I42" s="2">
        <v>2806053</v>
      </c>
      <c r="J42" s="2">
        <v>2812805</v>
      </c>
      <c r="K42" s="2">
        <v>2814081</v>
      </c>
      <c r="L42" s="2">
        <v>2654794</v>
      </c>
      <c r="M42" s="2">
        <v>2673759</v>
      </c>
    </row>
    <row r="43" spans="1:13" hidden="1" x14ac:dyDescent="0.25">
      <c r="A43">
        <v>2010</v>
      </c>
      <c r="B43" s="2">
        <v>2486287</v>
      </c>
      <c r="C43" s="2">
        <v>2492910</v>
      </c>
      <c r="D43" s="2">
        <v>2521885</v>
      </c>
      <c r="E43" s="2">
        <v>2468650</v>
      </c>
      <c r="F43" s="2">
        <v>2474444</v>
      </c>
      <c r="G43" s="2">
        <v>2478405</v>
      </c>
      <c r="H43" s="2">
        <v>2483270</v>
      </c>
      <c r="I43" s="2">
        <v>2484409</v>
      </c>
      <c r="J43" s="2">
        <v>2478499</v>
      </c>
      <c r="K43" s="2">
        <v>2549614</v>
      </c>
      <c r="L43" s="2">
        <v>2750298</v>
      </c>
      <c r="M43" s="2">
        <v>2639107</v>
      </c>
    </row>
    <row r="44" spans="1:13" hidden="1" x14ac:dyDescent="0.25">
      <c r="A44">
        <v>2011</v>
      </c>
      <c r="B44" s="2">
        <v>2751141</v>
      </c>
      <c r="C44" s="2">
        <v>2676884</v>
      </c>
      <c r="D44" s="2">
        <v>2578120</v>
      </c>
      <c r="E44" s="2">
        <v>2518786</v>
      </c>
      <c r="F44" s="2">
        <v>2513991</v>
      </c>
      <c r="G44" s="2">
        <v>2514013</v>
      </c>
      <c r="H44" s="2">
        <v>2510016</v>
      </c>
      <c r="I44" s="2">
        <v>2517963</v>
      </c>
      <c r="J44" s="2">
        <v>2515396</v>
      </c>
      <c r="K44" s="2">
        <v>2436082</v>
      </c>
      <c r="L44" s="2">
        <v>2298753</v>
      </c>
      <c r="M44" s="2">
        <v>2369437</v>
      </c>
    </row>
    <row r="45" spans="1:13" hidden="1" x14ac:dyDescent="0.25">
      <c r="A45">
        <v>2012</v>
      </c>
      <c r="B45" s="2">
        <v>2283498</v>
      </c>
      <c r="C45" s="2">
        <v>2435155</v>
      </c>
      <c r="D45" s="2">
        <v>2439923</v>
      </c>
      <c r="E45" s="2">
        <v>2455649</v>
      </c>
      <c r="F45" s="2">
        <v>2510872</v>
      </c>
      <c r="G45" s="2">
        <v>2499300</v>
      </c>
      <c r="H45" s="2">
        <v>2496406</v>
      </c>
      <c r="I45" s="2">
        <v>2487531</v>
      </c>
      <c r="J45" s="2">
        <v>2481360</v>
      </c>
      <c r="K45" s="2">
        <v>2469459</v>
      </c>
      <c r="L45" s="2">
        <v>2502460</v>
      </c>
      <c r="M45" s="2">
        <v>2378838</v>
      </c>
    </row>
    <row r="46" spans="1:13" hidden="1" x14ac:dyDescent="0.25">
      <c r="A46">
        <v>2013</v>
      </c>
      <c r="B46" s="2">
        <v>2497889</v>
      </c>
      <c r="C46" s="2">
        <v>2264953</v>
      </c>
      <c r="D46" s="2">
        <v>2341097</v>
      </c>
      <c r="E46" s="2">
        <v>2411135</v>
      </c>
      <c r="F46" s="2">
        <v>2363596</v>
      </c>
      <c r="G46" s="2">
        <v>2373075</v>
      </c>
      <c r="H46" s="2">
        <v>2385141</v>
      </c>
      <c r="I46" s="2">
        <v>2386906</v>
      </c>
      <c r="J46" s="2">
        <v>2393107</v>
      </c>
      <c r="K46" s="2">
        <v>2405067</v>
      </c>
      <c r="L46" s="2">
        <v>2291933</v>
      </c>
      <c r="M46" s="2">
        <v>2479463</v>
      </c>
    </row>
    <row r="47" spans="1:13" hidden="1" x14ac:dyDescent="0.25">
      <c r="A47">
        <v>2014</v>
      </c>
      <c r="B47" s="2">
        <v>2385109</v>
      </c>
      <c r="C47" s="2">
        <v>2509726</v>
      </c>
      <c r="D47" s="2">
        <v>2457695</v>
      </c>
      <c r="E47" s="2">
        <v>2432327</v>
      </c>
      <c r="F47" s="2">
        <v>2445385</v>
      </c>
      <c r="G47" s="2">
        <v>2451394</v>
      </c>
      <c r="H47" s="2">
        <v>2460261</v>
      </c>
      <c r="I47" s="2">
        <v>2466931</v>
      </c>
      <c r="J47" s="2">
        <v>2471871</v>
      </c>
      <c r="K47" s="2">
        <v>2481155</v>
      </c>
      <c r="L47" s="2">
        <v>2491987</v>
      </c>
      <c r="M47" s="2">
        <v>2387168</v>
      </c>
    </row>
    <row r="48" spans="1:13" hidden="1" x14ac:dyDescent="0.25">
      <c r="A48">
        <v>2015</v>
      </c>
      <c r="B48" s="2">
        <v>2510040</v>
      </c>
      <c r="C48" s="2">
        <v>2438055</v>
      </c>
      <c r="D48" s="2">
        <v>2369109</v>
      </c>
      <c r="E48" s="2">
        <v>2429647</v>
      </c>
      <c r="F48" s="2">
        <v>2431541</v>
      </c>
      <c r="G48" s="2">
        <v>2409084</v>
      </c>
      <c r="H48" s="2">
        <v>2391521</v>
      </c>
      <c r="I48" s="2">
        <v>2378565</v>
      </c>
      <c r="J48" s="2">
        <v>2366340</v>
      </c>
      <c r="K48" s="2">
        <v>2371289</v>
      </c>
      <c r="L48" s="2">
        <v>2424760</v>
      </c>
      <c r="M48" s="2">
        <v>2355880</v>
      </c>
    </row>
    <row r="49" spans="1:13" hidden="1" x14ac:dyDescent="0.25">
      <c r="A49">
        <v>2016</v>
      </c>
      <c r="B49" s="2">
        <v>2151056</v>
      </c>
      <c r="C49" s="2">
        <v>2121417</v>
      </c>
      <c r="D49" s="2">
        <v>2217404</v>
      </c>
      <c r="E49" s="2">
        <v>2148687</v>
      </c>
      <c r="F49" s="2">
        <v>2135036</v>
      </c>
      <c r="G49" s="2">
        <v>2152891</v>
      </c>
      <c r="H49" s="2">
        <v>2154911</v>
      </c>
      <c r="I49" s="2">
        <v>2169546</v>
      </c>
      <c r="J49" s="2">
        <v>2180864</v>
      </c>
      <c r="K49" s="2">
        <v>2162770</v>
      </c>
      <c r="L49" s="2">
        <v>2108871</v>
      </c>
      <c r="M49" s="2">
        <v>2052777</v>
      </c>
    </row>
    <row r="50" spans="1:13" hidden="1" x14ac:dyDescent="0.25">
      <c r="A50">
        <v>2017</v>
      </c>
      <c r="B50" s="2">
        <v>2138242</v>
      </c>
      <c r="C50" s="2">
        <v>2154324</v>
      </c>
      <c r="D50" s="2">
        <v>2056015</v>
      </c>
      <c r="E50" s="2">
        <v>2156350</v>
      </c>
      <c r="F50" s="2">
        <v>2291872</v>
      </c>
      <c r="G50" s="2">
        <v>2300500</v>
      </c>
      <c r="H50" s="2">
        <v>2309167</v>
      </c>
      <c r="I50" s="2">
        <v>2324629</v>
      </c>
      <c r="J50" s="2">
        <v>2320274</v>
      </c>
      <c r="K50" s="2">
        <v>2318297</v>
      </c>
      <c r="L50" s="2">
        <v>2430769</v>
      </c>
      <c r="M50" s="2">
        <v>2690517</v>
      </c>
    </row>
    <row r="51" spans="1:13" hidden="1" x14ac:dyDescent="0.25">
      <c r="A51">
        <v>2018</v>
      </c>
      <c r="B51" s="2">
        <v>2597986</v>
      </c>
      <c r="C51" s="2">
        <v>2588970</v>
      </c>
      <c r="D51" s="2">
        <v>2607601</v>
      </c>
      <c r="E51" s="2">
        <v>2538304</v>
      </c>
      <c r="F51" s="2">
        <v>2523077</v>
      </c>
      <c r="G51" s="2">
        <v>2587538</v>
      </c>
      <c r="H51" s="2">
        <v>2642871</v>
      </c>
      <c r="I51" s="2">
        <v>2685089</v>
      </c>
      <c r="J51" s="2">
        <v>2754200</v>
      </c>
      <c r="K51" s="2">
        <v>2912840</v>
      </c>
      <c r="L51" s="2">
        <v>2934448</v>
      </c>
      <c r="M51" s="2">
        <v>2839862</v>
      </c>
    </row>
    <row r="52" spans="1:13" hidden="1" x14ac:dyDescent="0.25">
      <c r="A52">
        <v>2019</v>
      </c>
      <c r="B52" s="2">
        <v>2983864</v>
      </c>
      <c r="C52" s="2">
        <v>3037587</v>
      </c>
      <c r="D52" s="2">
        <v>3007338</v>
      </c>
      <c r="E52" s="2">
        <v>3056352</v>
      </c>
      <c r="F52" s="2">
        <v>2986176</v>
      </c>
      <c r="G52" s="2">
        <v>2910859</v>
      </c>
      <c r="H52" s="2">
        <v>2847079</v>
      </c>
      <c r="I52" s="2">
        <v>2782584</v>
      </c>
      <c r="J52" s="2">
        <v>2715717</v>
      </c>
      <c r="K52" s="2">
        <v>2589226</v>
      </c>
      <c r="L52" s="2">
        <v>2579274</v>
      </c>
      <c r="M52" s="2">
        <v>2536846</v>
      </c>
    </row>
    <row r="53" spans="1:13" hidden="1" x14ac:dyDescent="0.25">
      <c r="A53">
        <v>2020</v>
      </c>
      <c r="B53" s="2">
        <v>2462825</v>
      </c>
      <c r="C53" s="2">
        <v>2392016</v>
      </c>
      <c r="D53" s="2">
        <v>2480124</v>
      </c>
      <c r="E53" s="2">
        <v>2486333</v>
      </c>
      <c r="F53" s="2">
        <v>2550846</v>
      </c>
      <c r="G53" s="2">
        <v>2650738</v>
      </c>
      <c r="H53" s="2">
        <v>2723759</v>
      </c>
      <c r="I53" s="2">
        <v>2784157</v>
      </c>
      <c r="J53" s="2">
        <v>2850042</v>
      </c>
      <c r="K53" s="2">
        <v>2936440</v>
      </c>
      <c r="L53" s="2">
        <v>2875823</v>
      </c>
      <c r="M53" s="2">
        <v>2965523</v>
      </c>
    </row>
    <row r="54" spans="1:13" hidden="1" x14ac:dyDescent="0.25">
      <c r="A54">
        <v>2021</v>
      </c>
      <c r="B54" s="2">
        <v>2990893</v>
      </c>
      <c r="C54" s="2">
        <v>3012321</v>
      </c>
      <c r="D54" s="2">
        <v>3063667</v>
      </c>
      <c r="E54" s="2">
        <v>3154085</v>
      </c>
      <c r="F54" s="2">
        <v>3147945</v>
      </c>
      <c r="G54" s="2">
        <v>3115691</v>
      </c>
      <c r="H54" s="2">
        <v>3118654</v>
      </c>
      <c r="I54" s="2">
        <v>3148066</v>
      </c>
      <c r="J54" s="2">
        <v>3172031</v>
      </c>
      <c r="K54" s="2">
        <v>3257103</v>
      </c>
      <c r="L54" s="2">
        <v>3436718</v>
      </c>
      <c r="M54" s="2">
        <v>3527751</v>
      </c>
    </row>
    <row r="55" spans="1:13" x14ac:dyDescent="0.25">
      <c r="A55">
        <v>2022</v>
      </c>
      <c r="B55" s="2">
        <v>3548520</v>
      </c>
      <c r="C55" s="2">
        <v>3635698</v>
      </c>
      <c r="D55" s="2">
        <v>3645229</v>
      </c>
      <c r="E55" s="2">
        <v>3700732</v>
      </c>
      <c r="F55" s="2">
        <v>3839772</v>
      </c>
      <c r="G55" s="2">
        <v>3986440</v>
      </c>
      <c r="H55" s="2">
        <v>3932554</v>
      </c>
      <c r="I55" s="2">
        <v>3843071</v>
      </c>
      <c r="J55" s="2">
        <v>3754678</v>
      </c>
      <c r="K55" s="2">
        <v>3557751</v>
      </c>
      <c r="L55" s="2">
        <v>3305865</v>
      </c>
      <c r="M55" s="2">
        <v>3222120</v>
      </c>
    </row>
    <row r="56" spans="1:13" x14ac:dyDescent="0.25">
      <c r="A56">
        <v>2023</v>
      </c>
      <c r="B56" s="2">
        <v>3176307</v>
      </c>
      <c r="C56" s="2">
        <v>3249153</v>
      </c>
      <c r="D56" s="2">
        <v>3196490</v>
      </c>
      <c r="E56" s="2">
        <v>3061490</v>
      </c>
      <c r="F56" s="2">
        <v>2846893</v>
      </c>
      <c r="G56" s="2">
        <v>2604420</v>
      </c>
      <c r="H56" s="2">
        <v>2561009</v>
      </c>
      <c r="I56" s="2">
        <v>2539705</v>
      </c>
      <c r="J56" s="2">
        <v>2513183</v>
      </c>
      <c r="K56" s="2">
        <v>2481951</v>
      </c>
      <c r="L56" s="2">
        <v>2564979</v>
      </c>
      <c r="M56" s="2">
        <v>2551785</v>
      </c>
    </row>
    <row r="57" spans="1:13" x14ac:dyDescent="0.25">
      <c r="A57">
        <v>2024</v>
      </c>
      <c r="B57" s="2">
        <v>2570380</v>
      </c>
      <c r="C57" s="2">
        <v>2455277</v>
      </c>
      <c r="D57" s="2">
        <v>2451554</v>
      </c>
      <c r="E57" s="2">
        <v>2475945</v>
      </c>
      <c r="F57" s="2">
        <v>2648940</v>
      </c>
      <c r="G57" s="2">
        <v>2774923</v>
      </c>
      <c r="H57" s="2">
        <v>2771801</v>
      </c>
      <c r="I57" s="2">
        <v>2768438</v>
      </c>
      <c r="J57" s="2">
        <v>2765637</v>
      </c>
      <c r="K57" s="2">
        <v>2761503</v>
      </c>
      <c r="L57" s="2">
        <v>2670589</v>
      </c>
      <c r="M57" s="2">
        <v>2549027</v>
      </c>
    </row>
    <row r="58" spans="1:13" x14ac:dyDescent="0.25">
      <c r="A58">
        <v>2025</v>
      </c>
      <c r="B58" s="2">
        <v>2460370</v>
      </c>
      <c r="C58" s="2">
        <v>2369919</v>
      </c>
      <c r="D58" s="2">
        <v>2311673</v>
      </c>
      <c r="E58" s="2">
        <v>2242295</v>
      </c>
      <c r="F58" s="2">
        <v>2173158</v>
      </c>
      <c r="G58" s="2"/>
      <c r="H58" s="2"/>
      <c r="I58" s="2"/>
      <c r="J58" s="2"/>
      <c r="K58" s="2"/>
      <c r="L58" s="2"/>
      <c r="M58" s="2"/>
    </row>
    <row r="67" spans="1:14" ht="12.75" hidden="1" customHeight="1" x14ac:dyDescent="0.25"/>
    <row r="68" spans="1:14" ht="12.75" hidden="1" customHeight="1" x14ac:dyDescent="0.25"/>
    <row r="69" spans="1:14" ht="12.75" hidden="1" customHeight="1" x14ac:dyDescent="0.25">
      <c r="A69" s="171" t="s">
        <v>78</v>
      </c>
      <c r="B69" s="172"/>
      <c r="C69" s="172"/>
      <c r="D69" s="172"/>
      <c r="E69" s="172"/>
      <c r="F69" s="172"/>
      <c r="G69" s="172"/>
      <c r="H69" s="172"/>
      <c r="I69" s="172"/>
      <c r="J69" s="172"/>
      <c r="K69" s="172"/>
      <c r="L69" s="172"/>
      <c r="M69" s="173"/>
    </row>
    <row r="70" spans="1:14" ht="12.75" hidden="1" customHeight="1" x14ac:dyDescent="0.25">
      <c r="A70" s="75"/>
      <c r="B70" s="75" t="s">
        <v>6</v>
      </c>
      <c r="C70" s="75" t="s">
        <v>7</v>
      </c>
      <c r="D70" s="75" t="s">
        <v>8</v>
      </c>
      <c r="E70" s="75" t="s">
        <v>9</v>
      </c>
      <c r="F70" s="75" t="s">
        <v>10</v>
      </c>
      <c r="G70" s="75" t="s">
        <v>11</v>
      </c>
      <c r="H70" s="75" t="s">
        <v>12</v>
      </c>
      <c r="I70" s="75" t="s">
        <v>13</v>
      </c>
      <c r="J70" s="75" t="s">
        <v>14</v>
      </c>
      <c r="K70" s="75" t="s">
        <v>15</v>
      </c>
      <c r="L70" s="75" t="s">
        <v>16</v>
      </c>
      <c r="M70" s="75" t="s">
        <v>17</v>
      </c>
      <c r="N70" s="9" t="s">
        <v>26</v>
      </c>
    </row>
    <row r="71" spans="1:14" hidden="1" x14ac:dyDescent="0.25">
      <c r="A71" s="75">
        <v>2004</v>
      </c>
      <c r="B71" s="6">
        <v>8.9709677419354836</v>
      </c>
      <c r="C71" s="6">
        <v>7.8964285714285714</v>
      </c>
      <c r="D71" s="6">
        <v>9.5709677419354833</v>
      </c>
      <c r="E71" s="6">
        <v>12.296666666666665</v>
      </c>
      <c r="F71" s="6">
        <v>15.493548387096773</v>
      </c>
      <c r="G71" s="6">
        <v>21.57</v>
      </c>
      <c r="H71" s="6">
        <v>22.696774193548389</v>
      </c>
      <c r="I71" s="6">
        <v>23.967741935483868</v>
      </c>
      <c r="J71" s="6">
        <v>20.953333333333333</v>
      </c>
      <c r="K71" s="6">
        <v>17.741935483870968</v>
      </c>
      <c r="L71" s="6">
        <v>10.443333333333332</v>
      </c>
      <c r="M71" s="6">
        <v>8.9161290322580626</v>
      </c>
      <c r="N71" s="5">
        <v>15.043152201740911</v>
      </c>
    </row>
    <row r="72" spans="1:14" hidden="1" x14ac:dyDescent="0.25">
      <c r="A72" s="75">
        <v>2005</v>
      </c>
      <c r="B72" s="6">
        <v>6.1870967741935479</v>
      </c>
      <c r="C72" s="6">
        <v>5.9571428571428564</v>
      </c>
      <c r="D72" s="6">
        <v>9.6354838709677431</v>
      </c>
      <c r="E72" s="6">
        <v>13.42</v>
      </c>
      <c r="F72" s="6">
        <v>18.045161290322579</v>
      </c>
      <c r="G72" s="6">
        <v>23.006666666666668</v>
      </c>
      <c r="H72" s="6">
        <v>24.022580645161288</v>
      </c>
      <c r="I72" s="6">
        <v>21.99677419354839</v>
      </c>
      <c r="J72" s="6">
        <v>19.736666666666668</v>
      </c>
      <c r="K72" s="6">
        <v>16.948387096774198</v>
      </c>
      <c r="L72" s="6">
        <v>10.956666666666665</v>
      </c>
      <c r="M72" s="6">
        <v>5.9258064516129041</v>
      </c>
      <c r="N72" s="5">
        <v>14.65320276497696</v>
      </c>
    </row>
    <row r="73" spans="1:14" hidden="1" x14ac:dyDescent="0.25">
      <c r="A73" s="75">
        <v>2006</v>
      </c>
      <c r="B73" s="6">
        <v>6.9258064516129032</v>
      </c>
      <c r="C73" s="6">
        <v>7.8857142857142861</v>
      </c>
      <c r="D73" s="6">
        <v>11.751612903225807</v>
      </c>
      <c r="E73" s="6">
        <v>14.453333333333331</v>
      </c>
      <c r="F73" s="6">
        <v>18.454838709677418</v>
      </c>
      <c r="G73" s="6">
        <v>21.633333333333336</v>
      </c>
      <c r="H73" s="6">
        <v>26.090322580645161</v>
      </c>
      <c r="I73" s="6">
        <v>22.296774193548387</v>
      </c>
      <c r="J73" s="6">
        <v>20.833333333333336</v>
      </c>
      <c r="K73" s="6">
        <v>18.183870967741928</v>
      </c>
      <c r="L73" s="6">
        <v>13.699999999999998</v>
      </c>
      <c r="M73" s="6">
        <v>8.8064516129032278</v>
      </c>
      <c r="N73" s="5">
        <v>15.917949308755761</v>
      </c>
    </row>
    <row r="74" spans="1:14" hidden="1" x14ac:dyDescent="0.25">
      <c r="A74" s="75">
        <v>2007</v>
      </c>
      <c r="B74" s="6">
        <v>8.9677419354838683</v>
      </c>
      <c r="C74" s="6">
        <v>10.700000000000001</v>
      </c>
      <c r="D74" s="6">
        <v>11.177419354838706</v>
      </c>
      <c r="E74" s="6">
        <v>14.659999999999998</v>
      </c>
      <c r="F74" s="6">
        <v>17.754838709677422</v>
      </c>
      <c r="G74" s="6">
        <v>21.356666666666673</v>
      </c>
      <c r="H74" s="6">
        <v>22.948387096774198</v>
      </c>
      <c r="I74" s="6">
        <v>22.248387096774195</v>
      </c>
      <c r="J74" s="6">
        <v>19.949999999999996</v>
      </c>
      <c r="K74" s="6">
        <v>15.896774193548389</v>
      </c>
      <c r="L74" s="6">
        <v>10.263333333333334</v>
      </c>
      <c r="M74" s="6">
        <v>8.2451612903225815</v>
      </c>
      <c r="N74" s="5">
        <v>15.347392473118278</v>
      </c>
    </row>
    <row r="75" spans="1:14" hidden="1" x14ac:dyDescent="0.25">
      <c r="A75" s="75">
        <v>2008</v>
      </c>
      <c r="B75" s="6">
        <v>9.4483870967741943</v>
      </c>
      <c r="C75" s="6">
        <v>9.9896551724137925</v>
      </c>
      <c r="D75" s="6">
        <v>10.603225806451613</v>
      </c>
      <c r="E75" s="6">
        <v>13.466666666666667</v>
      </c>
      <c r="F75" s="6">
        <v>16.151612903225804</v>
      </c>
      <c r="G75" s="6">
        <v>20.293333333333333</v>
      </c>
      <c r="H75" s="6">
        <v>23.241935483870968</v>
      </c>
      <c r="I75" s="6">
        <v>23.554838709677412</v>
      </c>
      <c r="J75" s="6">
        <v>19.59333333333333</v>
      </c>
      <c r="K75" s="6">
        <v>16.035483870967745</v>
      </c>
      <c r="L75" s="6">
        <v>9.9482758620689662</v>
      </c>
      <c r="M75" s="6">
        <v>7.5483870967741939</v>
      </c>
      <c r="N75" s="5">
        <v>14.989594611296502</v>
      </c>
    </row>
    <row r="76" spans="1:14" hidden="1" x14ac:dyDescent="0.25">
      <c r="A76" s="75">
        <v>2009</v>
      </c>
      <c r="B76" s="6">
        <v>7.1</v>
      </c>
      <c r="C76" s="6">
        <v>8.5035714285714299</v>
      </c>
      <c r="D76" s="6">
        <v>11.03225806451613</v>
      </c>
      <c r="E76" s="6">
        <v>12.713333333333335</v>
      </c>
      <c r="F76" s="6">
        <v>18.745161290322581</v>
      </c>
      <c r="G76" s="6">
        <v>22.153333333333332</v>
      </c>
      <c r="H76" s="6">
        <v>23.948387096774191</v>
      </c>
      <c r="I76" s="6">
        <v>24.948387096774201</v>
      </c>
      <c r="J76" s="6">
        <v>20.296666666666663</v>
      </c>
      <c r="K76" s="6">
        <v>17.216129032258067</v>
      </c>
      <c r="L76" s="6">
        <v>12.803333333333331</v>
      </c>
      <c r="M76" s="6">
        <v>8.5290322580645199</v>
      </c>
      <c r="N76" s="5">
        <v>15.665799411162316</v>
      </c>
    </row>
    <row r="77" spans="1:14" hidden="1" x14ac:dyDescent="0.25">
      <c r="A77" s="75">
        <v>2010</v>
      </c>
      <c r="B77" s="6">
        <v>6.6193548387096763</v>
      </c>
      <c r="C77" s="6">
        <v>7.6428571428571415</v>
      </c>
      <c r="D77" s="6">
        <v>9.3258064516129036</v>
      </c>
      <c r="E77" s="6">
        <v>13.636666666666667</v>
      </c>
      <c r="F77" s="6">
        <v>15.480645161290326</v>
      </c>
      <c r="G77" s="6">
        <v>20.043333333333333</v>
      </c>
      <c r="H77" s="6">
        <v>24.883870967741927</v>
      </c>
      <c r="I77" s="6">
        <v>23.267741935483876</v>
      </c>
      <c r="J77" s="6">
        <v>19.876666666666672</v>
      </c>
      <c r="K77" s="6">
        <v>15.258064516129032</v>
      </c>
      <c r="L77" s="6">
        <v>10.163333333333332</v>
      </c>
      <c r="M77" s="6">
        <v>7.7096774193548372</v>
      </c>
      <c r="N77" s="5">
        <v>14.492334869431643</v>
      </c>
    </row>
    <row r="78" spans="1:14" hidden="1" x14ac:dyDescent="0.25">
      <c r="A78" s="75">
        <v>2011</v>
      </c>
      <c r="B78" s="6">
        <v>7.693548387096774</v>
      </c>
      <c r="C78" s="6">
        <v>9.35</v>
      </c>
      <c r="D78" s="6">
        <v>10.835483870967744</v>
      </c>
      <c r="E78" s="6">
        <v>15.8</v>
      </c>
      <c r="F78" s="6">
        <v>18.445161290322584</v>
      </c>
      <c r="G78" s="6">
        <v>20.15666666666667</v>
      </c>
      <c r="H78" s="6">
        <v>21.79354838709677</v>
      </c>
      <c r="I78" s="6">
        <v>24.195</v>
      </c>
      <c r="J78" s="6">
        <v>21.98</v>
      </c>
      <c r="K78" s="6">
        <v>17.845161290322579</v>
      </c>
      <c r="L78" s="6">
        <v>13.676666666666669</v>
      </c>
      <c r="M78" s="6">
        <v>9.2838709677419367</v>
      </c>
      <c r="N78" s="5">
        <v>15.921258960573477</v>
      </c>
    </row>
    <row r="79" spans="1:14" hidden="1" x14ac:dyDescent="0.25">
      <c r="A79" s="75">
        <v>2012</v>
      </c>
      <c r="B79" s="6">
        <v>8.2354838709677409</v>
      </c>
      <c r="C79" s="6">
        <v>6.4068965517241372</v>
      </c>
      <c r="D79" s="6">
        <v>12.364516129032259</v>
      </c>
      <c r="E79" s="6">
        <v>12.776666666666666</v>
      </c>
      <c r="F79" s="6">
        <v>17.954838709677421</v>
      </c>
      <c r="G79" s="6">
        <v>22.833333333333336</v>
      </c>
      <c r="H79" s="6">
        <v>23.222580645161294</v>
      </c>
      <c r="I79" s="6">
        <v>25.48064516129033</v>
      </c>
      <c r="J79" s="6">
        <v>20.709999999999994</v>
      </c>
      <c r="K79" s="6">
        <v>16.812903225806448</v>
      </c>
      <c r="L79" s="6">
        <v>12.053333333333333</v>
      </c>
      <c r="M79" s="6">
        <v>8.9935483870967747</v>
      </c>
      <c r="N79" s="5">
        <v>15.653728834507481</v>
      </c>
    </row>
    <row r="80" spans="1:14" hidden="1" x14ac:dyDescent="0.25">
      <c r="A80" s="75">
        <v>2013</v>
      </c>
      <c r="B80" s="6">
        <v>8.5516129032258075</v>
      </c>
      <c r="C80" s="6">
        <v>7.4857142857142858</v>
      </c>
      <c r="D80" s="6">
        <v>11.035483870967743</v>
      </c>
      <c r="E80" s="6">
        <v>13.426666666666669</v>
      </c>
      <c r="F80" s="6">
        <v>14.683870967741935</v>
      </c>
      <c r="G80" s="6">
        <v>19.836666666666662</v>
      </c>
      <c r="H80" s="6">
        <v>24.625806451612902</v>
      </c>
      <c r="I80" s="6">
        <v>23.467741935483872</v>
      </c>
      <c r="J80" s="6">
        <v>20.673333333333332</v>
      </c>
      <c r="K80" s="6">
        <v>18.56129032258065</v>
      </c>
      <c r="L80" s="6">
        <v>11.416666666666668</v>
      </c>
      <c r="M80" s="6">
        <v>8.4967741935483883</v>
      </c>
      <c r="N80" s="5">
        <v>15.188469022017408</v>
      </c>
    </row>
    <row r="81" spans="1:14" hidden="1" x14ac:dyDescent="0.25">
      <c r="A81" s="75">
        <v>2014</v>
      </c>
      <c r="B81" s="6">
        <v>9.1419354838709683</v>
      </c>
      <c r="C81" s="6">
        <v>9.3535714285714295</v>
      </c>
      <c r="D81" s="6">
        <v>11.64516129032258</v>
      </c>
      <c r="E81" s="6">
        <v>15.16666666666667</v>
      </c>
      <c r="F81" s="6">
        <v>16.167741935483871</v>
      </c>
      <c r="G81" s="6">
        <v>21.543333333333333</v>
      </c>
      <c r="H81" s="6">
        <v>22.800000000000008</v>
      </c>
      <c r="I81" s="6">
        <v>22.767741935483869</v>
      </c>
      <c r="J81" s="6">
        <v>21.32</v>
      </c>
      <c r="K81" s="6">
        <v>18.93548387096774</v>
      </c>
      <c r="L81" s="6">
        <v>13.45</v>
      </c>
      <c r="M81" s="6">
        <v>8.4387096774193537</v>
      </c>
      <c r="N81" s="5">
        <v>15.894195468509984</v>
      </c>
    </row>
    <row r="82" spans="1:14" hidden="1" x14ac:dyDescent="0.25">
      <c r="A82" s="75">
        <v>2015</v>
      </c>
      <c r="B82" s="6">
        <v>8.0419354838709669</v>
      </c>
      <c r="C82" s="6">
        <v>7.5892857142857144</v>
      </c>
      <c r="D82" s="6">
        <v>11.77741935483871</v>
      </c>
      <c r="E82" s="6">
        <v>14.196666666666662</v>
      </c>
      <c r="F82" s="6">
        <v>19</v>
      </c>
      <c r="G82" s="6">
        <v>22.723333333333326</v>
      </c>
      <c r="H82" s="6">
        <v>26.254838709677415</v>
      </c>
      <c r="I82" s="6">
        <v>23.541935483870969</v>
      </c>
      <c r="J82" s="6">
        <v>19.456666666666667</v>
      </c>
      <c r="K82" s="6">
        <v>16.232258064516127</v>
      </c>
      <c r="L82" s="6">
        <v>12.809999999999999</v>
      </c>
      <c r="M82" s="6">
        <v>10.722580645161292</v>
      </c>
      <c r="N82" s="5">
        <v>16.028910010240654</v>
      </c>
    </row>
    <row r="83" spans="1:14" hidden="1" x14ac:dyDescent="0.25">
      <c r="A83" s="75">
        <v>2016</v>
      </c>
      <c r="B83" s="6">
        <v>10.016129032258064</v>
      </c>
      <c r="C83" s="6">
        <v>10.372413793103449</v>
      </c>
      <c r="D83" s="6">
        <v>10.358064516129033</v>
      </c>
      <c r="E83" s="6">
        <v>13.326666666666664</v>
      </c>
      <c r="F83" s="6">
        <v>16.048387096774192</v>
      </c>
      <c r="G83" s="6">
        <v>20.850000000000005</v>
      </c>
      <c r="H83" s="6">
        <v>24.506451612903227</v>
      </c>
      <c r="I83" s="6">
        <v>23.938709677419357</v>
      </c>
      <c r="J83" s="6">
        <v>21.590000000000007</v>
      </c>
      <c r="K83" s="6">
        <v>16.693548387096772</v>
      </c>
      <c r="L83" s="6">
        <v>11.852941176470587</v>
      </c>
      <c r="M83" s="6">
        <v>9.6840000000000011</v>
      </c>
      <c r="N83" s="5">
        <v>15.769775996568447</v>
      </c>
    </row>
    <row r="84" spans="1:14" hidden="1" x14ac:dyDescent="0.25">
      <c r="A84" s="75">
        <v>2017</v>
      </c>
      <c r="B84" s="6">
        <v>7.1419354838709657</v>
      </c>
      <c r="C84" s="6">
        <v>10.996428571428572</v>
      </c>
      <c r="D84" s="6">
        <v>12.941935483870965</v>
      </c>
      <c r="E84" s="6">
        <v>14.163333333333336</v>
      </c>
      <c r="F84" s="6">
        <v>18.777419354838706</v>
      </c>
      <c r="G84" s="6">
        <v>24.243333333333332</v>
      </c>
      <c r="H84" s="6">
        <v>24.609677419354835</v>
      </c>
      <c r="I84" s="6">
        <v>24.941935483870978</v>
      </c>
      <c r="J84" s="6">
        <v>19.480000000000008</v>
      </c>
      <c r="K84" s="6">
        <v>18.109677419354838</v>
      </c>
      <c r="L84" s="6">
        <v>11.29</v>
      </c>
      <c r="M84" s="6">
        <v>7.8516129032258073</v>
      </c>
      <c r="N84" s="5">
        <v>16.212274065540196</v>
      </c>
    </row>
    <row r="85" spans="1:14" hidden="1" x14ac:dyDescent="0.25">
      <c r="A85" s="75">
        <v>2018</v>
      </c>
      <c r="B85" s="6">
        <v>9.9677419354838701</v>
      </c>
      <c r="C85" s="6">
        <v>6.7107142857142863</v>
      </c>
      <c r="D85" s="6">
        <v>10.635483870967743</v>
      </c>
      <c r="E85" s="6">
        <v>14.876666666666669</v>
      </c>
      <c r="F85" s="6">
        <v>16.893548387096775</v>
      </c>
      <c r="G85" s="6">
        <v>21.753333333333337</v>
      </c>
      <c r="H85" s="6">
        <v>25.303225806451611</v>
      </c>
      <c r="I85" s="6">
        <v>25.193548387096779</v>
      </c>
      <c r="J85" s="6">
        <v>22.273333333333333</v>
      </c>
      <c r="K85" s="6">
        <v>16.780645161290323</v>
      </c>
      <c r="L85" s="6">
        <v>12.110000000000003</v>
      </c>
      <c r="M85" s="6">
        <v>9.9354838709677402</v>
      </c>
      <c r="N85" s="5">
        <v>16.036143753200207</v>
      </c>
    </row>
    <row r="86" spans="1:14" hidden="1" x14ac:dyDescent="0.25">
      <c r="A86" s="75">
        <v>2019</v>
      </c>
      <c r="B86" s="6">
        <v>7.2516129032258076</v>
      </c>
      <c r="C86" s="6">
        <v>10.453571428571427</v>
      </c>
      <c r="D86" s="6">
        <v>12.438709677419352</v>
      </c>
      <c r="E86" s="6">
        <v>13.066666666666665</v>
      </c>
      <c r="F86" s="6">
        <v>15.748387096774193</v>
      </c>
      <c r="G86" s="6">
        <v>22.2</v>
      </c>
      <c r="H86" s="6">
        <v>25.609677419354831</v>
      </c>
      <c r="I86" s="6">
        <v>25.206451612903219</v>
      </c>
      <c r="J86" s="6">
        <v>21.826666666666668</v>
      </c>
      <c r="K86" s="6">
        <v>17.954838709677411</v>
      </c>
      <c r="L86" s="6">
        <v>11.186666666666669</v>
      </c>
      <c r="M86" s="6">
        <v>10.819354838709677</v>
      </c>
      <c r="N86" s="5">
        <v>16.146883640552989</v>
      </c>
    </row>
    <row r="87" spans="1:14" hidden="1" x14ac:dyDescent="0.25">
      <c r="A87" s="75">
        <v>2020</v>
      </c>
      <c r="B87" s="6">
        <v>8.9129032258064527</v>
      </c>
      <c r="C87" s="6">
        <v>12.241379310344829</v>
      </c>
      <c r="D87" s="6">
        <v>11.503225806451614</v>
      </c>
      <c r="E87" s="6">
        <v>14.406666666666665</v>
      </c>
      <c r="F87" s="6">
        <v>19.56129032258065</v>
      </c>
      <c r="G87" s="6">
        <v>20.513333333333332</v>
      </c>
      <c r="H87" s="6">
        <v>25.093548387096774</v>
      </c>
      <c r="I87" s="6">
        <v>25.193548387096779</v>
      </c>
      <c r="J87" s="6">
        <v>20.876666666666662</v>
      </c>
      <c r="K87" s="6">
        <v>15.506451612903225</v>
      </c>
      <c r="L87" s="6">
        <v>13.323333333333334</v>
      </c>
      <c r="M87" s="6">
        <v>8.8580645161290334</v>
      </c>
      <c r="N87" s="5">
        <v>16.332534297367445</v>
      </c>
    </row>
    <row r="88" spans="1:14" hidden="1" x14ac:dyDescent="0.25">
      <c r="A88" s="75">
        <v>2021</v>
      </c>
      <c r="B88" s="6">
        <v>7.2967741935483863</v>
      </c>
      <c r="C88" s="6">
        <v>11.074999999999999</v>
      </c>
      <c r="D88" s="6">
        <v>11.429032258064517</v>
      </c>
      <c r="E88" s="6">
        <v>12.42333333333333</v>
      </c>
      <c r="F88" s="6">
        <v>17.14193548387097</v>
      </c>
      <c r="G88" s="6">
        <v>22.753333333333334</v>
      </c>
      <c r="H88" s="6">
        <v>24.625806451612902</v>
      </c>
      <c r="I88" s="6">
        <v>24.135483870967743</v>
      </c>
      <c r="J88" s="6">
        <v>21.810000000000002</v>
      </c>
      <c r="K88" s="6">
        <v>16.929032258064513</v>
      </c>
      <c r="L88" s="6">
        <v>11.033333333333333</v>
      </c>
      <c r="M88" s="6">
        <v>9.9580645161290313</v>
      </c>
      <c r="N88" s="5">
        <v>15.884260752688173</v>
      </c>
    </row>
    <row r="89" spans="1:14" x14ac:dyDescent="0.25">
      <c r="A89" s="75">
        <v>2022</v>
      </c>
      <c r="B89" s="6">
        <v>8.4387096774193555</v>
      </c>
      <c r="C89" s="6">
        <v>10.875000000000002</v>
      </c>
      <c r="D89" s="6">
        <v>11.003225806451614</v>
      </c>
      <c r="E89" s="6">
        <v>13.833333333333336</v>
      </c>
      <c r="F89" s="6">
        <v>20.164516129032258</v>
      </c>
      <c r="G89" s="6">
        <v>24.749999999999996</v>
      </c>
      <c r="H89" s="6">
        <v>26.619354838709675</v>
      </c>
      <c r="I89" s="6">
        <v>26.170967741935481</v>
      </c>
      <c r="J89" s="6">
        <v>21.853333333333332</v>
      </c>
      <c r="K89" s="6">
        <v>19.619354838709675</v>
      </c>
      <c r="L89" s="6">
        <v>14.109999999999998</v>
      </c>
      <c r="M89" s="6">
        <v>11.306451612903228</v>
      </c>
      <c r="N89" s="5">
        <v>17.395353942652328</v>
      </c>
    </row>
    <row r="90" spans="1:14" x14ac:dyDescent="0.25">
      <c r="A90" s="75">
        <v>2023</v>
      </c>
      <c r="B90" s="6">
        <v>7.9322580645161276</v>
      </c>
      <c r="C90" s="6">
        <v>8.7928571428571427</v>
      </c>
      <c r="D90" s="6">
        <v>13.248387096774197</v>
      </c>
      <c r="E90" s="6">
        <v>15.356666666666666</v>
      </c>
      <c r="F90" s="6">
        <v>17.429032258064517</v>
      </c>
      <c r="G90" s="6">
        <v>22.929999999999996</v>
      </c>
      <c r="H90" s="6">
        <v>25.890322580645169</v>
      </c>
      <c r="I90" s="6">
        <v>25.754838709677419</v>
      </c>
      <c r="J90" s="6">
        <v>22.540000000000003</v>
      </c>
      <c r="K90" s="6">
        <v>19.570967741935487</v>
      </c>
      <c r="L90" s="6">
        <v>14.053333333333331</v>
      </c>
      <c r="M90" s="76">
        <v>10.609677419354838</v>
      </c>
      <c r="N90" s="5">
        <v>17.00902841781874</v>
      </c>
    </row>
    <row r="91" spans="1:14" x14ac:dyDescent="0.25">
      <c r="A91" s="75">
        <v>2024</v>
      </c>
      <c r="B91" s="6">
        <v>10.241935483870968</v>
      </c>
      <c r="C91" s="6">
        <v>12.224137931034484</v>
      </c>
      <c r="D91" s="6">
        <v>12.603225806451613</v>
      </c>
      <c r="E91" s="6">
        <v>14.593333333333335</v>
      </c>
      <c r="F91" s="6">
        <v>17.516129032258061</v>
      </c>
      <c r="G91" s="6">
        <v>21.246666666666666</v>
      </c>
      <c r="H91" s="6">
        <v>25.593548387096771</v>
      </c>
      <c r="I91" s="6">
        <v>25.819354838709685</v>
      </c>
      <c r="J91" s="6">
        <v>20.226666666666663</v>
      </c>
      <c r="K91" s="6">
        <v>17.719354838709677</v>
      </c>
      <c r="L91" s="6">
        <v>13.95</v>
      </c>
      <c r="M91" s="6">
        <v>9.4967741935483865</v>
      </c>
      <c r="N91" s="5">
        <v>16.769260598195526</v>
      </c>
    </row>
    <row r="92" spans="1:14" x14ac:dyDescent="0.25">
      <c r="A92" s="75">
        <v>2025</v>
      </c>
      <c r="B92" s="6">
        <v>9.8387096774193541</v>
      </c>
      <c r="C92" s="6">
        <v>10.1</v>
      </c>
      <c r="D92" s="6">
        <v>10.990322580645161</v>
      </c>
      <c r="E92" s="6">
        <v>14.779999999999998</v>
      </c>
      <c r="F92" s="6"/>
      <c r="G92" s="6"/>
      <c r="H92" s="6"/>
      <c r="I92" s="6"/>
      <c r="J92" s="6"/>
      <c r="K92" s="6"/>
      <c r="L92" s="6"/>
      <c r="M92" s="6"/>
      <c r="N92" s="5">
        <v>11.427258064516128</v>
      </c>
    </row>
  </sheetData>
  <mergeCells count="4">
    <mergeCell ref="A69:M69"/>
    <mergeCell ref="A1:N1"/>
    <mergeCell ref="A2:N2"/>
    <mergeCell ref="A36:M3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W88"/>
  <sheetViews>
    <sheetView tabSelected="1" topLeftCell="A2" zoomScale="55" zoomScaleNormal="55" workbookViewId="0">
      <selection activeCell="C41" sqref="C41"/>
    </sheetView>
  </sheetViews>
  <sheetFormatPr baseColWidth="10" defaultRowHeight="13.2" x14ac:dyDescent="0.25"/>
  <cols>
    <col min="1" max="1" width="4.109375" customWidth="1"/>
    <col min="2" max="2" width="17.6640625" customWidth="1"/>
    <col min="3" max="3" width="103.109375" customWidth="1"/>
    <col min="4" max="4" width="19.6640625" bestFit="1" customWidth="1"/>
    <col min="5" max="5" width="1" customWidth="1"/>
    <col min="6" max="6" width="18.88671875" bestFit="1" customWidth="1"/>
    <col min="7" max="8" width="17.33203125" bestFit="1" customWidth="1"/>
    <col min="9" max="10" width="16.109375" bestFit="1" customWidth="1"/>
    <col min="11" max="11" width="16.33203125" bestFit="1" customWidth="1"/>
    <col min="12" max="12" width="15.88671875" bestFit="1" customWidth="1"/>
    <col min="13" max="13" width="15.33203125" bestFit="1" customWidth="1"/>
    <col min="14" max="14" width="16.109375" bestFit="1" customWidth="1"/>
    <col min="15" max="15" width="15.88671875" bestFit="1" customWidth="1"/>
    <col min="16" max="16" width="17" bestFit="1" customWidth="1"/>
    <col min="17" max="17" width="16.88671875" bestFit="1" customWidth="1"/>
    <col min="18" max="18" width="22.6640625" bestFit="1" customWidth="1"/>
    <col min="19" max="19" width="1.6640625" customWidth="1"/>
    <col min="23" max="23" width="17.5546875" bestFit="1" customWidth="1"/>
    <col min="24" max="24" width="32.109375" bestFit="1" customWidth="1"/>
    <col min="25" max="25" width="17.88671875" bestFit="1" customWidth="1"/>
    <col min="27" max="38" width="15.44140625" bestFit="1" customWidth="1"/>
    <col min="39" max="39" width="12.5546875" bestFit="1" customWidth="1"/>
  </cols>
  <sheetData>
    <row r="3" spans="2:23" ht="23.25" customHeight="1" x14ac:dyDescent="0.25"/>
    <row r="4" spans="2:23" ht="22.8" x14ac:dyDescent="0.4">
      <c r="E4" s="41" t="s">
        <v>106</v>
      </c>
    </row>
    <row r="5" spans="2:23" ht="27.75" customHeight="1" thickBot="1" x14ac:dyDescent="0.45">
      <c r="E5" s="1"/>
      <c r="F5" s="185" t="s">
        <v>69</v>
      </c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</row>
    <row r="6" spans="2:23" ht="18" thickBot="1" x14ac:dyDescent="0.35">
      <c r="C6" s="142" t="s">
        <v>79</v>
      </c>
      <c r="D6" s="143">
        <v>44</v>
      </c>
    </row>
    <row r="7" spans="2:23" ht="18" thickBot="1" x14ac:dyDescent="0.35">
      <c r="C7" s="140" t="s">
        <v>94</v>
      </c>
      <c r="D7" s="141">
        <v>8.0983350000000005</v>
      </c>
      <c r="E7" s="7"/>
      <c r="F7" s="197" t="s">
        <v>40</v>
      </c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9"/>
      <c r="R7" s="4"/>
      <c r="V7" s="144"/>
      <c r="W7" s="144"/>
    </row>
    <row r="8" spans="2:23" ht="18" thickBot="1" x14ac:dyDescent="0.35">
      <c r="C8" s="137" t="s">
        <v>95</v>
      </c>
      <c r="D8" s="138">
        <v>1.0659894000000001</v>
      </c>
      <c r="E8" s="7"/>
      <c r="F8" s="180" t="s">
        <v>91</v>
      </c>
      <c r="G8" s="181"/>
      <c r="H8" s="181"/>
      <c r="I8" s="181"/>
      <c r="J8" s="181"/>
      <c r="K8" s="182"/>
      <c r="L8" s="180" t="s">
        <v>92</v>
      </c>
      <c r="M8" s="181"/>
      <c r="N8" s="181"/>
      <c r="O8" s="181"/>
      <c r="P8" s="181"/>
      <c r="Q8" s="182"/>
      <c r="R8" s="15"/>
    </row>
    <row r="9" spans="2:23" ht="16.2" thickBot="1" x14ac:dyDescent="0.35">
      <c r="B9" s="200" t="s">
        <v>1</v>
      </c>
      <c r="C9" s="201"/>
      <c r="D9" s="40" t="s">
        <v>2</v>
      </c>
      <c r="E9" s="7"/>
      <c r="F9" s="23" t="s">
        <v>12</v>
      </c>
      <c r="G9" s="24" t="s">
        <v>13</v>
      </c>
      <c r="H9" s="24" t="s">
        <v>14</v>
      </c>
      <c r="I9" s="24" t="s">
        <v>15</v>
      </c>
      <c r="J9" s="24" t="s">
        <v>16</v>
      </c>
      <c r="K9" s="25" t="s">
        <v>17</v>
      </c>
      <c r="L9" s="23" t="s">
        <v>6</v>
      </c>
      <c r="M9" s="24" t="s">
        <v>7</v>
      </c>
      <c r="N9" s="24" t="s">
        <v>8</v>
      </c>
      <c r="O9" s="24" t="s">
        <v>9</v>
      </c>
      <c r="P9" s="24" t="s">
        <v>10</v>
      </c>
      <c r="Q9" s="25" t="s">
        <v>11</v>
      </c>
      <c r="R9" s="22" t="s">
        <v>85</v>
      </c>
    </row>
    <row r="10" spans="2:23" ht="15.6" x14ac:dyDescent="0.3">
      <c r="B10" s="79"/>
      <c r="C10" s="79"/>
      <c r="D10" s="3" t="s">
        <v>39</v>
      </c>
      <c r="E10" s="7"/>
      <c r="F10" s="23">
        <v>31</v>
      </c>
      <c r="G10" s="24">
        <v>31</v>
      </c>
      <c r="H10" s="24">
        <v>30</v>
      </c>
      <c r="I10" s="24">
        <v>31</v>
      </c>
      <c r="J10" s="24">
        <v>30</v>
      </c>
      <c r="K10" s="25">
        <v>31</v>
      </c>
      <c r="L10" s="23">
        <v>31</v>
      </c>
      <c r="M10" s="145">
        <v>28</v>
      </c>
      <c r="N10" s="24">
        <v>31</v>
      </c>
      <c r="O10" s="24">
        <v>30</v>
      </c>
      <c r="P10" s="24">
        <v>31</v>
      </c>
      <c r="Q10" s="25">
        <v>30</v>
      </c>
      <c r="R10" s="80">
        <f>SUM(F10:Q10)</f>
        <v>365</v>
      </c>
    </row>
    <row r="11" spans="2:23" ht="6" customHeight="1" thickBot="1" x14ac:dyDescent="0.3">
      <c r="C11" s="10"/>
      <c r="D11" s="10"/>
      <c r="E11" s="7"/>
      <c r="F11" s="18"/>
      <c r="G11" s="19"/>
      <c r="H11" s="19"/>
      <c r="I11" s="19"/>
      <c r="J11" s="19"/>
      <c r="K11" s="20"/>
      <c r="L11" s="16"/>
      <c r="M11" s="14"/>
      <c r="N11" s="14"/>
      <c r="O11" s="14"/>
      <c r="P11" s="14"/>
      <c r="Q11" s="17"/>
      <c r="R11" s="21"/>
    </row>
    <row r="12" spans="2:23" ht="16.5" customHeight="1" thickBot="1" x14ac:dyDescent="0.35">
      <c r="C12" s="26" t="s">
        <v>33</v>
      </c>
      <c r="D12" s="63" t="s">
        <v>0</v>
      </c>
      <c r="E12" s="7"/>
      <c r="F12" s="121">
        <f>+'Consum Martorell'!H$22</f>
        <v>5033</v>
      </c>
      <c r="G12" s="121">
        <f>+'Consum Martorell'!I$22</f>
        <v>5082</v>
      </c>
      <c r="H12" s="121">
        <f>+'Consum Martorell'!J$22</f>
        <v>5160</v>
      </c>
      <c r="I12" s="121">
        <f>+'Consum Martorell'!K$22</f>
        <v>5314</v>
      </c>
      <c r="J12" s="121">
        <f>+'Consum Martorell'!L$22</f>
        <v>241931</v>
      </c>
      <c r="K12" s="122">
        <f>+'Consum Martorell'!M$22</f>
        <v>368852</v>
      </c>
      <c r="L12" s="94">
        <f>+'Consum Martorell'!B$22</f>
        <v>396223</v>
      </c>
      <c r="M12" s="95">
        <f>+'Consum Martorell'!C$22</f>
        <v>364946</v>
      </c>
      <c r="N12" s="95">
        <f>+'Consum Martorell'!D$22</f>
        <v>359704</v>
      </c>
      <c r="O12" s="95">
        <f>+'Consum Martorell'!E$22</f>
        <v>153347</v>
      </c>
      <c r="P12" s="95">
        <f>+'Consum Martorell'!F$22</f>
        <v>4706</v>
      </c>
      <c r="Q12" s="96">
        <f>+'Consum Martorell'!G$22</f>
        <v>2284</v>
      </c>
      <c r="R12" s="97">
        <f>SUM(F12:Q12)</f>
        <v>1912582</v>
      </c>
    </row>
    <row r="13" spans="2:23" ht="15.6" x14ac:dyDescent="0.3">
      <c r="C13" s="102"/>
      <c r="D13" s="101"/>
      <c r="E13" s="7"/>
      <c r="F13" s="127"/>
      <c r="G13" s="128"/>
      <c r="H13" s="128"/>
      <c r="I13" s="128"/>
      <c r="J13" s="128"/>
      <c r="K13" s="129"/>
      <c r="L13" s="120"/>
      <c r="M13" s="103"/>
      <c r="N13" s="103"/>
      <c r="O13" s="103"/>
      <c r="P13" s="103"/>
      <c r="Q13" s="104"/>
      <c r="R13" s="105"/>
    </row>
    <row r="14" spans="2:23" ht="15.6" thickBot="1" x14ac:dyDescent="0.3">
      <c r="B14" s="9"/>
      <c r="C14" s="50" t="s">
        <v>97</v>
      </c>
      <c r="D14" s="3" t="s">
        <v>3</v>
      </c>
      <c r="E14" s="7"/>
      <c r="F14" s="134">
        <f>ROUND((D6*D8)/1000+D7/1000,6)</f>
        <v>5.5002000000000002E-2</v>
      </c>
      <c r="G14" s="130">
        <f t="shared" ref="G14:Q14" si="0">+F14</f>
        <v>5.5002000000000002E-2</v>
      </c>
      <c r="H14" s="130">
        <f t="shared" si="0"/>
        <v>5.5002000000000002E-2</v>
      </c>
      <c r="I14" s="130">
        <f t="shared" si="0"/>
        <v>5.5002000000000002E-2</v>
      </c>
      <c r="J14" s="130">
        <f t="shared" si="0"/>
        <v>5.5002000000000002E-2</v>
      </c>
      <c r="K14" s="131">
        <f t="shared" si="0"/>
        <v>5.5002000000000002E-2</v>
      </c>
      <c r="L14" s="113">
        <f t="shared" si="0"/>
        <v>5.5002000000000002E-2</v>
      </c>
      <c r="M14" s="92">
        <f t="shared" si="0"/>
        <v>5.5002000000000002E-2</v>
      </c>
      <c r="N14" s="92">
        <f t="shared" si="0"/>
        <v>5.5002000000000002E-2</v>
      </c>
      <c r="O14" s="92">
        <f t="shared" si="0"/>
        <v>5.5002000000000002E-2</v>
      </c>
      <c r="P14" s="92">
        <f t="shared" si="0"/>
        <v>5.5002000000000002E-2</v>
      </c>
      <c r="Q14" s="93">
        <f t="shared" si="0"/>
        <v>5.5002000000000002E-2</v>
      </c>
      <c r="R14" s="78"/>
    </row>
    <row r="15" spans="2:23" ht="16.2" thickBot="1" x14ac:dyDescent="0.35">
      <c r="B15" s="52" t="s">
        <v>22</v>
      </c>
      <c r="C15" s="51" t="s">
        <v>77</v>
      </c>
      <c r="D15" s="63" t="s">
        <v>4</v>
      </c>
      <c r="E15" s="56"/>
      <c r="F15" s="123">
        <f>+F14*F12</f>
        <v>276.82506599999999</v>
      </c>
      <c r="G15" s="124">
        <f t="shared" ref="G15:Q15" si="1">+G14*G12</f>
        <v>279.52016400000002</v>
      </c>
      <c r="H15" s="124">
        <f t="shared" si="1"/>
        <v>283.81031999999999</v>
      </c>
      <c r="I15" s="124">
        <f t="shared" si="1"/>
        <v>292.28062800000004</v>
      </c>
      <c r="J15" s="125">
        <f t="shared" si="1"/>
        <v>13306.688862000001</v>
      </c>
      <c r="K15" s="126">
        <f t="shared" si="1"/>
        <v>20287.597704</v>
      </c>
      <c r="L15" s="100">
        <f t="shared" si="1"/>
        <v>21793.057446000003</v>
      </c>
      <c r="M15" s="32">
        <f t="shared" si="1"/>
        <v>20072.759892000002</v>
      </c>
      <c r="N15" s="32">
        <f t="shared" si="1"/>
        <v>19784.439408000002</v>
      </c>
      <c r="O15" s="32">
        <f t="shared" si="1"/>
        <v>8434.3916939999999</v>
      </c>
      <c r="P15" s="32">
        <f t="shared" si="1"/>
        <v>258.83941200000004</v>
      </c>
      <c r="Q15" s="33">
        <f t="shared" si="1"/>
        <v>125.62456800000001</v>
      </c>
      <c r="R15" s="59">
        <f>SUM(F15:Q15)</f>
        <v>105195.83516400002</v>
      </c>
    </row>
    <row r="16" spans="2:23" ht="15" x14ac:dyDescent="0.25">
      <c r="B16" s="9"/>
      <c r="C16" s="27"/>
      <c r="D16" s="27"/>
      <c r="E16" s="7"/>
      <c r="F16" s="60"/>
      <c r="G16" s="61"/>
      <c r="H16" s="61"/>
      <c r="I16" s="61"/>
      <c r="J16" s="61"/>
      <c r="K16" s="62"/>
      <c r="L16" s="60"/>
      <c r="M16" s="61"/>
      <c r="N16" s="61"/>
      <c r="O16" s="61"/>
      <c r="P16" s="61"/>
      <c r="Q16" s="62"/>
      <c r="R16" s="77"/>
    </row>
    <row r="17" spans="2:18" ht="15" x14ac:dyDescent="0.25">
      <c r="B17" s="190" t="s">
        <v>49</v>
      </c>
      <c r="C17" s="50" t="s">
        <v>98</v>
      </c>
      <c r="D17" s="3" t="s">
        <v>46</v>
      </c>
      <c r="E17" s="7"/>
      <c r="F17" s="169">
        <f>1413.569881/R$10</f>
        <v>3.8727941945205475</v>
      </c>
      <c r="G17" s="92">
        <f>+F17</f>
        <v>3.8727941945205475</v>
      </c>
      <c r="H17" s="92">
        <f t="shared" ref="H17:Q18" si="2">+G17</f>
        <v>3.8727941945205475</v>
      </c>
      <c r="I17" s="92">
        <f t="shared" si="2"/>
        <v>3.8727941945205475</v>
      </c>
      <c r="J17" s="92">
        <f t="shared" si="2"/>
        <v>3.8727941945205475</v>
      </c>
      <c r="K17" s="93">
        <f t="shared" si="2"/>
        <v>3.8727941945205475</v>
      </c>
      <c r="L17" s="91">
        <f t="shared" si="2"/>
        <v>3.8727941945205475</v>
      </c>
      <c r="M17" s="92">
        <f t="shared" si="2"/>
        <v>3.8727941945205475</v>
      </c>
      <c r="N17" s="92">
        <f t="shared" si="2"/>
        <v>3.8727941945205475</v>
      </c>
      <c r="O17" s="92">
        <f t="shared" si="2"/>
        <v>3.8727941945205475</v>
      </c>
      <c r="P17" s="92">
        <f t="shared" si="2"/>
        <v>3.8727941945205475</v>
      </c>
      <c r="Q17" s="93">
        <f t="shared" si="2"/>
        <v>3.8727941945205475</v>
      </c>
      <c r="R17" s="78"/>
    </row>
    <row r="18" spans="2:18" ht="15" x14ac:dyDescent="0.25">
      <c r="B18" s="190"/>
      <c r="C18" s="50" t="s">
        <v>99</v>
      </c>
      <c r="D18" s="3" t="s">
        <v>52</v>
      </c>
      <c r="E18" s="7"/>
      <c r="F18" s="169">
        <v>0</v>
      </c>
      <c r="G18" s="92">
        <f>+F18</f>
        <v>0</v>
      </c>
      <c r="H18" s="92">
        <f t="shared" si="2"/>
        <v>0</v>
      </c>
      <c r="I18" s="92">
        <f t="shared" si="2"/>
        <v>0</v>
      </c>
      <c r="J18" s="92">
        <f t="shared" si="2"/>
        <v>0</v>
      </c>
      <c r="K18" s="93">
        <f t="shared" si="2"/>
        <v>0</v>
      </c>
      <c r="L18" s="91">
        <f t="shared" si="2"/>
        <v>0</v>
      </c>
      <c r="M18" s="92">
        <f t="shared" si="2"/>
        <v>0</v>
      </c>
      <c r="N18" s="92">
        <f t="shared" si="2"/>
        <v>0</v>
      </c>
      <c r="O18" s="92">
        <f t="shared" si="2"/>
        <v>0</v>
      </c>
      <c r="P18" s="92">
        <f t="shared" si="2"/>
        <v>0</v>
      </c>
      <c r="Q18" s="93">
        <f t="shared" si="2"/>
        <v>0</v>
      </c>
      <c r="R18" s="78"/>
    </row>
    <row r="19" spans="2:18" ht="15" x14ac:dyDescent="0.25">
      <c r="B19" s="190"/>
      <c r="C19" s="50" t="s">
        <v>53</v>
      </c>
      <c r="D19" s="3" t="s">
        <v>4</v>
      </c>
      <c r="E19" s="7"/>
      <c r="F19" s="81">
        <f>ROUND(F17*F10,2)</f>
        <v>120.06</v>
      </c>
      <c r="G19" s="82">
        <f t="shared" ref="G19:Q19" si="3">ROUND(G17*G10,2)</f>
        <v>120.06</v>
      </c>
      <c r="H19" s="82">
        <f t="shared" si="3"/>
        <v>116.18</v>
      </c>
      <c r="I19" s="82">
        <f t="shared" si="3"/>
        <v>120.06</v>
      </c>
      <c r="J19" s="82">
        <f t="shared" si="3"/>
        <v>116.18</v>
      </c>
      <c r="K19" s="83">
        <f t="shared" si="3"/>
        <v>120.06</v>
      </c>
      <c r="L19" s="81">
        <f t="shared" si="3"/>
        <v>120.06</v>
      </c>
      <c r="M19" s="82">
        <f t="shared" si="3"/>
        <v>108.44</v>
      </c>
      <c r="N19" s="82">
        <f t="shared" si="3"/>
        <v>120.06</v>
      </c>
      <c r="O19" s="82">
        <f t="shared" si="3"/>
        <v>116.18</v>
      </c>
      <c r="P19" s="82">
        <f t="shared" si="3"/>
        <v>120.06</v>
      </c>
      <c r="Q19" s="83">
        <f t="shared" si="3"/>
        <v>116.18</v>
      </c>
      <c r="R19" s="106">
        <f>SUM(F19:Q19)</f>
        <v>1413.58</v>
      </c>
    </row>
    <row r="20" spans="2:18" ht="15.6" thickBot="1" x14ac:dyDescent="0.3">
      <c r="B20" s="190"/>
      <c r="C20" s="50" t="s">
        <v>54</v>
      </c>
      <c r="D20" s="50" t="s">
        <v>4</v>
      </c>
      <c r="E20" s="7"/>
      <c r="F20" s="81">
        <f t="shared" ref="F20:Q20" si="4">ROUND(F12*F18,2)</f>
        <v>0</v>
      </c>
      <c r="G20" s="82">
        <f t="shared" si="4"/>
        <v>0</v>
      </c>
      <c r="H20" s="82">
        <f t="shared" si="4"/>
        <v>0</v>
      </c>
      <c r="I20" s="82">
        <f t="shared" si="4"/>
        <v>0</v>
      </c>
      <c r="J20" s="82">
        <f t="shared" si="4"/>
        <v>0</v>
      </c>
      <c r="K20" s="83">
        <f t="shared" si="4"/>
        <v>0</v>
      </c>
      <c r="L20" s="81">
        <f t="shared" si="4"/>
        <v>0</v>
      </c>
      <c r="M20" s="82">
        <f t="shared" si="4"/>
        <v>0</v>
      </c>
      <c r="N20" s="82">
        <f t="shared" si="4"/>
        <v>0</v>
      </c>
      <c r="O20" s="82">
        <f t="shared" si="4"/>
        <v>0</v>
      </c>
      <c r="P20" s="82">
        <f t="shared" si="4"/>
        <v>0</v>
      </c>
      <c r="Q20" s="83">
        <f t="shared" si="4"/>
        <v>0</v>
      </c>
      <c r="R20" s="106">
        <f>SUM(F20:Q20)</f>
        <v>0</v>
      </c>
    </row>
    <row r="21" spans="2:18" ht="16.2" thickBot="1" x14ac:dyDescent="0.35">
      <c r="B21" s="202"/>
      <c r="C21" s="110" t="s">
        <v>51</v>
      </c>
      <c r="D21" s="63" t="s">
        <v>4</v>
      </c>
      <c r="E21" s="56"/>
      <c r="F21" s="31">
        <f>+F20+F19</f>
        <v>120.06</v>
      </c>
      <c r="G21" s="32">
        <f t="shared" ref="G21:Q21" si="5">SUM(G19:G20)</f>
        <v>120.06</v>
      </c>
      <c r="H21" s="32">
        <f t="shared" si="5"/>
        <v>116.18</v>
      </c>
      <c r="I21" s="32">
        <f t="shared" si="5"/>
        <v>120.06</v>
      </c>
      <c r="J21" s="32">
        <f t="shared" si="5"/>
        <v>116.18</v>
      </c>
      <c r="K21" s="33">
        <f t="shared" si="5"/>
        <v>120.06</v>
      </c>
      <c r="L21" s="100">
        <f t="shared" si="5"/>
        <v>120.06</v>
      </c>
      <c r="M21" s="32">
        <f t="shared" si="5"/>
        <v>108.44</v>
      </c>
      <c r="N21" s="32">
        <f t="shared" si="5"/>
        <v>120.06</v>
      </c>
      <c r="O21" s="32">
        <f t="shared" si="5"/>
        <v>116.18</v>
      </c>
      <c r="P21" s="32">
        <f t="shared" si="5"/>
        <v>120.06</v>
      </c>
      <c r="Q21" s="33">
        <f t="shared" si="5"/>
        <v>116.18</v>
      </c>
      <c r="R21" s="59">
        <f>SUM(F21:Q21)</f>
        <v>1413.58</v>
      </c>
    </row>
    <row r="22" spans="2:18" ht="15" x14ac:dyDescent="0.25">
      <c r="B22" s="9"/>
      <c r="C22" s="27"/>
      <c r="D22" s="27"/>
      <c r="E22" s="7"/>
      <c r="F22" s="60"/>
      <c r="G22" s="61"/>
      <c r="H22" s="61"/>
      <c r="I22" s="61"/>
      <c r="J22" s="61"/>
      <c r="K22" s="62"/>
      <c r="L22" s="60"/>
      <c r="M22" s="61"/>
      <c r="N22" s="61"/>
      <c r="O22" s="61"/>
      <c r="P22" s="61"/>
      <c r="Q22" s="62"/>
      <c r="R22" s="77"/>
    </row>
    <row r="23" spans="2:18" ht="15" x14ac:dyDescent="0.25">
      <c r="B23" s="190" t="s">
        <v>48</v>
      </c>
      <c r="C23" s="50" t="s">
        <v>105</v>
      </c>
      <c r="D23" s="3" t="s">
        <v>46</v>
      </c>
      <c r="E23" s="7"/>
      <c r="F23" s="169">
        <f>12307.010366/$R10</f>
        <v>33.717836619178087</v>
      </c>
      <c r="G23" s="92">
        <f>+F23</f>
        <v>33.717836619178087</v>
      </c>
      <c r="H23" s="92">
        <f t="shared" ref="H23:Q23" si="6">+G23</f>
        <v>33.717836619178087</v>
      </c>
      <c r="I23" s="92">
        <f t="shared" si="6"/>
        <v>33.717836619178087</v>
      </c>
      <c r="J23" s="92">
        <f t="shared" si="6"/>
        <v>33.717836619178087</v>
      </c>
      <c r="K23" s="93">
        <f t="shared" si="6"/>
        <v>33.717836619178087</v>
      </c>
      <c r="L23" s="91">
        <f t="shared" si="6"/>
        <v>33.717836619178087</v>
      </c>
      <c r="M23" s="92">
        <f t="shared" si="6"/>
        <v>33.717836619178087</v>
      </c>
      <c r="N23" s="92">
        <f t="shared" si="6"/>
        <v>33.717836619178087</v>
      </c>
      <c r="O23" s="92">
        <f t="shared" si="6"/>
        <v>33.717836619178087</v>
      </c>
      <c r="P23" s="92">
        <f t="shared" si="6"/>
        <v>33.717836619178087</v>
      </c>
      <c r="Q23" s="93">
        <f t="shared" si="6"/>
        <v>33.717836619178087</v>
      </c>
      <c r="R23" s="78"/>
    </row>
    <row r="24" spans="2:18" ht="15" x14ac:dyDescent="0.25">
      <c r="B24" s="190"/>
      <c r="C24" s="3" t="s">
        <v>104</v>
      </c>
      <c r="D24" s="3" t="s">
        <v>3</v>
      </c>
      <c r="E24" s="7"/>
      <c r="F24" s="169">
        <v>4.679E-3</v>
      </c>
      <c r="G24" s="92">
        <f>+F24</f>
        <v>4.679E-3</v>
      </c>
      <c r="H24" s="92">
        <f t="shared" ref="H24:Q24" si="7">+G24</f>
        <v>4.679E-3</v>
      </c>
      <c r="I24" s="92">
        <f t="shared" si="7"/>
        <v>4.679E-3</v>
      </c>
      <c r="J24" s="92">
        <f t="shared" si="7"/>
        <v>4.679E-3</v>
      </c>
      <c r="K24" s="93">
        <f t="shared" si="7"/>
        <v>4.679E-3</v>
      </c>
      <c r="L24" s="91">
        <f t="shared" si="7"/>
        <v>4.679E-3</v>
      </c>
      <c r="M24" s="92">
        <f t="shared" si="7"/>
        <v>4.679E-3</v>
      </c>
      <c r="N24" s="92">
        <f t="shared" si="7"/>
        <v>4.679E-3</v>
      </c>
      <c r="O24" s="92">
        <f t="shared" si="7"/>
        <v>4.679E-3</v>
      </c>
      <c r="P24" s="92">
        <f t="shared" si="7"/>
        <v>4.679E-3</v>
      </c>
      <c r="Q24" s="93">
        <f t="shared" si="7"/>
        <v>4.679E-3</v>
      </c>
      <c r="R24" s="78"/>
    </row>
    <row r="25" spans="2:18" ht="15" x14ac:dyDescent="0.25">
      <c r="B25" s="190"/>
      <c r="C25" s="50" t="s">
        <v>42</v>
      </c>
      <c r="D25" s="3" t="s">
        <v>4</v>
      </c>
      <c r="E25" s="7"/>
      <c r="F25" s="81">
        <f t="shared" ref="F25:Q25" si="8">ROUND(F23*F10,2)</f>
        <v>1045.25</v>
      </c>
      <c r="G25" s="82">
        <f t="shared" si="8"/>
        <v>1045.25</v>
      </c>
      <c r="H25" s="82">
        <f t="shared" si="8"/>
        <v>1011.54</v>
      </c>
      <c r="I25" s="82">
        <f t="shared" si="8"/>
        <v>1045.25</v>
      </c>
      <c r="J25" s="82">
        <f t="shared" si="8"/>
        <v>1011.54</v>
      </c>
      <c r="K25" s="83">
        <f t="shared" si="8"/>
        <v>1045.25</v>
      </c>
      <c r="L25" s="81">
        <f t="shared" si="8"/>
        <v>1045.25</v>
      </c>
      <c r="M25" s="82">
        <f t="shared" si="8"/>
        <v>944.1</v>
      </c>
      <c r="N25" s="82">
        <f t="shared" si="8"/>
        <v>1045.25</v>
      </c>
      <c r="O25" s="82">
        <f t="shared" si="8"/>
        <v>1011.54</v>
      </c>
      <c r="P25" s="82">
        <f t="shared" si="8"/>
        <v>1045.25</v>
      </c>
      <c r="Q25" s="83">
        <f t="shared" si="8"/>
        <v>1011.54</v>
      </c>
      <c r="R25" s="106">
        <f>SUM(F25:Q25)</f>
        <v>12307.010000000002</v>
      </c>
    </row>
    <row r="26" spans="2:18" ht="15.6" thickBot="1" x14ac:dyDescent="0.3">
      <c r="B26" s="190"/>
      <c r="C26" s="3" t="s">
        <v>43</v>
      </c>
      <c r="D26" s="3" t="s">
        <v>4</v>
      </c>
      <c r="E26" s="7"/>
      <c r="F26" s="81">
        <f t="shared" ref="F26:Q26" si="9">ROUND(F24*F12,2)</f>
        <v>23.55</v>
      </c>
      <c r="G26" s="82">
        <f t="shared" si="9"/>
        <v>23.78</v>
      </c>
      <c r="H26" s="82">
        <f t="shared" si="9"/>
        <v>24.14</v>
      </c>
      <c r="I26" s="82">
        <f t="shared" si="9"/>
        <v>24.86</v>
      </c>
      <c r="J26" s="82">
        <f t="shared" si="9"/>
        <v>1132</v>
      </c>
      <c r="K26" s="83">
        <f t="shared" si="9"/>
        <v>1725.86</v>
      </c>
      <c r="L26" s="81">
        <f t="shared" si="9"/>
        <v>1853.93</v>
      </c>
      <c r="M26" s="82">
        <f t="shared" si="9"/>
        <v>1707.58</v>
      </c>
      <c r="N26" s="82">
        <f t="shared" si="9"/>
        <v>1683.06</v>
      </c>
      <c r="O26" s="82">
        <f t="shared" si="9"/>
        <v>717.51</v>
      </c>
      <c r="P26" s="82">
        <f t="shared" si="9"/>
        <v>22.02</v>
      </c>
      <c r="Q26" s="83">
        <f t="shared" si="9"/>
        <v>10.69</v>
      </c>
      <c r="R26" s="106">
        <f>SUM(F26:Q26)</f>
        <v>8948.9800000000014</v>
      </c>
    </row>
    <row r="27" spans="2:18" ht="16.2" thickBot="1" x14ac:dyDescent="0.35">
      <c r="B27" s="190"/>
      <c r="C27" s="110" t="s">
        <v>50</v>
      </c>
      <c r="D27" s="63" t="s">
        <v>4</v>
      </c>
      <c r="E27" s="56"/>
      <c r="F27" s="31">
        <f t="shared" ref="F27:Q27" si="10">SUM(F25:F26)</f>
        <v>1068.8</v>
      </c>
      <c r="G27" s="32">
        <f t="shared" si="10"/>
        <v>1069.03</v>
      </c>
      <c r="H27" s="32">
        <f t="shared" si="10"/>
        <v>1035.68</v>
      </c>
      <c r="I27" s="32">
        <f t="shared" si="10"/>
        <v>1070.1099999999999</v>
      </c>
      <c r="J27" s="32">
        <f t="shared" si="10"/>
        <v>2143.54</v>
      </c>
      <c r="K27" s="33">
        <f t="shared" si="10"/>
        <v>2771.1099999999997</v>
      </c>
      <c r="L27" s="100">
        <f t="shared" si="10"/>
        <v>2899.1800000000003</v>
      </c>
      <c r="M27" s="32">
        <f t="shared" si="10"/>
        <v>2651.68</v>
      </c>
      <c r="N27" s="32">
        <f t="shared" si="10"/>
        <v>2728.31</v>
      </c>
      <c r="O27" s="32">
        <f t="shared" si="10"/>
        <v>1729.05</v>
      </c>
      <c r="P27" s="32">
        <f t="shared" si="10"/>
        <v>1067.27</v>
      </c>
      <c r="Q27" s="33">
        <f t="shared" si="10"/>
        <v>1022.23</v>
      </c>
      <c r="R27" s="59">
        <f>SUM(F27:Q27)</f>
        <v>21255.99</v>
      </c>
    </row>
    <row r="28" spans="2:18" ht="15" x14ac:dyDescent="0.25">
      <c r="B28" s="9"/>
      <c r="C28" s="27"/>
      <c r="D28" s="27"/>
      <c r="E28" s="7"/>
      <c r="F28" s="60"/>
      <c r="G28" s="61"/>
      <c r="H28" s="61"/>
      <c r="I28" s="61"/>
      <c r="J28" s="61"/>
      <c r="K28" s="62"/>
      <c r="L28" s="60"/>
      <c r="M28" s="61"/>
      <c r="N28" s="61"/>
      <c r="O28" s="61"/>
      <c r="P28" s="61"/>
      <c r="Q28" s="62"/>
      <c r="R28" s="77"/>
    </row>
    <row r="29" spans="2:18" ht="15" x14ac:dyDescent="0.25">
      <c r="B29" s="194" t="s">
        <v>55</v>
      </c>
      <c r="C29" s="112" t="s">
        <v>100</v>
      </c>
      <c r="D29" s="3" t="s">
        <v>46</v>
      </c>
      <c r="E29" s="7"/>
      <c r="F29" s="169">
        <f>100.13/R$10</f>
        <v>0.27432876712328763</v>
      </c>
      <c r="G29" s="92">
        <f>+F29</f>
        <v>0.27432876712328763</v>
      </c>
      <c r="H29" s="92">
        <f t="shared" ref="H29:Q29" si="11">+G29</f>
        <v>0.27432876712328763</v>
      </c>
      <c r="I29" s="92">
        <f t="shared" si="11"/>
        <v>0.27432876712328763</v>
      </c>
      <c r="J29" s="92">
        <f t="shared" si="11"/>
        <v>0.27432876712328763</v>
      </c>
      <c r="K29" s="93">
        <f t="shared" si="11"/>
        <v>0.27432876712328763</v>
      </c>
      <c r="L29" s="91">
        <f t="shared" si="11"/>
        <v>0.27432876712328763</v>
      </c>
      <c r="M29" s="92">
        <f t="shared" si="11"/>
        <v>0.27432876712328763</v>
      </c>
      <c r="N29" s="92">
        <f t="shared" si="11"/>
        <v>0.27432876712328763</v>
      </c>
      <c r="O29" s="92">
        <f t="shared" si="11"/>
        <v>0.27432876712328763</v>
      </c>
      <c r="P29" s="92">
        <f t="shared" si="11"/>
        <v>0.27432876712328763</v>
      </c>
      <c r="Q29" s="93">
        <f t="shared" si="11"/>
        <v>0.27432876712328763</v>
      </c>
      <c r="R29" s="78"/>
    </row>
    <row r="30" spans="2:18" ht="15" x14ac:dyDescent="0.25">
      <c r="B30" s="195"/>
      <c r="C30" s="112" t="s">
        <v>101</v>
      </c>
      <c r="D30" s="3" t="s">
        <v>3</v>
      </c>
      <c r="E30" s="7"/>
      <c r="F30" s="170">
        <v>6.5570000000000003E-3</v>
      </c>
      <c r="G30" s="108">
        <f>+F30</f>
        <v>6.5570000000000003E-3</v>
      </c>
      <c r="H30" s="108">
        <f t="shared" ref="H30:Q30" si="12">+G30</f>
        <v>6.5570000000000003E-3</v>
      </c>
      <c r="I30" s="108">
        <f t="shared" si="12"/>
        <v>6.5570000000000003E-3</v>
      </c>
      <c r="J30" s="108">
        <f t="shared" si="12"/>
        <v>6.5570000000000003E-3</v>
      </c>
      <c r="K30" s="109">
        <f t="shared" si="12"/>
        <v>6.5570000000000003E-3</v>
      </c>
      <c r="L30" s="107">
        <f t="shared" si="12"/>
        <v>6.5570000000000003E-3</v>
      </c>
      <c r="M30" s="108">
        <f t="shared" si="12"/>
        <v>6.5570000000000003E-3</v>
      </c>
      <c r="N30" s="108">
        <f t="shared" si="12"/>
        <v>6.5570000000000003E-3</v>
      </c>
      <c r="O30" s="108">
        <f t="shared" si="12"/>
        <v>6.5570000000000003E-3</v>
      </c>
      <c r="P30" s="108">
        <f t="shared" si="12"/>
        <v>6.5570000000000003E-3</v>
      </c>
      <c r="Q30" s="109">
        <f t="shared" si="12"/>
        <v>6.5570000000000003E-3</v>
      </c>
      <c r="R30" s="78"/>
    </row>
    <row r="31" spans="2:18" ht="15" x14ac:dyDescent="0.25">
      <c r="B31" s="195"/>
      <c r="C31" s="112" t="s">
        <v>60</v>
      </c>
      <c r="D31" s="3" t="s">
        <v>4</v>
      </c>
      <c r="E31" s="7"/>
      <c r="F31" s="81">
        <f t="shared" ref="F31:Q31" si="13">ROUND(F29*F10,2)</f>
        <v>8.5</v>
      </c>
      <c r="G31" s="82">
        <f t="shared" si="13"/>
        <v>8.5</v>
      </c>
      <c r="H31" s="82">
        <f t="shared" si="13"/>
        <v>8.23</v>
      </c>
      <c r="I31" s="82">
        <f t="shared" si="13"/>
        <v>8.5</v>
      </c>
      <c r="J31" s="82">
        <f t="shared" si="13"/>
        <v>8.23</v>
      </c>
      <c r="K31" s="83">
        <f t="shared" si="13"/>
        <v>8.5</v>
      </c>
      <c r="L31" s="81">
        <f t="shared" si="13"/>
        <v>8.5</v>
      </c>
      <c r="M31" s="82">
        <f t="shared" si="13"/>
        <v>7.68</v>
      </c>
      <c r="N31" s="82">
        <f t="shared" si="13"/>
        <v>8.5</v>
      </c>
      <c r="O31" s="82">
        <f t="shared" si="13"/>
        <v>8.23</v>
      </c>
      <c r="P31" s="82">
        <f t="shared" si="13"/>
        <v>8.5</v>
      </c>
      <c r="Q31" s="83">
        <f t="shared" si="13"/>
        <v>8.23</v>
      </c>
      <c r="R31" s="106">
        <f>SUM(F31:Q31)</f>
        <v>100.10000000000002</v>
      </c>
    </row>
    <row r="32" spans="2:18" ht="16.5" customHeight="1" thickBot="1" x14ac:dyDescent="0.3">
      <c r="B32" s="195"/>
      <c r="C32" s="112" t="s">
        <v>61</v>
      </c>
      <c r="D32" s="3" t="s">
        <v>4</v>
      </c>
      <c r="E32" s="7"/>
      <c r="F32" s="81">
        <f t="shared" ref="F32:Q32" si="14">ROUND(F12*F30,2)</f>
        <v>33</v>
      </c>
      <c r="G32" s="82">
        <f t="shared" si="14"/>
        <v>33.32</v>
      </c>
      <c r="H32" s="82">
        <f t="shared" si="14"/>
        <v>33.83</v>
      </c>
      <c r="I32" s="82">
        <f t="shared" si="14"/>
        <v>34.840000000000003</v>
      </c>
      <c r="J32" s="82">
        <f t="shared" si="14"/>
        <v>1586.34</v>
      </c>
      <c r="K32" s="83">
        <f t="shared" si="14"/>
        <v>2418.56</v>
      </c>
      <c r="L32" s="81">
        <f t="shared" si="14"/>
        <v>2598.0300000000002</v>
      </c>
      <c r="M32" s="82">
        <f t="shared" si="14"/>
        <v>2392.9499999999998</v>
      </c>
      <c r="N32" s="82">
        <f t="shared" si="14"/>
        <v>2358.58</v>
      </c>
      <c r="O32" s="82">
        <f t="shared" si="14"/>
        <v>1005.5</v>
      </c>
      <c r="P32" s="82">
        <f t="shared" si="14"/>
        <v>30.86</v>
      </c>
      <c r="Q32" s="83">
        <f t="shared" si="14"/>
        <v>14.98</v>
      </c>
      <c r="R32" s="106">
        <f>SUM(F32:Q32)</f>
        <v>12540.789999999999</v>
      </c>
    </row>
    <row r="33" spans="2:19" ht="16.2" thickBot="1" x14ac:dyDescent="0.35">
      <c r="B33" s="196"/>
      <c r="C33" s="110" t="s">
        <v>56</v>
      </c>
      <c r="D33" s="63" t="s">
        <v>4</v>
      </c>
      <c r="E33" s="7"/>
      <c r="F33" s="31">
        <f>+F32+F31</f>
        <v>41.5</v>
      </c>
      <c r="G33" s="32">
        <f t="shared" ref="G33:Q33" si="15">SUM(G31:G32)</f>
        <v>41.82</v>
      </c>
      <c r="H33" s="32">
        <f t="shared" si="15"/>
        <v>42.06</v>
      </c>
      <c r="I33" s="32">
        <f t="shared" si="15"/>
        <v>43.34</v>
      </c>
      <c r="J33" s="32">
        <f t="shared" si="15"/>
        <v>1594.57</v>
      </c>
      <c r="K33" s="33">
        <f t="shared" si="15"/>
        <v>2427.06</v>
      </c>
      <c r="L33" s="100">
        <f t="shared" si="15"/>
        <v>2606.5300000000002</v>
      </c>
      <c r="M33" s="32">
        <f t="shared" si="15"/>
        <v>2400.6299999999997</v>
      </c>
      <c r="N33" s="32">
        <f t="shared" si="15"/>
        <v>2367.08</v>
      </c>
      <c r="O33" s="32">
        <f t="shared" si="15"/>
        <v>1013.73</v>
      </c>
      <c r="P33" s="32">
        <f t="shared" si="15"/>
        <v>39.36</v>
      </c>
      <c r="Q33" s="33">
        <f t="shared" si="15"/>
        <v>23.21</v>
      </c>
      <c r="R33" s="59">
        <f>SUM(F33:Q33)</f>
        <v>12640.89</v>
      </c>
    </row>
    <row r="34" spans="2:19" x14ac:dyDescent="0.25">
      <c r="B34" s="9"/>
      <c r="C34" s="9"/>
      <c r="D34" s="9"/>
      <c r="E34" s="9"/>
      <c r="F34" s="114"/>
      <c r="G34" s="115"/>
      <c r="H34" s="115"/>
      <c r="I34" s="115"/>
      <c r="J34" s="115"/>
      <c r="K34" s="116"/>
      <c r="L34" s="114"/>
      <c r="M34" s="115"/>
      <c r="N34" s="115"/>
      <c r="O34" s="115"/>
      <c r="P34" s="115"/>
      <c r="Q34" s="116"/>
      <c r="R34" s="117"/>
      <c r="S34" s="9"/>
    </row>
    <row r="35" spans="2:19" ht="15" x14ac:dyDescent="0.25">
      <c r="B35" s="3" t="s">
        <v>47</v>
      </c>
      <c r="C35" s="3" t="s">
        <v>57</v>
      </c>
      <c r="D35" s="3" t="s">
        <v>4</v>
      </c>
      <c r="E35" s="9"/>
      <c r="F35" s="81">
        <f t="shared" ref="F35:Q35" si="16">ROUND((F21+F27)*0.00966,2)</f>
        <v>11.48</v>
      </c>
      <c r="G35" s="82">
        <f t="shared" si="16"/>
        <v>11.49</v>
      </c>
      <c r="H35" s="82">
        <f t="shared" si="16"/>
        <v>11.13</v>
      </c>
      <c r="I35" s="82">
        <f t="shared" si="16"/>
        <v>11.5</v>
      </c>
      <c r="J35" s="82">
        <f t="shared" si="16"/>
        <v>21.83</v>
      </c>
      <c r="K35" s="83">
        <f t="shared" si="16"/>
        <v>27.93</v>
      </c>
      <c r="L35" s="81">
        <f t="shared" si="16"/>
        <v>29.17</v>
      </c>
      <c r="M35" s="82">
        <f t="shared" si="16"/>
        <v>26.66</v>
      </c>
      <c r="N35" s="82">
        <f t="shared" si="16"/>
        <v>27.52</v>
      </c>
      <c r="O35" s="82">
        <f t="shared" si="16"/>
        <v>17.82</v>
      </c>
      <c r="P35" s="82">
        <f t="shared" si="16"/>
        <v>11.47</v>
      </c>
      <c r="Q35" s="83">
        <f t="shared" si="16"/>
        <v>11</v>
      </c>
      <c r="R35" s="106">
        <f t="shared" ref="R35:R36" si="17">SUM(F35:Q35)</f>
        <v>219.00000000000003</v>
      </c>
      <c r="S35" s="9"/>
    </row>
    <row r="36" spans="2:19" ht="15" x14ac:dyDescent="0.25">
      <c r="B36" s="3" t="s">
        <v>65</v>
      </c>
      <c r="C36" s="3" t="s">
        <v>63</v>
      </c>
      <c r="D36" s="3" t="s">
        <v>4</v>
      </c>
      <c r="E36" s="9"/>
      <c r="F36" s="81">
        <f t="shared" ref="F36:Q36" si="18">ROUND((F21+F27+F33)*0.0014,2)</f>
        <v>1.72</v>
      </c>
      <c r="G36" s="82">
        <f t="shared" si="18"/>
        <v>1.72</v>
      </c>
      <c r="H36" s="82">
        <f t="shared" si="18"/>
        <v>1.67</v>
      </c>
      <c r="I36" s="82">
        <f t="shared" si="18"/>
        <v>1.73</v>
      </c>
      <c r="J36" s="82">
        <f t="shared" si="18"/>
        <v>5.4</v>
      </c>
      <c r="K36" s="83">
        <f t="shared" si="18"/>
        <v>7.45</v>
      </c>
      <c r="L36" s="81">
        <f t="shared" si="18"/>
        <v>7.88</v>
      </c>
      <c r="M36" s="82">
        <f t="shared" si="18"/>
        <v>7.23</v>
      </c>
      <c r="N36" s="82">
        <f t="shared" si="18"/>
        <v>7.3</v>
      </c>
      <c r="O36" s="82">
        <f t="shared" si="18"/>
        <v>4</v>
      </c>
      <c r="P36" s="82">
        <f t="shared" si="18"/>
        <v>1.72</v>
      </c>
      <c r="Q36" s="83">
        <f t="shared" si="18"/>
        <v>1.63</v>
      </c>
      <c r="R36" s="106">
        <f t="shared" si="17"/>
        <v>49.449999999999996</v>
      </c>
      <c r="S36" s="9"/>
    </row>
    <row r="37" spans="2:19" ht="15.6" thickBot="1" x14ac:dyDescent="0.3">
      <c r="B37" s="3" t="s">
        <v>62</v>
      </c>
      <c r="C37" s="133" t="s">
        <v>64</v>
      </c>
      <c r="D37" s="65" t="s">
        <v>4</v>
      </c>
      <c r="E37" s="7"/>
      <c r="F37" s="85">
        <f t="shared" ref="F37:Q37" si="19">ROUND(F12*0.00054,2)</f>
        <v>2.72</v>
      </c>
      <c r="G37" s="86">
        <f t="shared" si="19"/>
        <v>2.74</v>
      </c>
      <c r="H37" s="86">
        <f t="shared" si="19"/>
        <v>2.79</v>
      </c>
      <c r="I37" s="86">
        <f t="shared" si="19"/>
        <v>2.87</v>
      </c>
      <c r="J37" s="86">
        <f t="shared" si="19"/>
        <v>130.63999999999999</v>
      </c>
      <c r="K37" s="87">
        <f t="shared" si="19"/>
        <v>199.18</v>
      </c>
      <c r="L37" s="85">
        <f t="shared" si="19"/>
        <v>213.96</v>
      </c>
      <c r="M37" s="86">
        <f t="shared" si="19"/>
        <v>197.07</v>
      </c>
      <c r="N37" s="86">
        <f t="shared" si="19"/>
        <v>194.24</v>
      </c>
      <c r="O37" s="86">
        <f t="shared" si="19"/>
        <v>82.81</v>
      </c>
      <c r="P37" s="86">
        <f t="shared" si="19"/>
        <v>2.54</v>
      </c>
      <c r="Q37" s="87">
        <f t="shared" si="19"/>
        <v>1.23</v>
      </c>
      <c r="R37" s="118">
        <f>SUM(F37:Q37)</f>
        <v>1032.79</v>
      </c>
    </row>
    <row r="38" spans="2:19" ht="16.2" thickBot="1" x14ac:dyDescent="0.35">
      <c r="B38" s="27"/>
      <c r="C38" s="26" t="s">
        <v>66</v>
      </c>
      <c r="D38" s="55" t="s">
        <v>4</v>
      </c>
      <c r="E38" s="66"/>
      <c r="F38" s="31">
        <f>SUM(F35:F37)</f>
        <v>15.920000000000002</v>
      </c>
      <c r="G38" s="32">
        <f t="shared" ref="G38:Q38" si="20">SUM(G35:G37)</f>
        <v>15.950000000000001</v>
      </c>
      <c r="H38" s="32">
        <f t="shared" si="20"/>
        <v>15.59</v>
      </c>
      <c r="I38" s="32">
        <f t="shared" si="20"/>
        <v>16.100000000000001</v>
      </c>
      <c r="J38" s="32">
        <f t="shared" si="20"/>
        <v>157.86999999999998</v>
      </c>
      <c r="K38" s="33">
        <f t="shared" si="20"/>
        <v>234.56</v>
      </c>
      <c r="L38" s="31">
        <f t="shared" si="20"/>
        <v>251.01000000000002</v>
      </c>
      <c r="M38" s="32">
        <f t="shared" si="20"/>
        <v>230.95999999999998</v>
      </c>
      <c r="N38" s="32">
        <f t="shared" si="20"/>
        <v>229.06</v>
      </c>
      <c r="O38" s="32">
        <f t="shared" si="20"/>
        <v>104.63</v>
      </c>
      <c r="P38" s="32">
        <f t="shared" si="20"/>
        <v>15.73</v>
      </c>
      <c r="Q38" s="54">
        <f t="shared" si="20"/>
        <v>13.86</v>
      </c>
      <c r="R38" s="59">
        <f>SUM(F38:Q38)</f>
        <v>1301.24</v>
      </c>
    </row>
    <row r="39" spans="2:19" ht="15" x14ac:dyDescent="0.25">
      <c r="C39" s="27"/>
      <c r="D39" s="27"/>
      <c r="E39" s="7"/>
      <c r="F39" s="43"/>
      <c r="G39" s="10"/>
      <c r="H39" s="10"/>
      <c r="I39" s="10"/>
      <c r="J39" s="10"/>
      <c r="K39" s="44"/>
      <c r="L39" s="43"/>
      <c r="M39" s="10"/>
      <c r="N39" s="10"/>
      <c r="O39" s="10"/>
      <c r="P39" s="10"/>
      <c r="Q39" s="10"/>
      <c r="R39" s="78"/>
    </row>
    <row r="40" spans="2:19" ht="15" x14ac:dyDescent="0.25">
      <c r="B40" s="183" t="s">
        <v>31</v>
      </c>
      <c r="C40" s="28" t="s">
        <v>25</v>
      </c>
      <c r="D40" s="3" t="s">
        <v>4</v>
      </c>
      <c r="E40" s="7"/>
      <c r="F40" s="81">
        <f>26.03+19.23</f>
        <v>45.260000000000005</v>
      </c>
      <c r="G40" s="82">
        <v>45.260000000000005</v>
      </c>
      <c r="H40" s="82">
        <v>45.260000000000005</v>
      </c>
      <c r="I40" s="82">
        <v>45.260000000000005</v>
      </c>
      <c r="J40" s="82">
        <v>45.260000000000005</v>
      </c>
      <c r="K40" s="83">
        <v>45.260000000000005</v>
      </c>
      <c r="L40" s="81">
        <v>45.260000000000005</v>
      </c>
      <c r="M40" s="82">
        <v>45.260000000000005</v>
      </c>
      <c r="N40" s="82">
        <v>45.260000000000005</v>
      </c>
      <c r="O40" s="82">
        <v>45.260000000000005</v>
      </c>
      <c r="P40" s="82">
        <v>45.260000000000005</v>
      </c>
      <c r="Q40" s="84">
        <v>45.260000000000005</v>
      </c>
      <c r="R40" s="89">
        <f>SUM(F40:Q40)</f>
        <v>543.12</v>
      </c>
    </row>
    <row r="41" spans="2:19" ht="15.6" thickBot="1" x14ac:dyDescent="0.3">
      <c r="B41" s="183"/>
      <c r="C41" s="53" t="s">
        <v>30</v>
      </c>
      <c r="D41" s="50" t="s">
        <v>4</v>
      </c>
      <c r="E41" s="7"/>
      <c r="F41" s="85">
        <f>55+55</f>
        <v>110</v>
      </c>
      <c r="G41" s="86">
        <f t="shared" ref="G41:Q41" si="21">55+55</f>
        <v>110</v>
      </c>
      <c r="H41" s="86">
        <f t="shared" si="21"/>
        <v>110</v>
      </c>
      <c r="I41" s="86">
        <f t="shared" si="21"/>
        <v>110</v>
      </c>
      <c r="J41" s="86">
        <f t="shared" si="21"/>
        <v>110</v>
      </c>
      <c r="K41" s="87">
        <f t="shared" si="21"/>
        <v>110</v>
      </c>
      <c r="L41" s="85">
        <f t="shared" si="21"/>
        <v>110</v>
      </c>
      <c r="M41" s="86">
        <f t="shared" si="21"/>
        <v>110</v>
      </c>
      <c r="N41" s="86">
        <f t="shared" si="21"/>
        <v>110</v>
      </c>
      <c r="O41" s="86">
        <f t="shared" si="21"/>
        <v>110</v>
      </c>
      <c r="P41" s="86">
        <f t="shared" si="21"/>
        <v>110</v>
      </c>
      <c r="Q41" s="88">
        <f t="shared" si="21"/>
        <v>110</v>
      </c>
      <c r="R41" s="90">
        <f>SUM(F41:Q41)</f>
        <v>1320</v>
      </c>
    </row>
    <row r="42" spans="2:19" ht="16.2" thickBot="1" x14ac:dyDescent="0.35">
      <c r="B42" s="184"/>
      <c r="C42" s="26" t="s">
        <v>75</v>
      </c>
      <c r="D42" s="64" t="s">
        <v>4</v>
      </c>
      <c r="E42" s="56"/>
      <c r="F42" s="57">
        <f>+F41+F40</f>
        <v>155.26</v>
      </c>
      <c r="G42" s="58">
        <f t="shared" ref="G42:Q42" si="22">+G41+G40</f>
        <v>155.26</v>
      </c>
      <c r="H42" s="58">
        <f t="shared" si="22"/>
        <v>155.26</v>
      </c>
      <c r="I42" s="58">
        <f t="shared" si="22"/>
        <v>155.26</v>
      </c>
      <c r="J42" s="58">
        <f t="shared" si="22"/>
        <v>155.26</v>
      </c>
      <c r="K42" s="58">
        <f t="shared" si="22"/>
        <v>155.26</v>
      </c>
      <c r="L42" s="57">
        <f t="shared" si="22"/>
        <v>155.26</v>
      </c>
      <c r="M42" s="58">
        <f t="shared" si="22"/>
        <v>155.26</v>
      </c>
      <c r="N42" s="58">
        <f t="shared" si="22"/>
        <v>155.26</v>
      </c>
      <c r="O42" s="58">
        <f t="shared" si="22"/>
        <v>155.26</v>
      </c>
      <c r="P42" s="58">
        <f t="shared" si="22"/>
        <v>155.26</v>
      </c>
      <c r="Q42" s="49">
        <f t="shared" si="22"/>
        <v>155.26</v>
      </c>
      <c r="R42" s="49">
        <f>SUM(F42:Q42)</f>
        <v>1863.12</v>
      </c>
    </row>
    <row r="43" spans="2:19" ht="15.6" thickBot="1" x14ac:dyDescent="0.3">
      <c r="C43" s="27"/>
      <c r="D43" s="27"/>
      <c r="E43" s="7"/>
      <c r="F43" s="43"/>
      <c r="G43" s="10"/>
      <c r="H43" s="10"/>
      <c r="I43" s="10"/>
      <c r="J43" s="10"/>
      <c r="K43" s="10"/>
      <c r="L43" s="43"/>
      <c r="M43" s="10"/>
      <c r="N43" s="10"/>
      <c r="O43" s="10"/>
      <c r="P43" s="10"/>
      <c r="Q43" s="44"/>
      <c r="R43" s="44"/>
    </row>
    <row r="44" spans="2:19" ht="16.2" thickBot="1" x14ac:dyDescent="0.35">
      <c r="C44" s="29" t="s">
        <v>23</v>
      </c>
      <c r="D44" s="63" t="s">
        <v>3</v>
      </c>
      <c r="E44" s="7"/>
      <c r="F44" s="45">
        <f t="shared" ref="F44:R44" si="23">+F46/F12</f>
        <v>0.33347209735744088</v>
      </c>
      <c r="G44" s="46">
        <f t="shared" si="23"/>
        <v>0.33090125226288863</v>
      </c>
      <c r="H44" s="46">
        <f t="shared" si="23"/>
        <v>0.31949231007751938</v>
      </c>
      <c r="I44" s="46">
        <f t="shared" si="23"/>
        <v>0.31937347158449375</v>
      </c>
      <c r="J44" s="46">
        <f t="shared" si="23"/>
        <v>7.2227655248810599E-2</v>
      </c>
      <c r="K44" s="47">
        <f t="shared" si="23"/>
        <v>7.047717703577587E-2</v>
      </c>
      <c r="L44" s="45">
        <f t="shared" si="23"/>
        <v>7.022585121509857E-2</v>
      </c>
      <c r="M44" s="46">
        <f t="shared" si="23"/>
        <v>7.0201426764507621E-2</v>
      </c>
      <c r="N44" s="46">
        <f t="shared" si="23"/>
        <v>7.0569716789360151E-2</v>
      </c>
      <c r="O44" s="46">
        <f t="shared" si="23"/>
        <v>7.5340513306422677E-2</v>
      </c>
      <c r="P44" s="46">
        <f t="shared" si="23"/>
        <v>0.35200157501062473</v>
      </c>
      <c r="Q44" s="48">
        <f t="shared" si="23"/>
        <v>0.63763772679509634</v>
      </c>
      <c r="R44" s="30">
        <f t="shared" si="23"/>
        <v>7.5118690421639434E-2</v>
      </c>
    </row>
    <row r="45" spans="2:19" ht="15.6" thickBot="1" x14ac:dyDescent="0.3">
      <c r="C45" s="27"/>
      <c r="D45" s="27"/>
      <c r="E45" s="7"/>
      <c r="F45" s="42"/>
      <c r="G45" s="27"/>
      <c r="H45" s="27"/>
      <c r="I45" s="27"/>
      <c r="J45" s="27"/>
      <c r="K45" s="27"/>
      <c r="L45" s="42"/>
      <c r="M45" s="27"/>
      <c r="N45" s="27"/>
      <c r="O45" s="27"/>
      <c r="P45" s="27"/>
      <c r="Q45" s="21"/>
      <c r="R45" s="21"/>
    </row>
    <row r="46" spans="2:19" ht="16.2" thickBot="1" x14ac:dyDescent="0.35">
      <c r="B46" s="7"/>
      <c r="C46" s="29" t="s">
        <v>38</v>
      </c>
      <c r="D46" s="64" t="s">
        <v>21</v>
      </c>
      <c r="E46" s="7"/>
      <c r="F46" s="31">
        <f t="shared" ref="F46:Q46" si="24">F15+F21+F27+F33+F38+F42</f>
        <v>1678.3650660000001</v>
      </c>
      <c r="G46" s="32">
        <f t="shared" si="24"/>
        <v>1681.6401639999999</v>
      </c>
      <c r="H46" s="32">
        <f t="shared" si="24"/>
        <v>1648.58032</v>
      </c>
      <c r="I46" s="32">
        <f t="shared" si="24"/>
        <v>1697.1506279999999</v>
      </c>
      <c r="J46" s="32">
        <f t="shared" si="24"/>
        <v>17474.108861999997</v>
      </c>
      <c r="K46" s="33">
        <f t="shared" si="24"/>
        <v>25995.647704000003</v>
      </c>
      <c r="L46" s="31">
        <f t="shared" si="24"/>
        <v>27825.097446</v>
      </c>
      <c r="M46" s="32">
        <f t="shared" si="24"/>
        <v>25619.729891999999</v>
      </c>
      <c r="N46" s="32">
        <f t="shared" si="24"/>
        <v>25384.209408000002</v>
      </c>
      <c r="O46" s="32">
        <f t="shared" si="24"/>
        <v>11553.241693999998</v>
      </c>
      <c r="P46" s="32">
        <f t="shared" si="24"/>
        <v>1656.5194119999999</v>
      </c>
      <c r="Q46" s="33">
        <f t="shared" si="24"/>
        <v>1456.364568</v>
      </c>
      <c r="R46" s="49">
        <f>SUM(F46:Q46)</f>
        <v>143670.655164</v>
      </c>
    </row>
    <row r="47" spans="2:19" ht="16.2" thickBot="1" x14ac:dyDescent="0.35">
      <c r="C47" s="13"/>
      <c r="D47" s="13"/>
      <c r="E47" s="13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2"/>
    </row>
    <row r="48" spans="2:19" ht="18" thickBot="1" x14ac:dyDescent="0.35">
      <c r="C48" s="139" t="s">
        <v>93</v>
      </c>
      <c r="D48" s="136">
        <v>9.2617350000000016</v>
      </c>
      <c r="E48" s="13"/>
      <c r="F48" s="197" t="s">
        <v>41</v>
      </c>
      <c r="G48" s="198"/>
      <c r="H48" s="198"/>
      <c r="I48" s="198"/>
      <c r="J48" s="198"/>
      <c r="K48" s="198"/>
      <c r="L48" s="198"/>
      <c r="M48" s="198"/>
      <c r="N48" s="198"/>
      <c r="O48" s="198"/>
      <c r="P48" s="198"/>
      <c r="Q48" s="199"/>
      <c r="R48" s="4"/>
    </row>
    <row r="49" spans="2:18" ht="18" thickBot="1" x14ac:dyDescent="0.35">
      <c r="C49" s="137" t="s">
        <v>96</v>
      </c>
      <c r="D49" s="138">
        <v>1.0659894000000001</v>
      </c>
      <c r="E49" s="13"/>
      <c r="F49" s="180" t="s">
        <v>91</v>
      </c>
      <c r="G49" s="181"/>
      <c r="H49" s="181"/>
      <c r="I49" s="181"/>
      <c r="J49" s="181"/>
      <c r="K49" s="182"/>
      <c r="L49" s="180" t="s">
        <v>92</v>
      </c>
      <c r="M49" s="181"/>
      <c r="N49" s="181"/>
      <c r="O49" s="181"/>
      <c r="P49" s="181"/>
      <c r="Q49" s="182"/>
      <c r="R49" s="15"/>
    </row>
    <row r="50" spans="2:18" ht="16.2" thickBot="1" x14ac:dyDescent="0.35">
      <c r="B50" s="98" t="s">
        <v>1</v>
      </c>
      <c r="C50" s="99"/>
      <c r="D50" s="3" t="s">
        <v>2</v>
      </c>
      <c r="E50" s="13"/>
      <c r="F50" s="23" t="s">
        <v>12</v>
      </c>
      <c r="G50" s="24" t="s">
        <v>13</v>
      </c>
      <c r="H50" s="24" t="s">
        <v>14</v>
      </c>
      <c r="I50" s="24" t="s">
        <v>15</v>
      </c>
      <c r="J50" s="24" t="s">
        <v>16</v>
      </c>
      <c r="K50" s="25" t="s">
        <v>17</v>
      </c>
      <c r="L50" s="23" t="s">
        <v>6</v>
      </c>
      <c r="M50" s="24" t="s">
        <v>7</v>
      </c>
      <c r="N50" s="24" t="s">
        <v>8</v>
      </c>
      <c r="O50" s="24" t="s">
        <v>9</v>
      </c>
      <c r="P50" s="24" t="s">
        <v>10</v>
      </c>
      <c r="Q50" s="25" t="s">
        <v>11</v>
      </c>
      <c r="R50" s="22" t="s">
        <v>85</v>
      </c>
    </row>
    <row r="51" spans="2:18" ht="15.6" x14ac:dyDescent="0.3">
      <c r="B51" s="9"/>
      <c r="C51" s="79"/>
      <c r="D51" s="3" t="s">
        <v>39</v>
      </c>
      <c r="E51" s="7"/>
      <c r="F51" s="23">
        <v>31</v>
      </c>
      <c r="G51" s="24">
        <v>31</v>
      </c>
      <c r="H51" s="24">
        <v>30</v>
      </c>
      <c r="I51" s="24">
        <v>31</v>
      </c>
      <c r="J51" s="24">
        <v>30</v>
      </c>
      <c r="K51" s="25">
        <v>31</v>
      </c>
      <c r="L51" s="23">
        <v>31</v>
      </c>
      <c r="M51" s="145">
        <v>28</v>
      </c>
      <c r="N51" s="24">
        <v>31</v>
      </c>
      <c r="O51" s="24">
        <v>30</v>
      </c>
      <c r="P51" s="24">
        <v>31</v>
      </c>
      <c r="Q51" s="25">
        <v>30</v>
      </c>
      <c r="R51" s="80">
        <f>SUM(F51:Q51)</f>
        <v>365</v>
      </c>
    </row>
    <row r="52" spans="2:18" ht="16.5" customHeight="1" thickBot="1" x14ac:dyDescent="0.35">
      <c r="B52" s="9"/>
      <c r="C52" s="27"/>
      <c r="D52" s="27"/>
      <c r="E52" s="13"/>
      <c r="F52" s="34"/>
      <c r="G52" s="35"/>
      <c r="H52" s="35"/>
      <c r="I52" s="35"/>
      <c r="J52" s="35"/>
      <c r="K52" s="36"/>
      <c r="L52" s="37"/>
      <c r="M52" s="38"/>
      <c r="N52" s="38"/>
      <c r="O52" s="38"/>
      <c r="P52" s="38"/>
      <c r="Q52" s="39"/>
      <c r="R52" s="21"/>
    </row>
    <row r="53" spans="2:18" ht="16.2" thickBot="1" x14ac:dyDescent="0.35">
      <c r="B53" s="7"/>
      <c r="C53" s="26" t="s">
        <v>34</v>
      </c>
      <c r="D53" s="63" t="s">
        <v>0</v>
      </c>
      <c r="E53" s="13"/>
      <c r="F53" s="95">
        <f>+'Consum Rubí'!H$23</f>
        <v>10038</v>
      </c>
      <c r="G53" s="95">
        <f>+'Consum Rubí'!I$23</f>
        <v>9549</v>
      </c>
      <c r="H53" s="95">
        <f>+'Consum Rubí'!J$23</f>
        <v>10185</v>
      </c>
      <c r="I53" s="95">
        <f>+'Consum Rubí'!K$23</f>
        <v>11564</v>
      </c>
      <c r="J53" s="95">
        <f>+'Consum Rubí'!L$23</f>
        <v>292448</v>
      </c>
      <c r="K53" s="96">
        <f>+'Consum Rubí'!M$23</f>
        <v>453623</v>
      </c>
      <c r="L53" s="94">
        <f>+'Consum Rubí'!B$23</f>
        <v>489778</v>
      </c>
      <c r="M53" s="95">
        <f>+'Consum Rubí'!C$23</f>
        <v>514188</v>
      </c>
      <c r="N53" s="95">
        <f>+'Consum Rubí'!D$23</f>
        <v>384622</v>
      </c>
      <c r="O53" s="95">
        <f>+'Consum Rubí'!E$23</f>
        <v>285199</v>
      </c>
      <c r="P53" s="95">
        <f>+'Consum Rubí'!F$23</f>
        <v>78143</v>
      </c>
      <c r="Q53" s="96">
        <f>+'Consum Rubí'!G$23</f>
        <v>12448</v>
      </c>
      <c r="R53" s="97">
        <f>SUM(F53:Q53)</f>
        <v>2551785</v>
      </c>
    </row>
    <row r="54" spans="2:18" ht="15.6" x14ac:dyDescent="0.3">
      <c r="C54" s="102"/>
      <c r="D54" s="101"/>
      <c r="E54" s="7"/>
      <c r="F54" s="127"/>
      <c r="G54" s="128"/>
      <c r="H54" s="128"/>
      <c r="I54" s="128"/>
      <c r="J54" s="128"/>
      <c r="K54" s="129"/>
      <c r="L54" s="120"/>
      <c r="M54" s="103"/>
      <c r="N54" s="103"/>
      <c r="O54" s="103"/>
      <c r="P54" s="103"/>
      <c r="Q54" s="104"/>
      <c r="R54" s="105"/>
    </row>
    <row r="55" spans="2:18" ht="15.6" thickBot="1" x14ac:dyDescent="0.3">
      <c r="B55" s="9"/>
      <c r="C55" s="50" t="s">
        <v>77</v>
      </c>
      <c r="D55" s="3" t="s">
        <v>3</v>
      </c>
      <c r="E55" s="7"/>
      <c r="F55" s="134">
        <f>ROUND((D6*D49)/1000+D48/1000,6)</f>
        <v>5.6165E-2</v>
      </c>
      <c r="G55" s="130">
        <f t="shared" ref="G55:Q55" si="25">+F55</f>
        <v>5.6165E-2</v>
      </c>
      <c r="H55" s="130">
        <f t="shared" si="25"/>
        <v>5.6165E-2</v>
      </c>
      <c r="I55" s="130">
        <f t="shared" si="25"/>
        <v>5.6165E-2</v>
      </c>
      <c r="J55" s="130">
        <f t="shared" si="25"/>
        <v>5.6165E-2</v>
      </c>
      <c r="K55" s="131">
        <f t="shared" si="25"/>
        <v>5.6165E-2</v>
      </c>
      <c r="L55" s="113">
        <f t="shared" si="25"/>
        <v>5.6165E-2</v>
      </c>
      <c r="M55" s="92">
        <f t="shared" si="25"/>
        <v>5.6165E-2</v>
      </c>
      <c r="N55" s="92">
        <f t="shared" si="25"/>
        <v>5.6165E-2</v>
      </c>
      <c r="O55" s="92">
        <f t="shared" si="25"/>
        <v>5.6165E-2</v>
      </c>
      <c r="P55" s="92">
        <f t="shared" si="25"/>
        <v>5.6165E-2</v>
      </c>
      <c r="Q55" s="93">
        <f t="shared" si="25"/>
        <v>5.6165E-2</v>
      </c>
      <c r="R55" s="78"/>
    </row>
    <row r="56" spans="2:18" ht="16.2" thickBot="1" x14ac:dyDescent="0.35">
      <c r="B56" s="52" t="s">
        <v>22</v>
      </c>
      <c r="C56" s="51" t="s">
        <v>77</v>
      </c>
      <c r="D56" s="63" t="s">
        <v>4</v>
      </c>
      <c r="E56" s="56"/>
      <c r="F56" s="31">
        <f>+F55*F53</f>
        <v>563.78426999999999</v>
      </c>
      <c r="G56" s="32">
        <f t="shared" ref="G56" si="26">+G55*G53</f>
        <v>536.31958499999996</v>
      </c>
      <c r="H56" s="32">
        <f t="shared" ref="H56" si="27">+H55*H53</f>
        <v>572.040525</v>
      </c>
      <c r="I56" s="32">
        <f t="shared" ref="I56" si="28">+I55*I53</f>
        <v>649.49206000000004</v>
      </c>
      <c r="J56" s="32">
        <f t="shared" ref="J56" si="29">+J55*J53</f>
        <v>16425.341919999999</v>
      </c>
      <c r="K56" s="33">
        <f t="shared" ref="K56" si="30">+K55*K53</f>
        <v>25477.735795000001</v>
      </c>
      <c r="L56" s="100">
        <f t="shared" ref="L56" si="31">+L55*L53</f>
        <v>27508.381369999999</v>
      </c>
      <c r="M56" s="32">
        <f t="shared" ref="M56" si="32">+M55*M53</f>
        <v>28879.369019999998</v>
      </c>
      <c r="N56" s="32">
        <f t="shared" ref="N56" si="33">+N55*N53</f>
        <v>21602.29463</v>
      </c>
      <c r="O56" s="32">
        <f t="shared" ref="O56" si="34">+O55*O53</f>
        <v>16018.201835</v>
      </c>
      <c r="P56" s="32">
        <f t="shared" ref="P56" si="35">+P55*P53</f>
        <v>4388.9015950000003</v>
      </c>
      <c r="Q56" s="33">
        <f t="shared" ref="Q56" si="36">+Q55*Q53</f>
        <v>699.14192000000003</v>
      </c>
      <c r="R56" s="59">
        <f>SUM(F56:Q56)</f>
        <v>143321.004525</v>
      </c>
    </row>
    <row r="57" spans="2:18" ht="15" x14ac:dyDescent="0.25">
      <c r="B57" s="9"/>
      <c r="C57" s="27"/>
      <c r="D57" s="27"/>
      <c r="E57" s="7"/>
      <c r="F57" s="60"/>
      <c r="G57" s="61"/>
      <c r="H57" s="61"/>
      <c r="I57" s="61"/>
      <c r="J57" s="61"/>
      <c r="K57" s="62"/>
      <c r="L57" s="60"/>
      <c r="M57" s="61"/>
      <c r="N57" s="61"/>
      <c r="O57" s="61"/>
      <c r="P57" s="61"/>
      <c r="Q57" s="62"/>
      <c r="R57" s="77"/>
    </row>
    <row r="58" spans="2:18" ht="15" x14ac:dyDescent="0.25">
      <c r="B58" s="191" t="s">
        <v>49</v>
      </c>
      <c r="C58" s="50" t="s">
        <v>70</v>
      </c>
      <c r="D58" s="3" t="s">
        <v>4</v>
      </c>
      <c r="E58" s="7"/>
      <c r="F58" s="81">
        <f t="shared" ref="F58:Q58" si="37">ROUND(F17*F51,2)</f>
        <v>120.06</v>
      </c>
      <c r="G58" s="82">
        <f t="shared" si="37"/>
        <v>120.06</v>
      </c>
      <c r="H58" s="82">
        <f t="shared" si="37"/>
        <v>116.18</v>
      </c>
      <c r="I58" s="82">
        <f t="shared" si="37"/>
        <v>120.06</v>
      </c>
      <c r="J58" s="82">
        <f t="shared" si="37"/>
        <v>116.18</v>
      </c>
      <c r="K58" s="83">
        <f t="shared" si="37"/>
        <v>120.06</v>
      </c>
      <c r="L58" s="81">
        <f t="shared" si="37"/>
        <v>120.06</v>
      </c>
      <c r="M58" s="82">
        <f t="shared" si="37"/>
        <v>108.44</v>
      </c>
      <c r="N58" s="82">
        <f t="shared" si="37"/>
        <v>120.06</v>
      </c>
      <c r="O58" s="82">
        <f t="shared" si="37"/>
        <v>116.18</v>
      </c>
      <c r="P58" s="82">
        <f t="shared" si="37"/>
        <v>120.06</v>
      </c>
      <c r="Q58" s="83">
        <f t="shared" si="37"/>
        <v>116.18</v>
      </c>
      <c r="R58" s="106">
        <f>SUM(F58:Q58)</f>
        <v>1413.58</v>
      </c>
    </row>
    <row r="59" spans="2:18" ht="15.6" thickBot="1" x14ac:dyDescent="0.3">
      <c r="B59" s="192"/>
      <c r="C59" s="50" t="s">
        <v>71</v>
      </c>
      <c r="D59" s="50" t="s">
        <v>4</v>
      </c>
      <c r="E59" s="7"/>
      <c r="F59" s="81">
        <f t="shared" ref="F59:Q59" si="38">ROUND(F53*F18,2)</f>
        <v>0</v>
      </c>
      <c r="G59" s="82">
        <f t="shared" si="38"/>
        <v>0</v>
      </c>
      <c r="H59" s="82">
        <f t="shared" si="38"/>
        <v>0</v>
      </c>
      <c r="I59" s="82">
        <f t="shared" si="38"/>
        <v>0</v>
      </c>
      <c r="J59" s="82">
        <f t="shared" si="38"/>
        <v>0</v>
      </c>
      <c r="K59" s="83">
        <f t="shared" si="38"/>
        <v>0</v>
      </c>
      <c r="L59" s="81">
        <f t="shared" si="38"/>
        <v>0</v>
      </c>
      <c r="M59" s="82">
        <f t="shared" si="38"/>
        <v>0</v>
      </c>
      <c r="N59" s="82">
        <f t="shared" si="38"/>
        <v>0</v>
      </c>
      <c r="O59" s="82">
        <f t="shared" si="38"/>
        <v>0</v>
      </c>
      <c r="P59" s="82">
        <f t="shared" si="38"/>
        <v>0</v>
      </c>
      <c r="Q59" s="83">
        <f t="shared" si="38"/>
        <v>0</v>
      </c>
      <c r="R59" s="106">
        <f>SUM(F59:Q59)</f>
        <v>0</v>
      </c>
    </row>
    <row r="60" spans="2:18" ht="16.2" thickBot="1" x14ac:dyDescent="0.35">
      <c r="B60" s="193"/>
      <c r="C60" s="110" t="s">
        <v>51</v>
      </c>
      <c r="D60" s="63" t="s">
        <v>4</v>
      </c>
      <c r="E60" s="56"/>
      <c r="F60" s="31">
        <f>+F59+F58</f>
        <v>120.06</v>
      </c>
      <c r="G60" s="32">
        <f t="shared" ref="G60:Q60" si="39">SUM(G58:G59)</f>
        <v>120.06</v>
      </c>
      <c r="H60" s="32">
        <f t="shared" si="39"/>
        <v>116.18</v>
      </c>
      <c r="I60" s="32">
        <f t="shared" si="39"/>
        <v>120.06</v>
      </c>
      <c r="J60" s="32">
        <f t="shared" si="39"/>
        <v>116.18</v>
      </c>
      <c r="K60" s="33">
        <f t="shared" si="39"/>
        <v>120.06</v>
      </c>
      <c r="L60" s="100">
        <f t="shared" si="39"/>
        <v>120.06</v>
      </c>
      <c r="M60" s="32">
        <f t="shared" si="39"/>
        <v>108.44</v>
      </c>
      <c r="N60" s="32">
        <f t="shared" si="39"/>
        <v>120.06</v>
      </c>
      <c r="O60" s="32">
        <f t="shared" si="39"/>
        <v>116.18</v>
      </c>
      <c r="P60" s="32">
        <f t="shared" si="39"/>
        <v>120.06</v>
      </c>
      <c r="Q60" s="33">
        <f t="shared" si="39"/>
        <v>116.18</v>
      </c>
      <c r="R60" s="59">
        <f>SUM(F60:Q60)</f>
        <v>1413.58</v>
      </c>
    </row>
    <row r="61" spans="2:18" ht="15" x14ac:dyDescent="0.25">
      <c r="B61" s="9"/>
      <c r="C61" s="27"/>
      <c r="D61" s="27"/>
      <c r="E61" s="7"/>
      <c r="F61" s="60"/>
      <c r="G61" s="61"/>
      <c r="H61" s="61"/>
      <c r="I61" s="61"/>
      <c r="J61" s="61"/>
      <c r="K61" s="62"/>
      <c r="L61" s="60"/>
      <c r="M61" s="61"/>
      <c r="N61" s="61"/>
      <c r="O61" s="61"/>
      <c r="P61" s="61"/>
      <c r="Q61" s="62"/>
      <c r="R61" s="77"/>
    </row>
    <row r="62" spans="2:18" ht="15" x14ac:dyDescent="0.25">
      <c r="B62" s="190" t="s">
        <v>48</v>
      </c>
      <c r="C62" s="50" t="s">
        <v>105</v>
      </c>
      <c r="D62" s="3" t="s">
        <v>46</v>
      </c>
      <c r="E62" s="7"/>
      <c r="F62" s="169">
        <f>12307.010366/$R10</f>
        <v>33.717836619178087</v>
      </c>
      <c r="G62" s="92">
        <f>+F62</f>
        <v>33.717836619178087</v>
      </c>
      <c r="H62" s="92">
        <f t="shared" ref="H62:Q62" si="40">+G62</f>
        <v>33.717836619178087</v>
      </c>
      <c r="I62" s="92">
        <f t="shared" si="40"/>
        <v>33.717836619178087</v>
      </c>
      <c r="J62" s="92">
        <f t="shared" si="40"/>
        <v>33.717836619178087</v>
      </c>
      <c r="K62" s="93">
        <f t="shared" si="40"/>
        <v>33.717836619178087</v>
      </c>
      <c r="L62" s="91">
        <f t="shared" si="40"/>
        <v>33.717836619178087</v>
      </c>
      <c r="M62" s="92">
        <f t="shared" si="40"/>
        <v>33.717836619178087</v>
      </c>
      <c r="N62" s="92">
        <f t="shared" si="40"/>
        <v>33.717836619178087</v>
      </c>
      <c r="O62" s="92">
        <f t="shared" si="40"/>
        <v>33.717836619178087</v>
      </c>
      <c r="P62" s="92">
        <f t="shared" si="40"/>
        <v>33.717836619178087</v>
      </c>
      <c r="Q62" s="93">
        <f t="shared" si="40"/>
        <v>33.717836619178087</v>
      </c>
      <c r="R62" s="78"/>
    </row>
    <row r="63" spans="2:18" ht="15" x14ac:dyDescent="0.25">
      <c r="B63" s="190"/>
      <c r="C63" s="3" t="s">
        <v>104</v>
      </c>
      <c r="D63" s="3" t="s">
        <v>3</v>
      </c>
      <c r="E63" s="7"/>
      <c r="F63" s="169">
        <v>4.679E-3</v>
      </c>
      <c r="G63" s="92">
        <f>+F63</f>
        <v>4.679E-3</v>
      </c>
      <c r="H63" s="92">
        <f t="shared" ref="H63:Q63" si="41">+G63</f>
        <v>4.679E-3</v>
      </c>
      <c r="I63" s="92">
        <f t="shared" si="41"/>
        <v>4.679E-3</v>
      </c>
      <c r="J63" s="92">
        <f t="shared" si="41"/>
        <v>4.679E-3</v>
      </c>
      <c r="K63" s="93">
        <f t="shared" si="41"/>
        <v>4.679E-3</v>
      </c>
      <c r="L63" s="91">
        <f t="shared" si="41"/>
        <v>4.679E-3</v>
      </c>
      <c r="M63" s="92">
        <f t="shared" si="41"/>
        <v>4.679E-3</v>
      </c>
      <c r="N63" s="92">
        <f t="shared" si="41"/>
        <v>4.679E-3</v>
      </c>
      <c r="O63" s="92">
        <f t="shared" si="41"/>
        <v>4.679E-3</v>
      </c>
      <c r="P63" s="92">
        <f t="shared" si="41"/>
        <v>4.679E-3</v>
      </c>
      <c r="Q63" s="93">
        <f t="shared" si="41"/>
        <v>4.679E-3</v>
      </c>
      <c r="R63" s="78"/>
    </row>
    <row r="64" spans="2:18" ht="15" x14ac:dyDescent="0.25">
      <c r="B64" s="190"/>
      <c r="C64" s="50" t="s">
        <v>44</v>
      </c>
      <c r="D64" s="3" t="s">
        <v>4</v>
      </c>
      <c r="E64" s="7"/>
      <c r="F64" s="81">
        <f t="shared" ref="F64:Q64" si="42">ROUND(F62*F51,2)</f>
        <v>1045.25</v>
      </c>
      <c r="G64" s="82">
        <f t="shared" si="42"/>
        <v>1045.25</v>
      </c>
      <c r="H64" s="82">
        <f t="shared" si="42"/>
        <v>1011.54</v>
      </c>
      <c r="I64" s="82">
        <f t="shared" si="42"/>
        <v>1045.25</v>
      </c>
      <c r="J64" s="82">
        <f t="shared" si="42"/>
        <v>1011.54</v>
      </c>
      <c r="K64" s="83">
        <f t="shared" si="42"/>
        <v>1045.25</v>
      </c>
      <c r="L64" s="81">
        <f t="shared" si="42"/>
        <v>1045.25</v>
      </c>
      <c r="M64" s="82">
        <f t="shared" si="42"/>
        <v>944.1</v>
      </c>
      <c r="N64" s="82">
        <f t="shared" si="42"/>
        <v>1045.25</v>
      </c>
      <c r="O64" s="82">
        <f t="shared" si="42"/>
        <v>1011.54</v>
      </c>
      <c r="P64" s="82">
        <f t="shared" si="42"/>
        <v>1045.25</v>
      </c>
      <c r="Q64" s="83">
        <f t="shared" si="42"/>
        <v>1011.54</v>
      </c>
      <c r="R64" s="78"/>
    </row>
    <row r="65" spans="2:20" ht="15.6" thickBot="1" x14ac:dyDescent="0.3">
      <c r="B65" s="190"/>
      <c r="C65" s="50" t="s">
        <v>45</v>
      </c>
      <c r="D65" s="3" t="s">
        <v>4</v>
      </c>
      <c r="E65" s="7"/>
      <c r="F65" s="81">
        <f t="shared" ref="F65:Q65" si="43">ROUND(F63*F53,2)</f>
        <v>46.97</v>
      </c>
      <c r="G65" s="82">
        <f t="shared" si="43"/>
        <v>44.68</v>
      </c>
      <c r="H65" s="82">
        <f t="shared" si="43"/>
        <v>47.66</v>
      </c>
      <c r="I65" s="82">
        <f t="shared" si="43"/>
        <v>54.11</v>
      </c>
      <c r="J65" s="82">
        <f t="shared" si="43"/>
        <v>1368.36</v>
      </c>
      <c r="K65" s="83">
        <f t="shared" si="43"/>
        <v>2122.5</v>
      </c>
      <c r="L65" s="81">
        <f t="shared" si="43"/>
        <v>2291.67</v>
      </c>
      <c r="M65" s="82">
        <f t="shared" si="43"/>
        <v>2405.89</v>
      </c>
      <c r="N65" s="82">
        <f t="shared" si="43"/>
        <v>1799.65</v>
      </c>
      <c r="O65" s="82">
        <f t="shared" si="43"/>
        <v>1334.45</v>
      </c>
      <c r="P65" s="82">
        <f t="shared" si="43"/>
        <v>365.63</v>
      </c>
      <c r="Q65" s="83">
        <f t="shared" si="43"/>
        <v>58.24</v>
      </c>
      <c r="R65" s="44"/>
    </row>
    <row r="66" spans="2:20" ht="16.2" thickBot="1" x14ac:dyDescent="0.35">
      <c r="B66" s="190"/>
      <c r="C66" s="110" t="s">
        <v>50</v>
      </c>
      <c r="D66" s="63" t="s">
        <v>4</v>
      </c>
      <c r="E66" s="56"/>
      <c r="F66" s="31">
        <f t="shared" ref="F66:Q66" si="44">SUM(F64:F65)</f>
        <v>1092.22</v>
      </c>
      <c r="G66" s="32">
        <f t="shared" si="44"/>
        <v>1089.93</v>
      </c>
      <c r="H66" s="32">
        <f t="shared" si="44"/>
        <v>1059.2</v>
      </c>
      <c r="I66" s="32">
        <f t="shared" si="44"/>
        <v>1099.3599999999999</v>
      </c>
      <c r="J66" s="32">
        <f t="shared" si="44"/>
        <v>2379.8999999999996</v>
      </c>
      <c r="K66" s="33">
        <f t="shared" si="44"/>
        <v>3167.75</v>
      </c>
      <c r="L66" s="100">
        <f t="shared" si="44"/>
        <v>3336.92</v>
      </c>
      <c r="M66" s="32">
        <f t="shared" si="44"/>
        <v>3349.99</v>
      </c>
      <c r="N66" s="32">
        <f t="shared" si="44"/>
        <v>2844.9</v>
      </c>
      <c r="O66" s="32">
        <f t="shared" si="44"/>
        <v>2345.9899999999998</v>
      </c>
      <c r="P66" s="32">
        <f t="shared" si="44"/>
        <v>1410.88</v>
      </c>
      <c r="Q66" s="33">
        <f t="shared" si="44"/>
        <v>1069.78</v>
      </c>
      <c r="R66" s="59">
        <f>SUM(F66:Q66)</f>
        <v>24246.820000000003</v>
      </c>
    </row>
    <row r="67" spans="2:20" ht="15" x14ac:dyDescent="0.25">
      <c r="B67" s="9"/>
      <c r="C67" s="27"/>
      <c r="D67" s="27"/>
      <c r="E67" s="7"/>
      <c r="F67" s="60"/>
      <c r="G67" s="61"/>
      <c r="H67" s="61"/>
      <c r="I67" s="61"/>
      <c r="J67" s="61"/>
      <c r="K67" s="62"/>
      <c r="L67" s="60"/>
      <c r="M67" s="61"/>
      <c r="N67" s="61"/>
      <c r="O67" s="61"/>
      <c r="P67" s="61"/>
      <c r="Q67" s="62"/>
      <c r="R67" s="77"/>
    </row>
    <row r="68" spans="2:20" ht="15" x14ac:dyDescent="0.25">
      <c r="B68" s="194" t="s">
        <v>55</v>
      </c>
      <c r="C68" s="112" t="s">
        <v>102</v>
      </c>
      <c r="D68" s="3" t="s">
        <v>4</v>
      </c>
      <c r="E68" s="7"/>
      <c r="F68" s="81">
        <f t="shared" ref="F68:Q68" si="45">ROUND(F29*F51,2)</f>
        <v>8.5</v>
      </c>
      <c r="G68" s="82">
        <f t="shared" si="45"/>
        <v>8.5</v>
      </c>
      <c r="H68" s="82">
        <f t="shared" si="45"/>
        <v>8.23</v>
      </c>
      <c r="I68" s="82">
        <f t="shared" si="45"/>
        <v>8.5</v>
      </c>
      <c r="J68" s="82">
        <f t="shared" si="45"/>
        <v>8.23</v>
      </c>
      <c r="K68" s="83">
        <f t="shared" si="45"/>
        <v>8.5</v>
      </c>
      <c r="L68" s="81">
        <f t="shared" si="45"/>
        <v>8.5</v>
      </c>
      <c r="M68" s="82">
        <f t="shared" si="45"/>
        <v>7.68</v>
      </c>
      <c r="N68" s="82">
        <f t="shared" si="45"/>
        <v>8.5</v>
      </c>
      <c r="O68" s="82">
        <f t="shared" si="45"/>
        <v>8.23</v>
      </c>
      <c r="P68" s="82">
        <f t="shared" si="45"/>
        <v>8.5</v>
      </c>
      <c r="Q68" s="83">
        <f t="shared" si="45"/>
        <v>8.23</v>
      </c>
      <c r="R68" s="106">
        <f>SUM(F68:Q68)</f>
        <v>100.10000000000002</v>
      </c>
    </row>
    <row r="69" spans="2:20" ht="16.5" customHeight="1" thickBot="1" x14ac:dyDescent="0.3">
      <c r="B69" s="195"/>
      <c r="C69" s="112" t="s">
        <v>103</v>
      </c>
      <c r="D69" s="3" t="s">
        <v>4</v>
      </c>
      <c r="E69" s="7"/>
      <c r="F69" s="81">
        <f t="shared" ref="F69:Q69" si="46">ROUND(F53*F30,2)</f>
        <v>65.819999999999993</v>
      </c>
      <c r="G69" s="82">
        <f t="shared" si="46"/>
        <v>62.61</v>
      </c>
      <c r="H69" s="82">
        <f t="shared" si="46"/>
        <v>66.78</v>
      </c>
      <c r="I69" s="82">
        <f t="shared" si="46"/>
        <v>75.83</v>
      </c>
      <c r="J69" s="82">
        <f t="shared" si="46"/>
        <v>1917.58</v>
      </c>
      <c r="K69" s="83">
        <f t="shared" si="46"/>
        <v>2974.41</v>
      </c>
      <c r="L69" s="81">
        <f t="shared" si="46"/>
        <v>3211.47</v>
      </c>
      <c r="M69" s="82">
        <f t="shared" si="46"/>
        <v>3371.53</v>
      </c>
      <c r="N69" s="82">
        <f t="shared" si="46"/>
        <v>2521.9699999999998</v>
      </c>
      <c r="O69" s="82">
        <f t="shared" si="46"/>
        <v>1870.05</v>
      </c>
      <c r="P69" s="82">
        <f t="shared" si="46"/>
        <v>512.38</v>
      </c>
      <c r="Q69" s="83">
        <f t="shared" si="46"/>
        <v>81.62</v>
      </c>
      <c r="R69" s="106">
        <f>SUM(F69:Q69)</f>
        <v>16732.05</v>
      </c>
      <c r="T69" s="9"/>
    </row>
    <row r="70" spans="2:20" ht="16.2" thickBot="1" x14ac:dyDescent="0.35">
      <c r="B70" s="196"/>
      <c r="C70" s="132" t="s">
        <v>56</v>
      </c>
      <c r="D70" s="63" t="s">
        <v>4</v>
      </c>
      <c r="E70" s="7"/>
      <c r="F70" s="31">
        <f>+F69+F68</f>
        <v>74.319999999999993</v>
      </c>
      <c r="G70" s="32">
        <f t="shared" ref="G70:Q70" si="47">SUM(G68:G69)</f>
        <v>71.11</v>
      </c>
      <c r="H70" s="32">
        <f t="shared" si="47"/>
        <v>75.010000000000005</v>
      </c>
      <c r="I70" s="32">
        <f t="shared" si="47"/>
        <v>84.33</v>
      </c>
      <c r="J70" s="32">
        <f t="shared" si="47"/>
        <v>1925.81</v>
      </c>
      <c r="K70" s="33">
        <f t="shared" si="47"/>
        <v>2982.91</v>
      </c>
      <c r="L70" s="100">
        <f t="shared" si="47"/>
        <v>3219.97</v>
      </c>
      <c r="M70" s="32">
        <f t="shared" si="47"/>
        <v>3379.21</v>
      </c>
      <c r="N70" s="32">
        <f t="shared" si="47"/>
        <v>2530.4699999999998</v>
      </c>
      <c r="O70" s="32">
        <f t="shared" si="47"/>
        <v>1878.28</v>
      </c>
      <c r="P70" s="32">
        <f t="shared" si="47"/>
        <v>520.88</v>
      </c>
      <c r="Q70" s="33">
        <f t="shared" si="47"/>
        <v>89.850000000000009</v>
      </c>
      <c r="R70" s="59">
        <f>SUM(F70:Q70)</f>
        <v>16832.149999999998</v>
      </c>
    </row>
    <row r="71" spans="2:20" x14ac:dyDescent="0.25">
      <c r="B71" s="9"/>
      <c r="C71" s="9"/>
      <c r="D71" s="9"/>
      <c r="E71" s="9"/>
      <c r="F71" s="114"/>
      <c r="G71" s="115"/>
      <c r="H71" s="115"/>
      <c r="I71" s="115"/>
      <c r="J71" s="115"/>
      <c r="K71" s="116"/>
      <c r="L71" s="114"/>
      <c r="M71" s="115"/>
      <c r="N71" s="115"/>
      <c r="O71" s="115"/>
      <c r="P71" s="115"/>
      <c r="Q71" s="116"/>
      <c r="R71" s="117"/>
      <c r="S71" s="9"/>
    </row>
    <row r="72" spans="2:20" ht="15" x14ac:dyDescent="0.25">
      <c r="B72" s="3" t="s">
        <v>47</v>
      </c>
      <c r="C72" s="3" t="s">
        <v>57</v>
      </c>
      <c r="D72" s="3" t="s">
        <v>4</v>
      </c>
      <c r="E72" s="9"/>
      <c r="F72" s="81">
        <f t="shared" ref="F72:Q72" si="48">ROUND((F60+F66)*0.00966,2)</f>
        <v>11.71</v>
      </c>
      <c r="G72" s="82">
        <f t="shared" si="48"/>
        <v>11.69</v>
      </c>
      <c r="H72" s="82">
        <f t="shared" si="48"/>
        <v>11.35</v>
      </c>
      <c r="I72" s="82">
        <f t="shared" si="48"/>
        <v>11.78</v>
      </c>
      <c r="J72" s="82">
        <f t="shared" si="48"/>
        <v>24.11</v>
      </c>
      <c r="K72" s="83">
        <f t="shared" si="48"/>
        <v>31.76</v>
      </c>
      <c r="L72" s="81">
        <f t="shared" si="48"/>
        <v>33.39</v>
      </c>
      <c r="M72" s="82">
        <f t="shared" si="48"/>
        <v>33.409999999999997</v>
      </c>
      <c r="N72" s="82">
        <f t="shared" si="48"/>
        <v>28.64</v>
      </c>
      <c r="O72" s="82">
        <f t="shared" si="48"/>
        <v>23.78</v>
      </c>
      <c r="P72" s="82">
        <f t="shared" si="48"/>
        <v>14.79</v>
      </c>
      <c r="Q72" s="83">
        <f t="shared" si="48"/>
        <v>11.46</v>
      </c>
      <c r="R72" s="106">
        <f t="shared" ref="R72:R73" si="49">SUM(F72:Q72)</f>
        <v>247.87000000000003</v>
      </c>
      <c r="S72" s="9"/>
    </row>
    <row r="73" spans="2:20" ht="15" x14ac:dyDescent="0.25">
      <c r="B73" s="3" t="s">
        <v>65</v>
      </c>
      <c r="C73" s="3" t="s">
        <v>63</v>
      </c>
      <c r="D73" s="3" t="s">
        <v>4</v>
      </c>
      <c r="E73" s="9"/>
      <c r="F73" s="81">
        <f t="shared" ref="F73:Q73" si="50">ROUND((F60+F66+F70)*0.0014,2)</f>
        <v>1.8</v>
      </c>
      <c r="G73" s="82">
        <f t="shared" si="50"/>
        <v>1.79</v>
      </c>
      <c r="H73" s="82">
        <f t="shared" si="50"/>
        <v>1.75</v>
      </c>
      <c r="I73" s="82">
        <f t="shared" si="50"/>
        <v>1.83</v>
      </c>
      <c r="J73" s="82">
        <f t="shared" si="50"/>
        <v>6.19</v>
      </c>
      <c r="K73" s="83">
        <f t="shared" si="50"/>
        <v>8.7799999999999994</v>
      </c>
      <c r="L73" s="81">
        <f t="shared" si="50"/>
        <v>9.35</v>
      </c>
      <c r="M73" s="82">
        <f t="shared" si="50"/>
        <v>9.57</v>
      </c>
      <c r="N73" s="82">
        <f t="shared" si="50"/>
        <v>7.69</v>
      </c>
      <c r="O73" s="82">
        <f t="shared" si="50"/>
        <v>6.08</v>
      </c>
      <c r="P73" s="82">
        <f t="shared" si="50"/>
        <v>2.87</v>
      </c>
      <c r="Q73" s="83">
        <f t="shared" si="50"/>
        <v>1.79</v>
      </c>
      <c r="R73" s="106">
        <f t="shared" si="49"/>
        <v>59.489999999999995</v>
      </c>
      <c r="S73" s="9"/>
    </row>
    <row r="74" spans="2:20" ht="15.6" thickBot="1" x14ac:dyDescent="0.3">
      <c r="B74" s="3" t="s">
        <v>62</v>
      </c>
      <c r="C74" s="133" t="s">
        <v>64</v>
      </c>
      <c r="D74" s="65" t="s">
        <v>4</v>
      </c>
      <c r="E74" s="7"/>
      <c r="F74" s="85">
        <f t="shared" ref="F74:Q74" si="51">ROUND(F53*0.00054,2)</f>
        <v>5.42</v>
      </c>
      <c r="G74" s="86">
        <f t="shared" si="51"/>
        <v>5.16</v>
      </c>
      <c r="H74" s="86">
        <f t="shared" si="51"/>
        <v>5.5</v>
      </c>
      <c r="I74" s="86">
        <f t="shared" si="51"/>
        <v>6.24</v>
      </c>
      <c r="J74" s="86">
        <f t="shared" si="51"/>
        <v>157.91999999999999</v>
      </c>
      <c r="K74" s="87">
        <f t="shared" si="51"/>
        <v>244.96</v>
      </c>
      <c r="L74" s="85">
        <f t="shared" si="51"/>
        <v>264.48</v>
      </c>
      <c r="M74" s="86">
        <f t="shared" si="51"/>
        <v>277.66000000000003</v>
      </c>
      <c r="N74" s="86">
        <f t="shared" si="51"/>
        <v>207.7</v>
      </c>
      <c r="O74" s="86">
        <f t="shared" si="51"/>
        <v>154.01</v>
      </c>
      <c r="P74" s="86">
        <f t="shared" si="51"/>
        <v>42.2</v>
      </c>
      <c r="Q74" s="87">
        <f t="shared" si="51"/>
        <v>6.72</v>
      </c>
      <c r="R74" s="118">
        <f>SUM(F74:Q74)</f>
        <v>1377.9700000000003</v>
      </c>
    </row>
    <row r="75" spans="2:20" ht="16.2" thickBot="1" x14ac:dyDescent="0.35">
      <c r="B75" s="27"/>
      <c r="C75" s="26" t="s">
        <v>66</v>
      </c>
      <c r="D75" s="55" t="s">
        <v>4</v>
      </c>
      <c r="E75" s="66"/>
      <c r="F75" s="31">
        <f>SUM(F72:F74)</f>
        <v>18.93</v>
      </c>
      <c r="G75" s="32">
        <f t="shared" ref="G75" si="52">SUM(G72:G74)</f>
        <v>18.64</v>
      </c>
      <c r="H75" s="32">
        <f t="shared" ref="H75" si="53">SUM(H72:H74)</f>
        <v>18.600000000000001</v>
      </c>
      <c r="I75" s="32">
        <f t="shared" ref="I75" si="54">SUM(I72:I74)</f>
        <v>19.850000000000001</v>
      </c>
      <c r="J75" s="32">
        <f t="shared" ref="J75" si="55">SUM(J72:J74)</f>
        <v>188.22</v>
      </c>
      <c r="K75" s="33">
        <f t="shared" ref="K75" si="56">SUM(K72:K74)</f>
        <v>285.5</v>
      </c>
      <c r="L75" s="31">
        <f t="shared" ref="L75" si="57">SUM(L72:L74)</f>
        <v>307.22000000000003</v>
      </c>
      <c r="M75" s="32">
        <f t="shared" ref="M75" si="58">SUM(M72:M74)</f>
        <v>320.64000000000004</v>
      </c>
      <c r="N75" s="32">
        <f t="shared" ref="N75" si="59">SUM(N72:N74)</f>
        <v>244.02999999999997</v>
      </c>
      <c r="O75" s="32">
        <f t="shared" ref="O75" si="60">SUM(O72:O74)</f>
        <v>183.87</v>
      </c>
      <c r="P75" s="32">
        <f t="shared" ref="P75" si="61">SUM(P72:P74)</f>
        <v>59.86</v>
      </c>
      <c r="Q75" s="54">
        <f t="shared" ref="Q75" si="62">SUM(Q72:Q74)</f>
        <v>19.97</v>
      </c>
      <c r="R75" s="59">
        <f>SUM(F75:Q75)</f>
        <v>1685.33</v>
      </c>
    </row>
    <row r="76" spans="2:20" ht="15.6" thickBot="1" x14ac:dyDescent="0.3">
      <c r="C76" s="27"/>
      <c r="D76" s="27"/>
      <c r="E76" s="7"/>
      <c r="F76" s="43"/>
      <c r="G76" s="10"/>
      <c r="H76" s="10"/>
      <c r="I76" s="10"/>
      <c r="J76" s="10"/>
      <c r="K76" s="44"/>
      <c r="L76" s="43"/>
      <c r="M76" s="10"/>
      <c r="N76" s="10"/>
      <c r="O76" s="10"/>
      <c r="P76" s="10"/>
      <c r="Q76" s="10"/>
      <c r="R76" s="78"/>
    </row>
    <row r="77" spans="2:20" ht="16.2" thickBot="1" x14ac:dyDescent="0.35">
      <c r="B77" s="111" t="s">
        <v>31</v>
      </c>
      <c r="C77" s="26" t="s">
        <v>76</v>
      </c>
      <c r="D77" s="64" t="s">
        <v>4</v>
      </c>
      <c r="E77" s="56"/>
      <c r="F77" s="57">
        <v>41.59</v>
      </c>
      <c r="G77" s="58">
        <v>41.59</v>
      </c>
      <c r="H77" s="58">
        <v>41.59</v>
      </c>
      <c r="I77" s="58">
        <v>41.59</v>
      </c>
      <c r="J77" s="58">
        <v>41.59</v>
      </c>
      <c r="K77" s="58">
        <v>41.59</v>
      </c>
      <c r="L77" s="57">
        <v>41.59</v>
      </c>
      <c r="M77" s="58">
        <v>41.59</v>
      </c>
      <c r="N77" s="58">
        <v>41.59</v>
      </c>
      <c r="O77" s="58">
        <v>41.59</v>
      </c>
      <c r="P77" s="58">
        <v>41.59</v>
      </c>
      <c r="Q77" s="49">
        <v>41.59</v>
      </c>
      <c r="R77" s="49">
        <f>SUM(F77:Q77)</f>
        <v>499.08000000000015</v>
      </c>
    </row>
    <row r="78" spans="2:20" ht="15.6" thickBot="1" x14ac:dyDescent="0.3">
      <c r="C78" s="27"/>
      <c r="D78" s="27"/>
      <c r="E78" s="7"/>
      <c r="F78" s="43"/>
      <c r="G78" s="10"/>
      <c r="H78" s="10"/>
      <c r="I78" s="10"/>
      <c r="J78" s="10"/>
      <c r="K78" s="10"/>
      <c r="L78" s="43"/>
      <c r="M78" s="10"/>
      <c r="N78" s="10"/>
      <c r="O78" s="10"/>
      <c r="P78" s="10"/>
      <c r="Q78" s="44"/>
      <c r="R78" s="44"/>
    </row>
    <row r="79" spans="2:20" ht="16.2" thickBot="1" x14ac:dyDescent="0.35">
      <c r="C79" s="29" t="s">
        <v>23</v>
      </c>
      <c r="D79" s="63" t="s">
        <v>3</v>
      </c>
      <c r="E79" s="7"/>
      <c r="F79" s="45">
        <f t="shared" ref="F79:R79" si="63">+F81/F53</f>
        <v>0.19036703227734608</v>
      </c>
      <c r="G79" s="46">
        <f t="shared" si="63"/>
        <v>0.19663311184417215</v>
      </c>
      <c r="H79" s="46">
        <f t="shared" si="63"/>
        <v>0.18484246686303385</v>
      </c>
      <c r="I79" s="46">
        <f t="shared" si="63"/>
        <v>0.17422017122103076</v>
      </c>
      <c r="J79" s="46">
        <f t="shared" si="63"/>
        <v>7.2071075610022989E-2</v>
      </c>
      <c r="K79" s="47">
        <f t="shared" si="63"/>
        <v>7.0709699012175317E-2</v>
      </c>
      <c r="L79" s="45">
        <f t="shared" si="63"/>
        <v>7.0509784780043203E-2</v>
      </c>
      <c r="M79" s="46">
        <f t="shared" si="63"/>
        <v>7.0167407679681354E-2</v>
      </c>
      <c r="N79" s="46">
        <f t="shared" si="63"/>
        <v>7.1195471475890629E-2</v>
      </c>
      <c r="O79" s="46">
        <f t="shared" si="63"/>
        <v>7.2174558238282727E-2</v>
      </c>
      <c r="P79" s="46">
        <f t="shared" si="63"/>
        <v>8.3720507211138565E-2</v>
      </c>
      <c r="Q79" s="48">
        <f t="shared" si="63"/>
        <v>0.16360153598971722</v>
      </c>
      <c r="R79" s="30">
        <f t="shared" si="63"/>
        <v>7.3673120786037993E-2</v>
      </c>
    </row>
    <row r="80" spans="2:20" ht="15.6" thickBot="1" x14ac:dyDescent="0.3">
      <c r="C80" s="27"/>
      <c r="D80" s="27"/>
      <c r="E80" s="7"/>
      <c r="F80" s="42"/>
      <c r="G80" s="27"/>
      <c r="H80" s="27"/>
      <c r="I80" s="27"/>
      <c r="J80" s="27"/>
      <c r="K80" s="27"/>
      <c r="L80" s="42"/>
      <c r="M80" s="27"/>
      <c r="N80" s="27"/>
      <c r="O80" s="27"/>
      <c r="P80" s="27"/>
      <c r="Q80" s="21"/>
      <c r="R80" s="21"/>
    </row>
    <row r="81" spans="2:18" ht="16.2" thickBot="1" x14ac:dyDescent="0.35">
      <c r="B81" s="7"/>
      <c r="C81" s="29" t="s">
        <v>58</v>
      </c>
      <c r="D81" s="64" t="s">
        <v>21</v>
      </c>
      <c r="E81" s="7"/>
      <c r="F81" s="31">
        <f t="shared" ref="F81:Q81" si="64">F56+F60+F66+F70+F75+F77</f>
        <v>1910.90427</v>
      </c>
      <c r="G81" s="32">
        <f t="shared" si="64"/>
        <v>1877.6495849999999</v>
      </c>
      <c r="H81" s="32">
        <f t="shared" si="64"/>
        <v>1882.6205249999998</v>
      </c>
      <c r="I81" s="32">
        <f t="shared" si="64"/>
        <v>2014.6820599999996</v>
      </c>
      <c r="J81" s="32">
        <f t="shared" si="64"/>
        <v>21077.041920000003</v>
      </c>
      <c r="K81" s="33">
        <f t="shared" si="64"/>
        <v>32075.545795000002</v>
      </c>
      <c r="L81" s="31">
        <f t="shared" si="64"/>
        <v>34534.141369999998</v>
      </c>
      <c r="M81" s="32">
        <f t="shared" si="64"/>
        <v>36079.239019999994</v>
      </c>
      <c r="N81" s="32">
        <f t="shared" si="64"/>
        <v>27383.344630000003</v>
      </c>
      <c r="O81" s="32">
        <f t="shared" si="64"/>
        <v>20584.111834999996</v>
      </c>
      <c r="P81" s="32">
        <f t="shared" si="64"/>
        <v>6542.1715950000007</v>
      </c>
      <c r="Q81" s="33">
        <f t="shared" si="64"/>
        <v>2036.5119199999999</v>
      </c>
      <c r="R81" s="49">
        <f>SUM(F81:Q81)</f>
        <v>187997.96452499996</v>
      </c>
    </row>
    <row r="82" spans="2:18" ht="13.8" thickBot="1" x14ac:dyDescent="0.3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</row>
    <row r="83" spans="2:18" ht="21.6" thickBot="1" x14ac:dyDescent="0.45">
      <c r="B83" s="7"/>
      <c r="C83" s="186" t="s">
        <v>32</v>
      </c>
      <c r="D83" s="187"/>
      <c r="E83" s="187"/>
      <c r="F83" s="188"/>
      <c r="G83" s="188"/>
      <c r="H83" s="188"/>
      <c r="I83" s="188"/>
      <c r="J83" s="188"/>
      <c r="K83" s="188"/>
      <c r="L83" s="188"/>
      <c r="M83" s="188"/>
      <c r="N83" s="188"/>
      <c r="O83" s="188"/>
      <c r="P83" s="188"/>
      <c r="Q83" s="189"/>
      <c r="R83" s="22" t="s">
        <v>85</v>
      </c>
    </row>
    <row r="84" spans="2:18" ht="15" x14ac:dyDescent="0.25">
      <c r="B84" s="7"/>
      <c r="C84" s="40" t="s">
        <v>35</v>
      </c>
      <c r="D84" s="40" t="s">
        <v>0</v>
      </c>
      <c r="E84" s="27"/>
      <c r="F84" s="67">
        <f t="shared" ref="F84:Q84" si="65">+F12+F53</f>
        <v>15071</v>
      </c>
      <c r="G84" s="68">
        <f t="shared" si="65"/>
        <v>14631</v>
      </c>
      <c r="H84" s="68">
        <f t="shared" si="65"/>
        <v>15345</v>
      </c>
      <c r="I84" s="68">
        <f t="shared" si="65"/>
        <v>16878</v>
      </c>
      <c r="J84" s="68">
        <f t="shared" si="65"/>
        <v>534379</v>
      </c>
      <c r="K84" s="69">
        <f t="shared" si="65"/>
        <v>822475</v>
      </c>
      <c r="L84" s="67">
        <f t="shared" si="65"/>
        <v>886001</v>
      </c>
      <c r="M84" s="68">
        <f t="shared" si="65"/>
        <v>879134</v>
      </c>
      <c r="N84" s="68">
        <f t="shared" si="65"/>
        <v>744326</v>
      </c>
      <c r="O84" s="68">
        <f t="shared" si="65"/>
        <v>438546</v>
      </c>
      <c r="P84" s="68">
        <f t="shared" si="65"/>
        <v>82849</v>
      </c>
      <c r="Q84" s="69">
        <f t="shared" si="65"/>
        <v>14732</v>
      </c>
      <c r="R84" s="73">
        <f>SUM(F84:Q84)</f>
        <v>4464367</v>
      </c>
    </row>
    <row r="85" spans="2:18" ht="15.6" thickBot="1" x14ac:dyDescent="0.3">
      <c r="B85" s="7"/>
      <c r="C85" s="50" t="s">
        <v>23</v>
      </c>
      <c r="D85" s="50" t="s">
        <v>5</v>
      </c>
      <c r="E85" s="9"/>
      <c r="F85" s="70">
        <f t="shared" ref="F85:R85" si="66">+F86/F84</f>
        <v>0.2381573443036295</v>
      </c>
      <c r="G85" s="71">
        <f t="shared" si="66"/>
        <v>0.2432704359920716</v>
      </c>
      <c r="H85" s="71">
        <f t="shared" si="66"/>
        <v>0.23012061550993809</v>
      </c>
      <c r="I85" s="71">
        <f t="shared" si="66"/>
        <v>0.21992135845479319</v>
      </c>
      <c r="J85" s="71">
        <f t="shared" si="66"/>
        <v>7.214196437734266E-2</v>
      </c>
      <c r="K85" s="72">
        <f t="shared" si="66"/>
        <v>7.0605420832244137E-2</v>
      </c>
      <c r="L85" s="70">
        <f t="shared" si="66"/>
        <v>7.0382808615340159E-2</v>
      </c>
      <c r="M85" s="71">
        <f t="shared" si="66"/>
        <v>7.0181529678069551E-2</v>
      </c>
      <c r="N85" s="71">
        <f t="shared" si="66"/>
        <v>7.0893068410884483E-2</v>
      </c>
      <c r="O85" s="71">
        <f t="shared" si="66"/>
        <v>7.3281602224168033E-2</v>
      </c>
      <c r="P85" s="71">
        <f t="shared" si="66"/>
        <v>9.8959444374705802E-2</v>
      </c>
      <c r="Q85" s="72">
        <f t="shared" si="66"/>
        <v>0.23709452131414607</v>
      </c>
      <c r="R85" s="74">
        <f t="shared" si="66"/>
        <v>7.4292418163650079E-2</v>
      </c>
    </row>
    <row r="86" spans="2:18" ht="16.2" thickBot="1" x14ac:dyDescent="0.35">
      <c r="C86" s="52" t="s">
        <v>36</v>
      </c>
      <c r="D86" s="51" t="s">
        <v>4</v>
      </c>
      <c r="E86" s="9"/>
      <c r="F86" s="31">
        <f t="shared" ref="F86:Q86" si="67">F81+F46</f>
        <v>3589.2693360000003</v>
      </c>
      <c r="G86" s="32">
        <f t="shared" si="67"/>
        <v>3559.2897489999996</v>
      </c>
      <c r="H86" s="32">
        <f t="shared" si="67"/>
        <v>3531.2008449999998</v>
      </c>
      <c r="I86" s="32">
        <f t="shared" si="67"/>
        <v>3711.8326879999995</v>
      </c>
      <c r="J86" s="32">
        <f t="shared" si="67"/>
        <v>38551.150781999997</v>
      </c>
      <c r="K86" s="33">
        <f t="shared" si="67"/>
        <v>58071.193499000001</v>
      </c>
      <c r="L86" s="31">
        <f t="shared" si="67"/>
        <v>62359.238815999997</v>
      </c>
      <c r="M86" s="32">
        <f t="shared" si="67"/>
        <v>61698.968911999997</v>
      </c>
      <c r="N86" s="32">
        <f t="shared" si="67"/>
        <v>52767.554038000002</v>
      </c>
      <c r="O86" s="32">
        <f t="shared" si="67"/>
        <v>32137.353528999993</v>
      </c>
      <c r="P86" s="32">
        <f t="shared" si="67"/>
        <v>8198.6910070000013</v>
      </c>
      <c r="Q86" s="33">
        <f t="shared" si="67"/>
        <v>3492.8764879999999</v>
      </c>
      <c r="R86" s="59">
        <f>ROUND(SUM(F86:Q86),2)</f>
        <v>331668.62</v>
      </c>
    </row>
    <row r="87" spans="2:18" ht="16.2" thickBot="1" x14ac:dyDescent="0.35"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119" t="s">
        <v>37</v>
      </c>
      <c r="R87" s="49">
        <f>ROUND(R86*0.21,2)</f>
        <v>69650.41</v>
      </c>
    </row>
    <row r="88" spans="2:18" ht="16.2" thickBot="1" x14ac:dyDescent="0.35">
      <c r="Q88" s="119" t="s">
        <v>59</v>
      </c>
      <c r="R88" s="49">
        <f>+R87+R86</f>
        <v>401319.03</v>
      </c>
    </row>
  </sheetData>
  <mergeCells count="16">
    <mergeCell ref="L8:Q8"/>
    <mergeCell ref="B40:B42"/>
    <mergeCell ref="F5:Q5"/>
    <mergeCell ref="C83:Q83"/>
    <mergeCell ref="B62:B66"/>
    <mergeCell ref="B58:B60"/>
    <mergeCell ref="B68:B70"/>
    <mergeCell ref="F49:K49"/>
    <mergeCell ref="L49:Q49"/>
    <mergeCell ref="F7:Q7"/>
    <mergeCell ref="B9:C9"/>
    <mergeCell ref="F48:Q48"/>
    <mergeCell ref="B23:B27"/>
    <mergeCell ref="B17:B21"/>
    <mergeCell ref="B29:B33"/>
    <mergeCell ref="F8:K8"/>
  </mergeCells>
  <pageMargins left="0.70866141732283472" right="0.70866141732283472" top="0.74803149606299213" bottom="0.74803149606299213" header="0.31496062992125984" footer="0.31496062992125984"/>
  <pageSetup paperSize="9" scale="3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4FB82-3155-4006-BC3A-2CA62D37E41E}">
  <sheetPr>
    <pageSetUpPr fitToPage="1"/>
  </sheetPr>
  <dimension ref="B3:T60"/>
  <sheetViews>
    <sheetView zoomScale="55" zoomScaleNormal="55" workbookViewId="0">
      <selection activeCell="C15" sqref="C15"/>
    </sheetView>
  </sheetViews>
  <sheetFormatPr baseColWidth="10" defaultRowHeight="13.2" x14ac:dyDescent="0.25"/>
  <cols>
    <col min="1" max="1" width="4.109375" customWidth="1"/>
    <col min="2" max="2" width="17.6640625" customWidth="1"/>
    <col min="3" max="3" width="90" customWidth="1"/>
    <col min="4" max="4" width="19.6640625" bestFit="1" customWidth="1"/>
    <col min="5" max="5" width="1" customWidth="1"/>
    <col min="6" max="6" width="18.33203125" bestFit="1" customWidth="1"/>
    <col min="7" max="8" width="17.33203125" bestFit="1" customWidth="1"/>
    <col min="9" max="10" width="16.109375" bestFit="1" customWidth="1"/>
    <col min="11" max="11" width="16.33203125" bestFit="1" customWidth="1"/>
    <col min="12" max="12" width="15.88671875" bestFit="1" customWidth="1"/>
    <col min="13" max="13" width="15.33203125" bestFit="1" customWidth="1"/>
    <col min="14" max="14" width="16.109375" bestFit="1" customWidth="1"/>
    <col min="15" max="15" width="15.88671875" bestFit="1" customWidth="1"/>
    <col min="16" max="16" width="17" bestFit="1" customWidth="1"/>
    <col min="17" max="17" width="16.88671875" bestFit="1" customWidth="1"/>
    <col min="18" max="18" width="22.6640625" bestFit="1" customWidth="1"/>
    <col min="19" max="19" width="1.6640625" customWidth="1"/>
    <col min="23" max="23" width="17.5546875" bestFit="1" customWidth="1"/>
    <col min="24" max="24" width="32.109375" bestFit="1" customWidth="1"/>
    <col min="25" max="25" width="17.88671875" bestFit="1" customWidth="1"/>
    <col min="27" max="38" width="15.44140625" bestFit="1" customWidth="1"/>
    <col min="39" max="39" width="12.5546875" bestFit="1" customWidth="1"/>
  </cols>
  <sheetData>
    <row r="3" spans="2:20" ht="23.25" customHeight="1" x14ac:dyDescent="0.25"/>
    <row r="4" spans="2:20" ht="22.8" x14ac:dyDescent="0.4">
      <c r="E4" s="41" t="s">
        <v>106</v>
      </c>
    </row>
    <row r="5" spans="2:20" ht="27.75" customHeight="1" x14ac:dyDescent="0.4">
      <c r="E5" s="1"/>
      <c r="F5" s="185" t="s">
        <v>72</v>
      </c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</row>
    <row r="6" spans="2:20" ht="13.8" thickBot="1" x14ac:dyDescent="0.3"/>
    <row r="7" spans="2:20" ht="18" thickBot="1" x14ac:dyDescent="0.35">
      <c r="E7" s="7"/>
      <c r="F7" s="197" t="s">
        <v>40</v>
      </c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9"/>
      <c r="R7" s="4"/>
    </row>
    <row r="8" spans="2:20" ht="16.2" thickBot="1" x14ac:dyDescent="0.35">
      <c r="E8" s="7"/>
      <c r="F8" s="180" t="s">
        <v>91</v>
      </c>
      <c r="G8" s="181"/>
      <c r="H8" s="181"/>
      <c r="I8" s="181"/>
      <c r="J8" s="181"/>
      <c r="K8" s="182"/>
      <c r="L8" s="180" t="s">
        <v>92</v>
      </c>
      <c r="M8" s="181"/>
      <c r="N8" s="181"/>
      <c r="O8" s="181"/>
      <c r="P8" s="181"/>
      <c r="Q8" s="182"/>
      <c r="R8" s="15"/>
    </row>
    <row r="9" spans="2:20" ht="16.2" thickBot="1" x14ac:dyDescent="0.35">
      <c r="B9" s="200" t="s">
        <v>1</v>
      </c>
      <c r="C9" s="203"/>
      <c r="D9" s="3" t="s">
        <v>2</v>
      </c>
      <c r="E9" s="7"/>
      <c r="F9" s="23" t="s">
        <v>12</v>
      </c>
      <c r="G9" s="24" t="s">
        <v>13</v>
      </c>
      <c r="H9" s="24" t="s">
        <v>14</v>
      </c>
      <c r="I9" s="24" t="s">
        <v>15</v>
      </c>
      <c r="J9" s="24" t="s">
        <v>16</v>
      </c>
      <c r="K9" s="25" t="s">
        <v>17</v>
      </c>
      <c r="L9" s="23" t="s">
        <v>6</v>
      </c>
      <c r="M9" s="24" t="s">
        <v>7</v>
      </c>
      <c r="N9" s="24" t="s">
        <v>8</v>
      </c>
      <c r="O9" s="24" t="s">
        <v>9</v>
      </c>
      <c r="P9" s="24" t="s">
        <v>10</v>
      </c>
      <c r="Q9" s="25" t="s">
        <v>11</v>
      </c>
      <c r="R9" s="22" t="s">
        <v>85</v>
      </c>
    </row>
    <row r="10" spans="2:20" ht="15.6" x14ac:dyDescent="0.3">
      <c r="B10" s="79"/>
      <c r="C10" s="79"/>
      <c r="D10" s="3" t="s">
        <v>39</v>
      </c>
      <c r="E10" s="7"/>
      <c r="F10" s="23">
        <v>31</v>
      </c>
      <c r="G10" s="24">
        <v>31</v>
      </c>
      <c r="H10" s="24">
        <v>30</v>
      </c>
      <c r="I10" s="24">
        <v>31</v>
      </c>
      <c r="J10" s="24">
        <v>30</v>
      </c>
      <c r="K10" s="25">
        <v>31</v>
      </c>
      <c r="L10" s="23">
        <v>31</v>
      </c>
      <c r="M10" s="24">
        <v>28</v>
      </c>
      <c r="N10" s="24">
        <v>31</v>
      </c>
      <c r="O10" s="24">
        <v>30</v>
      </c>
      <c r="P10" s="24">
        <v>31</v>
      </c>
      <c r="Q10" s="25">
        <v>30</v>
      </c>
      <c r="R10" s="80">
        <f>SUM(F10:Q10)</f>
        <v>365</v>
      </c>
    </row>
    <row r="11" spans="2:20" ht="6" customHeight="1" thickBot="1" x14ac:dyDescent="0.3">
      <c r="C11" s="10"/>
      <c r="D11" s="10"/>
      <c r="E11" s="7"/>
      <c r="F11" s="18"/>
      <c r="G11" s="19"/>
      <c r="H11" s="19"/>
      <c r="I11" s="19"/>
      <c r="J11" s="19"/>
      <c r="K11" s="20"/>
      <c r="L11" s="16"/>
      <c r="M11" s="14"/>
      <c r="N11" s="14"/>
      <c r="O11" s="14"/>
      <c r="P11" s="14"/>
      <c r="Q11" s="17"/>
      <c r="R11" s="21"/>
    </row>
    <row r="12" spans="2:20" ht="16.5" customHeight="1" thickBot="1" x14ac:dyDescent="0.35">
      <c r="C12" s="26" t="s">
        <v>33</v>
      </c>
      <c r="D12" s="63" t="s">
        <v>0</v>
      </c>
      <c r="E12" s="7"/>
      <c r="F12" s="121">
        <f>+'Càlcul Import de licita 1er Any'!F12</f>
        <v>5033</v>
      </c>
      <c r="G12" s="121">
        <f>+'Càlcul Import de licita 1er Any'!G12</f>
        <v>5082</v>
      </c>
      <c r="H12" s="121">
        <f>+'Càlcul Import de licita 1er Any'!H12</f>
        <v>5160</v>
      </c>
      <c r="I12" s="121">
        <f>+'Càlcul Import de licita 1er Any'!I12</f>
        <v>5314</v>
      </c>
      <c r="J12" s="121">
        <f>+'Càlcul Import de licita 1er Any'!J12</f>
        <v>241931</v>
      </c>
      <c r="K12" s="122">
        <f>+'Càlcul Import de licita 1er Any'!K12</f>
        <v>368852</v>
      </c>
      <c r="L12" s="94">
        <f>+'Càlcul Import de licita 1er Any'!L12</f>
        <v>396223</v>
      </c>
      <c r="M12" s="95">
        <f>+'Càlcul Import de licita 1er Any'!M12</f>
        <v>364946</v>
      </c>
      <c r="N12" s="95">
        <f>+'Càlcul Import de licita 1er Any'!N12</f>
        <v>359704</v>
      </c>
      <c r="O12" s="95">
        <f>+'Càlcul Import de licita 1er Any'!O12</f>
        <v>153347</v>
      </c>
      <c r="P12" s="95">
        <f>+'Càlcul Import de licita 1er Any'!P12</f>
        <v>4706</v>
      </c>
      <c r="Q12" s="96">
        <f>+'Càlcul Import de licita 1er Any'!Q12</f>
        <v>2284</v>
      </c>
      <c r="R12" s="97">
        <f>SUM(F12:Q12)</f>
        <v>1912582</v>
      </c>
      <c r="T12" s="9"/>
    </row>
    <row r="13" spans="2:20" ht="15.6" x14ac:dyDescent="0.3">
      <c r="C13" s="102"/>
      <c r="D13" s="101"/>
      <c r="E13" s="7"/>
      <c r="F13" s="127"/>
      <c r="G13" s="128"/>
      <c r="H13" s="128"/>
      <c r="I13" s="128"/>
      <c r="J13" s="128"/>
      <c r="K13" s="129"/>
      <c r="L13" s="120"/>
      <c r="M13" s="103"/>
      <c r="N13" s="103"/>
      <c r="O13" s="103"/>
      <c r="P13" s="103"/>
      <c r="Q13" s="104"/>
      <c r="R13" s="105"/>
      <c r="T13" s="9"/>
    </row>
    <row r="14" spans="2:20" ht="15.6" thickBot="1" x14ac:dyDescent="0.3">
      <c r="B14" s="9"/>
      <c r="C14" s="50" t="s">
        <v>77</v>
      </c>
      <c r="D14" s="3" t="s">
        <v>3</v>
      </c>
      <c r="E14" s="7"/>
      <c r="F14" s="134">
        <f>+'Càlcul Import de licita 1er Any'!F14</f>
        <v>5.5002000000000002E-2</v>
      </c>
      <c r="G14" s="130">
        <f t="shared" ref="G14:Q14" si="0">+F14</f>
        <v>5.5002000000000002E-2</v>
      </c>
      <c r="H14" s="130">
        <f t="shared" si="0"/>
        <v>5.5002000000000002E-2</v>
      </c>
      <c r="I14" s="130">
        <f t="shared" si="0"/>
        <v>5.5002000000000002E-2</v>
      </c>
      <c r="J14" s="130">
        <f t="shared" si="0"/>
        <v>5.5002000000000002E-2</v>
      </c>
      <c r="K14" s="131">
        <f t="shared" si="0"/>
        <v>5.5002000000000002E-2</v>
      </c>
      <c r="L14" s="113">
        <f t="shared" si="0"/>
        <v>5.5002000000000002E-2</v>
      </c>
      <c r="M14" s="92">
        <f t="shared" si="0"/>
        <v>5.5002000000000002E-2</v>
      </c>
      <c r="N14" s="92">
        <f t="shared" si="0"/>
        <v>5.5002000000000002E-2</v>
      </c>
      <c r="O14" s="92">
        <f t="shared" si="0"/>
        <v>5.5002000000000002E-2</v>
      </c>
      <c r="P14" s="92">
        <f t="shared" si="0"/>
        <v>5.5002000000000002E-2</v>
      </c>
      <c r="Q14" s="93">
        <f t="shared" si="0"/>
        <v>5.5002000000000002E-2</v>
      </c>
      <c r="R14" s="78"/>
      <c r="T14" s="9"/>
    </row>
    <row r="15" spans="2:20" ht="16.2" thickBot="1" x14ac:dyDescent="0.35">
      <c r="B15" s="52" t="s">
        <v>22</v>
      </c>
      <c r="C15" s="51" t="s">
        <v>77</v>
      </c>
      <c r="D15" s="63" t="s">
        <v>4</v>
      </c>
      <c r="E15" s="56"/>
      <c r="F15" s="123">
        <f>+F14*F12</f>
        <v>276.82506599999999</v>
      </c>
      <c r="G15" s="124">
        <f t="shared" ref="G15:Q15" si="1">+G14*G12</f>
        <v>279.52016400000002</v>
      </c>
      <c r="H15" s="124">
        <f t="shared" si="1"/>
        <v>283.81031999999999</v>
      </c>
      <c r="I15" s="124">
        <f t="shared" si="1"/>
        <v>292.28062800000004</v>
      </c>
      <c r="J15" s="125">
        <f t="shared" si="1"/>
        <v>13306.688862000001</v>
      </c>
      <c r="K15" s="126">
        <f t="shared" si="1"/>
        <v>20287.597704</v>
      </c>
      <c r="L15" s="100">
        <f t="shared" si="1"/>
        <v>21793.057446000003</v>
      </c>
      <c r="M15" s="32">
        <f t="shared" si="1"/>
        <v>20072.759892000002</v>
      </c>
      <c r="N15" s="32">
        <f t="shared" si="1"/>
        <v>19784.439408000002</v>
      </c>
      <c r="O15" s="32">
        <f t="shared" si="1"/>
        <v>8434.3916939999999</v>
      </c>
      <c r="P15" s="32">
        <f t="shared" si="1"/>
        <v>258.83941200000004</v>
      </c>
      <c r="Q15" s="33">
        <f t="shared" si="1"/>
        <v>125.62456800000001</v>
      </c>
      <c r="R15" s="59">
        <f>SUM(F15:Q15)</f>
        <v>105195.83516400002</v>
      </c>
    </row>
    <row r="16" spans="2:20" ht="15.6" thickBot="1" x14ac:dyDescent="0.3">
      <c r="B16" s="9"/>
      <c r="C16" s="27"/>
      <c r="D16" s="27"/>
      <c r="E16" s="7"/>
      <c r="F16" s="60"/>
      <c r="G16" s="61"/>
      <c r="H16" s="61"/>
      <c r="I16" s="61"/>
      <c r="J16" s="61"/>
      <c r="K16" s="62"/>
      <c r="L16" s="60"/>
      <c r="M16" s="61"/>
      <c r="N16" s="61"/>
      <c r="O16" s="61"/>
      <c r="P16" s="61"/>
      <c r="Q16" s="62"/>
      <c r="R16" s="77"/>
    </row>
    <row r="17" spans="2:19" ht="16.2" thickBot="1" x14ac:dyDescent="0.35">
      <c r="C17" s="110" t="s">
        <v>51</v>
      </c>
      <c r="D17" s="63" t="s">
        <v>4</v>
      </c>
      <c r="E17" s="56"/>
      <c r="F17" s="31">
        <f>+'Càlcul Import de licita 1er Any'!F21</f>
        <v>120.06</v>
      </c>
      <c r="G17" s="32">
        <f>+'Càlcul Import de licita 1er Any'!G21</f>
        <v>120.06</v>
      </c>
      <c r="H17" s="32">
        <f>+'Càlcul Import de licita 1er Any'!H21</f>
        <v>116.18</v>
      </c>
      <c r="I17" s="32">
        <f>+'Càlcul Import de licita 1er Any'!I21</f>
        <v>120.06</v>
      </c>
      <c r="J17" s="32">
        <f>+'Càlcul Import de licita 1er Any'!J21</f>
        <v>116.18</v>
      </c>
      <c r="K17" s="33">
        <f>+'Càlcul Import de licita 1er Any'!K21</f>
        <v>120.06</v>
      </c>
      <c r="L17" s="100">
        <f>+'Càlcul Import de licita 1er Any'!L21</f>
        <v>120.06</v>
      </c>
      <c r="M17" s="32">
        <f>+'Càlcul Import de licita 1er Any'!M21</f>
        <v>108.44</v>
      </c>
      <c r="N17" s="32">
        <f>+'Càlcul Import de licita 1er Any'!N21</f>
        <v>120.06</v>
      </c>
      <c r="O17" s="32">
        <f>+'Càlcul Import de licita 1er Any'!O21</f>
        <v>116.18</v>
      </c>
      <c r="P17" s="32">
        <f>+'Càlcul Import de licita 1er Any'!P21</f>
        <v>120.06</v>
      </c>
      <c r="Q17" s="33">
        <f>+'Càlcul Import de licita 1er Any'!Q21</f>
        <v>116.18</v>
      </c>
      <c r="R17" s="59">
        <f>SUM(F17:Q17)</f>
        <v>1413.58</v>
      </c>
    </row>
    <row r="18" spans="2:19" ht="15.6" thickBot="1" x14ac:dyDescent="0.3">
      <c r="B18" s="9"/>
      <c r="C18" s="27"/>
      <c r="D18" s="27"/>
      <c r="E18" s="7"/>
      <c r="F18" s="60"/>
      <c r="G18" s="61"/>
      <c r="H18" s="61"/>
      <c r="I18" s="61"/>
      <c r="J18" s="61"/>
      <c r="K18" s="62"/>
      <c r="L18" s="60"/>
      <c r="M18" s="61"/>
      <c r="N18" s="61"/>
      <c r="O18" s="61"/>
      <c r="P18" s="61"/>
      <c r="Q18" s="62"/>
      <c r="R18" s="77"/>
    </row>
    <row r="19" spans="2:19" ht="16.2" thickBot="1" x14ac:dyDescent="0.35">
      <c r="B19" s="9"/>
      <c r="C19" s="110" t="s">
        <v>67</v>
      </c>
      <c r="D19" s="63" t="s">
        <v>4</v>
      </c>
      <c r="E19" s="56"/>
      <c r="F19" s="31">
        <f>+'Càlcul Import de licita 1er Any'!F27</f>
        <v>1068.8</v>
      </c>
      <c r="G19" s="32">
        <f>+'Càlcul Import de licita 1er Any'!G27</f>
        <v>1069.03</v>
      </c>
      <c r="H19" s="32">
        <f>+'Càlcul Import de licita 1er Any'!H27</f>
        <v>1035.68</v>
      </c>
      <c r="I19" s="32">
        <f>+'Càlcul Import de licita 1er Any'!I27</f>
        <v>1070.1099999999999</v>
      </c>
      <c r="J19" s="32">
        <f>+'Càlcul Import de licita 1er Any'!J27</f>
        <v>2143.54</v>
      </c>
      <c r="K19" s="33">
        <f>+'Càlcul Import de licita 1er Any'!K27</f>
        <v>2771.1099999999997</v>
      </c>
      <c r="L19" s="100">
        <f>+'Càlcul Import de licita 1er Any'!L27</f>
        <v>2899.1800000000003</v>
      </c>
      <c r="M19" s="32">
        <f>+'Càlcul Import de licita 1er Any'!M27</f>
        <v>2651.68</v>
      </c>
      <c r="N19" s="32">
        <f>+'Càlcul Import de licita 1er Any'!N27</f>
        <v>2728.31</v>
      </c>
      <c r="O19" s="32">
        <f>+'Càlcul Import de licita 1er Any'!O27</f>
        <v>1729.05</v>
      </c>
      <c r="P19" s="32">
        <f>+'Càlcul Import de licita 1er Any'!P27</f>
        <v>1067.27</v>
      </c>
      <c r="Q19" s="33">
        <f>+'Càlcul Import de licita 1er Any'!Q27</f>
        <v>1022.23</v>
      </c>
      <c r="R19" s="59">
        <f>SUM(F19:Q19)</f>
        <v>21255.99</v>
      </c>
    </row>
    <row r="20" spans="2:19" ht="15.6" thickBot="1" x14ac:dyDescent="0.3">
      <c r="B20" s="9"/>
      <c r="C20" s="27"/>
      <c r="D20" s="27"/>
      <c r="E20" s="7"/>
      <c r="F20" s="60"/>
      <c r="G20" s="61"/>
      <c r="H20" s="61"/>
      <c r="I20" s="61"/>
      <c r="J20" s="61"/>
      <c r="K20" s="62"/>
      <c r="L20" s="60"/>
      <c r="M20" s="61"/>
      <c r="N20" s="61"/>
      <c r="O20" s="61"/>
      <c r="P20" s="61"/>
      <c r="Q20" s="62"/>
      <c r="R20" s="77"/>
    </row>
    <row r="21" spans="2:19" ht="16.2" thickBot="1" x14ac:dyDescent="0.35">
      <c r="B21" s="9"/>
      <c r="C21" s="110" t="s">
        <v>68</v>
      </c>
      <c r="D21" s="63" t="s">
        <v>4</v>
      </c>
      <c r="E21" s="7"/>
      <c r="F21" s="31">
        <f>+'Càlcul Import de licita 1er Any'!F33</f>
        <v>41.5</v>
      </c>
      <c r="G21" s="32">
        <f>+'Càlcul Import de licita 1er Any'!G33</f>
        <v>41.82</v>
      </c>
      <c r="H21" s="32">
        <f>+'Càlcul Import de licita 1er Any'!H33</f>
        <v>42.06</v>
      </c>
      <c r="I21" s="32">
        <f>+'Càlcul Import de licita 1er Any'!I33</f>
        <v>43.34</v>
      </c>
      <c r="J21" s="32">
        <f>+'Càlcul Import de licita 1er Any'!J33</f>
        <v>1594.57</v>
      </c>
      <c r="K21" s="33">
        <f>+'Càlcul Import de licita 1er Any'!K33</f>
        <v>2427.06</v>
      </c>
      <c r="L21" s="100">
        <f>+'Càlcul Import de licita 1er Any'!L33</f>
        <v>2606.5300000000002</v>
      </c>
      <c r="M21" s="32">
        <f>+'Càlcul Import de licita 1er Any'!M33</f>
        <v>2400.6299999999997</v>
      </c>
      <c r="N21" s="32">
        <f>+'Càlcul Import de licita 1er Any'!N33</f>
        <v>2367.08</v>
      </c>
      <c r="O21" s="32">
        <f>+'Càlcul Import de licita 1er Any'!O33</f>
        <v>1013.73</v>
      </c>
      <c r="P21" s="32">
        <f>+'Càlcul Import de licita 1er Any'!P33</f>
        <v>39.36</v>
      </c>
      <c r="Q21" s="33">
        <f>+'Càlcul Import de licita 1er Any'!Q33</f>
        <v>23.21</v>
      </c>
      <c r="R21" s="59">
        <f>SUM(F21:Q21)</f>
        <v>12640.89</v>
      </c>
    </row>
    <row r="22" spans="2:19" ht="13.8" thickBot="1" x14ac:dyDescent="0.3">
      <c r="B22" s="9"/>
      <c r="C22" s="9"/>
      <c r="D22" s="9"/>
      <c r="E22" s="9"/>
      <c r="F22" s="114"/>
      <c r="G22" s="115"/>
      <c r="H22" s="115"/>
      <c r="I22" s="115"/>
      <c r="J22" s="115"/>
      <c r="K22" s="116"/>
      <c r="L22" s="114"/>
      <c r="M22" s="115"/>
      <c r="N22" s="115"/>
      <c r="O22" s="115"/>
      <c r="P22" s="115"/>
      <c r="Q22" s="116"/>
      <c r="R22" s="117"/>
      <c r="S22" s="9"/>
    </row>
    <row r="23" spans="2:19" ht="16.2" thickBot="1" x14ac:dyDescent="0.35">
      <c r="B23" s="27"/>
      <c r="C23" s="135" t="s">
        <v>73</v>
      </c>
      <c r="D23" s="55" t="s">
        <v>4</v>
      </c>
      <c r="E23" s="66"/>
      <c r="F23" s="31">
        <f>+'Càlcul Import de licita 1er Any'!F38</f>
        <v>15.920000000000002</v>
      </c>
      <c r="G23" s="32">
        <f>+'Càlcul Import de licita 1er Any'!G38</f>
        <v>15.950000000000001</v>
      </c>
      <c r="H23" s="32">
        <f>+'Càlcul Import de licita 1er Any'!H38</f>
        <v>15.59</v>
      </c>
      <c r="I23" s="32">
        <f>+'Càlcul Import de licita 1er Any'!I38</f>
        <v>16.100000000000001</v>
      </c>
      <c r="J23" s="32">
        <f>+'Càlcul Import de licita 1er Any'!J38</f>
        <v>157.86999999999998</v>
      </c>
      <c r="K23" s="33">
        <f>+'Càlcul Import de licita 1er Any'!K38</f>
        <v>234.56</v>
      </c>
      <c r="L23" s="31">
        <f>+'Càlcul Import de licita 1er Any'!L38</f>
        <v>251.01000000000002</v>
      </c>
      <c r="M23" s="32">
        <f>+'Càlcul Import de licita 1er Any'!M38</f>
        <v>230.95999999999998</v>
      </c>
      <c r="N23" s="32">
        <f>+'Càlcul Import de licita 1er Any'!N38</f>
        <v>229.06</v>
      </c>
      <c r="O23" s="32">
        <f>+'Càlcul Import de licita 1er Any'!O38</f>
        <v>104.63</v>
      </c>
      <c r="P23" s="32">
        <f>+'Càlcul Import de licita 1er Any'!P38</f>
        <v>15.73</v>
      </c>
      <c r="Q23" s="54">
        <f>+'Càlcul Import de licita 1er Any'!Q38</f>
        <v>13.86</v>
      </c>
      <c r="R23" s="59">
        <f>SUM(F23:Q23)</f>
        <v>1301.24</v>
      </c>
    </row>
    <row r="24" spans="2:19" ht="15.6" thickBot="1" x14ac:dyDescent="0.3">
      <c r="C24" s="27"/>
      <c r="D24" s="27"/>
      <c r="E24" s="7"/>
      <c r="F24" s="43"/>
      <c r="G24" s="10"/>
      <c r="H24" s="10"/>
      <c r="I24" s="10"/>
      <c r="J24" s="10"/>
      <c r="K24" s="44"/>
      <c r="L24" s="43"/>
      <c r="M24" s="10"/>
      <c r="N24" s="10"/>
      <c r="O24" s="10"/>
      <c r="P24" s="10"/>
      <c r="Q24" s="10"/>
      <c r="R24" s="78"/>
    </row>
    <row r="25" spans="2:19" ht="16.2" thickBot="1" x14ac:dyDescent="0.35">
      <c r="C25" s="26" t="s">
        <v>75</v>
      </c>
      <c r="D25" s="64" t="s">
        <v>4</v>
      </c>
      <c r="E25" s="56"/>
      <c r="F25" s="57">
        <f>+'Càlcul Import de licita 1er Any'!F42</f>
        <v>155.26</v>
      </c>
      <c r="G25" s="58">
        <f>+'Càlcul Import de licita 1er Any'!G42</f>
        <v>155.26</v>
      </c>
      <c r="H25" s="58">
        <f>+'Càlcul Import de licita 1er Any'!H42</f>
        <v>155.26</v>
      </c>
      <c r="I25" s="58">
        <f>+'Càlcul Import de licita 1er Any'!I42</f>
        <v>155.26</v>
      </c>
      <c r="J25" s="58">
        <f>+'Càlcul Import de licita 1er Any'!J42</f>
        <v>155.26</v>
      </c>
      <c r="K25" s="58">
        <f>+'Càlcul Import de licita 1er Any'!K42</f>
        <v>155.26</v>
      </c>
      <c r="L25" s="57">
        <f>+'Càlcul Import de licita 1er Any'!L42</f>
        <v>155.26</v>
      </c>
      <c r="M25" s="58">
        <f>+'Càlcul Import de licita 1er Any'!M42</f>
        <v>155.26</v>
      </c>
      <c r="N25" s="58">
        <f>+'Càlcul Import de licita 1er Any'!N42</f>
        <v>155.26</v>
      </c>
      <c r="O25" s="58">
        <f>+'Càlcul Import de licita 1er Any'!O42</f>
        <v>155.26</v>
      </c>
      <c r="P25" s="58">
        <f>+'Càlcul Import de licita 1er Any'!P42</f>
        <v>155.26</v>
      </c>
      <c r="Q25" s="49">
        <f>+'Càlcul Import de licita 1er Any'!Q42</f>
        <v>155.26</v>
      </c>
      <c r="R25" s="49">
        <f>SUM(F25:Q25)</f>
        <v>1863.12</v>
      </c>
    </row>
    <row r="26" spans="2:19" ht="15.6" thickBot="1" x14ac:dyDescent="0.3">
      <c r="C26" s="27"/>
      <c r="D26" s="27"/>
      <c r="E26" s="7"/>
      <c r="F26" s="43"/>
      <c r="G26" s="10"/>
      <c r="H26" s="10"/>
      <c r="I26" s="10"/>
      <c r="J26" s="10"/>
      <c r="K26" s="10"/>
      <c r="L26" s="43"/>
      <c r="M26" s="10"/>
      <c r="N26" s="10"/>
      <c r="O26" s="10"/>
      <c r="P26" s="10"/>
      <c r="Q26" s="44"/>
      <c r="R26" s="44"/>
    </row>
    <row r="27" spans="2:19" ht="16.2" thickBot="1" x14ac:dyDescent="0.35">
      <c r="C27" s="29" t="s">
        <v>23</v>
      </c>
      <c r="D27" s="63" t="s">
        <v>3</v>
      </c>
      <c r="E27" s="7"/>
      <c r="F27" s="45">
        <f t="shared" ref="F27:R27" si="2">+F29/F12</f>
        <v>0.33347209735744088</v>
      </c>
      <c r="G27" s="46">
        <f t="shared" si="2"/>
        <v>0.33090125226288863</v>
      </c>
      <c r="H27" s="46">
        <f t="shared" si="2"/>
        <v>0.31949231007751938</v>
      </c>
      <c r="I27" s="46">
        <f t="shared" si="2"/>
        <v>0.31937347158449375</v>
      </c>
      <c r="J27" s="46">
        <f t="shared" si="2"/>
        <v>7.2227655248810599E-2</v>
      </c>
      <c r="K27" s="47">
        <f t="shared" si="2"/>
        <v>7.047717703577587E-2</v>
      </c>
      <c r="L27" s="45">
        <f t="shared" si="2"/>
        <v>7.022585121509857E-2</v>
      </c>
      <c r="M27" s="46">
        <f t="shared" si="2"/>
        <v>7.0201426764507621E-2</v>
      </c>
      <c r="N27" s="46">
        <f t="shared" si="2"/>
        <v>7.0569716789360151E-2</v>
      </c>
      <c r="O27" s="46">
        <f t="shared" si="2"/>
        <v>7.5340513306422677E-2</v>
      </c>
      <c r="P27" s="46">
        <f t="shared" si="2"/>
        <v>0.35200157501062473</v>
      </c>
      <c r="Q27" s="48">
        <f t="shared" si="2"/>
        <v>0.63763772679509634</v>
      </c>
      <c r="R27" s="30">
        <f t="shared" si="2"/>
        <v>7.5118690421639434E-2</v>
      </c>
    </row>
    <row r="28" spans="2:19" ht="15.6" thickBot="1" x14ac:dyDescent="0.3">
      <c r="C28" s="27"/>
      <c r="D28" s="27"/>
      <c r="E28" s="7"/>
      <c r="F28" s="42"/>
      <c r="G28" s="27"/>
      <c r="H28" s="27"/>
      <c r="I28" s="27"/>
      <c r="J28" s="27"/>
      <c r="K28" s="27"/>
      <c r="L28" s="42"/>
      <c r="M28" s="27"/>
      <c r="N28" s="27"/>
      <c r="O28" s="27"/>
      <c r="P28" s="27"/>
      <c r="Q28" s="21"/>
      <c r="R28" s="21"/>
    </row>
    <row r="29" spans="2:19" ht="16.2" thickBot="1" x14ac:dyDescent="0.35">
      <c r="B29" s="7"/>
      <c r="C29" s="29" t="s">
        <v>38</v>
      </c>
      <c r="D29" s="64" t="s">
        <v>21</v>
      </c>
      <c r="E29" s="7"/>
      <c r="F29" s="31">
        <f t="shared" ref="F29:Q29" si="3">F15+F17+F19+F21+F23+F25</f>
        <v>1678.3650660000001</v>
      </c>
      <c r="G29" s="32">
        <f t="shared" si="3"/>
        <v>1681.6401639999999</v>
      </c>
      <c r="H29" s="32">
        <f t="shared" si="3"/>
        <v>1648.58032</v>
      </c>
      <c r="I29" s="32">
        <f t="shared" si="3"/>
        <v>1697.1506279999999</v>
      </c>
      <c r="J29" s="32">
        <f t="shared" si="3"/>
        <v>17474.108861999997</v>
      </c>
      <c r="K29" s="33">
        <f t="shared" si="3"/>
        <v>25995.647704000003</v>
      </c>
      <c r="L29" s="31">
        <f t="shared" si="3"/>
        <v>27825.097446</v>
      </c>
      <c r="M29" s="32">
        <f t="shared" si="3"/>
        <v>25619.729891999999</v>
      </c>
      <c r="N29" s="32">
        <f t="shared" si="3"/>
        <v>25384.209408000002</v>
      </c>
      <c r="O29" s="32">
        <f t="shared" si="3"/>
        <v>11553.241693999998</v>
      </c>
      <c r="P29" s="32">
        <f t="shared" si="3"/>
        <v>1656.5194119999999</v>
      </c>
      <c r="Q29" s="33">
        <f t="shared" si="3"/>
        <v>1456.364568</v>
      </c>
      <c r="R29" s="49">
        <f>SUM(F29:Q29)</f>
        <v>143670.655164</v>
      </c>
    </row>
    <row r="30" spans="2:19" ht="16.2" thickBot="1" x14ac:dyDescent="0.35">
      <c r="C30" s="13"/>
      <c r="D30" s="13"/>
      <c r="E30" s="13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2"/>
    </row>
    <row r="31" spans="2:19" ht="18" thickBot="1" x14ac:dyDescent="0.35">
      <c r="E31" s="13"/>
      <c r="F31" s="197" t="s">
        <v>41</v>
      </c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9"/>
      <c r="R31" s="4"/>
    </row>
    <row r="32" spans="2:19" ht="16.2" thickBot="1" x14ac:dyDescent="0.35">
      <c r="E32" s="13"/>
      <c r="F32" s="180" t="s">
        <v>91</v>
      </c>
      <c r="G32" s="181"/>
      <c r="H32" s="181"/>
      <c r="I32" s="181"/>
      <c r="J32" s="181"/>
      <c r="K32" s="182"/>
      <c r="L32" s="180" t="s">
        <v>92</v>
      </c>
      <c r="M32" s="181"/>
      <c r="N32" s="181"/>
      <c r="O32" s="181"/>
      <c r="P32" s="181"/>
      <c r="Q32" s="182"/>
      <c r="R32" s="15"/>
    </row>
    <row r="33" spans="2:20" ht="16.2" thickBot="1" x14ac:dyDescent="0.35">
      <c r="B33" s="98" t="s">
        <v>1</v>
      </c>
      <c r="C33" s="99"/>
      <c r="D33" s="3" t="s">
        <v>2</v>
      </c>
      <c r="E33" s="13"/>
      <c r="F33" s="23" t="s">
        <v>12</v>
      </c>
      <c r="G33" s="24" t="s">
        <v>13</v>
      </c>
      <c r="H33" s="24" t="s">
        <v>14</v>
      </c>
      <c r="I33" s="24" t="s">
        <v>15</v>
      </c>
      <c r="J33" s="24" t="s">
        <v>16</v>
      </c>
      <c r="K33" s="25" t="s">
        <v>17</v>
      </c>
      <c r="L33" s="23" t="s">
        <v>6</v>
      </c>
      <c r="M33" s="24" t="s">
        <v>7</v>
      </c>
      <c r="N33" s="24" t="s">
        <v>8</v>
      </c>
      <c r="O33" s="24" t="s">
        <v>9</v>
      </c>
      <c r="P33" s="24" t="s">
        <v>10</v>
      </c>
      <c r="Q33" s="25" t="s">
        <v>11</v>
      </c>
      <c r="R33" s="22" t="s">
        <v>85</v>
      </c>
    </row>
    <row r="34" spans="2:20" ht="15.6" x14ac:dyDescent="0.3">
      <c r="B34" s="9"/>
      <c r="C34" s="79"/>
      <c r="D34" s="3" t="s">
        <v>39</v>
      </c>
      <c r="E34" s="7"/>
      <c r="F34" s="23">
        <v>31</v>
      </c>
      <c r="G34" s="24">
        <v>31</v>
      </c>
      <c r="H34" s="24">
        <v>30</v>
      </c>
      <c r="I34" s="24">
        <v>31</v>
      </c>
      <c r="J34" s="24">
        <v>30</v>
      </c>
      <c r="K34" s="25">
        <v>31</v>
      </c>
      <c r="L34" s="23">
        <v>31</v>
      </c>
      <c r="M34" s="24">
        <v>28</v>
      </c>
      <c r="N34" s="24">
        <v>31</v>
      </c>
      <c r="O34" s="24">
        <v>30</v>
      </c>
      <c r="P34" s="24">
        <v>31</v>
      </c>
      <c r="Q34" s="25">
        <v>30</v>
      </c>
      <c r="R34" s="80">
        <f>SUM(F34:Q34)</f>
        <v>365</v>
      </c>
    </row>
    <row r="35" spans="2:20" ht="16.5" customHeight="1" thickBot="1" x14ac:dyDescent="0.35">
      <c r="B35" s="9"/>
      <c r="C35" s="27"/>
      <c r="D35" s="27"/>
      <c r="E35" s="13"/>
      <c r="F35" s="34"/>
      <c r="G35" s="35"/>
      <c r="H35" s="35"/>
      <c r="I35" s="35"/>
      <c r="J35" s="35"/>
      <c r="K35" s="36"/>
      <c r="L35" s="37"/>
      <c r="M35" s="38"/>
      <c r="N35" s="38"/>
      <c r="O35" s="38"/>
      <c r="P35" s="38"/>
      <c r="Q35" s="39"/>
      <c r="R35" s="21"/>
      <c r="T35" s="9"/>
    </row>
    <row r="36" spans="2:20" ht="16.2" thickBot="1" x14ac:dyDescent="0.35">
      <c r="B36" s="7"/>
      <c r="C36" s="26" t="s">
        <v>34</v>
      </c>
      <c r="D36" s="63" t="s">
        <v>0</v>
      </c>
      <c r="E36" s="13"/>
      <c r="F36" s="94">
        <f>+'Càlcul Import de licita 1er Any'!F53</f>
        <v>10038</v>
      </c>
      <c r="G36" s="95">
        <f>+'Càlcul Import de licita 1er Any'!G53</f>
        <v>9549</v>
      </c>
      <c r="H36" s="95">
        <f>+'Càlcul Import de licita 1er Any'!H53</f>
        <v>10185</v>
      </c>
      <c r="I36" s="95">
        <f>+'Càlcul Import de licita 1er Any'!I53</f>
        <v>11564</v>
      </c>
      <c r="J36" s="95">
        <f>+'Càlcul Import de licita 1er Any'!J53</f>
        <v>292448</v>
      </c>
      <c r="K36" s="96">
        <f>+'Càlcul Import de licita 1er Any'!K53</f>
        <v>453623</v>
      </c>
      <c r="L36" s="94">
        <f>+'Càlcul Import de licita 1er Any'!L53</f>
        <v>489778</v>
      </c>
      <c r="M36" s="95">
        <f>+'Càlcul Import de licita 1er Any'!M53</f>
        <v>514188</v>
      </c>
      <c r="N36" s="95">
        <f>+'Càlcul Import de licita 1er Any'!N53</f>
        <v>384622</v>
      </c>
      <c r="O36" s="95">
        <f>+'Càlcul Import de licita 1er Any'!O53</f>
        <v>285199</v>
      </c>
      <c r="P36" s="95">
        <f>+'Càlcul Import de licita 1er Any'!P53</f>
        <v>78143</v>
      </c>
      <c r="Q36" s="96">
        <f>+'Càlcul Import de licita 1er Any'!Q53</f>
        <v>12448</v>
      </c>
      <c r="R36" s="97">
        <f>SUM(F36:Q36)</f>
        <v>2551785</v>
      </c>
    </row>
    <row r="37" spans="2:20" ht="15.6" x14ac:dyDescent="0.3">
      <c r="C37" s="102"/>
      <c r="D37" s="101"/>
      <c r="E37" s="7"/>
      <c r="F37" s="127"/>
      <c r="G37" s="128"/>
      <c r="H37" s="128"/>
      <c r="I37" s="128"/>
      <c r="J37" s="128"/>
      <c r="K37" s="129"/>
      <c r="L37" s="120"/>
      <c r="M37" s="103"/>
      <c r="N37" s="103"/>
      <c r="O37" s="103"/>
      <c r="P37" s="103"/>
      <c r="Q37" s="104"/>
      <c r="R37" s="105"/>
      <c r="T37" s="9"/>
    </row>
    <row r="38" spans="2:20" ht="15.6" thickBot="1" x14ac:dyDescent="0.3">
      <c r="B38" s="9"/>
      <c r="C38" s="50" t="s">
        <v>77</v>
      </c>
      <c r="D38" s="3" t="s">
        <v>3</v>
      </c>
      <c r="E38" s="7"/>
      <c r="F38" s="134">
        <f>+'Càlcul Import de licita 1er Any'!F55</f>
        <v>5.6165E-2</v>
      </c>
      <c r="G38" s="130">
        <f t="shared" ref="G38:Q38" si="4">+F38</f>
        <v>5.6165E-2</v>
      </c>
      <c r="H38" s="130">
        <f t="shared" si="4"/>
        <v>5.6165E-2</v>
      </c>
      <c r="I38" s="130">
        <f t="shared" si="4"/>
        <v>5.6165E-2</v>
      </c>
      <c r="J38" s="130">
        <f t="shared" si="4"/>
        <v>5.6165E-2</v>
      </c>
      <c r="K38" s="131">
        <f t="shared" si="4"/>
        <v>5.6165E-2</v>
      </c>
      <c r="L38" s="113">
        <f t="shared" si="4"/>
        <v>5.6165E-2</v>
      </c>
      <c r="M38" s="92">
        <f t="shared" si="4"/>
        <v>5.6165E-2</v>
      </c>
      <c r="N38" s="92">
        <f t="shared" si="4"/>
        <v>5.6165E-2</v>
      </c>
      <c r="O38" s="92">
        <f t="shared" si="4"/>
        <v>5.6165E-2</v>
      </c>
      <c r="P38" s="92">
        <f t="shared" si="4"/>
        <v>5.6165E-2</v>
      </c>
      <c r="Q38" s="93">
        <f t="shared" si="4"/>
        <v>5.6165E-2</v>
      </c>
      <c r="R38" s="78"/>
      <c r="T38" s="9"/>
    </row>
    <row r="39" spans="2:20" ht="16.2" thickBot="1" x14ac:dyDescent="0.35">
      <c r="B39" s="52" t="s">
        <v>22</v>
      </c>
      <c r="C39" s="51" t="s">
        <v>77</v>
      </c>
      <c r="D39" s="63" t="s">
        <v>4</v>
      </c>
      <c r="E39" s="56"/>
      <c r="F39" s="31">
        <f>+F38*F36</f>
        <v>563.78426999999999</v>
      </c>
      <c r="G39" s="32">
        <f t="shared" ref="G39:Q39" si="5">+G38*G36</f>
        <v>536.31958499999996</v>
      </c>
      <c r="H39" s="32">
        <f t="shared" si="5"/>
        <v>572.040525</v>
      </c>
      <c r="I39" s="32">
        <f t="shared" si="5"/>
        <v>649.49206000000004</v>
      </c>
      <c r="J39" s="32">
        <f t="shared" si="5"/>
        <v>16425.341919999999</v>
      </c>
      <c r="K39" s="33">
        <f t="shared" si="5"/>
        <v>25477.735795000001</v>
      </c>
      <c r="L39" s="100">
        <f t="shared" si="5"/>
        <v>27508.381369999999</v>
      </c>
      <c r="M39" s="32">
        <f t="shared" si="5"/>
        <v>28879.369019999998</v>
      </c>
      <c r="N39" s="32">
        <f t="shared" si="5"/>
        <v>21602.29463</v>
      </c>
      <c r="O39" s="32">
        <f t="shared" si="5"/>
        <v>16018.201835</v>
      </c>
      <c r="P39" s="32">
        <f t="shared" si="5"/>
        <v>4388.9015950000003</v>
      </c>
      <c r="Q39" s="33">
        <f t="shared" si="5"/>
        <v>699.14192000000003</v>
      </c>
      <c r="R39" s="59">
        <f>SUM(F39:Q39)</f>
        <v>143321.004525</v>
      </c>
    </row>
    <row r="40" spans="2:20" ht="15.6" thickBot="1" x14ac:dyDescent="0.3">
      <c r="B40" s="9"/>
      <c r="C40" s="27"/>
      <c r="D40" s="27"/>
      <c r="E40" s="7"/>
      <c r="F40" s="60"/>
      <c r="G40" s="61"/>
      <c r="H40" s="61"/>
      <c r="I40" s="61"/>
      <c r="J40" s="61"/>
      <c r="K40" s="62"/>
      <c r="L40" s="60"/>
      <c r="M40" s="61"/>
      <c r="N40" s="61"/>
      <c r="O40" s="61"/>
      <c r="P40" s="61"/>
      <c r="Q40" s="62"/>
      <c r="R40" s="77"/>
    </row>
    <row r="41" spans="2:20" ht="16.2" thickBot="1" x14ac:dyDescent="0.35">
      <c r="B41" s="9"/>
      <c r="C41" s="110" t="s">
        <v>51</v>
      </c>
      <c r="D41" s="63" t="s">
        <v>4</v>
      </c>
      <c r="E41" s="56"/>
      <c r="F41" s="31">
        <f>+'Càlcul Import de licita 1er Any'!F60</f>
        <v>120.06</v>
      </c>
      <c r="G41" s="32">
        <f>+'Càlcul Import de licita 1er Any'!G60</f>
        <v>120.06</v>
      </c>
      <c r="H41" s="32">
        <f>+'Càlcul Import de licita 1er Any'!H60</f>
        <v>116.18</v>
      </c>
      <c r="I41" s="32">
        <f>+'Càlcul Import de licita 1er Any'!I60</f>
        <v>120.06</v>
      </c>
      <c r="J41" s="32">
        <f>+'Càlcul Import de licita 1er Any'!J60</f>
        <v>116.18</v>
      </c>
      <c r="K41" s="33">
        <f>+'Càlcul Import de licita 1er Any'!K60</f>
        <v>120.06</v>
      </c>
      <c r="L41" s="100">
        <f>+'Càlcul Import de licita 1er Any'!L60</f>
        <v>120.06</v>
      </c>
      <c r="M41" s="32">
        <f>+'Càlcul Import de licita 1er Any'!M60</f>
        <v>108.44</v>
      </c>
      <c r="N41" s="32">
        <f>+'Càlcul Import de licita 1er Any'!N60</f>
        <v>120.06</v>
      </c>
      <c r="O41" s="32">
        <f>+'Càlcul Import de licita 1er Any'!O60</f>
        <v>116.18</v>
      </c>
      <c r="P41" s="32">
        <f>+'Càlcul Import de licita 1er Any'!P60</f>
        <v>120.06</v>
      </c>
      <c r="Q41" s="33">
        <f>+'Càlcul Import de licita 1er Any'!Q60</f>
        <v>116.18</v>
      </c>
      <c r="R41" s="59">
        <f>SUM(F41:Q41)</f>
        <v>1413.58</v>
      </c>
    </row>
    <row r="42" spans="2:20" ht="15.6" thickBot="1" x14ac:dyDescent="0.3">
      <c r="B42" s="9"/>
      <c r="C42" s="27"/>
      <c r="D42" s="27"/>
      <c r="E42" s="7"/>
      <c r="F42" s="60"/>
      <c r="G42" s="61"/>
      <c r="H42" s="61"/>
      <c r="I42" s="61"/>
      <c r="J42" s="61"/>
      <c r="K42" s="62"/>
      <c r="L42" s="60"/>
      <c r="M42" s="61"/>
      <c r="N42" s="61"/>
      <c r="O42" s="61"/>
      <c r="P42" s="61"/>
      <c r="Q42" s="62"/>
      <c r="R42" s="77"/>
    </row>
    <row r="43" spans="2:20" ht="16.2" thickBot="1" x14ac:dyDescent="0.35">
      <c r="B43" s="9"/>
      <c r="C43" s="110" t="s">
        <v>74</v>
      </c>
      <c r="D43" s="63" t="s">
        <v>4</v>
      </c>
      <c r="E43" s="56"/>
      <c r="F43" s="31">
        <f>+'Càlcul Import de licita 1er Any'!F66</f>
        <v>1092.22</v>
      </c>
      <c r="G43" s="32">
        <f>+'Càlcul Import de licita 1er Any'!G66</f>
        <v>1089.93</v>
      </c>
      <c r="H43" s="32">
        <f>+'Càlcul Import de licita 1er Any'!H66</f>
        <v>1059.2</v>
      </c>
      <c r="I43" s="32">
        <f>+'Càlcul Import de licita 1er Any'!I66</f>
        <v>1099.3599999999999</v>
      </c>
      <c r="J43" s="32">
        <f>+'Càlcul Import de licita 1er Any'!J66</f>
        <v>2379.8999999999996</v>
      </c>
      <c r="K43" s="33">
        <f>+'Càlcul Import de licita 1er Any'!K66</f>
        <v>3167.75</v>
      </c>
      <c r="L43" s="100">
        <f>+'Càlcul Import de licita 1er Any'!L66</f>
        <v>3336.92</v>
      </c>
      <c r="M43" s="32">
        <f>+'Càlcul Import de licita 1er Any'!M66</f>
        <v>3349.99</v>
      </c>
      <c r="N43" s="32">
        <f>+'Càlcul Import de licita 1er Any'!N66</f>
        <v>2844.9</v>
      </c>
      <c r="O43" s="32">
        <f>+'Càlcul Import de licita 1er Any'!O66</f>
        <v>2345.9899999999998</v>
      </c>
      <c r="P43" s="32">
        <f>+'Càlcul Import de licita 1er Any'!P66</f>
        <v>1410.88</v>
      </c>
      <c r="Q43" s="33">
        <f>+'Càlcul Import de licita 1er Any'!Q66</f>
        <v>1069.78</v>
      </c>
      <c r="R43" s="59">
        <f>SUM(F43:Q43)</f>
        <v>24246.820000000003</v>
      </c>
    </row>
    <row r="44" spans="2:20" ht="15.6" thickBot="1" x14ac:dyDescent="0.3">
      <c r="B44" s="9"/>
      <c r="C44" s="27"/>
      <c r="D44" s="27"/>
      <c r="E44" s="7"/>
      <c r="F44" s="60"/>
      <c r="G44" s="61"/>
      <c r="H44" s="61"/>
      <c r="I44" s="61"/>
      <c r="J44" s="61"/>
      <c r="K44" s="62"/>
      <c r="L44" s="60"/>
      <c r="M44" s="61"/>
      <c r="N44" s="61"/>
      <c r="O44" s="61"/>
      <c r="P44" s="61"/>
      <c r="Q44" s="62"/>
      <c r="R44" s="77"/>
    </row>
    <row r="45" spans="2:20" ht="16.2" thickBot="1" x14ac:dyDescent="0.35">
      <c r="B45" s="9"/>
      <c r="C45" s="132" t="s">
        <v>68</v>
      </c>
      <c r="D45" s="63" t="s">
        <v>4</v>
      </c>
      <c r="E45" s="7"/>
      <c r="F45" s="31">
        <f>+'Càlcul Import de licita 1er Any'!F70</f>
        <v>74.319999999999993</v>
      </c>
      <c r="G45" s="32">
        <f>+'Càlcul Import de licita 1er Any'!G70</f>
        <v>71.11</v>
      </c>
      <c r="H45" s="32">
        <f>+'Càlcul Import de licita 1er Any'!H70</f>
        <v>75.010000000000005</v>
      </c>
      <c r="I45" s="32">
        <f>+'Càlcul Import de licita 1er Any'!I70</f>
        <v>84.33</v>
      </c>
      <c r="J45" s="32">
        <f>+'Càlcul Import de licita 1er Any'!J70</f>
        <v>1925.81</v>
      </c>
      <c r="K45" s="33">
        <f>+'Càlcul Import de licita 1er Any'!K70</f>
        <v>2982.91</v>
      </c>
      <c r="L45" s="100">
        <f>+'Càlcul Import de licita 1er Any'!L70</f>
        <v>3219.97</v>
      </c>
      <c r="M45" s="32">
        <f>+'Càlcul Import de licita 1er Any'!M70</f>
        <v>3379.21</v>
      </c>
      <c r="N45" s="32">
        <f>+'Càlcul Import de licita 1er Any'!N70</f>
        <v>2530.4699999999998</v>
      </c>
      <c r="O45" s="32">
        <f>+'Càlcul Import de licita 1er Any'!O70</f>
        <v>1878.28</v>
      </c>
      <c r="P45" s="32">
        <f>+'Càlcul Import de licita 1er Any'!P70</f>
        <v>520.88</v>
      </c>
      <c r="Q45" s="33">
        <f>+'Càlcul Import de licita 1er Any'!Q70</f>
        <v>89.850000000000009</v>
      </c>
      <c r="R45" s="59">
        <f>SUM(F45:Q45)</f>
        <v>16832.149999999998</v>
      </c>
    </row>
    <row r="46" spans="2:20" ht="13.8" thickBot="1" x14ac:dyDescent="0.3">
      <c r="B46" s="9"/>
      <c r="C46" s="9"/>
      <c r="D46" s="9"/>
      <c r="E46" s="9"/>
      <c r="F46" s="114"/>
      <c r="G46" s="115"/>
      <c r="H46" s="115"/>
      <c r="I46" s="115"/>
      <c r="J46" s="115"/>
      <c r="K46" s="116"/>
      <c r="L46" s="114"/>
      <c r="M46" s="115"/>
      <c r="N46" s="115"/>
      <c r="O46" s="115"/>
      <c r="P46" s="115"/>
      <c r="Q46" s="116"/>
      <c r="R46" s="117"/>
      <c r="S46" s="9"/>
    </row>
    <row r="47" spans="2:20" ht="16.2" thickBot="1" x14ac:dyDescent="0.35">
      <c r="B47" s="9"/>
      <c r="C47" s="135" t="s">
        <v>73</v>
      </c>
      <c r="D47" s="55" t="s">
        <v>4</v>
      </c>
      <c r="E47" s="66"/>
      <c r="F47" s="31">
        <f>+'Càlcul Import de licita 1er Any'!F75</f>
        <v>18.93</v>
      </c>
      <c r="G47" s="32">
        <f>+'Càlcul Import de licita 1er Any'!G75</f>
        <v>18.64</v>
      </c>
      <c r="H47" s="32">
        <f>+'Càlcul Import de licita 1er Any'!H75</f>
        <v>18.600000000000001</v>
      </c>
      <c r="I47" s="32">
        <f>+'Càlcul Import de licita 1er Any'!I75</f>
        <v>19.850000000000001</v>
      </c>
      <c r="J47" s="32">
        <f>+'Càlcul Import de licita 1er Any'!J75</f>
        <v>188.22</v>
      </c>
      <c r="K47" s="33">
        <f>+'Càlcul Import de licita 1er Any'!K75</f>
        <v>285.5</v>
      </c>
      <c r="L47" s="31">
        <f>+'Càlcul Import de licita 1er Any'!L75</f>
        <v>307.22000000000003</v>
      </c>
      <c r="M47" s="32">
        <f>+'Càlcul Import de licita 1er Any'!M75</f>
        <v>320.64000000000004</v>
      </c>
      <c r="N47" s="32">
        <f>+'Càlcul Import de licita 1er Any'!N75</f>
        <v>244.02999999999997</v>
      </c>
      <c r="O47" s="32">
        <f>+'Càlcul Import de licita 1er Any'!O75</f>
        <v>183.87</v>
      </c>
      <c r="P47" s="32">
        <f>+'Càlcul Import de licita 1er Any'!P75</f>
        <v>59.86</v>
      </c>
      <c r="Q47" s="54">
        <f>+'Càlcul Import de licita 1er Any'!Q75</f>
        <v>19.97</v>
      </c>
      <c r="R47" s="59">
        <f>SUM(F47:Q47)</f>
        <v>1685.33</v>
      </c>
    </row>
    <row r="48" spans="2:20" ht="15.6" thickBot="1" x14ac:dyDescent="0.3">
      <c r="B48" s="9"/>
      <c r="C48" s="27"/>
      <c r="D48" s="27"/>
      <c r="E48" s="7"/>
      <c r="F48" s="43"/>
      <c r="G48" s="10"/>
      <c r="H48" s="10"/>
      <c r="I48" s="10"/>
      <c r="J48" s="10"/>
      <c r="K48" s="44"/>
      <c r="L48" s="43"/>
      <c r="M48" s="10"/>
      <c r="N48" s="10"/>
      <c r="O48" s="10"/>
      <c r="P48" s="10"/>
      <c r="Q48" s="10"/>
      <c r="R48" s="78"/>
    </row>
    <row r="49" spans="2:18" ht="16.2" thickBot="1" x14ac:dyDescent="0.35">
      <c r="B49" s="9"/>
      <c r="C49" s="26" t="s">
        <v>76</v>
      </c>
      <c r="D49" s="64" t="s">
        <v>4</v>
      </c>
      <c r="E49" s="56"/>
      <c r="F49" s="57">
        <f>+'Càlcul Import de licita 1er Any'!F77</f>
        <v>41.59</v>
      </c>
      <c r="G49" s="58">
        <f>+'Càlcul Import de licita 1er Any'!G77</f>
        <v>41.59</v>
      </c>
      <c r="H49" s="58">
        <f>+'Càlcul Import de licita 1er Any'!H77</f>
        <v>41.59</v>
      </c>
      <c r="I49" s="58">
        <f>+'Càlcul Import de licita 1er Any'!I77</f>
        <v>41.59</v>
      </c>
      <c r="J49" s="58">
        <f>+'Càlcul Import de licita 1er Any'!J77</f>
        <v>41.59</v>
      </c>
      <c r="K49" s="58">
        <f>+'Càlcul Import de licita 1er Any'!K77</f>
        <v>41.59</v>
      </c>
      <c r="L49" s="57">
        <f>+'Càlcul Import de licita 1er Any'!L77</f>
        <v>41.59</v>
      </c>
      <c r="M49" s="58">
        <f>+'Càlcul Import de licita 1er Any'!M77</f>
        <v>41.59</v>
      </c>
      <c r="N49" s="58">
        <f>+'Càlcul Import de licita 1er Any'!N77</f>
        <v>41.59</v>
      </c>
      <c r="O49" s="58">
        <f>+'Càlcul Import de licita 1er Any'!O77</f>
        <v>41.59</v>
      </c>
      <c r="P49" s="58">
        <f>+'Càlcul Import de licita 1er Any'!P77</f>
        <v>41.59</v>
      </c>
      <c r="Q49" s="49">
        <f>+'Càlcul Import de licita 1er Any'!Q77</f>
        <v>41.59</v>
      </c>
      <c r="R49" s="49">
        <f>SUM(F49:Q49)</f>
        <v>499.08000000000015</v>
      </c>
    </row>
    <row r="50" spans="2:18" ht="15.6" thickBot="1" x14ac:dyDescent="0.3">
      <c r="C50" s="27"/>
      <c r="D50" s="27"/>
      <c r="E50" s="7"/>
      <c r="F50" s="43"/>
      <c r="G50" s="10"/>
      <c r="H50" s="10"/>
      <c r="I50" s="10"/>
      <c r="J50" s="10"/>
      <c r="K50" s="10"/>
      <c r="L50" s="43"/>
      <c r="M50" s="10"/>
      <c r="N50" s="10"/>
      <c r="O50" s="10"/>
      <c r="P50" s="10"/>
      <c r="Q50" s="44"/>
      <c r="R50" s="44"/>
    </row>
    <row r="51" spans="2:18" ht="16.2" thickBot="1" x14ac:dyDescent="0.35">
      <c r="C51" s="29" t="s">
        <v>23</v>
      </c>
      <c r="D51" s="63" t="s">
        <v>3</v>
      </c>
      <c r="E51" s="7"/>
      <c r="F51" s="45">
        <f t="shared" ref="F51:R51" si="6">+F53/F36</f>
        <v>0.19036703227734608</v>
      </c>
      <c r="G51" s="46">
        <f t="shared" si="6"/>
        <v>0.19663311184417215</v>
      </c>
      <c r="H51" s="46">
        <f t="shared" si="6"/>
        <v>0.18484246686303385</v>
      </c>
      <c r="I51" s="46">
        <f t="shared" si="6"/>
        <v>0.17422017122103076</v>
      </c>
      <c r="J51" s="46">
        <f t="shared" si="6"/>
        <v>7.2071075610022989E-2</v>
      </c>
      <c r="K51" s="47">
        <f t="shared" si="6"/>
        <v>7.0709699012175317E-2</v>
      </c>
      <c r="L51" s="45">
        <f t="shared" si="6"/>
        <v>7.0509784780043203E-2</v>
      </c>
      <c r="M51" s="46">
        <f t="shared" si="6"/>
        <v>7.0167407679681354E-2</v>
      </c>
      <c r="N51" s="46">
        <f t="shared" si="6"/>
        <v>7.1195471475890629E-2</v>
      </c>
      <c r="O51" s="46">
        <f t="shared" si="6"/>
        <v>7.2174558238282727E-2</v>
      </c>
      <c r="P51" s="46">
        <f t="shared" si="6"/>
        <v>8.3720507211138565E-2</v>
      </c>
      <c r="Q51" s="48">
        <f t="shared" si="6"/>
        <v>0.16360153598971722</v>
      </c>
      <c r="R51" s="30">
        <f t="shared" si="6"/>
        <v>7.3673120786037993E-2</v>
      </c>
    </row>
    <row r="52" spans="2:18" ht="15.6" thickBot="1" x14ac:dyDescent="0.3">
      <c r="C52" s="27"/>
      <c r="D52" s="27"/>
      <c r="E52" s="7"/>
      <c r="F52" s="42"/>
      <c r="G52" s="27"/>
      <c r="H52" s="27"/>
      <c r="I52" s="27"/>
      <c r="J52" s="27"/>
      <c r="K52" s="27"/>
      <c r="L52" s="42"/>
      <c r="M52" s="27"/>
      <c r="N52" s="27"/>
      <c r="O52" s="27"/>
      <c r="P52" s="27"/>
      <c r="Q52" s="21"/>
      <c r="R52" s="21"/>
    </row>
    <row r="53" spans="2:18" ht="16.2" thickBot="1" x14ac:dyDescent="0.35">
      <c r="B53" s="7"/>
      <c r="C53" s="29" t="s">
        <v>58</v>
      </c>
      <c r="D53" s="64" t="s">
        <v>21</v>
      </c>
      <c r="E53" s="7"/>
      <c r="F53" s="31">
        <f t="shared" ref="F53:Q53" si="7">F39+F41+F43+F45+F47+F49</f>
        <v>1910.90427</v>
      </c>
      <c r="G53" s="32">
        <f t="shared" si="7"/>
        <v>1877.6495849999999</v>
      </c>
      <c r="H53" s="32">
        <f t="shared" si="7"/>
        <v>1882.6205249999998</v>
      </c>
      <c r="I53" s="32">
        <f t="shared" si="7"/>
        <v>2014.6820599999996</v>
      </c>
      <c r="J53" s="32">
        <f t="shared" si="7"/>
        <v>21077.041920000003</v>
      </c>
      <c r="K53" s="33">
        <f t="shared" si="7"/>
        <v>32075.545795000002</v>
      </c>
      <c r="L53" s="31">
        <f t="shared" si="7"/>
        <v>34534.141369999998</v>
      </c>
      <c r="M53" s="32">
        <f t="shared" si="7"/>
        <v>36079.239019999994</v>
      </c>
      <c r="N53" s="32">
        <f t="shared" si="7"/>
        <v>27383.344630000003</v>
      </c>
      <c r="O53" s="32">
        <f t="shared" si="7"/>
        <v>20584.111834999996</v>
      </c>
      <c r="P53" s="32">
        <f t="shared" si="7"/>
        <v>6542.1715950000007</v>
      </c>
      <c r="Q53" s="33">
        <f t="shared" si="7"/>
        <v>2036.5119199999999</v>
      </c>
      <c r="R53" s="49">
        <f>SUM(F53:Q53)</f>
        <v>187997.96452499996</v>
      </c>
    </row>
    <row r="54" spans="2:18" ht="13.8" thickBot="1" x14ac:dyDescent="0.3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</row>
    <row r="55" spans="2:18" ht="21.6" thickBot="1" x14ac:dyDescent="0.45">
      <c r="B55" s="7"/>
      <c r="C55" s="186" t="s">
        <v>32</v>
      </c>
      <c r="D55" s="187"/>
      <c r="E55" s="187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9"/>
      <c r="R55" s="22" t="s">
        <v>85</v>
      </c>
    </row>
    <row r="56" spans="2:18" ht="15" x14ac:dyDescent="0.25">
      <c r="B56" s="7"/>
      <c r="C56" s="40" t="s">
        <v>35</v>
      </c>
      <c r="D56" s="40" t="s">
        <v>0</v>
      </c>
      <c r="E56" s="27"/>
      <c r="F56" s="67">
        <f t="shared" ref="F56:Q56" si="8">+F12+F36</f>
        <v>15071</v>
      </c>
      <c r="G56" s="68">
        <f t="shared" si="8"/>
        <v>14631</v>
      </c>
      <c r="H56" s="68">
        <f t="shared" si="8"/>
        <v>15345</v>
      </c>
      <c r="I56" s="68">
        <f t="shared" si="8"/>
        <v>16878</v>
      </c>
      <c r="J56" s="68">
        <f t="shared" si="8"/>
        <v>534379</v>
      </c>
      <c r="K56" s="69">
        <f t="shared" si="8"/>
        <v>822475</v>
      </c>
      <c r="L56" s="67">
        <f t="shared" si="8"/>
        <v>886001</v>
      </c>
      <c r="M56" s="68">
        <f t="shared" si="8"/>
        <v>879134</v>
      </c>
      <c r="N56" s="68">
        <f t="shared" si="8"/>
        <v>744326</v>
      </c>
      <c r="O56" s="68">
        <f t="shared" si="8"/>
        <v>438546</v>
      </c>
      <c r="P56" s="68">
        <f t="shared" si="8"/>
        <v>82849</v>
      </c>
      <c r="Q56" s="69">
        <f t="shared" si="8"/>
        <v>14732</v>
      </c>
      <c r="R56" s="73">
        <f>SUM(F56:Q56)</f>
        <v>4464367</v>
      </c>
    </row>
    <row r="57" spans="2:18" ht="15.6" thickBot="1" x14ac:dyDescent="0.3">
      <c r="B57" s="7"/>
      <c r="C57" s="50" t="s">
        <v>23</v>
      </c>
      <c r="D57" s="50" t="s">
        <v>5</v>
      </c>
      <c r="E57" s="9"/>
      <c r="F57" s="70">
        <f>+F58/F56</f>
        <v>0.2381573443036295</v>
      </c>
      <c r="G57" s="71">
        <f t="shared" ref="G57:R57" si="9">+G58/G56</f>
        <v>0.2432704359920716</v>
      </c>
      <c r="H57" s="71">
        <f t="shared" si="9"/>
        <v>0.23012061550993809</v>
      </c>
      <c r="I57" s="71">
        <f t="shared" si="9"/>
        <v>0.21992135845479319</v>
      </c>
      <c r="J57" s="71">
        <f t="shared" si="9"/>
        <v>7.214196437734266E-2</v>
      </c>
      <c r="K57" s="72">
        <f t="shared" si="9"/>
        <v>7.0605420832244137E-2</v>
      </c>
      <c r="L57" s="70">
        <f t="shared" si="9"/>
        <v>7.0382808615340159E-2</v>
      </c>
      <c r="M57" s="71">
        <f t="shared" si="9"/>
        <v>7.0181529678069551E-2</v>
      </c>
      <c r="N57" s="71">
        <f t="shared" si="9"/>
        <v>7.0893068410884483E-2</v>
      </c>
      <c r="O57" s="71">
        <f t="shared" si="9"/>
        <v>7.3281602224168033E-2</v>
      </c>
      <c r="P57" s="71">
        <f t="shared" si="9"/>
        <v>9.8959444374705802E-2</v>
      </c>
      <c r="Q57" s="72">
        <f t="shared" si="9"/>
        <v>0.23709452131414607</v>
      </c>
      <c r="R57" s="74">
        <f t="shared" si="9"/>
        <v>7.4292418163650079E-2</v>
      </c>
    </row>
    <row r="58" spans="2:18" ht="16.2" thickBot="1" x14ac:dyDescent="0.35">
      <c r="C58" s="52" t="s">
        <v>36</v>
      </c>
      <c r="D58" s="51" t="s">
        <v>4</v>
      </c>
      <c r="E58" s="9"/>
      <c r="F58" s="31">
        <f t="shared" ref="F58:Q58" si="10">F53+F29</f>
        <v>3589.2693360000003</v>
      </c>
      <c r="G58" s="32">
        <f t="shared" si="10"/>
        <v>3559.2897489999996</v>
      </c>
      <c r="H58" s="32">
        <f t="shared" si="10"/>
        <v>3531.2008449999998</v>
      </c>
      <c r="I58" s="32">
        <f t="shared" si="10"/>
        <v>3711.8326879999995</v>
      </c>
      <c r="J58" s="32">
        <f t="shared" si="10"/>
        <v>38551.150781999997</v>
      </c>
      <c r="K58" s="33">
        <f t="shared" si="10"/>
        <v>58071.193499000001</v>
      </c>
      <c r="L58" s="31">
        <f t="shared" si="10"/>
        <v>62359.238815999997</v>
      </c>
      <c r="M58" s="32">
        <f t="shared" si="10"/>
        <v>61698.968911999997</v>
      </c>
      <c r="N58" s="32">
        <f t="shared" si="10"/>
        <v>52767.554038000002</v>
      </c>
      <c r="O58" s="32">
        <f t="shared" si="10"/>
        <v>32137.353528999993</v>
      </c>
      <c r="P58" s="32">
        <f t="shared" si="10"/>
        <v>8198.6910070000013</v>
      </c>
      <c r="Q58" s="33">
        <f t="shared" si="10"/>
        <v>3492.8764879999999</v>
      </c>
      <c r="R58" s="59">
        <f>ROUND(SUM(F58:Q58),2)</f>
        <v>331668.62</v>
      </c>
    </row>
    <row r="59" spans="2:18" ht="16.2" thickBot="1" x14ac:dyDescent="0.35"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119" t="s">
        <v>37</v>
      </c>
      <c r="R59" s="49">
        <f>ROUND(R58*0.21,2)</f>
        <v>69650.41</v>
      </c>
    </row>
    <row r="60" spans="2:18" ht="16.2" thickBot="1" x14ac:dyDescent="0.35">
      <c r="Q60" s="119" t="s">
        <v>59</v>
      </c>
      <c r="R60" s="49">
        <f>+R59+R58</f>
        <v>401319.03</v>
      </c>
    </row>
  </sheetData>
  <mergeCells count="9">
    <mergeCell ref="C55:Q55"/>
    <mergeCell ref="F31:Q31"/>
    <mergeCell ref="F32:K32"/>
    <mergeCell ref="L32:Q32"/>
    <mergeCell ref="F5:Q5"/>
    <mergeCell ref="F7:Q7"/>
    <mergeCell ref="F8:K8"/>
    <mergeCell ref="L8:Q8"/>
    <mergeCell ref="B9:C9"/>
  </mergeCells>
  <pageMargins left="0.70866141732283472" right="0.70866141732283472" top="0.74803149606299213" bottom="0.74803149606299213" header="0.31496062992125984" footer="0.31496062992125984"/>
  <pageSetup paperSize="9" scale="37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B4883-2E61-4E1E-861E-8AA9CA5CC100}">
  <sheetPr>
    <pageSetUpPr fitToPage="1"/>
  </sheetPr>
  <dimension ref="B3:N25"/>
  <sheetViews>
    <sheetView zoomScale="70" zoomScaleNormal="70" workbookViewId="0">
      <selection activeCell="J22" sqref="J22:J25"/>
    </sheetView>
  </sheetViews>
  <sheetFormatPr baseColWidth="10" defaultRowHeight="13.2" x14ac:dyDescent="0.25"/>
  <cols>
    <col min="1" max="1" width="4.109375" customWidth="1"/>
    <col min="2" max="2" width="17.6640625" customWidth="1"/>
    <col min="3" max="3" width="32.88671875" bestFit="1" customWidth="1"/>
    <col min="4" max="4" width="19.6640625" bestFit="1" customWidth="1"/>
    <col min="5" max="5" width="1" customWidth="1"/>
    <col min="6" max="6" width="27.109375" customWidth="1"/>
    <col min="7" max="7" width="1.109375" customWidth="1"/>
    <col min="8" max="8" width="27" customWidth="1"/>
    <col min="9" max="9" width="1.109375" customWidth="1"/>
    <col min="10" max="10" width="27" customWidth="1"/>
    <col min="11" max="11" width="1.109375" customWidth="1"/>
    <col min="12" max="12" width="26.88671875" customWidth="1"/>
    <col min="13" max="13" width="1.109375" customWidth="1"/>
    <col min="14" max="14" width="39.6640625" bestFit="1" customWidth="1"/>
    <col min="15" max="15" width="17.88671875" bestFit="1" customWidth="1"/>
    <col min="17" max="28" width="15.44140625" bestFit="1" customWidth="1"/>
    <col min="29" max="29" width="12.5546875" bestFit="1" customWidth="1"/>
  </cols>
  <sheetData>
    <row r="3" spans="2:14" ht="23.25" customHeight="1" x14ac:dyDescent="0.25"/>
    <row r="4" spans="2:14" ht="17.399999999999999" x14ac:dyDescent="0.3">
      <c r="D4" s="206" t="s">
        <v>80</v>
      </c>
      <c r="E4" s="206"/>
      <c r="F4" s="206"/>
      <c r="G4" s="206"/>
      <c r="H4" s="206"/>
      <c r="I4" s="206"/>
      <c r="J4" s="206"/>
      <c r="K4" s="206"/>
      <c r="L4" s="206"/>
      <c r="M4" s="206"/>
      <c r="N4" s="206"/>
    </row>
    <row r="5" spans="2:14" ht="27.75" customHeight="1" x14ac:dyDescent="0.25">
      <c r="E5" s="1"/>
    </row>
    <row r="6" spans="2:14" ht="13.8" thickBot="1" x14ac:dyDescent="0.3"/>
    <row r="7" spans="2:14" ht="17.399999999999999" x14ac:dyDescent="0.3">
      <c r="C7" s="27"/>
      <c r="D7" s="27" t="s">
        <v>81</v>
      </c>
      <c r="E7" s="10"/>
      <c r="F7" s="157">
        <v>46204</v>
      </c>
      <c r="G7" s="27"/>
      <c r="H7" s="157">
        <f>+F7+365</f>
        <v>46569</v>
      </c>
      <c r="I7" s="27"/>
      <c r="J7" s="147">
        <f>+F7</f>
        <v>46204</v>
      </c>
      <c r="K7" s="27"/>
      <c r="L7" s="157">
        <f>+H7+366</f>
        <v>46935</v>
      </c>
      <c r="M7" s="9"/>
      <c r="N7" s="147">
        <f>+F7</f>
        <v>46204</v>
      </c>
    </row>
    <row r="8" spans="2:14" ht="17.399999999999999" x14ac:dyDescent="0.3">
      <c r="C8" s="27"/>
      <c r="D8" s="27" t="s">
        <v>82</v>
      </c>
      <c r="E8" s="10"/>
      <c r="F8" s="158">
        <v>46568</v>
      </c>
      <c r="G8" s="27"/>
      <c r="H8" s="158">
        <f>+F8+366</f>
        <v>46934</v>
      </c>
      <c r="I8" s="27"/>
      <c r="J8" s="148">
        <f>+H8</f>
        <v>46934</v>
      </c>
      <c r="K8" s="27"/>
      <c r="L8" s="158">
        <f>+H8+365</f>
        <v>47299</v>
      </c>
      <c r="M8" s="9"/>
      <c r="N8" s="148">
        <f>+L8</f>
        <v>47299</v>
      </c>
    </row>
    <row r="9" spans="2:14" ht="17.399999999999999" x14ac:dyDescent="0.3">
      <c r="C9" s="27"/>
      <c r="D9" s="3" t="s">
        <v>2</v>
      </c>
      <c r="E9" s="10"/>
      <c r="F9" s="159" t="s">
        <v>86</v>
      </c>
      <c r="G9" s="27"/>
      <c r="H9" s="159" t="s">
        <v>87</v>
      </c>
      <c r="I9" s="27"/>
      <c r="J9" s="149" t="s">
        <v>90</v>
      </c>
      <c r="K9" s="27"/>
      <c r="L9" s="159" t="s">
        <v>88</v>
      </c>
      <c r="M9" s="9"/>
      <c r="N9" s="149" t="s">
        <v>89</v>
      </c>
    </row>
    <row r="10" spans="2:14" ht="17.399999999999999" hidden="1" x14ac:dyDescent="0.3">
      <c r="B10" s="79"/>
      <c r="C10" s="79"/>
      <c r="D10" s="3" t="s">
        <v>39</v>
      </c>
      <c r="E10" s="10"/>
      <c r="F10" s="159" t="e">
        <f>SUM(#REF!)</f>
        <v>#REF!</v>
      </c>
      <c r="G10" s="27"/>
      <c r="H10" s="159"/>
      <c r="I10" s="27"/>
      <c r="J10" s="149"/>
      <c r="K10" s="27"/>
      <c r="L10" s="159"/>
      <c r="M10" s="9"/>
      <c r="N10" s="149"/>
    </row>
    <row r="11" spans="2:14" ht="6" customHeight="1" thickBot="1" x14ac:dyDescent="0.35">
      <c r="C11" s="10"/>
      <c r="D11" s="10"/>
      <c r="E11" s="10"/>
      <c r="F11" s="146"/>
      <c r="G11" s="27"/>
      <c r="H11" s="146"/>
      <c r="I11" s="27"/>
      <c r="J11" s="150"/>
      <c r="K11" s="27"/>
      <c r="L11" s="146"/>
      <c r="M11" s="9"/>
      <c r="N11" s="150"/>
    </row>
    <row r="12" spans="2:14" ht="16.5" customHeight="1" thickBot="1" x14ac:dyDescent="0.35">
      <c r="C12" s="162" t="s">
        <v>33</v>
      </c>
      <c r="D12" s="163" t="s">
        <v>0</v>
      </c>
      <c r="E12" s="10"/>
      <c r="F12" s="165">
        <f>+'Resum IMPORT LICITACIÓ 1er Any'!R12</f>
        <v>1912582</v>
      </c>
      <c r="G12" s="38"/>
      <c r="H12" s="165">
        <f>+F12</f>
        <v>1912582</v>
      </c>
      <c r="I12" s="27"/>
      <c r="J12" s="166">
        <f>+F12+H12</f>
        <v>3825164</v>
      </c>
      <c r="K12" s="38"/>
      <c r="L12" s="165">
        <f>+H12</f>
        <v>1912582</v>
      </c>
      <c r="M12" s="8"/>
      <c r="N12" s="166">
        <f>SUM(F12,H12,L12)</f>
        <v>5737746</v>
      </c>
    </row>
    <row r="13" spans="2:14" ht="18" thickBot="1" x14ac:dyDescent="0.35">
      <c r="C13" s="164"/>
      <c r="D13" s="27"/>
      <c r="E13" s="10"/>
      <c r="F13" s="160"/>
      <c r="G13" s="27"/>
      <c r="H13" s="160"/>
      <c r="I13" s="27"/>
      <c r="J13" s="151"/>
      <c r="K13" s="27"/>
      <c r="L13" s="160"/>
      <c r="M13" s="9"/>
      <c r="N13" s="151"/>
    </row>
    <row r="14" spans="2:14" ht="18" thickBot="1" x14ac:dyDescent="0.35">
      <c r="B14" s="7"/>
      <c r="C14" s="52" t="s">
        <v>83</v>
      </c>
      <c r="D14" s="51" t="s">
        <v>21</v>
      </c>
      <c r="E14" s="10"/>
      <c r="F14" s="161">
        <f>+'Resum IMPORT LICITACIÓ 1er Any'!R29</f>
        <v>143670.655164</v>
      </c>
      <c r="G14" s="27"/>
      <c r="H14" s="161">
        <f>+F14</f>
        <v>143670.655164</v>
      </c>
      <c r="I14" s="27"/>
      <c r="J14" s="152">
        <f>+F14+H14</f>
        <v>287341.31032799999</v>
      </c>
      <c r="K14" s="27"/>
      <c r="L14" s="161">
        <f>+H14</f>
        <v>143670.655164</v>
      </c>
      <c r="M14" s="9"/>
      <c r="N14" s="152">
        <f>SUM(F14,H14,L14)</f>
        <v>431011.96549199999</v>
      </c>
    </row>
    <row r="15" spans="2:14" ht="18" thickBot="1" x14ac:dyDescent="0.35">
      <c r="C15" s="10"/>
      <c r="D15" s="10"/>
      <c r="E15" s="10"/>
      <c r="F15" s="156"/>
      <c r="G15" s="27"/>
      <c r="H15" s="156"/>
      <c r="I15" s="27"/>
      <c r="J15" s="153"/>
      <c r="K15" s="27"/>
      <c r="L15" s="156"/>
      <c r="M15" s="9"/>
      <c r="N15" s="153"/>
    </row>
    <row r="16" spans="2:14" ht="18" thickBot="1" x14ac:dyDescent="0.35">
      <c r="B16" s="7"/>
      <c r="C16" s="162" t="s">
        <v>34</v>
      </c>
      <c r="D16" s="163" t="s">
        <v>0</v>
      </c>
      <c r="E16" s="10"/>
      <c r="F16" s="165">
        <f>+'Resum IMPORT LICITACIÓ 1er Any'!R36</f>
        <v>2551785</v>
      </c>
      <c r="G16" s="38"/>
      <c r="H16" s="165">
        <f>+F16</f>
        <v>2551785</v>
      </c>
      <c r="I16" s="38"/>
      <c r="J16" s="166">
        <f>+F16+H16</f>
        <v>5103570</v>
      </c>
      <c r="K16" s="38"/>
      <c r="L16" s="165">
        <f>+H16</f>
        <v>2551785</v>
      </c>
      <c r="M16" s="8"/>
      <c r="N16" s="166">
        <f>SUM(F16,H16,L16)</f>
        <v>7655355</v>
      </c>
    </row>
    <row r="17" spans="2:14" ht="18" thickBot="1" x14ac:dyDescent="0.35">
      <c r="C17" s="27"/>
      <c r="D17" s="27"/>
      <c r="E17" s="10"/>
      <c r="F17" s="146"/>
      <c r="G17" s="27"/>
      <c r="H17" s="146"/>
      <c r="I17" s="27"/>
      <c r="J17" s="150"/>
      <c r="K17" s="27"/>
      <c r="L17" s="146"/>
      <c r="M17" s="9"/>
      <c r="N17" s="150"/>
    </row>
    <row r="18" spans="2:14" ht="18" thickBot="1" x14ac:dyDescent="0.35">
      <c r="B18" s="7"/>
      <c r="C18" s="52" t="s">
        <v>84</v>
      </c>
      <c r="D18" s="51" t="s">
        <v>21</v>
      </c>
      <c r="E18" s="10"/>
      <c r="F18" s="161">
        <f>+'Resum IMPORT LICITACIÓ 1er Any'!R53</f>
        <v>187997.96452499996</v>
      </c>
      <c r="G18" s="27"/>
      <c r="H18" s="161">
        <f>+F18</f>
        <v>187997.96452499996</v>
      </c>
      <c r="I18" s="27"/>
      <c r="J18" s="152">
        <f>+F18+H18</f>
        <v>375995.92904999992</v>
      </c>
      <c r="K18" s="27"/>
      <c r="L18" s="161">
        <f>+H18</f>
        <v>187997.96452499996</v>
      </c>
      <c r="M18" s="9"/>
      <c r="N18" s="152">
        <f>SUM(F18,H18,L18)</f>
        <v>563993.89357499988</v>
      </c>
    </row>
    <row r="19" spans="2:14" ht="18" thickBot="1" x14ac:dyDescent="0.35">
      <c r="B19" s="7"/>
      <c r="C19" s="10"/>
      <c r="D19" s="10"/>
      <c r="E19" s="10"/>
      <c r="F19" s="78"/>
      <c r="G19" s="27"/>
      <c r="H19" s="78"/>
      <c r="I19" s="27"/>
      <c r="J19" s="154"/>
      <c r="K19" s="27"/>
      <c r="L19" s="78"/>
      <c r="M19" s="9"/>
      <c r="N19" s="154"/>
    </row>
    <row r="20" spans="2:14" ht="18" thickBot="1" x14ac:dyDescent="0.35">
      <c r="B20" s="7"/>
      <c r="C20" s="204" t="s">
        <v>32</v>
      </c>
      <c r="D20" s="205"/>
      <c r="E20" s="205"/>
      <c r="F20" s="146"/>
      <c r="G20" s="27"/>
      <c r="H20" s="146"/>
      <c r="I20" s="27"/>
      <c r="J20" s="150"/>
      <c r="K20" s="27"/>
      <c r="L20" s="146"/>
      <c r="M20" s="9"/>
      <c r="N20" s="150"/>
    </row>
    <row r="21" spans="2:14" ht="17.399999999999999" x14ac:dyDescent="0.3">
      <c r="B21" s="7"/>
      <c r="C21" s="40" t="s">
        <v>35</v>
      </c>
      <c r="D21" s="40" t="s">
        <v>0</v>
      </c>
      <c r="E21" s="27"/>
      <c r="F21" s="167">
        <f>+F12+F16</f>
        <v>4464367</v>
      </c>
      <c r="G21" s="38"/>
      <c r="H21" s="167">
        <f>+H12+H16</f>
        <v>4464367</v>
      </c>
      <c r="I21" s="38"/>
      <c r="J21" s="168">
        <f>+J12+J16</f>
        <v>8928734</v>
      </c>
      <c r="K21" s="38"/>
      <c r="L21" s="167">
        <f>+L12+L16</f>
        <v>4464367</v>
      </c>
      <c r="M21" s="8"/>
      <c r="N21" s="168">
        <f>SUM(F21,H21,L21)</f>
        <v>13393101</v>
      </c>
    </row>
    <row r="22" spans="2:14" ht="18" thickBot="1" x14ac:dyDescent="0.35">
      <c r="B22" s="7"/>
      <c r="C22" s="50" t="s">
        <v>23</v>
      </c>
      <c r="D22" s="50" t="s">
        <v>5</v>
      </c>
      <c r="E22" s="27"/>
      <c r="F22" s="74">
        <f>+F23/F21</f>
        <v>7.4292418093987331E-2</v>
      </c>
      <c r="G22" s="27"/>
      <c r="H22" s="74">
        <f>+H23/H21</f>
        <v>7.4292418093987331E-2</v>
      </c>
      <c r="I22" s="27"/>
      <c r="J22" s="155">
        <f>+J23/J21</f>
        <v>7.4292418093987331E-2</v>
      </c>
      <c r="K22" s="27"/>
      <c r="L22" s="74">
        <f>+L23/L21</f>
        <v>7.4292418093987331E-2</v>
      </c>
      <c r="M22" s="9"/>
      <c r="N22" s="155">
        <f>+N23/N21</f>
        <v>7.4292418093987331E-2</v>
      </c>
    </row>
    <row r="23" spans="2:14" ht="18" thickBot="1" x14ac:dyDescent="0.35">
      <c r="C23" s="52" t="s">
        <v>36</v>
      </c>
      <c r="D23" s="51" t="s">
        <v>4</v>
      </c>
      <c r="E23" s="27"/>
      <c r="F23" s="161">
        <f>+F14+F18</f>
        <v>331668.61968899996</v>
      </c>
      <c r="G23" s="27"/>
      <c r="H23" s="161">
        <f>+H14+H18</f>
        <v>331668.61968899996</v>
      </c>
      <c r="I23" s="27"/>
      <c r="J23" s="152">
        <f>+J14+J18</f>
        <v>663337.23937799991</v>
      </c>
      <c r="K23" s="27"/>
      <c r="L23" s="161">
        <f>+L14+L18</f>
        <v>331668.61968899996</v>
      </c>
      <c r="M23" s="9"/>
      <c r="N23" s="152">
        <f>SUM(F23,H23,L23)</f>
        <v>995005.85906699987</v>
      </c>
    </row>
    <row r="24" spans="2:14" ht="18" thickBot="1" x14ac:dyDescent="0.35">
      <c r="C24" s="50" t="s">
        <v>37</v>
      </c>
      <c r="D24" s="50" t="s">
        <v>4</v>
      </c>
      <c r="E24" s="27"/>
      <c r="F24" s="161">
        <f>+ROUND(F23*0.21,2)</f>
        <v>69650.41</v>
      </c>
      <c r="G24" s="27"/>
      <c r="H24" s="161">
        <f>+ROUND(H23*0.21,2)</f>
        <v>69650.41</v>
      </c>
      <c r="I24" s="27"/>
      <c r="J24" s="152">
        <f>+ROUND(J23*0.21,2)</f>
        <v>139300.82</v>
      </c>
      <c r="K24" s="27"/>
      <c r="L24" s="161">
        <f>+ROUND(L23*0.21,2)</f>
        <v>69650.41</v>
      </c>
      <c r="M24" s="9"/>
      <c r="N24" s="152">
        <f t="shared" ref="N24:N25" si="0">SUM(F24,H24,L24)</f>
        <v>208951.23</v>
      </c>
    </row>
    <row r="25" spans="2:14" ht="18" thickBot="1" x14ac:dyDescent="0.35">
      <c r="C25" s="52" t="s">
        <v>59</v>
      </c>
      <c r="D25" s="51" t="s">
        <v>4</v>
      </c>
      <c r="E25" s="27"/>
      <c r="F25" s="161">
        <f>+F24+F23</f>
        <v>401319.02968899999</v>
      </c>
      <c r="G25" s="27"/>
      <c r="H25" s="161">
        <f>+H24+H23</f>
        <v>401319.02968899999</v>
      </c>
      <c r="I25" s="27"/>
      <c r="J25" s="152">
        <f>+J24+J23</f>
        <v>802638.05937799998</v>
      </c>
      <c r="K25" s="27"/>
      <c r="L25" s="161">
        <f>+L24+L23</f>
        <v>401319.02968899999</v>
      </c>
      <c r="M25" s="9"/>
      <c r="N25" s="152">
        <f t="shared" si="0"/>
        <v>1203957.089067</v>
      </c>
    </row>
  </sheetData>
  <mergeCells count="2">
    <mergeCell ref="C20:E20"/>
    <mergeCell ref="D4:N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te a new document." ma:contentTypeScope="" ma:versionID="08bd03de9dfd2373d8fd964e167c2b6f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12f83ad010a30933e6cf33a87705b254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d65d83-e6de-4071-ac96-3b9ea9015942" xsi:nil="true"/>
    <lcf76f155ced4ddcb4097134ff3c332f xmlns="d05b5c50-6878-419c-aaee-f57d1b61cb0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EA3AA4E-D913-4BEF-924E-7A6468E09363}"/>
</file>

<file path=customXml/itemProps2.xml><?xml version="1.0" encoding="utf-8"?>
<ds:datastoreItem xmlns:ds="http://schemas.openxmlformats.org/officeDocument/2006/customXml" ds:itemID="{BACDAA2D-8809-4B51-A726-0625898CB951}"/>
</file>

<file path=customXml/itemProps3.xml><?xml version="1.0" encoding="utf-8"?>
<ds:datastoreItem xmlns:ds="http://schemas.openxmlformats.org/officeDocument/2006/customXml" ds:itemID="{EA903025-F8F2-45A5-B736-BA7DC4F56C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Consum Martorell</vt:lpstr>
      <vt:lpstr>Consum Rubí</vt:lpstr>
      <vt:lpstr>Càlcul Import de licita 1er Any</vt:lpstr>
      <vt:lpstr>Resum IMPORT LICITACIÓ 1er Any</vt:lpstr>
      <vt:lpstr>Resum IMPORT LICITACIO + 1 Pror</vt:lpstr>
    </vt:vector>
  </TitlesOfParts>
  <Company>FGC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Miguel Maestre</dc:creator>
  <cp:lastModifiedBy>Irina Muñiz Garcia</cp:lastModifiedBy>
  <cp:lastPrinted>2023-03-16T08:30:16Z</cp:lastPrinted>
  <dcterms:created xsi:type="dcterms:W3CDTF">2004-12-09T09:23:28Z</dcterms:created>
  <dcterms:modified xsi:type="dcterms:W3CDTF">2025-10-21T10:38:39Z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