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ME\INST_10 - PLECS I CONCURSOS\Plec Calderes 2025_SagradaF-AusiasMarch-TBalldovina\Caldera SagradaFamilia\Memoria Valorada\"/>
    </mc:Choice>
  </mc:AlternateContent>
  <xr:revisionPtr revIDLastSave="0" documentId="13_ncr:1_{E3B511B7-684A-4C9F-887A-2F24290CA034}" xr6:coauthVersionLast="47" xr6:coauthVersionMax="47" xr10:uidLastSave="{00000000-0000-0000-0000-000000000000}"/>
  <bookViews>
    <workbookView xWindow="3120" yWindow="570" windowWidth="18315" windowHeight="14910" xr2:uid="{00000000-000D-0000-FFFF-FFFF00000000}"/>
  </bookViews>
  <sheets>
    <sheet name="Full 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16" i="1"/>
  <c r="L147" i="1"/>
  <c r="K147" i="1"/>
  <c r="J146" i="1"/>
  <c r="J145" i="1"/>
  <c r="L143" i="1"/>
  <c r="L142" i="1"/>
  <c r="K142" i="1"/>
  <c r="L138" i="1"/>
  <c r="K138" i="1"/>
  <c r="M138" i="1" s="1"/>
  <c r="L137" i="1"/>
  <c r="M137" i="1" s="1"/>
  <c r="K137" i="1"/>
  <c r="L136" i="1"/>
  <c r="K136" i="1"/>
  <c r="L135" i="1"/>
  <c r="K135" i="1"/>
  <c r="L134" i="1"/>
  <c r="K134" i="1"/>
  <c r="M134" i="1" s="1"/>
  <c r="J133" i="1"/>
  <c r="J132" i="1"/>
  <c r="J131" i="1"/>
  <c r="L129" i="1"/>
  <c r="L128" i="1"/>
  <c r="K128" i="1"/>
  <c r="M128" i="1" s="1"/>
  <c r="L127" i="1"/>
  <c r="K127" i="1"/>
  <c r="M127" i="1" s="1"/>
  <c r="J124" i="1"/>
  <c r="J123" i="1"/>
  <c r="K124" i="1" s="1"/>
  <c r="K121" i="1" s="1"/>
  <c r="M121" i="1" s="1"/>
  <c r="L121" i="1"/>
  <c r="J120" i="1"/>
  <c r="K120" i="1" s="1"/>
  <c r="K118" i="1" s="1"/>
  <c r="M118" i="1" s="1"/>
  <c r="L118" i="1"/>
  <c r="J117" i="1"/>
  <c r="K117" i="1" s="1"/>
  <c r="K114" i="1" s="1"/>
  <c r="J116" i="1"/>
  <c r="L114" i="1"/>
  <c r="J113" i="1"/>
  <c r="J112" i="1"/>
  <c r="K113" i="1" s="1"/>
  <c r="K110" i="1" s="1"/>
  <c r="M110" i="1" s="1"/>
  <c r="L110" i="1"/>
  <c r="L109" i="1"/>
  <c r="M109" i="1" s="1"/>
  <c r="K109" i="1"/>
  <c r="K105" i="1"/>
  <c r="K103" i="1" s="1"/>
  <c r="M103" i="1" s="1"/>
  <c r="L106" i="1" s="1"/>
  <c r="J105" i="1"/>
  <c r="L103" i="1"/>
  <c r="L100" i="1"/>
  <c r="K100" i="1"/>
  <c r="K99" i="1"/>
  <c r="K96" i="1" s="1"/>
  <c r="M96" i="1" s="1"/>
  <c r="J99" i="1"/>
  <c r="J98" i="1"/>
  <c r="L96" i="1"/>
  <c r="L95" i="1"/>
  <c r="K95" i="1"/>
  <c r="J92" i="1"/>
  <c r="K92" i="1" s="1"/>
  <c r="K90" i="1" s="1"/>
  <c r="M90" i="1" s="1"/>
  <c r="L90" i="1"/>
  <c r="J89" i="1"/>
  <c r="J87" i="1"/>
  <c r="J86" i="1"/>
  <c r="J85" i="1"/>
  <c r="J84" i="1"/>
  <c r="L82" i="1"/>
  <c r="J81" i="1"/>
  <c r="J79" i="1"/>
  <c r="J78" i="1"/>
  <c r="J77" i="1"/>
  <c r="L75" i="1"/>
  <c r="L72" i="1"/>
  <c r="K72" i="1"/>
  <c r="J71" i="1"/>
  <c r="J70" i="1"/>
  <c r="K71" i="1" s="1"/>
  <c r="K68" i="1" s="1"/>
  <c r="M68" i="1" s="1"/>
  <c r="L68" i="1"/>
  <c r="M67" i="1"/>
  <c r="L67" i="1"/>
  <c r="K67" i="1"/>
  <c r="L66" i="1"/>
  <c r="K66" i="1"/>
  <c r="J62" i="1"/>
  <c r="K62" i="1" s="1"/>
  <c r="K60" i="1" s="1"/>
  <c r="M60" i="1" s="1"/>
  <c r="L60" i="1"/>
  <c r="L59" i="1"/>
  <c r="K59" i="1"/>
  <c r="M59" i="1" s="1"/>
  <c r="L58" i="1"/>
  <c r="M58" i="1" s="1"/>
  <c r="K58" i="1"/>
  <c r="L57" i="1"/>
  <c r="M57" i="1" s="1"/>
  <c r="K57" i="1"/>
  <c r="L56" i="1"/>
  <c r="K56" i="1"/>
  <c r="L55" i="1"/>
  <c r="K55" i="1"/>
  <c r="K54" i="1"/>
  <c r="K52" i="1" s="1"/>
  <c r="M52" i="1" s="1"/>
  <c r="J54" i="1"/>
  <c r="L52" i="1"/>
  <c r="L51" i="1"/>
  <c r="K51" i="1"/>
  <c r="L50" i="1"/>
  <c r="K50" i="1"/>
  <c r="M50" i="1" s="1"/>
  <c r="J49" i="1"/>
  <c r="K49" i="1" s="1"/>
  <c r="K47" i="1" s="1"/>
  <c r="L47" i="1"/>
  <c r="L46" i="1"/>
  <c r="K46" i="1"/>
  <c r="M46" i="1" s="1"/>
  <c r="L45" i="1"/>
  <c r="M45" i="1" s="1"/>
  <c r="K45" i="1"/>
  <c r="L44" i="1"/>
  <c r="K44" i="1"/>
  <c r="L43" i="1"/>
  <c r="K43" i="1"/>
  <c r="M42" i="1"/>
  <c r="L42" i="1"/>
  <c r="K42" i="1"/>
  <c r="L41" i="1"/>
  <c r="K41" i="1"/>
  <c r="L40" i="1"/>
  <c r="K40" i="1"/>
  <c r="M40" i="1" s="1"/>
  <c r="J39" i="1"/>
  <c r="K39" i="1" s="1"/>
  <c r="K37" i="1" s="1"/>
  <c r="L37" i="1"/>
  <c r="L36" i="1"/>
  <c r="K36" i="1"/>
  <c r="M36" i="1" s="1"/>
  <c r="L35" i="1"/>
  <c r="K35" i="1"/>
  <c r="M35" i="1" s="1"/>
  <c r="L34" i="1"/>
  <c r="K34" i="1"/>
  <c r="M34" i="1" s="1"/>
  <c r="L33" i="1"/>
  <c r="M33" i="1" s="1"/>
  <c r="K33" i="1"/>
  <c r="L32" i="1"/>
  <c r="K32" i="1"/>
  <c r="L31" i="1"/>
  <c r="K31" i="1"/>
  <c r="L30" i="1"/>
  <c r="K30" i="1"/>
  <c r="M30" i="1" s="1"/>
  <c r="L29" i="1"/>
  <c r="K29" i="1"/>
  <c r="L28" i="1"/>
  <c r="K28" i="1"/>
  <c r="M28" i="1" s="1"/>
  <c r="L27" i="1"/>
  <c r="K27" i="1"/>
  <c r="M27" i="1" s="1"/>
  <c r="L26" i="1"/>
  <c r="K26" i="1"/>
  <c r="M26" i="1" s="1"/>
  <c r="J25" i="1"/>
  <c r="K25" i="1" s="1"/>
  <c r="K23" i="1" s="1"/>
  <c r="M23" i="1" s="1"/>
  <c r="L23" i="1"/>
  <c r="L19" i="1"/>
  <c r="K19" i="1"/>
  <c r="L18" i="1"/>
  <c r="K18" i="1"/>
  <c r="M17" i="1"/>
  <c r="L17" i="1"/>
  <c r="K17" i="1"/>
  <c r="L16" i="1"/>
  <c r="J15" i="1"/>
  <c r="J14" i="1"/>
  <c r="K15" i="1" s="1"/>
  <c r="L12" i="1"/>
  <c r="K11" i="1"/>
  <c r="K9" i="1" s="1"/>
  <c r="M9" i="1" s="1"/>
  <c r="J11" i="1"/>
  <c r="L9" i="1"/>
  <c r="L8" i="1"/>
  <c r="K8" i="1"/>
  <c r="L7" i="1"/>
  <c r="K7" i="1"/>
  <c r="M7" i="1" s="1"/>
  <c r="L6" i="1"/>
  <c r="K6" i="1"/>
  <c r="M12" i="1" l="1"/>
  <c r="M16" i="1"/>
  <c r="L20" i="1" s="1"/>
  <c r="M20" i="1" s="1"/>
  <c r="L149" i="1" s="1"/>
  <c r="M18" i="1"/>
  <c r="M32" i="1"/>
  <c r="M37" i="1"/>
  <c r="M41" i="1"/>
  <c r="M43" i="1"/>
  <c r="M55" i="1"/>
  <c r="M66" i="1"/>
  <c r="M72" i="1"/>
  <c r="K89" i="1"/>
  <c r="K82" i="1" s="1"/>
  <c r="M82" i="1" s="1"/>
  <c r="M100" i="1"/>
  <c r="K133" i="1"/>
  <c r="K129" i="1" s="1"/>
  <c r="M129" i="1" s="1"/>
  <c r="M136" i="1"/>
  <c r="M142" i="1"/>
  <c r="M147" i="1"/>
  <c r="M114" i="1"/>
  <c r="M6" i="1"/>
  <c r="M8" i="1"/>
  <c r="M19" i="1"/>
  <c r="M29" i="1"/>
  <c r="M31" i="1"/>
  <c r="M44" i="1"/>
  <c r="M47" i="1"/>
  <c r="M51" i="1"/>
  <c r="M56" i="1"/>
  <c r="K81" i="1"/>
  <c r="K75" i="1" s="1"/>
  <c r="M75" i="1" s="1"/>
  <c r="L93" i="1" s="1"/>
  <c r="M95" i="1"/>
  <c r="L101" i="1" s="1"/>
  <c r="M135" i="1"/>
  <c r="K146" i="1"/>
  <c r="K143" i="1" s="1"/>
  <c r="M143" i="1" s="1"/>
  <c r="L148" i="1" s="1"/>
  <c r="M106" i="1"/>
  <c r="L102" i="1"/>
  <c r="M102" i="1" s="1"/>
  <c r="L125" i="1"/>
  <c r="L139" i="1"/>
  <c r="M101" i="1"/>
  <c r="L94" i="1"/>
  <c r="M94" i="1" s="1"/>
  <c r="M93" i="1"/>
  <c r="L74" i="1"/>
  <c r="M74" i="1" s="1"/>
  <c r="L63" i="1"/>
  <c r="L5" i="1" l="1"/>
  <c r="M5" i="1" s="1"/>
  <c r="L73" i="1"/>
  <c r="L126" i="1"/>
  <c r="M126" i="1" s="1"/>
  <c r="M139" i="1"/>
  <c r="L108" i="1"/>
  <c r="M108" i="1" s="1"/>
  <c r="M125" i="1"/>
  <c r="L22" i="1"/>
  <c r="M22" i="1" s="1"/>
  <c r="M63" i="1"/>
  <c r="L141" i="1"/>
  <c r="M141" i="1" s="1"/>
  <c r="M148" i="1"/>
  <c r="L65" i="1" l="1"/>
  <c r="M65" i="1" s="1"/>
  <c r="M73" i="1"/>
  <c r="L107" i="1" s="1"/>
  <c r="M107" i="1" l="1"/>
  <c r="L140" i="1" s="1"/>
  <c r="L21" i="1" s="1"/>
  <c r="M21" i="1" s="1"/>
  <c r="L64" i="1"/>
  <c r="M64" i="1" s="1"/>
  <c r="M140" i="1" l="1"/>
  <c r="L4" i="1" l="1"/>
  <c r="M4" i="1" s="1"/>
  <c r="M149" i="1"/>
</calcChain>
</file>

<file path=xl/sharedStrings.xml><?xml version="1.0" encoding="utf-8"?>
<sst xmlns="http://schemas.openxmlformats.org/spreadsheetml/2006/main" count="473" uniqueCount="473">
  <si>
    <t>Obra:</t>
  </si>
  <si>
    <t>Sagrada Familia</t>
  </si>
  <si>
    <t>Pressupost</t>
  </si>
  <si>
    <t>% C.I.</t>
  </si>
  <si>
    <t>Codi</t>
  </si>
  <si>
    <t>Tipus</t>
  </si>
  <si>
    <t>U</t>
  </si>
  <si>
    <t>Resum</t>
  </si>
  <si>
    <t>Quantitat</t>
  </si>
  <si>
    <t>Preu (€)</t>
  </si>
  <si>
    <t>Import (€)</t>
  </si>
  <si>
    <t>SAGRADA FAMILIA</t>
  </si>
  <si>
    <t>Capítol</t>
  </si>
  <si>
    <t>Sagrada Familia</t>
  </si>
  <si>
    <t>01</t>
  </si>
  <si>
    <t>Capítol</t>
  </si>
  <si>
    <t>Enderroc</t>
  </si>
  <si>
    <t>0AG010</t>
  </si>
  <si>
    <t>Partida</t>
  </si>
  <si>
    <t>U</t>
  </si>
  <si>
    <t>Desconnexió provisional d'escomesa de gas.</t>
  </si>
  <si>
    <t>DIC020</t>
  </si>
  <si>
    <t>Partida</t>
  </si>
  <si>
    <t>U</t>
  </si>
  <si>
    <t>Desmuntatge de caldera existent model GC-72 de la marca ROCA de 83,74 kW de potència calorífica màxima, amb mitjans manuals i mecànics, i càrrega mecànica sobre camió o contenidor.</t>
  </si>
  <si>
    <t>DIC050</t>
  </si>
  <si>
    <t>Partida</t>
  </si>
  <si>
    <t>m</t>
  </si>
  <si>
    <t>Desmuntatge de conducte metàl·lic individual, d'evacuació dels productes de la combustió de caldera, escalfador o acumulador mural.</t>
  </si>
  <si>
    <t>DIC100</t>
  </si>
  <si>
    <t>Partida</t>
  </si>
  <si>
    <t>U</t>
  </si>
  <si>
    <t>Desmuntatge d'instal·lació de peces i valvules de calefacció o ACS, en local d'ús comú de fins a 20 m² de superfície construïda; amb mitjans manuals, per a la seva posterior ubicació, sent l'ordre d'execució del procés invers al de la seva instal·lació, i càrrega manual sobre camió o contenidor.</t>
  </si>
  <si>
    <t>Uts.</t>
  </si>
  <si>
    <t>Llargada</t>
  </si>
  <si>
    <t>Amplada</t>
  </si>
  <si>
    <t>Alçada</t>
  </si>
  <si>
    <t>Parcial</t>
  </si>
  <si>
    <t>Subtotal</t>
  </si>
  <si>
    <t>Desmuntatge instal·lació existent</t>
  </si>
  <si>
    <t>GRA020</t>
  </si>
  <si>
    <t>Partida</t>
  </si>
  <si>
    <t>m³</t>
  </si>
  <si>
    <t>Transport de residus inertes amb camió.</t>
  </si>
  <si>
    <t>Uts.</t>
  </si>
  <si>
    <t>Llargada</t>
  </si>
  <si>
    <t>Amplada</t>
  </si>
  <si>
    <t>Alçada</t>
  </si>
  <si>
    <t>Parcial</t>
  </si>
  <si>
    <t>Subtotal</t>
  </si>
  <si>
    <t xml:space="preserve">Caldera </t>
  </si>
  <si>
    <t>Elements no aprofitables instal·lació</t>
  </si>
  <si>
    <t>GRB020</t>
  </si>
  <si>
    <t>Partida</t>
  </si>
  <si>
    <t>m³</t>
  </si>
  <si>
    <t>Cànon d'abocament per lliurament de mescla sense classificar de residus inerts produïts a obres de construcció i/o demolició, en abocador específic, instal·lació de tractament de residus de construcció i demolició externa a l'obra o centre de valorització o eliminació de residus.</t>
  </si>
  <si>
    <t>dem232</t>
  </si>
  <si>
    <t>Partida</t>
  </si>
  <si>
    <t>UT</t>
  </si>
  <si>
    <t>Partida de cobrament integra pel desmuntatge dels col•lectors existent, bombes  de circulació  custodia de les mateixes, i esta inclocs el posterior muntatge de les bombes en el nou col•lector existent i  adaptació dels elements per a connectar en col•lectors de 4”.</t>
  </si>
  <si>
    <t>YPL010</t>
  </si>
  <si>
    <t>Partida</t>
  </si>
  <si>
    <t>h</t>
  </si>
  <si>
    <t>Neteja de local.</t>
  </si>
  <si>
    <t>DIG010</t>
  </si>
  <si>
    <t>Partida</t>
  </si>
  <si>
    <t>m</t>
  </si>
  <si>
    <t>Desmuntatge de canonada d'instal·lació superficial de gas.</t>
  </si>
  <si>
    <t>01</t>
  </si>
  <si>
    <t>02</t>
  </si>
  <si>
    <t>Capítol</t>
  </si>
  <si>
    <t>Obra nova</t>
  </si>
  <si>
    <t>02.1</t>
  </si>
  <si>
    <t>Capítol</t>
  </si>
  <si>
    <t>Instal·lació Calefacció</t>
  </si>
  <si>
    <t>ICG145b</t>
  </si>
  <si>
    <t>Partida</t>
  </si>
  <si>
    <t>U</t>
  </si>
  <si>
    <t>Subministrament i muntatge de caldera de peu de condensació model CONDENSINOX 80 de la marca YGNIS o equivalent.</t>
  </si>
  <si>
    <t>Uts.</t>
  </si>
  <si>
    <t>Llargada</t>
  </si>
  <si>
    <t>Amplada</t>
  </si>
  <si>
    <t>Alçada</t>
  </si>
  <si>
    <t>Parcial</t>
  </si>
  <si>
    <t>Subtotal</t>
  </si>
  <si>
    <t>Caldera</t>
  </si>
  <si>
    <t>ICG146</t>
  </si>
  <si>
    <t>Partida</t>
  </si>
  <si>
    <t>U</t>
  </si>
  <si>
    <t>Subministrament i muntatge de KIT HIDRÀULIC DUO - CONDENSINOX 70-100 O EQUIVALENT</t>
  </si>
  <si>
    <t>ICG147</t>
  </si>
  <si>
    <t>Partida</t>
  </si>
  <si>
    <t>U</t>
  </si>
  <si>
    <t>Subministrament i muntatge de Kit fums tir natural DUO YGNIS per a Condensinox 80 i 100 (Ø 200) Composició del kit: - Kit adaptació xemeneia Ø80 (Condensinox 40/60), Ø100 (Condensinox 80/100) - Col·lector de fums Ø160 (Condensinox 40/60), Ø200 (Condensinox 80/100) - Clapeta antiretorn de fums - Registre d'inspecció i sifó de condensats</t>
  </si>
  <si>
    <t>ICG148</t>
  </si>
  <si>
    <t>Partida</t>
  </si>
  <si>
    <t>u</t>
  </si>
  <si>
    <t>Subministrament i muntatge de Neutralitzador de condensats sense bomba, fins a 500 kW. calderes de gas Kit Neutralitzador de condensats gas N70 (P: 50 -500KW)</t>
  </si>
  <si>
    <t>ICG149</t>
  </si>
  <si>
    <t>Partida</t>
  </si>
  <si>
    <t>u</t>
  </si>
  <si>
    <t>Subministrament i muntatge de Interfície comunicant que permet rebre les consignes</t>
  </si>
  <si>
    <t>ICG150</t>
  </si>
  <si>
    <t>Partida</t>
  </si>
  <si>
    <t>u</t>
  </si>
  <si>
    <t>Subministrament i muntatge de Sonda de temperatura externa Ygnis model QAC34 per</t>
  </si>
  <si>
    <t>ICG151</t>
  </si>
  <si>
    <t>Partida</t>
  </si>
  <si>
    <t>u</t>
  </si>
  <si>
    <t>Subministrament i muntatge de SONDA AMB CABLE QAZ36 + BEINA 1/2 Sonda d'ACS amb beina d'immersió.</t>
  </si>
  <si>
    <t>ICG152</t>
  </si>
  <si>
    <t>Partida</t>
  </si>
  <si>
    <t>u</t>
  </si>
  <si>
    <t>Subministrament i muntatge de Posada en marxa calderes CONDENSINOX 80 de la marca YGNIS o equivalent. (opcional) La posada en marxa d'aquestes calderes només s'efectuarà a petició del cl iente. Els preus que se citen són per a poblacions amb ser vici de postvenda. Per a altres poblacions, es repercutirà el cost del desplaçament.El preu que se cita és per a l a posada en marxa de calderes individuals. Per a instalacio nes en cascada el preu que s'aplicarà és el preu d'una posada en marxa com a caldera individual, per a la primera c aldera, més el 50% d'aquest import per a cadascuna de les cap de bestiar tantes calderas.la transformació de gas natural a gas prop anus per als models que admeten tots dos combustibles està incluida en la Posada en marxa.</t>
  </si>
  <si>
    <t>ICG153</t>
  </si>
  <si>
    <t>Partida</t>
  </si>
  <si>
    <t>u</t>
  </si>
  <si>
    <t>Subministrament i muntatge de Posada en marxa REGULACIÓ NAVISTEM (CASCADA + CIRCUIT)</t>
  </si>
  <si>
    <t>IOJ100</t>
  </si>
  <si>
    <t>Partida</t>
  </si>
  <si>
    <t>U</t>
  </si>
  <si>
    <t>Segellat de pas de canonada metàl·lica amb aïllament, amb bena intumescent.</t>
  </si>
  <si>
    <t>ICO150</t>
  </si>
  <si>
    <t>Partida</t>
  </si>
  <si>
    <t>m</t>
  </si>
  <si>
    <t>Conducte de polipropilè.</t>
  </si>
  <si>
    <t>ICS040</t>
  </si>
  <si>
    <t>Partida</t>
  </si>
  <si>
    <t>U</t>
  </si>
  <si>
    <t>Subministrament i muntatge de Vas d'expansió per a circuit de calefacció.</t>
  </si>
  <si>
    <t>ICS030</t>
  </si>
  <si>
    <t>Partida</t>
  </si>
  <si>
    <t>U</t>
  </si>
  <si>
    <t>Subministrament i muntatge de Col·lector de distribució d'aigua.</t>
  </si>
  <si>
    <t>Uts.</t>
  </si>
  <si>
    <t>Llargada</t>
  </si>
  <si>
    <t>Amplada</t>
  </si>
  <si>
    <t>Alçada</t>
  </si>
  <si>
    <t>Parcial</t>
  </si>
  <si>
    <t>Subtotal</t>
  </si>
  <si>
    <t>Impulsió</t>
  </si>
  <si>
    <t>IFB010</t>
  </si>
  <si>
    <t>Partida</t>
  </si>
  <si>
    <t>U</t>
  </si>
  <si>
    <t>Subministrament i muntatge Alimentació d'aigua potable.</t>
  </si>
  <si>
    <t>IFC090</t>
  </si>
  <si>
    <t>Partida</t>
  </si>
  <si>
    <t>U</t>
  </si>
  <si>
    <t>Subministrament i muntatge Comptador d'aigua.</t>
  </si>
  <si>
    <t>ICS015</t>
  </si>
  <si>
    <t>Partida</t>
  </si>
  <si>
    <t>ut</t>
  </si>
  <si>
    <t>Subministrament i muntatge Punt de buidatge format per 2 m de tub de coure rígid, de 20/22 mm de diàmetre, per a calefacció, col·locat superficialment.Inclos la valvula de tall del circuit.</t>
  </si>
  <si>
    <t>PR01</t>
  </si>
  <si>
    <t>Partida</t>
  </si>
  <si>
    <t>h</t>
  </si>
  <si>
    <t>Treballs d’integració del sistema de control de la nova caldera, segons les prescripcions del projecte, amb el sistema de control i telegestió existent de l’edifici. S’inclou la programació de totes les senyals a integrar en el sistema SCADA municipal, la instal·lació i configuració de les passarel·les de comunicació necessàries, la provisió i activació d’una targeta SIM per a la transmissió de dades, així com el manteniment i monitoratge durant un any de les comunicacions al núvol. També s’inclou la configuració completa del sistema per garantir la interoperabilitat, supervisió remota i fiabilitat de les dades integrades al sistema municipal</t>
  </si>
  <si>
    <t>PR02</t>
  </si>
  <si>
    <t>Partida</t>
  </si>
  <si>
    <t>ut</t>
  </si>
  <si>
    <t>Pasarela de comunicacions del sistema plantejat amb l'escada municipal implanta. S'inclou programacions, router, cost targeta SIM d'un any per comunicacions de les senyals al nuvol.</t>
  </si>
  <si>
    <t>TR25</t>
  </si>
  <si>
    <t>Partida</t>
  </si>
  <si>
    <t>ut</t>
  </si>
  <si>
    <t>Calorifugat de bombes,canonades , col·lectors,  comtadors de termies segons el RITE vigent.</t>
  </si>
  <si>
    <t>IGI020</t>
  </si>
  <si>
    <t>Partida</t>
  </si>
  <si>
    <t>U</t>
  </si>
  <si>
    <t>Instal·lació interior de gas en local.</t>
  </si>
  <si>
    <t>ICS075</t>
  </si>
  <si>
    <t>Partida</t>
  </si>
  <si>
    <t>Ut</t>
  </si>
  <si>
    <t>Vàlvula d'esfera de llautó niquelat per roscar de 4".</t>
  </si>
  <si>
    <t>Uts.</t>
  </si>
  <si>
    <t>Llargada</t>
  </si>
  <si>
    <t>Amplada</t>
  </si>
  <si>
    <t>Alçada</t>
  </si>
  <si>
    <t>Parcial</t>
  </si>
  <si>
    <t>Subtotal</t>
  </si>
  <si>
    <t>Impulsio i retonr</t>
  </si>
  <si>
    <t>EE400B112</t>
  </si>
  <si>
    <t>Partida</t>
  </si>
  <si>
    <t>Ut</t>
  </si>
  <si>
    <t>Subministrament, instal•lació i muntatge de purgador automàtic d’aire de posició vertical i vàlvula d’obturació incorporada.</t>
  </si>
  <si>
    <t>EE400B110</t>
  </si>
  <si>
    <t>Partida</t>
  </si>
  <si>
    <t>Ut</t>
  </si>
  <si>
    <t>TERMOMETRE BIMETÀL·LIC</t>
  </si>
  <si>
    <t>EE400B111</t>
  </si>
  <si>
    <t>Partida</t>
  </si>
  <si>
    <t>Ut</t>
  </si>
  <si>
    <t>Subministrament, instal•lació i muntatge de manòmetre d’immersió de glicerina per a una pressió de 0 a 10 bars, d’esfera de 63 mm.</t>
  </si>
  <si>
    <t>Uts.</t>
  </si>
  <si>
    <t>Llargada</t>
  </si>
  <si>
    <t>Amplada</t>
  </si>
  <si>
    <t>Alçada</t>
  </si>
  <si>
    <t>Parcial</t>
  </si>
  <si>
    <t>Subtotal</t>
  </si>
  <si>
    <t>Bombes</t>
  </si>
  <si>
    <t>TE</t>
  </si>
  <si>
    <t>Partida</t>
  </si>
  <si>
    <t>ut</t>
  </si>
  <si>
    <t>Subministrament, instal•lació i muntatge de comptador de tèrmies.</t>
  </si>
  <si>
    <t>TE121</t>
  </si>
  <si>
    <t>Partida</t>
  </si>
  <si>
    <t>ut</t>
  </si>
  <si>
    <t>Subministrament, instal•lació i muntatge de piròstat per la caldera.</t>
  </si>
  <si>
    <t>SIR010b</t>
  </si>
  <si>
    <t>Partida</t>
  </si>
  <si>
    <t>Ut</t>
  </si>
  <si>
    <t>Rètol amb suport d'alumini lacat per senyalització de local, de 250x80 mm, amb les lletres o números adherits al suport.</t>
  </si>
  <si>
    <t>ICS010</t>
  </si>
  <si>
    <t>Partida</t>
  </si>
  <si>
    <t>m</t>
  </si>
  <si>
    <t>Canonada de distribució d'aigua, per a calefacció.</t>
  </si>
  <si>
    <t>ICS010b</t>
  </si>
  <si>
    <t>Partida</t>
  </si>
  <si>
    <t>m</t>
  </si>
  <si>
    <t>Canonada de distribució d'aigua, per a calefacció.</t>
  </si>
  <si>
    <t>ICS010c</t>
  </si>
  <si>
    <t>Partida</t>
  </si>
  <si>
    <t>m</t>
  </si>
  <si>
    <t>Canonada de distribució d'aigua, per a calefacció.</t>
  </si>
  <si>
    <t>Uts.</t>
  </si>
  <si>
    <t>Llargada</t>
  </si>
  <si>
    <t>Amplada</t>
  </si>
  <si>
    <t>Alçada</t>
  </si>
  <si>
    <t>Parcial</t>
  </si>
  <si>
    <t>Subtotal</t>
  </si>
  <si>
    <t>manomentres</t>
  </si>
  <si>
    <t>02.1</t>
  </si>
  <si>
    <t>02.2</t>
  </si>
  <si>
    <t>Capítol</t>
  </si>
  <si>
    <t>Instal·lació elèctrica</t>
  </si>
  <si>
    <t>02.2.1</t>
  </si>
  <si>
    <t>Capítol</t>
  </si>
  <si>
    <t>Aparellatge</t>
  </si>
  <si>
    <t>IEX050g</t>
  </si>
  <si>
    <t>Partida</t>
  </si>
  <si>
    <t>U</t>
  </si>
  <si>
    <t>Interruptor automàtic magnetotèrmic, modular. 2p/10A</t>
  </si>
  <si>
    <t>IEX050i</t>
  </si>
  <si>
    <t>Partida</t>
  </si>
  <si>
    <t>U</t>
  </si>
  <si>
    <t>Interruptor automàtic magnetotèrmic, modular. 2p/16A</t>
  </si>
  <si>
    <t>IEX050j</t>
  </si>
  <si>
    <t>Partida</t>
  </si>
  <si>
    <t>U</t>
  </si>
  <si>
    <t>Interruptor automàtic magnetotèrmic, modular. 4p/40A</t>
  </si>
  <si>
    <t>Uts.</t>
  </si>
  <si>
    <t>Llargada</t>
  </si>
  <si>
    <t>Amplada</t>
  </si>
  <si>
    <t>Alçada</t>
  </si>
  <si>
    <t>Parcial</t>
  </si>
  <si>
    <t>Subtotal</t>
  </si>
  <si>
    <t>Subquadre Caldera</t>
  </si>
  <si>
    <t>Quadre general</t>
  </si>
  <si>
    <t>IEX060d</t>
  </si>
  <si>
    <t>Partida</t>
  </si>
  <si>
    <t>U</t>
  </si>
  <si>
    <t>Interruptor diferencial modular. 2p/40/30A</t>
  </si>
  <si>
    <t>02.2.1</t>
  </si>
  <si>
    <t>02.2.2</t>
  </si>
  <si>
    <t>Capítol</t>
  </si>
  <si>
    <t>Conductors elèctrics</t>
  </si>
  <si>
    <t>IEH010b</t>
  </si>
  <si>
    <t>Partida</t>
  </si>
  <si>
    <t>m</t>
  </si>
  <si>
    <t>Cable elèctric de 3x1,5mm, 450/750 V de tensió nominal.</t>
  </si>
  <si>
    <t>Uts.</t>
  </si>
  <si>
    <t>Llargada</t>
  </si>
  <si>
    <t>Amplada</t>
  </si>
  <si>
    <t>Alçada</t>
  </si>
  <si>
    <t>Parcial</t>
  </si>
  <si>
    <t>Subtotal</t>
  </si>
  <si>
    <t>Alimentació caldera</t>
  </si>
  <si>
    <t>Enllumenat</t>
  </si>
  <si>
    <t>E.A.A</t>
  </si>
  <si>
    <t>0</t>
  </si>
  <si>
    <t>Escreix %</t>
  </si>
  <si>
    <t>IEH010</t>
  </si>
  <si>
    <t>Partida</t>
  </si>
  <si>
    <t>m</t>
  </si>
  <si>
    <t>Cable elèctric de 3x2,5mm, 450/750 V de tensió nominal.</t>
  </si>
  <si>
    <t>Uts.</t>
  </si>
  <si>
    <t>Llargada</t>
  </si>
  <si>
    <t>Amplada</t>
  </si>
  <si>
    <t>Alçada</t>
  </si>
  <si>
    <t>Parcial</t>
  </si>
  <si>
    <t>Subtotal</t>
  </si>
  <si>
    <t>Endolls</t>
  </si>
  <si>
    <t>Bomba nº1</t>
  </si>
  <si>
    <t>Bomba nº2</t>
  </si>
  <si>
    <t>Maniobra</t>
  </si>
  <si>
    <t>0</t>
  </si>
  <si>
    <t>Escreix %</t>
  </si>
  <si>
    <t>IEH012</t>
  </si>
  <si>
    <t>Partida</t>
  </si>
  <si>
    <t>m</t>
  </si>
  <si>
    <t>Cable elèctric de 5x16mm, 0,6/1 kV de tensió nominal.</t>
  </si>
  <si>
    <t>Uts.</t>
  </si>
  <si>
    <t>Llargada</t>
  </si>
  <si>
    <t>Amplada</t>
  </si>
  <si>
    <t>Alçada</t>
  </si>
  <si>
    <t>Parcial</t>
  </si>
  <si>
    <t>Subtotal</t>
  </si>
  <si>
    <t>Quadre general</t>
  </si>
  <si>
    <t>02.2.2</t>
  </si>
  <si>
    <t>02.2.3</t>
  </si>
  <si>
    <t>Capítol</t>
  </si>
  <si>
    <t>Tubs i canals</t>
  </si>
  <si>
    <t>IOD025e</t>
  </si>
  <si>
    <t>Partida</t>
  </si>
  <si>
    <t>U</t>
  </si>
  <si>
    <t>Subministrament i instal·lació en superfície de caixa de derivació estanca, rectangular, de 150x175x80 mm, amb 10 cons i tapa de registre amb cargols de/1 4 de tornada. Inclús reglets de connexió i elements de fixació.</t>
  </si>
  <si>
    <t>IEO010</t>
  </si>
  <si>
    <t>Partida</t>
  </si>
  <si>
    <t>m</t>
  </si>
  <si>
    <t>Canalització de tub de PVC, sèrie B, de 32 mm de diàmetre i 3 mm de gruix. Instal·lació fix en superfície. Inclús accessoris i peces especials.</t>
  </si>
  <si>
    <t>Uts.</t>
  </si>
  <si>
    <t>Llargada</t>
  </si>
  <si>
    <t>Amplada</t>
  </si>
  <si>
    <t>Alçada</t>
  </si>
  <si>
    <t>Parcial</t>
  </si>
  <si>
    <t>Subtotal</t>
  </si>
  <si>
    <t>Distribució interior</t>
  </si>
  <si>
    <t>Elements bomber</t>
  </si>
  <si>
    <t>E45</t>
  </si>
  <si>
    <t>Partida</t>
  </si>
  <si>
    <t>ut</t>
  </si>
  <si>
    <t>Comptador electricitat del quadre electric i comtpador hores funcionament caldera</t>
  </si>
  <si>
    <t>02.2.3</t>
  </si>
  <si>
    <t>02.2.4</t>
  </si>
  <si>
    <t>Capítol</t>
  </si>
  <si>
    <t>Caixes i mecanismes.</t>
  </si>
  <si>
    <t>IEX405c</t>
  </si>
  <si>
    <t>Partida</t>
  </si>
  <si>
    <t>U</t>
  </si>
  <si>
    <t>Armari de distribució, modular.</t>
  </si>
  <si>
    <t>Uts.</t>
  </si>
  <si>
    <t>Llargada</t>
  </si>
  <si>
    <t>Amplada</t>
  </si>
  <si>
    <t>Alçada</t>
  </si>
  <si>
    <t>Parcial</t>
  </si>
  <si>
    <t>Subtotal</t>
  </si>
  <si>
    <t>Subquadre elèctric Sala Caldera</t>
  </si>
  <si>
    <t>02.2.4</t>
  </si>
  <si>
    <t>02.2</t>
  </si>
  <si>
    <t>02.3</t>
  </si>
  <si>
    <t>Capítol</t>
  </si>
  <si>
    <t>Obra civil</t>
  </si>
  <si>
    <t>IVN010</t>
  </si>
  <si>
    <t>Partida</t>
  </si>
  <si>
    <t>U</t>
  </si>
  <si>
    <t>Obertura per a ventilació.</t>
  </si>
  <si>
    <t>RTA010</t>
  </si>
  <si>
    <t>Partida</t>
  </si>
  <si>
    <t>m²</t>
  </si>
  <si>
    <t>Fals sostre continu de plaques d'escaiola.</t>
  </si>
  <si>
    <t>Uts.</t>
  </si>
  <si>
    <t>Llargada</t>
  </si>
  <si>
    <t>Amplada</t>
  </si>
  <si>
    <t>Alçada</t>
  </si>
  <si>
    <t>Parcial</t>
  </si>
  <si>
    <t>Subtotal</t>
  </si>
  <si>
    <t>Sala calderes</t>
  </si>
  <si>
    <t>Vestibul</t>
  </si>
  <si>
    <t>RIP030b</t>
  </si>
  <si>
    <t>Partida</t>
  </si>
  <si>
    <t>m²</t>
  </si>
  <si>
    <t>Pintura plàstica sobre parament interior de guix o escaiola.</t>
  </si>
  <si>
    <t>Uts.</t>
  </si>
  <si>
    <t>Llargada</t>
  </si>
  <si>
    <t>Amplada</t>
  </si>
  <si>
    <t>Alçada</t>
  </si>
  <si>
    <t>Parcial</t>
  </si>
  <si>
    <t>Subtotal</t>
  </si>
  <si>
    <t>Sala calderes</t>
  </si>
  <si>
    <t>DEF041</t>
  </si>
  <si>
    <t>Partida</t>
  </si>
  <si>
    <t>m³</t>
  </si>
  <si>
    <t>Obertura de buit en mur de fàbrica.</t>
  </si>
  <si>
    <t>Uts.</t>
  </si>
  <si>
    <t>Llargada</t>
  </si>
  <si>
    <t>Amplada</t>
  </si>
  <si>
    <t>Alçada</t>
  </si>
  <si>
    <t>Parcial</t>
  </si>
  <si>
    <t>Subtotal</t>
  </si>
  <si>
    <t>Copnductes extracció de fums</t>
  </si>
  <si>
    <t>RIP030c</t>
  </si>
  <si>
    <t>Partida</t>
  </si>
  <si>
    <t>m²</t>
  </si>
  <si>
    <t>Pintura plàstica sobre parament interior de guix o escaiola.</t>
  </si>
  <si>
    <t>Uts.</t>
  </si>
  <si>
    <t>Llargada</t>
  </si>
  <si>
    <t>Amplada</t>
  </si>
  <si>
    <t>Alçada</t>
  </si>
  <si>
    <t>Parcial</t>
  </si>
  <si>
    <t>Subtotal</t>
  </si>
  <si>
    <t>Sala de calderes</t>
  </si>
  <si>
    <t>Vstibul</t>
  </si>
  <si>
    <t>02.3</t>
  </si>
  <si>
    <t>02.4</t>
  </si>
  <si>
    <t>Capítol</t>
  </si>
  <si>
    <t>Correccio de defectes de inspeccio periodica</t>
  </si>
  <si>
    <t>DF01</t>
  </si>
  <si>
    <t>Partida</t>
  </si>
  <si>
    <t>UT</t>
  </si>
  <si>
    <t>Manual d’us i manteniment de la instal•lació existent de calefaccio.</t>
  </si>
  <si>
    <t>DF02</t>
  </si>
  <si>
    <t>Partida</t>
  </si>
  <si>
    <t>ut</t>
  </si>
  <si>
    <t>Contracte de manteniment de la instal•lació durant el periode d'un mes. Amb fulles de manteniment de les actuacions realizades i s'inclou el certificat de manteniment anual de la instal·lacio. Inclou la fitxa tecnica de la instal·lacio.</t>
  </si>
  <si>
    <t>DF03</t>
  </si>
  <si>
    <t>Partida</t>
  </si>
  <si>
    <t>ut</t>
  </si>
  <si>
    <t>Tramitació i gestió amb entitat de control fins assolir inspecció favorable, inclou les taxes i gestions de l'entitat d'inspecció i control.</t>
  </si>
  <si>
    <t>Uts.</t>
  </si>
  <si>
    <t>Llargada</t>
  </si>
  <si>
    <t>Amplada</t>
  </si>
  <si>
    <t>Alçada</t>
  </si>
  <si>
    <t>Parcial</t>
  </si>
  <si>
    <t>Subtotal</t>
  </si>
  <si>
    <t>Tramit inscripcio instal·lacio existent</t>
  </si>
  <si>
    <t>Tramit de IPIC de la instal·lacio</t>
  </si>
  <si>
    <t>Tramit posterior legalizacio reforma</t>
  </si>
  <si>
    <t>SIR010</t>
  </si>
  <si>
    <t>Partida</t>
  </si>
  <si>
    <t>Ut</t>
  </si>
  <si>
    <t>Rètol amb suport d'alumini lacat per senyalització de local sala de calderes a la porta exterior, de 250x80 mm, amb les lletres o números adherits al suport.</t>
  </si>
  <si>
    <t>DF04</t>
  </si>
  <si>
    <t>Partida</t>
  </si>
  <si>
    <t>ut</t>
  </si>
  <si>
    <t>Cartell informatiu plasticat amb el contingut fixat al apartat 03.9 de la instrucció tècnica 03 d’Exigències de Seguretat del Reial Decret 1618/1980 i que es el següent:</t>
  </si>
  <si>
    <t>DF05</t>
  </si>
  <si>
    <t>Partida</t>
  </si>
  <si>
    <t>UT</t>
  </si>
  <si>
    <t>Aixecament de planols i esquema unifilar del quadre sala caldera exitent. S'entregara en format paper plastificat i editable.</t>
  </si>
  <si>
    <t>IGL010b</t>
  </si>
  <si>
    <t>Partida</t>
  </si>
  <si>
    <t>Ut</t>
  </si>
  <si>
    <t>Sistema de detecció automàtica de gas natural format per: Central electrònica per la detecció de gas, per 6 sensors remots  instal•lats.  Dos detectors de gas natural a dos nivells, amb grau de protecció IP65, muntats superficialment. Dos polsador d'alarma per instal•lació contra incendis convencional, accionament manual per canvi de posició d'elements fràgil (Rearmable), segons norma UNE-EN 54-11. Muntat superficialment. Electrovàlvula de tall de la alimentació de la xarxa de gas de diàmetre nominal 21/2”. Sirena per a sistema de detecció de gas, amb senyal òptica i acústica. Esta inclòs el muntatge i instal•lació dels detectors, polsadors i electrovàlvules fins a les unitats de control , incloent la part proporcional del tub metàl•lic en execució vista i tub corrugat. Completament instal•lat provat i en funcionament.</t>
  </si>
  <si>
    <t>IGL101X</t>
  </si>
  <si>
    <t>Partida</t>
  </si>
  <si>
    <t>U</t>
  </si>
  <si>
    <t>Subministrament i instal·lació de polsador d’emergència</t>
  </si>
  <si>
    <t>02.4</t>
  </si>
  <si>
    <t>02</t>
  </si>
  <si>
    <t>03</t>
  </si>
  <si>
    <t>Capítol</t>
  </si>
  <si>
    <t>Varis</t>
  </si>
  <si>
    <t>IEF02</t>
  </si>
  <si>
    <t>Partida</t>
  </si>
  <si>
    <t>ut</t>
  </si>
  <si>
    <t>Realització de planols ASBUILT, entrega de copia en paper i digital.</t>
  </si>
  <si>
    <t>IEF03</t>
  </si>
  <si>
    <t>Partida</t>
  </si>
  <si>
    <t>ut</t>
  </si>
  <si>
    <t>Partida per la legalització de la instal·lació amb entitat de control Esta inclos projecte, certificat final, botlletins, taxes i costos de visat.</t>
  </si>
  <si>
    <t>Uts.</t>
  </si>
  <si>
    <t>Llargada</t>
  </si>
  <si>
    <t>Amplada</t>
  </si>
  <si>
    <t>Alçada</t>
  </si>
  <si>
    <t>Parcial</t>
  </si>
  <si>
    <t>Subtotal</t>
  </si>
  <si>
    <t>Tramit inscripcio instal·lacio existent</t>
  </si>
  <si>
    <t>Tramit posterior legalizacio reforma</t>
  </si>
  <si>
    <t>IEF04</t>
  </si>
  <si>
    <t>Partida</t>
  </si>
  <si>
    <t>ut</t>
  </si>
  <si>
    <t>Imprevistos a justificar.</t>
  </si>
  <si>
    <t>03</t>
  </si>
  <si>
    <t>SAGRADA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</si>
</sst>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2"/>
      <color rgb="FF000000"/>
      <name val="Verdana"/>
      <family val="2"/>
    </font>
    <font>
      <b/>
      <sz val="9.9499999999999993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rgb="FF1010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FFBF"/>
      </patternFill>
    </fill>
    <fill>
      <patternFill patternType="solid">
        <fgColor rgb="FF269900"/>
      </patternFill>
    </fill>
    <fill>
      <patternFill patternType="solid">
        <fgColor rgb="FF3FB219"/>
      </patternFill>
    </fill>
    <fill>
      <patternFill patternType="solid">
        <fgColor rgb="FF58CB32"/>
      </patternFill>
    </fill>
    <fill>
      <patternFill patternType="solid">
        <fgColor rgb="FF71E44B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>
      <alignment horizontal="left" vertical="center"/>
    </xf>
    <xf numFmtId="0" fontId="1" fillId="2" borderId="0" xfId="0" applyFont="1" applyFill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2" xfId="0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0" fontId="0" fillId="4" borderId="0" xfId="0" applyFont="1" applyFill="1" applyAlignment="1">
      <alignment horizontal="left" vertical="top" wrapText="1"/>
    </xf>
    <xf numFmtId="4" fontId="4" fillId="4" borderId="0" xfId="0" applyNumberFormat="1" applyFont="1" applyFill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left" vertical="top" wrapText="1"/>
    </xf>
    <xf numFmtId="0" fontId="0" fillId="4" borderId="2" xfId="0" applyFont="1" applyFill="1" applyBorder="1" applyAlignment="1">
      <alignment horizontal="left"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0" fontId="4" fillId="5" borderId="0" xfId="0" applyFont="1" applyFill="1" applyAlignment="1">
      <alignment horizontal="left" vertical="top" wrapText="1"/>
    </xf>
    <xf numFmtId="0" fontId="0" fillId="5" borderId="0" xfId="0" applyFont="1" applyFill="1" applyAlignment="1">
      <alignment horizontal="left" vertical="top" wrapText="1"/>
    </xf>
    <xf numFmtId="4" fontId="4" fillId="5" borderId="0" xfId="0" applyNumberFormat="1" applyFont="1" applyFill="1" applyAlignment="1">
      <alignment horizontal="righ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 wrapText="1"/>
    </xf>
    <xf numFmtId="4" fontId="4" fillId="5" borderId="1" xfId="0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 vertical="top" wrapText="1"/>
    </xf>
    <xf numFmtId="4" fontId="4" fillId="5" borderId="2" xfId="0" applyNumberFormat="1" applyFont="1" applyFill="1" applyBorder="1" applyAlignment="1">
      <alignment horizontal="right" vertical="top" wrapText="1"/>
    </xf>
    <xf numFmtId="0" fontId="4" fillId="6" borderId="0" xfId="0" applyFont="1" applyFill="1" applyAlignment="1">
      <alignment horizontal="left" vertical="top" wrapText="1"/>
    </xf>
    <xf numFmtId="0" fontId="0" fillId="6" borderId="0" xfId="0" applyFont="1" applyFill="1" applyAlignment="1">
      <alignment horizontal="left" vertical="top" wrapText="1"/>
    </xf>
    <xf numFmtId="4" fontId="4" fillId="6" borderId="0" xfId="0" applyNumberFormat="1" applyFont="1" applyFill="1" applyAlignment="1">
      <alignment horizontal="right" vertical="top" wrapText="1"/>
    </xf>
    <xf numFmtId="0" fontId="4" fillId="6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4" fillId="6" borderId="2" xfId="0" applyFont="1" applyFill="1" applyBorder="1" applyAlignment="1">
      <alignment horizontal="left" vertical="top" wrapText="1"/>
    </xf>
    <xf numFmtId="0" fontId="0" fillId="6" borderId="2" xfId="0" applyFont="1" applyFill="1" applyBorder="1" applyAlignment="1">
      <alignment horizontal="left" vertical="top" wrapText="1"/>
    </xf>
    <xf numFmtId="4" fontId="4" fillId="6" borderId="2" xfId="0" applyNumberFormat="1" applyFont="1" applyFill="1" applyBorder="1" applyAlignment="1">
      <alignment horizontal="right" vertical="top" wrapText="1"/>
    </xf>
    <xf numFmtId="0" fontId="0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top" wrapText="1"/>
    </xf>
    <xf numFmtId="0" fontId="0" fillId="5" borderId="5" xfId="0" applyFont="1" applyFill="1" applyBorder="1" applyAlignment="1">
      <alignment horizontal="left" vertical="top" wrapText="1"/>
    </xf>
    <xf numFmtId="4" fontId="4" fillId="5" borderId="5" xfId="0" applyNumberFormat="1" applyFont="1" applyFill="1" applyBorder="1" applyAlignment="1">
      <alignment horizontal="right" vertical="top" wrapText="1"/>
    </xf>
    <xf numFmtId="0" fontId="4" fillId="4" borderId="5" xfId="0" applyFont="1" applyFill="1" applyBorder="1" applyAlignment="1">
      <alignment horizontal="left" vertical="top" wrapText="1"/>
    </xf>
    <xf numFmtId="0" fontId="0" fillId="4" borderId="5" xfId="0" applyFont="1" applyFill="1" applyBorder="1" applyAlignment="1">
      <alignment horizontal="left" vertical="top" wrapText="1"/>
    </xf>
    <xf numFmtId="4" fontId="4" fillId="4" borderId="5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4" fillId="5" borderId="0" xfId="0" applyFont="1" applyFill="1" applyAlignment="1">
      <alignment horizontal="justify" vertical="top" wrapText="1"/>
    </xf>
    <xf numFmtId="0" fontId="4" fillId="5" borderId="2" xfId="0" applyFont="1" applyFill="1" applyBorder="1" applyAlignment="1">
      <alignment horizontal="justify" vertical="top" wrapText="1"/>
    </xf>
    <xf numFmtId="0" fontId="4" fillId="6" borderId="0" xfId="0" applyFont="1" applyFill="1" applyAlignment="1">
      <alignment horizontal="justify" vertical="top" wrapText="1"/>
    </xf>
    <xf numFmtId="0" fontId="4" fillId="6" borderId="2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9"/>
  <sheetViews>
    <sheetView tabSelected="1" view="pageLayout" topLeftCell="C139" workbookViewId="0">
      <selection activeCell="L158" sqref="L158"/>
    </sheetView>
  </sheetViews>
  <sheetFormatPr baseColWidth="10" defaultRowHeight="15" x14ac:dyDescent="0.2"/>
  <cols>
    <col min="1" max="1" width="6.59765625" customWidth="1"/>
    <col min="2" max="2" width="5.796875" customWidth="1"/>
    <col min="3" max="3" width="2.796875" customWidth="1"/>
    <col min="4" max="4" width="15.69921875" customWidth="1"/>
    <col min="5" max="5" width="9.19921875" customWidth="1"/>
    <col min="6" max="7" width="5" customWidth="1"/>
    <col min="8" max="8" width="5.09765625" customWidth="1"/>
    <col min="9" max="9" width="4.3984375" customWidth="1"/>
    <col min="10" max="10" width="5.5" customWidth="1"/>
    <col min="11" max="11" width="7.19921875" customWidth="1"/>
    <col min="12" max="12" width="10" customWidth="1"/>
    <col min="13" max="13" width="7.19921875" customWidth="1"/>
    <col min="14" max="14" width="11.09765625" customWidth="1"/>
  </cols>
  <sheetData>
    <row r="1" spans="1:14" ht="17.850000000000001" customHeight="1" thickBot="1" x14ac:dyDescent="0.25">
      <c r="A1" s="1" t="s">
        <v>0</v>
      </c>
      <c r="B1" s="68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"/>
    </row>
    <row r="2" spans="1:14" ht="17.850000000000001" customHeight="1" thickBot="1" x14ac:dyDescent="0.25">
      <c r="A2" s="68" t="s">
        <v>2</v>
      </c>
      <c r="B2" s="68"/>
      <c r="C2" s="68"/>
      <c r="D2" s="3"/>
      <c r="E2" s="3"/>
      <c r="F2" s="3"/>
      <c r="G2" s="3"/>
      <c r="H2" s="3"/>
      <c r="I2" s="3"/>
      <c r="J2" s="3"/>
      <c r="K2" s="3"/>
      <c r="L2" s="5" t="s">
        <v>3</v>
      </c>
      <c r="M2" s="7">
        <v>3</v>
      </c>
      <c r="N2" s="8"/>
    </row>
    <row r="3" spans="1:14" ht="16.7" customHeight="1" thickBot="1" x14ac:dyDescent="0.25">
      <c r="A3" s="9" t="s">
        <v>4</v>
      </c>
      <c r="B3" s="9" t="s">
        <v>5</v>
      </c>
      <c r="C3" s="9" t="s">
        <v>6</v>
      </c>
      <c r="D3" s="9" t="s">
        <v>7</v>
      </c>
      <c r="E3" s="10"/>
      <c r="F3" s="10"/>
      <c r="G3" s="10"/>
      <c r="H3" s="10"/>
      <c r="I3" s="10"/>
      <c r="J3" s="10"/>
      <c r="K3" s="11" t="s">
        <v>8</v>
      </c>
      <c r="L3" s="11" t="s">
        <v>9</v>
      </c>
      <c r="M3" s="11" t="s">
        <v>10</v>
      </c>
      <c r="N3" s="8"/>
    </row>
    <row r="4" spans="1:14" ht="25.15" customHeight="1" thickBot="1" x14ac:dyDescent="0.25">
      <c r="A4" s="13" t="s">
        <v>11</v>
      </c>
      <c r="B4" s="13" t="s">
        <v>12</v>
      </c>
      <c r="C4" s="14"/>
      <c r="D4" s="69" t="s">
        <v>13</v>
      </c>
      <c r="E4" s="69"/>
      <c r="F4" s="69"/>
      <c r="G4" s="69"/>
      <c r="H4" s="69"/>
      <c r="I4" s="69"/>
      <c r="J4" s="69"/>
      <c r="K4" s="14"/>
      <c r="L4" s="15">
        <f>L149</f>
        <v>48951.360000000001</v>
      </c>
      <c r="M4" s="15">
        <f>ROUND(L4,2)</f>
        <v>48951.360000000001</v>
      </c>
      <c r="N4" s="8"/>
    </row>
    <row r="5" spans="1:14" ht="15.4" customHeight="1" thickBot="1" x14ac:dyDescent="0.25">
      <c r="A5" s="16" t="s">
        <v>14</v>
      </c>
      <c r="B5" s="16" t="s">
        <v>15</v>
      </c>
      <c r="C5" s="17"/>
      <c r="D5" s="70" t="s">
        <v>16</v>
      </c>
      <c r="E5" s="70"/>
      <c r="F5" s="70"/>
      <c r="G5" s="70"/>
      <c r="H5" s="70"/>
      <c r="I5" s="70"/>
      <c r="J5" s="70"/>
      <c r="K5" s="17"/>
      <c r="L5" s="18">
        <f>L20</f>
        <v>1584.97</v>
      </c>
      <c r="M5" s="18">
        <f>ROUND(L5,2)</f>
        <v>1584.97</v>
      </c>
      <c r="N5" s="8"/>
    </row>
    <row r="6" spans="1:14" ht="15.4" customHeight="1" thickBot="1" x14ac:dyDescent="0.25">
      <c r="A6" s="12" t="s">
        <v>17</v>
      </c>
      <c r="B6" s="6" t="s">
        <v>18</v>
      </c>
      <c r="C6" s="6" t="s">
        <v>19</v>
      </c>
      <c r="D6" s="71" t="s">
        <v>20</v>
      </c>
      <c r="E6" s="71"/>
      <c r="F6" s="71"/>
      <c r="G6" s="71"/>
      <c r="H6" s="71"/>
      <c r="I6" s="71"/>
      <c r="J6" s="71"/>
      <c r="K6" s="19">
        <f>ROUND(1,2)</f>
        <v>1</v>
      </c>
      <c r="L6" s="20">
        <f>ROUND(93.74*(1+M2/100),2)</f>
        <v>96.55</v>
      </c>
      <c r="M6" s="20">
        <f>ROUND(K6*L6,2)</f>
        <v>96.55</v>
      </c>
      <c r="N6" s="8"/>
    </row>
    <row r="7" spans="1:14" ht="21.4" customHeight="1" thickBot="1" x14ac:dyDescent="0.25">
      <c r="A7" s="12" t="s">
        <v>21</v>
      </c>
      <c r="B7" s="6" t="s">
        <v>22</v>
      </c>
      <c r="C7" s="6" t="s">
        <v>23</v>
      </c>
      <c r="D7" s="71" t="s">
        <v>24</v>
      </c>
      <c r="E7" s="71"/>
      <c r="F7" s="71"/>
      <c r="G7" s="71"/>
      <c r="H7" s="71"/>
      <c r="I7" s="71"/>
      <c r="J7" s="71"/>
      <c r="K7" s="19">
        <f>ROUND(2,2)</f>
        <v>2</v>
      </c>
      <c r="L7" s="20">
        <f>ROUND(221.77*(1+M2/100),2)</f>
        <v>228.42</v>
      </c>
      <c r="M7" s="20">
        <f>ROUND(K7*L7,2)</f>
        <v>456.84</v>
      </c>
      <c r="N7" s="8"/>
    </row>
    <row r="8" spans="1:14" ht="21.4" customHeight="1" thickBot="1" x14ac:dyDescent="0.25">
      <c r="A8" s="12" t="s">
        <v>25</v>
      </c>
      <c r="B8" s="6" t="s">
        <v>26</v>
      </c>
      <c r="C8" s="6" t="s">
        <v>27</v>
      </c>
      <c r="D8" s="71" t="s">
        <v>28</v>
      </c>
      <c r="E8" s="71"/>
      <c r="F8" s="71"/>
      <c r="G8" s="71"/>
      <c r="H8" s="71"/>
      <c r="I8" s="71"/>
      <c r="J8" s="71"/>
      <c r="K8" s="19">
        <f>ROUND(10,2)</f>
        <v>10</v>
      </c>
      <c r="L8" s="20">
        <f>ROUND(4.56*(1+M2/100),2)</f>
        <v>4.7</v>
      </c>
      <c r="M8" s="20">
        <f>ROUND(K8*L8,2)</f>
        <v>47</v>
      </c>
      <c r="N8" s="8"/>
    </row>
    <row r="9" spans="1:14" ht="30.6" customHeight="1" thickBot="1" x14ac:dyDescent="0.25">
      <c r="A9" s="12" t="s">
        <v>29</v>
      </c>
      <c r="B9" s="6" t="s">
        <v>30</v>
      </c>
      <c r="C9" s="6" t="s">
        <v>31</v>
      </c>
      <c r="D9" s="71" t="s">
        <v>32</v>
      </c>
      <c r="E9" s="71"/>
      <c r="F9" s="71"/>
      <c r="G9" s="71"/>
      <c r="H9" s="71"/>
      <c r="I9" s="71"/>
      <c r="J9" s="71"/>
      <c r="K9" s="19">
        <f>SUM(K11:K11)</f>
        <v>1</v>
      </c>
      <c r="L9" s="20">
        <f>ROUND(89.08*(1+M2/100),2)</f>
        <v>91.75</v>
      </c>
      <c r="M9" s="20">
        <f>ROUND(K9*L9,2)</f>
        <v>91.75</v>
      </c>
      <c r="N9" s="8"/>
    </row>
    <row r="10" spans="1:14" ht="15.2" customHeight="1" thickBot="1" x14ac:dyDescent="0.25">
      <c r="A10" s="8"/>
      <c r="B10" s="8"/>
      <c r="C10" s="8"/>
      <c r="D10" s="8"/>
      <c r="E10" s="21"/>
      <c r="F10" s="23" t="s">
        <v>33</v>
      </c>
      <c r="G10" s="23" t="s">
        <v>34</v>
      </c>
      <c r="H10" s="23" t="s">
        <v>35</v>
      </c>
      <c r="I10" s="23" t="s">
        <v>36</v>
      </c>
      <c r="J10" s="23" t="s">
        <v>37</v>
      </c>
      <c r="K10" s="23" t="s">
        <v>38</v>
      </c>
      <c r="L10" s="8"/>
      <c r="M10" s="8"/>
      <c r="N10" s="8"/>
    </row>
    <row r="11" spans="1:14" ht="30.6" customHeight="1" thickBot="1" x14ac:dyDescent="0.25">
      <c r="A11" s="8"/>
      <c r="B11" s="8"/>
      <c r="C11" s="8"/>
      <c r="D11" s="24"/>
      <c r="E11" s="25" t="s">
        <v>39</v>
      </c>
      <c r="F11" s="26">
        <v>1</v>
      </c>
      <c r="G11" s="27"/>
      <c r="H11" s="27"/>
      <c r="I11" s="27"/>
      <c r="J11" s="29">
        <f>ROUND(F11,3)</f>
        <v>1</v>
      </c>
      <c r="K11" s="31">
        <f>SUM(J11:J11)</f>
        <v>1</v>
      </c>
      <c r="L11" s="8"/>
      <c r="M11" s="8"/>
      <c r="N11" s="8"/>
    </row>
    <row r="12" spans="1:14" ht="15.4" customHeight="1" thickBot="1" x14ac:dyDescent="0.25">
      <c r="A12" s="12" t="s">
        <v>40</v>
      </c>
      <c r="B12" s="6" t="s">
        <v>41</v>
      </c>
      <c r="C12" s="6" t="s">
        <v>42</v>
      </c>
      <c r="D12" s="71" t="s">
        <v>43</v>
      </c>
      <c r="E12" s="71"/>
      <c r="F12" s="71"/>
      <c r="G12" s="71"/>
      <c r="H12" s="71"/>
      <c r="I12" s="71"/>
      <c r="J12" s="71"/>
      <c r="K12" s="19">
        <f>SUM(K14:K15)</f>
        <v>32.384</v>
      </c>
      <c r="L12" s="20">
        <f>ROUND(2.4*(1+M2/100),2)</f>
        <v>2.4700000000000002</v>
      </c>
      <c r="M12" s="20">
        <f>ROUND(K12*L12,2)</f>
        <v>79.989999999999995</v>
      </c>
      <c r="N12" s="8"/>
    </row>
    <row r="13" spans="1:14" ht="15.2" customHeight="1" thickBot="1" x14ac:dyDescent="0.25">
      <c r="A13" s="8"/>
      <c r="B13" s="8"/>
      <c r="C13" s="8"/>
      <c r="D13" s="8"/>
      <c r="E13" s="21"/>
      <c r="F13" s="23" t="s">
        <v>44</v>
      </c>
      <c r="G13" s="23" t="s">
        <v>45</v>
      </c>
      <c r="H13" s="23" t="s">
        <v>46</v>
      </c>
      <c r="I13" s="23" t="s">
        <v>47</v>
      </c>
      <c r="J13" s="23" t="s">
        <v>48</v>
      </c>
      <c r="K13" s="23" t="s">
        <v>49</v>
      </c>
      <c r="L13" s="8"/>
      <c r="M13" s="8"/>
      <c r="N13" s="8"/>
    </row>
    <row r="14" spans="1:14" ht="15.2" customHeight="1" thickBot="1" x14ac:dyDescent="0.25">
      <c r="A14" s="8"/>
      <c r="B14" s="8"/>
      <c r="C14" s="8"/>
      <c r="D14" s="24"/>
      <c r="E14" s="25" t="s">
        <v>50</v>
      </c>
      <c r="F14" s="26">
        <v>2</v>
      </c>
      <c r="G14" s="27">
        <v>1.05</v>
      </c>
      <c r="H14" s="27">
        <v>0.6</v>
      </c>
      <c r="I14" s="27">
        <v>0.9</v>
      </c>
      <c r="J14" s="29">
        <f>ROUND(F14*G14*H14*I14,3)</f>
        <v>1.1339999999999999</v>
      </c>
      <c r="K14" s="32"/>
      <c r="L14" s="8"/>
      <c r="M14" s="8"/>
      <c r="N14" s="8"/>
    </row>
    <row r="15" spans="1:14" ht="30.6" customHeight="1" thickBot="1" x14ac:dyDescent="0.25">
      <c r="A15" s="8"/>
      <c r="B15" s="8"/>
      <c r="C15" s="8"/>
      <c r="D15" s="24"/>
      <c r="E15" s="6" t="s">
        <v>51</v>
      </c>
      <c r="F15" s="4">
        <v>1</v>
      </c>
      <c r="G15" s="19">
        <v>25</v>
      </c>
      <c r="H15" s="19">
        <v>25</v>
      </c>
      <c r="I15" s="19">
        <v>0.05</v>
      </c>
      <c r="J15" s="28">
        <f>ROUND(F15*G15*H15*I15,3)</f>
        <v>31.25</v>
      </c>
      <c r="K15" s="30">
        <f>SUM(J14:J15)</f>
        <v>32.384</v>
      </c>
      <c r="L15" s="8"/>
      <c r="M15" s="8"/>
      <c r="N15" s="8"/>
    </row>
    <row r="16" spans="1:14" ht="30.6" customHeight="1" thickBot="1" x14ac:dyDescent="0.25">
      <c r="A16" s="12" t="s">
        <v>52</v>
      </c>
      <c r="B16" s="6" t="s">
        <v>53</v>
      </c>
      <c r="C16" s="6" t="s">
        <v>54</v>
      </c>
      <c r="D16" s="71" t="s">
        <v>55</v>
      </c>
      <c r="E16" s="71"/>
      <c r="F16" s="71"/>
      <c r="G16" s="71"/>
      <c r="H16" s="71"/>
      <c r="I16" s="71"/>
      <c r="J16" s="71"/>
      <c r="K16" s="19">
        <f>SUM(K14:K15)</f>
        <v>32.384</v>
      </c>
      <c r="L16" s="20">
        <f>ROUND(12.42*(1+M2/100),2)</f>
        <v>12.79</v>
      </c>
      <c r="M16" s="20">
        <f>ROUND(K16*L16,2)</f>
        <v>414.19</v>
      </c>
      <c r="N16" s="8"/>
    </row>
    <row r="17" spans="1:14" ht="30.6" customHeight="1" thickBot="1" x14ac:dyDescent="0.25">
      <c r="A17" s="12" t="s">
        <v>56</v>
      </c>
      <c r="B17" s="6" t="s">
        <v>57</v>
      </c>
      <c r="C17" s="6" t="s">
        <v>58</v>
      </c>
      <c r="D17" s="71" t="s">
        <v>59</v>
      </c>
      <c r="E17" s="71"/>
      <c r="F17" s="71"/>
      <c r="G17" s="71"/>
      <c r="H17" s="71"/>
      <c r="I17" s="71"/>
      <c r="J17" s="71"/>
      <c r="K17" s="19">
        <f>ROUND(1,2)</f>
        <v>1</v>
      </c>
      <c r="L17" s="20">
        <f>ROUND(313.905*(1+M2/100),2)</f>
        <v>323.32</v>
      </c>
      <c r="M17" s="20">
        <f>ROUND(K17*L17,2)</f>
        <v>323.32</v>
      </c>
      <c r="N17" s="8"/>
    </row>
    <row r="18" spans="1:14" ht="15.4" customHeight="1" thickBot="1" x14ac:dyDescent="0.25">
      <c r="A18" s="12" t="s">
        <v>60</v>
      </c>
      <c r="B18" s="6" t="s">
        <v>61</v>
      </c>
      <c r="C18" s="6" t="s">
        <v>62</v>
      </c>
      <c r="D18" s="71" t="s">
        <v>63</v>
      </c>
      <c r="E18" s="71"/>
      <c r="F18" s="71"/>
      <c r="G18" s="71"/>
      <c r="H18" s="71"/>
      <c r="I18" s="71"/>
      <c r="J18" s="71"/>
      <c r="K18" s="19">
        <f>ROUND(2,2)</f>
        <v>2</v>
      </c>
      <c r="L18" s="20">
        <f>ROUND(21.4*(1+M2/100),2)</f>
        <v>22.04</v>
      </c>
      <c r="M18" s="20">
        <f>ROUND(K18*L18,2)</f>
        <v>44.08</v>
      </c>
      <c r="N18" s="8"/>
    </row>
    <row r="19" spans="1:14" ht="15.4" customHeight="1" thickBot="1" x14ac:dyDescent="0.25">
      <c r="A19" s="12" t="s">
        <v>64</v>
      </c>
      <c r="B19" s="6" t="s">
        <v>65</v>
      </c>
      <c r="C19" s="6" t="s">
        <v>66</v>
      </c>
      <c r="D19" s="71" t="s">
        <v>67</v>
      </c>
      <c r="E19" s="71"/>
      <c r="F19" s="71"/>
      <c r="G19" s="71"/>
      <c r="H19" s="71"/>
      <c r="I19" s="71"/>
      <c r="J19" s="71"/>
      <c r="K19" s="19">
        <f>ROUND(5,2)</f>
        <v>5</v>
      </c>
      <c r="L19" s="20">
        <f>ROUND(6.07*(1+M2/100),2)</f>
        <v>6.25</v>
      </c>
      <c r="M19" s="20">
        <f>ROUND(K19*L19,2)</f>
        <v>31.25</v>
      </c>
      <c r="N19" s="8"/>
    </row>
    <row r="20" spans="1:14" ht="15.4" customHeight="1" thickBot="1" x14ac:dyDescent="0.25">
      <c r="A20" s="33"/>
      <c r="B20" s="33"/>
      <c r="C20" s="33"/>
      <c r="D20" s="34" t="s">
        <v>68</v>
      </c>
      <c r="E20" s="35"/>
      <c r="F20" s="35"/>
      <c r="G20" s="35"/>
      <c r="H20" s="35"/>
      <c r="I20" s="35"/>
      <c r="J20" s="35"/>
      <c r="K20" s="35"/>
      <c r="L20" s="36">
        <f>M6+M7+M8+M9+M12+M16+M17+M18+M19</f>
        <v>1584.97</v>
      </c>
      <c r="M20" s="36">
        <f>ROUND(L20,2)</f>
        <v>1584.97</v>
      </c>
      <c r="N20" s="8"/>
    </row>
    <row r="21" spans="1:14" ht="15.4" customHeight="1" thickBot="1" x14ac:dyDescent="0.25">
      <c r="A21" s="37" t="s">
        <v>69</v>
      </c>
      <c r="B21" s="37" t="s">
        <v>70</v>
      </c>
      <c r="C21" s="38"/>
      <c r="D21" s="72" t="s">
        <v>71</v>
      </c>
      <c r="E21" s="72"/>
      <c r="F21" s="72"/>
      <c r="G21" s="72"/>
      <c r="H21" s="72"/>
      <c r="I21" s="72"/>
      <c r="J21" s="72"/>
      <c r="K21" s="38"/>
      <c r="L21" s="39">
        <f>L140</f>
        <v>45128.14</v>
      </c>
      <c r="M21" s="39">
        <f>ROUND(L21,2)</f>
        <v>45128.14</v>
      </c>
      <c r="N21" s="8"/>
    </row>
    <row r="22" spans="1:14" ht="15.4" customHeight="1" thickBot="1" x14ac:dyDescent="0.25">
      <c r="A22" s="40" t="s">
        <v>72</v>
      </c>
      <c r="B22" s="40" t="s">
        <v>73</v>
      </c>
      <c r="C22" s="41"/>
      <c r="D22" s="73" t="s">
        <v>74</v>
      </c>
      <c r="E22" s="73"/>
      <c r="F22" s="73"/>
      <c r="G22" s="73"/>
      <c r="H22" s="73"/>
      <c r="I22" s="73"/>
      <c r="J22" s="73"/>
      <c r="K22" s="41"/>
      <c r="L22" s="42">
        <f>L63</f>
        <v>36326.339999999997</v>
      </c>
      <c r="M22" s="42">
        <f>ROUND(L22,2)</f>
        <v>36326.339999999997</v>
      </c>
      <c r="N22" s="8"/>
    </row>
    <row r="23" spans="1:14" ht="21.4" customHeight="1" thickBot="1" x14ac:dyDescent="0.25">
      <c r="A23" s="12" t="s">
        <v>75</v>
      </c>
      <c r="B23" s="6" t="s">
        <v>76</v>
      </c>
      <c r="C23" s="6" t="s">
        <v>77</v>
      </c>
      <c r="D23" s="71" t="s">
        <v>78</v>
      </c>
      <c r="E23" s="71"/>
      <c r="F23" s="71"/>
      <c r="G23" s="71"/>
      <c r="H23" s="71"/>
      <c r="I23" s="71"/>
      <c r="J23" s="71"/>
      <c r="K23" s="19">
        <f>SUM(K25:K25)</f>
        <v>2</v>
      </c>
      <c r="L23" s="20">
        <f>ROUND(7478.01*(1+M2/100),2)</f>
        <v>7702.35</v>
      </c>
      <c r="M23" s="20">
        <f>ROUND(K23*L23,2)</f>
        <v>15404.7</v>
      </c>
      <c r="N23" s="8"/>
    </row>
    <row r="24" spans="1:14" ht="15.2" customHeight="1" thickBot="1" x14ac:dyDescent="0.25">
      <c r="A24" s="8"/>
      <c r="B24" s="8"/>
      <c r="C24" s="8"/>
      <c r="D24" s="8"/>
      <c r="E24" s="21"/>
      <c r="F24" s="23" t="s">
        <v>79</v>
      </c>
      <c r="G24" s="23" t="s">
        <v>80</v>
      </c>
      <c r="H24" s="23" t="s">
        <v>81</v>
      </c>
      <c r="I24" s="23" t="s">
        <v>82</v>
      </c>
      <c r="J24" s="23" t="s">
        <v>83</v>
      </c>
      <c r="K24" s="23" t="s">
        <v>84</v>
      </c>
      <c r="L24" s="8"/>
      <c r="M24" s="8"/>
      <c r="N24" s="8"/>
    </row>
    <row r="25" spans="1:14" ht="15.2" customHeight="1" thickBot="1" x14ac:dyDescent="0.25">
      <c r="A25" s="8"/>
      <c r="B25" s="8"/>
      <c r="C25" s="8"/>
      <c r="D25" s="24"/>
      <c r="E25" s="25" t="s">
        <v>85</v>
      </c>
      <c r="F25" s="26">
        <v>2</v>
      </c>
      <c r="G25" s="27"/>
      <c r="H25" s="27"/>
      <c r="I25" s="27"/>
      <c r="J25" s="29">
        <f>ROUND(F25,3)</f>
        <v>2</v>
      </c>
      <c r="K25" s="31">
        <f>SUM(J25:J25)</f>
        <v>2</v>
      </c>
      <c r="L25" s="8"/>
      <c r="M25" s="8"/>
      <c r="N25" s="8"/>
    </row>
    <row r="26" spans="1:14" ht="15.4" customHeight="1" thickBot="1" x14ac:dyDescent="0.25">
      <c r="A26" s="12" t="s">
        <v>86</v>
      </c>
      <c r="B26" s="6" t="s">
        <v>87</v>
      </c>
      <c r="C26" s="6" t="s">
        <v>88</v>
      </c>
      <c r="D26" s="71" t="s">
        <v>89</v>
      </c>
      <c r="E26" s="71"/>
      <c r="F26" s="71"/>
      <c r="G26" s="71"/>
      <c r="H26" s="71"/>
      <c r="I26" s="71"/>
      <c r="J26" s="71"/>
      <c r="K26" s="19">
        <f>ROUND(1,2)</f>
        <v>1</v>
      </c>
      <c r="L26" s="20">
        <f>ROUND(5369.806*(1+M2/100),2)</f>
        <v>5530.9</v>
      </c>
      <c r="M26" s="20">
        <f t="shared" ref="M26:M37" si="0">ROUND(K26*L26,2)</f>
        <v>5530.9</v>
      </c>
      <c r="N26" s="8"/>
    </row>
    <row r="27" spans="1:14" ht="39.75" customHeight="1" thickBot="1" x14ac:dyDescent="0.25">
      <c r="A27" s="12" t="s">
        <v>90</v>
      </c>
      <c r="B27" s="6" t="s">
        <v>91</v>
      </c>
      <c r="C27" s="6" t="s">
        <v>92</v>
      </c>
      <c r="D27" s="71" t="s">
        <v>93</v>
      </c>
      <c r="E27" s="71"/>
      <c r="F27" s="71"/>
      <c r="G27" s="71"/>
      <c r="H27" s="71"/>
      <c r="I27" s="71"/>
      <c r="J27" s="71"/>
      <c r="K27" s="19">
        <f>ROUND(1,2)</f>
        <v>1</v>
      </c>
      <c r="L27" s="20">
        <f>ROUND(1214.476*(1+M2/100),2)</f>
        <v>1250.9100000000001</v>
      </c>
      <c r="M27" s="20">
        <f t="shared" si="0"/>
        <v>1250.9100000000001</v>
      </c>
      <c r="N27" s="8"/>
    </row>
    <row r="28" spans="1:14" ht="21.4" customHeight="1" thickBot="1" x14ac:dyDescent="0.25">
      <c r="A28" s="12" t="s">
        <v>94</v>
      </c>
      <c r="B28" s="6" t="s">
        <v>95</v>
      </c>
      <c r="C28" s="6" t="s">
        <v>96</v>
      </c>
      <c r="D28" s="71" t="s">
        <v>97</v>
      </c>
      <c r="E28" s="71"/>
      <c r="F28" s="71"/>
      <c r="G28" s="71"/>
      <c r="H28" s="71"/>
      <c r="I28" s="71"/>
      <c r="J28" s="71"/>
      <c r="K28" s="19">
        <f>ROUND(1,2)</f>
        <v>1</v>
      </c>
      <c r="L28" s="20">
        <f>ROUND(451.903*(1+M2/100),2)</f>
        <v>465.46</v>
      </c>
      <c r="M28" s="20">
        <f t="shared" si="0"/>
        <v>465.46</v>
      </c>
      <c r="N28" s="8"/>
    </row>
    <row r="29" spans="1:14" ht="15.4" customHeight="1" thickBot="1" x14ac:dyDescent="0.25">
      <c r="A29" s="12" t="s">
        <v>98</v>
      </c>
      <c r="B29" s="6" t="s">
        <v>99</v>
      </c>
      <c r="C29" s="6" t="s">
        <v>100</v>
      </c>
      <c r="D29" s="71" t="s">
        <v>101</v>
      </c>
      <c r="E29" s="71"/>
      <c r="F29" s="71"/>
      <c r="G29" s="71"/>
      <c r="H29" s="71"/>
      <c r="I29" s="71"/>
      <c r="J29" s="71"/>
      <c r="K29" s="19">
        <f>ROUND(2,2)</f>
        <v>2</v>
      </c>
      <c r="L29" s="20">
        <f>ROUND(67.049*(1+M2/100),2)</f>
        <v>69.06</v>
      </c>
      <c r="M29" s="20">
        <f t="shared" si="0"/>
        <v>138.12</v>
      </c>
      <c r="N29" s="8"/>
    </row>
    <row r="30" spans="1:14" ht="15.4" customHeight="1" thickBot="1" x14ac:dyDescent="0.25">
      <c r="A30" s="12" t="s">
        <v>102</v>
      </c>
      <c r="B30" s="6" t="s">
        <v>103</v>
      </c>
      <c r="C30" s="6" t="s">
        <v>104</v>
      </c>
      <c r="D30" s="71" t="s">
        <v>105</v>
      </c>
      <c r="E30" s="71"/>
      <c r="F30" s="71"/>
      <c r="G30" s="71"/>
      <c r="H30" s="71"/>
      <c r="I30" s="71"/>
      <c r="J30" s="71"/>
      <c r="K30" s="19">
        <f>ROUND(1,2)</f>
        <v>1</v>
      </c>
      <c r="L30" s="20">
        <f>ROUND(52.951*(1+M2/100),2)</f>
        <v>54.54</v>
      </c>
      <c r="M30" s="20">
        <f t="shared" si="0"/>
        <v>54.54</v>
      </c>
      <c r="N30" s="8"/>
    </row>
    <row r="31" spans="1:14" ht="21.4" customHeight="1" thickBot="1" x14ac:dyDescent="0.25">
      <c r="A31" s="12" t="s">
        <v>106</v>
      </c>
      <c r="B31" s="6" t="s">
        <v>107</v>
      </c>
      <c r="C31" s="6" t="s">
        <v>108</v>
      </c>
      <c r="D31" s="71" t="s">
        <v>109</v>
      </c>
      <c r="E31" s="71"/>
      <c r="F31" s="71"/>
      <c r="G31" s="71"/>
      <c r="H31" s="71"/>
      <c r="I31" s="71"/>
      <c r="J31" s="71"/>
      <c r="K31" s="19">
        <f>ROUND(1,2)</f>
        <v>1</v>
      </c>
      <c r="L31" s="20">
        <f>ROUND(52.951*(1+M2/100),2)</f>
        <v>54.54</v>
      </c>
      <c r="M31" s="20">
        <f t="shared" si="0"/>
        <v>54.54</v>
      </c>
      <c r="N31" s="8"/>
    </row>
    <row r="32" spans="1:14" ht="76.900000000000006" customHeight="1" thickBot="1" x14ac:dyDescent="0.25">
      <c r="A32" s="12" t="s">
        <v>110</v>
      </c>
      <c r="B32" s="6" t="s">
        <v>111</v>
      </c>
      <c r="C32" s="6" t="s">
        <v>112</v>
      </c>
      <c r="D32" s="71" t="s">
        <v>113</v>
      </c>
      <c r="E32" s="71"/>
      <c r="F32" s="71"/>
      <c r="G32" s="71"/>
      <c r="H32" s="71"/>
      <c r="I32" s="71"/>
      <c r="J32" s="71"/>
      <c r="K32" s="19">
        <f>ROUND(2,2)</f>
        <v>2</v>
      </c>
      <c r="L32" s="20">
        <f>ROUND(169.466*(1+M2/100),2)</f>
        <v>174.55</v>
      </c>
      <c r="M32" s="20">
        <f t="shared" si="0"/>
        <v>349.1</v>
      </c>
      <c r="N32" s="8"/>
    </row>
    <row r="33" spans="1:14" ht="15.4" customHeight="1" thickBot="1" x14ac:dyDescent="0.25">
      <c r="A33" s="12" t="s">
        <v>114</v>
      </c>
      <c r="B33" s="6" t="s">
        <v>115</v>
      </c>
      <c r="C33" s="6" t="s">
        <v>116</v>
      </c>
      <c r="D33" s="71" t="s">
        <v>117</v>
      </c>
      <c r="E33" s="71"/>
      <c r="F33" s="71"/>
      <c r="G33" s="71"/>
      <c r="H33" s="71"/>
      <c r="I33" s="71"/>
      <c r="J33" s="71"/>
      <c r="K33" s="19">
        <f>ROUND(2,2)</f>
        <v>2</v>
      </c>
      <c r="L33" s="20">
        <f>ROUND(28.243*(1+M2/100),2)</f>
        <v>29.09</v>
      </c>
      <c r="M33" s="20">
        <f t="shared" si="0"/>
        <v>58.18</v>
      </c>
      <c r="N33" s="8"/>
    </row>
    <row r="34" spans="1:14" ht="15.4" customHeight="1" thickBot="1" x14ac:dyDescent="0.25">
      <c r="A34" s="12" t="s">
        <v>118</v>
      </c>
      <c r="B34" s="6" t="s">
        <v>119</v>
      </c>
      <c r="C34" s="6" t="s">
        <v>120</v>
      </c>
      <c r="D34" s="71" t="s">
        <v>121</v>
      </c>
      <c r="E34" s="71"/>
      <c r="F34" s="71"/>
      <c r="G34" s="71"/>
      <c r="H34" s="71"/>
      <c r="I34" s="71"/>
      <c r="J34" s="71"/>
      <c r="K34" s="19">
        <f>ROUND(3,2)</f>
        <v>3</v>
      </c>
      <c r="L34" s="20">
        <f>ROUND(397.69*(1+M2/100),2)</f>
        <v>409.62</v>
      </c>
      <c r="M34" s="20">
        <f t="shared" si="0"/>
        <v>1228.8599999999999</v>
      </c>
      <c r="N34" s="8"/>
    </row>
    <row r="35" spans="1:14" ht="15.4" customHeight="1" thickBot="1" x14ac:dyDescent="0.25">
      <c r="A35" s="12" t="s">
        <v>122</v>
      </c>
      <c r="B35" s="6" t="s">
        <v>123</v>
      </c>
      <c r="C35" s="6" t="s">
        <v>124</v>
      </c>
      <c r="D35" s="71" t="s">
        <v>125</v>
      </c>
      <c r="E35" s="71"/>
      <c r="F35" s="71"/>
      <c r="G35" s="71"/>
      <c r="H35" s="71"/>
      <c r="I35" s="71"/>
      <c r="J35" s="71"/>
      <c r="K35" s="19">
        <f>ROUND(16,2)</f>
        <v>16</v>
      </c>
      <c r="L35" s="20">
        <f>ROUND(164.18*(1+M2/100),2)</f>
        <v>169.11</v>
      </c>
      <c r="M35" s="20">
        <f t="shared" si="0"/>
        <v>2705.76</v>
      </c>
      <c r="N35" s="8"/>
    </row>
    <row r="36" spans="1:14" ht="15.4" customHeight="1" thickBot="1" x14ac:dyDescent="0.25">
      <c r="A36" s="12" t="s">
        <v>126</v>
      </c>
      <c r="B36" s="6" t="s">
        <v>127</v>
      </c>
      <c r="C36" s="6" t="s">
        <v>128</v>
      </c>
      <c r="D36" s="71" t="s">
        <v>129</v>
      </c>
      <c r="E36" s="71"/>
      <c r="F36" s="71"/>
      <c r="G36" s="71"/>
      <c r="H36" s="71"/>
      <c r="I36" s="71"/>
      <c r="J36" s="71"/>
      <c r="K36" s="19">
        <f>ROUND(1,2)</f>
        <v>1</v>
      </c>
      <c r="L36" s="20">
        <f>ROUND(369.07*(1+M2/100),2)</f>
        <v>380.14</v>
      </c>
      <c r="M36" s="20">
        <f t="shared" si="0"/>
        <v>380.14</v>
      </c>
      <c r="N36" s="8"/>
    </row>
    <row r="37" spans="1:14" ht="15.4" customHeight="1" thickBot="1" x14ac:dyDescent="0.25">
      <c r="A37" s="12" t="s">
        <v>130</v>
      </c>
      <c r="B37" s="6" t="s">
        <v>131</v>
      </c>
      <c r="C37" s="6" t="s">
        <v>132</v>
      </c>
      <c r="D37" s="71" t="s">
        <v>133</v>
      </c>
      <c r="E37" s="71"/>
      <c r="F37" s="71"/>
      <c r="G37" s="71"/>
      <c r="H37" s="71"/>
      <c r="I37" s="71"/>
      <c r="J37" s="71"/>
      <c r="K37" s="19">
        <f>SUM(K39:K39)</f>
        <v>1</v>
      </c>
      <c r="L37" s="20">
        <f>ROUND(230.61*(1+M2/100),2)</f>
        <v>237.53</v>
      </c>
      <c r="M37" s="20">
        <f t="shared" si="0"/>
        <v>237.53</v>
      </c>
      <c r="N37" s="8"/>
    </row>
    <row r="38" spans="1:14" ht="15.2" customHeight="1" thickBot="1" x14ac:dyDescent="0.25">
      <c r="A38" s="8"/>
      <c r="B38" s="8"/>
      <c r="C38" s="8"/>
      <c r="D38" s="8"/>
      <c r="E38" s="21"/>
      <c r="F38" s="23" t="s">
        <v>134</v>
      </c>
      <c r="G38" s="23" t="s">
        <v>135</v>
      </c>
      <c r="H38" s="23" t="s">
        <v>136</v>
      </c>
      <c r="I38" s="23" t="s">
        <v>137</v>
      </c>
      <c r="J38" s="23" t="s">
        <v>138</v>
      </c>
      <c r="K38" s="23" t="s">
        <v>139</v>
      </c>
      <c r="L38" s="8"/>
      <c r="M38" s="8"/>
      <c r="N38" s="8"/>
    </row>
    <row r="39" spans="1:14" ht="15.2" customHeight="1" thickBot="1" x14ac:dyDescent="0.25">
      <c r="A39" s="8"/>
      <c r="B39" s="8"/>
      <c r="C39" s="8"/>
      <c r="D39" s="24"/>
      <c r="E39" s="25" t="s">
        <v>140</v>
      </c>
      <c r="F39" s="26">
        <v>1</v>
      </c>
      <c r="G39" s="27"/>
      <c r="H39" s="27"/>
      <c r="I39" s="27"/>
      <c r="J39" s="29">
        <f>ROUND(F39,3)</f>
        <v>1</v>
      </c>
      <c r="K39" s="31">
        <f>SUM(J39:J39)</f>
        <v>1</v>
      </c>
      <c r="L39" s="8"/>
      <c r="M39" s="8"/>
      <c r="N39" s="8"/>
    </row>
    <row r="40" spans="1:14" ht="15.4" customHeight="1" thickBot="1" x14ac:dyDescent="0.25">
      <c r="A40" s="12" t="s">
        <v>141</v>
      </c>
      <c r="B40" s="6" t="s">
        <v>142</v>
      </c>
      <c r="C40" s="6" t="s">
        <v>143</v>
      </c>
      <c r="D40" s="71" t="s">
        <v>144</v>
      </c>
      <c r="E40" s="71"/>
      <c r="F40" s="71"/>
      <c r="G40" s="71"/>
      <c r="H40" s="71"/>
      <c r="I40" s="71"/>
      <c r="J40" s="71"/>
      <c r="K40" s="19">
        <f>ROUND(1,2)</f>
        <v>1</v>
      </c>
      <c r="L40" s="20">
        <f>ROUND(1180.36*(1+M2/100),2)</f>
        <v>1215.77</v>
      </c>
      <c r="M40" s="20">
        <f t="shared" ref="M40:M47" si="1">ROUND(K40*L40,2)</f>
        <v>1215.77</v>
      </c>
      <c r="N40" s="8"/>
    </row>
    <row r="41" spans="1:14" ht="15.4" customHeight="1" thickBot="1" x14ac:dyDescent="0.25">
      <c r="A41" s="12" t="s">
        <v>145</v>
      </c>
      <c r="B41" s="6" t="s">
        <v>146</v>
      </c>
      <c r="C41" s="6" t="s">
        <v>147</v>
      </c>
      <c r="D41" s="71" t="s">
        <v>148</v>
      </c>
      <c r="E41" s="71"/>
      <c r="F41" s="71"/>
      <c r="G41" s="71"/>
      <c r="H41" s="71"/>
      <c r="I41" s="71"/>
      <c r="J41" s="71"/>
      <c r="K41" s="19">
        <f>ROUND(1,2)</f>
        <v>1</v>
      </c>
      <c r="L41" s="20">
        <f>ROUND(241.73*(1+M2/100),2)</f>
        <v>248.98</v>
      </c>
      <c r="M41" s="20">
        <f t="shared" si="1"/>
        <v>248.98</v>
      </c>
      <c r="N41" s="8"/>
    </row>
    <row r="42" spans="1:14" ht="21.4" customHeight="1" thickBot="1" x14ac:dyDescent="0.25">
      <c r="A42" s="12" t="s">
        <v>149</v>
      </c>
      <c r="B42" s="6" t="s">
        <v>150</v>
      </c>
      <c r="C42" s="6" t="s">
        <v>151</v>
      </c>
      <c r="D42" s="71" t="s">
        <v>152</v>
      </c>
      <c r="E42" s="71"/>
      <c r="F42" s="71"/>
      <c r="G42" s="71"/>
      <c r="H42" s="71"/>
      <c r="I42" s="71"/>
      <c r="J42" s="71"/>
      <c r="K42" s="19">
        <f>ROUND(1,2)</f>
        <v>1</v>
      </c>
      <c r="L42" s="20">
        <f>ROUND(35.58*(1+M2/100),2)</f>
        <v>36.65</v>
      </c>
      <c r="M42" s="20">
        <f t="shared" si="1"/>
        <v>36.65</v>
      </c>
      <c r="N42" s="8"/>
    </row>
    <row r="43" spans="1:14" ht="67.5" customHeight="1" thickBot="1" x14ac:dyDescent="0.25">
      <c r="A43" s="12" t="s">
        <v>153</v>
      </c>
      <c r="B43" s="6" t="s">
        <v>154</v>
      </c>
      <c r="C43" s="6" t="s">
        <v>155</v>
      </c>
      <c r="D43" s="71" t="s">
        <v>156</v>
      </c>
      <c r="E43" s="71"/>
      <c r="F43" s="71"/>
      <c r="G43" s="71"/>
      <c r="H43" s="71"/>
      <c r="I43" s="71"/>
      <c r="J43" s="71"/>
      <c r="K43" s="19">
        <f>ROUND(30,2)</f>
        <v>30</v>
      </c>
      <c r="L43" s="20">
        <f>ROUND(88*(1+M2/100),2)</f>
        <v>90.64</v>
      </c>
      <c r="M43" s="20">
        <f t="shared" si="1"/>
        <v>2719.2</v>
      </c>
      <c r="N43" s="8"/>
    </row>
    <row r="44" spans="1:14" ht="21.4" customHeight="1" thickBot="1" x14ac:dyDescent="0.25">
      <c r="A44" s="12" t="s">
        <v>157</v>
      </c>
      <c r="B44" s="6" t="s">
        <v>158</v>
      </c>
      <c r="C44" s="6" t="s">
        <v>159</v>
      </c>
      <c r="D44" s="71" t="s">
        <v>160</v>
      </c>
      <c r="E44" s="71"/>
      <c r="F44" s="71"/>
      <c r="G44" s="71"/>
      <c r="H44" s="71"/>
      <c r="I44" s="71"/>
      <c r="J44" s="71"/>
      <c r="K44" s="19">
        <f>ROUND(1,2)</f>
        <v>1</v>
      </c>
      <c r="L44" s="20">
        <f>ROUND(703.999*(1+M2/100),2)</f>
        <v>725.12</v>
      </c>
      <c r="M44" s="20">
        <f t="shared" si="1"/>
        <v>725.12</v>
      </c>
      <c r="N44" s="8"/>
    </row>
    <row r="45" spans="1:14" ht="15.4" customHeight="1" thickBot="1" x14ac:dyDescent="0.25">
      <c r="A45" s="12" t="s">
        <v>161</v>
      </c>
      <c r="B45" s="6" t="s">
        <v>162</v>
      </c>
      <c r="C45" s="6" t="s">
        <v>163</v>
      </c>
      <c r="D45" s="71" t="s">
        <v>164</v>
      </c>
      <c r="E45" s="71"/>
      <c r="F45" s="71"/>
      <c r="G45" s="71"/>
      <c r="H45" s="71"/>
      <c r="I45" s="71"/>
      <c r="J45" s="71"/>
      <c r="K45" s="19">
        <f>ROUND(1,2)</f>
        <v>1</v>
      </c>
      <c r="L45" s="20">
        <f>ROUND(427.184*(1+M2/100),2)</f>
        <v>440</v>
      </c>
      <c r="M45" s="20">
        <f t="shared" si="1"/>
        <v>440</v>
      </c>
      <c r="N45" s="8"/>
    </row>
    <row r="46" spans="1:14" ht="15.4" customHeight="1" thickBot="1" x14ac:dyDescent="0.25">
      <c r="A46" s="12" t="s">
        <v>165</v>
      </c>
      <c r="B46" s="6" t="s">
        <v>166</v>
      </c>
      <c r="C46" s="6" t="s">
        <v>167</v>
      </c>
      <c r="D46" s="71" t="s">
        <v>168</v>
      </c>
      <c r="E46" s="71"/>
      <c r="F46" s="71"/>
      <c r="G46" s="71"/>
      <c r="H46" s="71"/>
      <c r="I46" s="71"/>
      <c r="J46" s="71"/>
      <c r="K46" s="19">
        <f>ROUND(1,2)</f>
        <v>1</v>
      </c>
      <c r="L46" s="20">
        <f>ROUND(381.21*(1+M2/100),2)</f>
        <v>392.65</v>
      </c>
      <c r="M46" s="20">
        <f t="shared" si="1"/>
        <v>392.65</v>
      </c>
      <c r="N46" s="8"/>
    </row>
    <row r="47" spans="1:14" ht="15.4" customHeight="1" thickBot="1" x14ac:dyDescent="0.25">
      <c r="A47" s="12" t="s">
        <v>169</v>
      </c>
      <c r="B47" s="6" t="s">
        <v>170</v>
      </c>
      <c r="C47" s="6" t="s">
        <v>171</v>
      </c>
      <c r="D47" s="71" t="s">
        <v>172</v>
      </c>
      <c r="E47" s="71"/>
      <c r="F47" s="71"/>
      <c r="G47" s="71"/>
      <c r="H47" s="71"/>
      <c r="I47" s="71"/>
      <c r="J47" s="71"/>
      <c r="K47" s="19">
        <f>SUM(K49:K49)</f>
        <v>2</v>
      </c>
      <c r="L47" s="20">
        <f>ROUND(140.95*(1+M2/100),2)</f>
        <v>145.18</v>
      </c>
      <c r="M47" s="20">
        <f t="shared" si="1"/>
        <v>290.36</v>
      </c>
      <c r="N47" s="8"/>
    </row>
    <row r="48" spans="1:14" ht="15.2" customHeight="1" thickBot="1" x14ac:dyDescent="0.25">
      <c r="A48" s="8"/>
      <c r="B48" s="8"/>
      <c r="C48" s="8"/>
      <c r="D48" s="8"/>
      <c r="E48" s="21"/>
      <c r="F48" s="23" t="s">
        <v>173</v>
      </c>
      <c r="G48" s="23" t="s">
        <v>174</v>
      </c>
      <c r="H48" s="23" t="s">
        <v>175</v>
      </c>
      <c r="I48" s="23" t="s">
        <v>176</v>
      </c>
      <c r="J48" s="23" t="s">
        <v>177</v>
      </c>
      <c r="K48" s="23" t="s">
        <v>178</v>
      </c>
      <c r="L48" s="8"/>
      <c r="M48" s="8"/>
      <c r="N48" s="8"/>
    </row>
    <row r="49" spans="1:14" ht="15.2" customHeight="1" thickBot="1" x14ac:dyDescent="0.25">
      <c r="A49" s="8"/>
      <c r="B49" s="8"/>
      <c r="C49" s="8"/>
      <c r="D49" s="24"/>
      <c r="E49" s="25" t="s">
        <v>179</v>
      </c>
      <c r="F49" s="26">
        <v>2</v>
      </c>
      <c r="G49" s="27"/>
      <c r="H49" s="27"/>
      <c r="I49" s="27"/>
      <c r="J49" s="29">
        <f>ROUND(F49,3)</f>
        <v>2</v>
      </c>
      <c r="K49" s="31">
        <f>SUM(J49:J49)</f>
        <v>2</v>
      </c>
      <c r="L49" s="8"/>
      <c r="M49" s="8"/>
      <c r="N49" s="8"/>
    </row>
    <row r="50" spans="1:14" ht="21.4" customHeight="1" thickBot="1" x14ac:dyDescent="0.25">
      <c r="A50" s="12" t="s">
        <v>180</v>
      </c>
      <c r="B50" s="6" t="s">
        <v>181</v>
      </c>
      <c r="C50" s="6" t="s">
        <v>182</v>
      </c>
      <c r="D50" s="71" t="s">
        <v>183</v>
      </c>
      <c r="E50" s="71"/>
      <c r="F50" s="71"/>
      <c r="G50" s="71"/>
      <c r="H50" s="71"/>
      <c r="I50" s="71"/>
      <c r="J50" s="71"/>
      <c r="K50" s="19">
        <f>ROUND(2,2)</f>
        <v>2</v>
      </c>
      <c r="L50" s="20">
        <f>ROUND(35.94*(1+M2/100),2)</f>
        <v>37.020000000000003</v>
      </c>
      <c r="M50" s="20">
        <f>ROUND(K50*L50,2)</f>
        <v>74.040000000000006</v>
      </c>
      <c r="N50" s="8"/>
    </row>
    <row r="51" spans="1:14" ht="15.4" customHeight="1" thickBot="1" x14ac:dyDescent="0.25">
      <c r="A51" s="12" t="s">
        <v>184</v>
      </c>
      <c r="B51" s="6" t="s">
        <v>185</v>
      </c>
      <c r="C51" s="6" t="s">
        <v>186</v>
      </c>
      <c r="D51" s="71" t="s">
        <v>187</v>
      </c>
      <c r="E51" s="71"/>
      <c r="F51" s="71"/>
      <c r="G51" s="71"/>
      <c r="H51" s="71"/>
      <c r="I51" s="71"/>
      <c r="J51" s="71"/>
      <c r="K51" s="19">
        <f>ROUND(4,2)</f>
        <v>4</v>
      </c>
      <c r="L51" s="20">
        <f>ROUND(38.19*(1+M2/100),2)</f>
        <v>39.340000000000003</v>
      </c>
      <c r="M51" s="20">
        <f>ROUND(K51*L51,2)</f>
        <v>157.36000000000001</v>
      </c>
      <c r="N51" s="8"/>
    </row>
    <row r="52" spans="1:14" ht="21.4" customHeight="1" thickBot="1" x14ac:dyDescent="0.25">
      <c r="A52" s="12" t="s">
        <v>188</v>
      </c>
      <c r="B52" s="6" t="s">
        <v>189</v>
      </c>
      <c r="C52" s="6" t="s">
        <v>190</v>
      </c>
      <c r="D52" s="71" t="s">
        <v>191</v>
      </c>
      <c r="E52" s="71"/>
      <c r="F52" s="71"/>
      <c r="G52" s="71"/>
      <c r="H52" s="71"/>
      <c r="I52" s="71"/>
      <c r="J52" s="71"/>
      <c r="K52" s="19">
        <f>SUM(K54:K54)</f>
        <v>2</v>
      </c>
      <c r="L52" s="20">
        <f>ROUND(53.13*(1+M2/100),2)</f>
        <v>54.72</v>
      </c>
      <c r="M52" s="20">
        <f>ROUND(K52*L52,2)</f>
        <v>109.44</v>
      </c>
      <c r="N52" s="8"/>
    </row>
    <row r="53" spans="1:14" ht="15.2" customHeight="1" thickBot="1" x14ac:dyDescent="0.25">
      <c r="A53" s="8"/>
      <c r="B53" s="8"/>
      <c r="C53" s="8"/>
      <c r="D53" s="8"/>
      <c r="E53" s="21"/>
      <c r="F53" s="23" t="s">
        <v>192</v>
      </c>
      <c r="G53" s="23" t="s">
        <v>193</v>
      </c>
      <c r="H53" s="23" t="s">
        <v>194</v>
      </c>
      <c r="I53" s="23" t="s">
        <v>195</v>
      </c>
      <c r="J53" s="23" t="s">
        <v>196</v>
      </c>
      <c r="K53" s="23" t="s">
        <v>197</v>
      </c>
      <c r="L53" s="8"/>
      <c r="M53" s="8"/>
      <c r="N53" s="8"/>
    </row>
    <row r="54" spans="1:14" ht="15.2" customHeight="1" thickBot="1" x14ac:dyDescent="0.25">
      <c r="A54" s="8"/>
      <c r="B54" s="8"/>
      <c r="C54" s="8"/>
      <c r="D54" s="24"/>
      <c r="E54" s="25" t="s">
        <v>198</v>
      </c>
      <c r="F54" s="26">
        <v>2</v>
      </c>
      <c r="G54" s="27"/>
      <c r="H54" s="27"/>
      <c r="I54" s="27"/>
      <c r="J54" s="29">
        <f>ROUND(F54,3)</f>
        <v>2</v>
      </c>
      <c r="K54" s="31">
        <f>SUM(J54:J54)</f>
        <v>2</v>
      </c>
      <c r="L54" s="8"/>
      <c r="M54" s="8"/>
      <c r="N54" s="8"/>
    </row>
    <row r="55" spans="1:14" ht="15.4" customHeight="1" thickBot="1" x14ac:dyDescent="0.25">
      <c r="A55" s="12" t="s">
        <v>199</v>
      </c>
      <c r="B55" s="6" t="s">
        <v>200</v>
      </c>
      <c r="C55" s="6" t="s">
        <v>201</v>
      </c>
      <c r="D55" s="71" t="s">
        <v>202</v>
      </c>
      <c r="E55" s="71"/>
      <c r="F55" s="71"/>
      <c r="G55" s="71"/>
      <c r="H55" s="71"/>
      <c r="I55" s="71"/>
      <c r="J55" s="71"/>
      <c r="K55" s="19">
        <f>ROUND(1,2)</f>
        <v>1</v>
      </c>
      <c r="L55" s="20">
        <f>ROUND(726.213*(1+M2/100),2)</f>
        <v>748</v>
      </c>
      <c r="M55" s="20">
        <f t="shared" ref="M55:M60" si="2">ROUND(K55*L55,2)</f>
        <v>748</v>
      </c>
      <c r="N55" s="8"/>
    </row>
    <row r="56" spans="1:14" ht="15.4" customHeight="1" thickBot="1" x14ac:dyDescent="0.25">
      <c r="A56" s="12" t="s">
        <v>203</v>
      </c>
      <c r="B56" s="6" t="s">
        <v>204</v>
      </c>
      <c r="C56" s="6" t="s">
        <v>205</v>
      </c>
      <c r="D56" s="71" t="s">
        <v>206</v>
      </c>
      <c r="E56" s="71"/>
      <c r="F56" s="71"/>
      <c r="G56" s="71"/>
      <c r="H56" s="71"/>
      <c r="I56" s="71"/>
      <c r="J56" s="71"/>
      <c r="K56" s="19">
        <f>ROUND(2,2)</f>
        <v>2</v>
      </c>
      <c r="L56" s="20">
        <f>ROUND(238.85*(1+M2/100),2)</f>
        <v>246.02</v>
      </c>
      <c r="M56" s="20">
        <f t="shared" si="2"/>
        <v>492.04</v>
      </c>
      <c r="N56" s="8"/>
    </row>
    <row r="57" spans="1:14" ht="21.4" customHeight="1" thickBot="1" x14ac:dyDescent="0.25">
      <c r="A57" s="12" t="s">
        <v>207</v>
      </c>
      <c r="B57" s="6" t="s">
        <v>208</v>
      </c>
      <c r="C57" s="6" t="s">
        <v>209</v>
      </c>
      <c r="D57" s="71" t="s">
        <v>210</v>
      </c>
      <c r="E57" s="71"/>
      <c r="F57" s="71"/>
      <c r="G57" s="71"/>
      <c r="H57" s="71"/>
      <c r="I57" s="71"/>
      <c r="J57" s="71"/>
      <c r="K57" s="19">
        <f>ROUND(1,2)</f>
        <v>1</v>
      </c>
      <c r="L57" s="20">
        <f>ROUND(16.71*(1+M2/100),2)</f>
        <v>17.21</v>
      </c>
      <c r="M57" s="20">
        <f t="shared" si="2"/>
        <v>17.21</v>
      </c>
      <c r="N57" s="8"/>
    </row>
    <row r="58" spans="1:14" ht="15.4" customHeight="1" thickBot="1" x14ac:dyDescent="0.25">
      <c r="A58" s="12" t="s">
        <v>211</v>
      </c>
      <c r="B58" s="6" t="s">
        <v>212</v>
      </c>
      <c r="C58" s="6" t="s">
        <v>213</v>
      </c>
      <c r="D58" s="71" t="s">
        <v>214</v>
      </c>
      <c r="E58" s="71"/>
      <c r="F58" s="71"/>
      <c r="G58" s="71"/>
      <c r="H58" s="71"/>
      <c r="I58" s="71"/>
      <c r="J58" s="71"/>
      <c r="K58" s="19">
        <f>ROUND(2,2)</f>
        <v>2</v>
      </c>
      <c r="L58" s="20">
        <f>ROUND(190.82*(1+M2/100),2)</f>
        <v>196.54</v>
      </c>
      <c r="M58" s="20">
        <f t="shared" si="2"/>
        <v>393.08</v>
      </c>
      <c r="N58" s="8"/>
    </row>
    <row r="59" spans="1:14" ht="15.4" customHeight="1" thickBot="1" x14ac:dyDescent="0.25">
      <c r="A59" s="12" t="s">
        <v>215</v>
      </c>
      <c r="B59" s="6" t="s">
        <v>216</v>
      </c>
      <c r="C59" s="6" t="s">
        <v>217</v>
      </c>
      <c r="D59" s="71" t="s">
        <v>218</v>
      </c>
      <c r="E59" s="71"/>
      <c r="F59" s="71"/>
      <c r="G59" s="71"/>
      <c r="H59" s="71"/>
      <c r="I59" s="71"/>
      <c r="J59" s="71"/>
      <c r="K59" s="19">
        <f>ROUND(2,2)</f>
        <v>2</v>
      </c>
      <c r="L59" s="20">
        <f>ROUND(141.82*(1+M2/100),2)</f>
        <v>146.07</v>
      </c>
      <c r="M59" s="20">
        <f t="shared" si="2"/>
        <v>292.14</v>
      </c>
      <c r="N59" s="8"/>
    </row>
    <row r="60" spans="1:14" ht="15.4" customHeight="1" thickBot="1" x14ac:dyDescent="0.25">
      <c r="A60" s="12" t="s">
        <v>219</v>
      </c>
      <c r="B60" s="6" t="s">
        <v>220</v>
      </c>
      <c r="C60" s="6" t="s">
        <v>221</v>
      </c>
      <c r="D60" s="71" t="s">
        <v>222</v>
      </c>
      <c r="E60" s="71"/>
      <c r="F60" s="71"/>
      <c r="G60" s="71"/>
      <c r="H60" s="71"/>
      <c r="I60" s="71"/>
      <c r="J60" s="71"/>
      <c r="K60" s="19">
        <f>SUM(K62:K62)</f>
        <v>2</v>
      </c>
      <c r="L60" s="20">
        <f>ROUND(56.1*(1+M2/100),2)</f>
        <v>57.78</v>
      </c>
      <c r="M60" s="20">
        <f t="shared" si="2"/>
        <v>115.56</v>
      </c>
      <c r="N60" s="8"/>
    </row>
    <row r="61" spans="1:14" ht="15.2" customHeight="1" thickBot="1" x14ac:dyDescent="0.25">
      <c r="A61" s="8"/>
      <c r="B61" s="8"/>
      <c r="C61" s="8"/>
      <c r="D61" s="8"/>
      <c r="E61" s="21"/>
      <c r="F61" s="23" t="s">
        <v>223</v>
      </c>
      <c r="G61" s="23" t="s">
        <v>224</v>
      </c>
      <c r="H61" s="23" t="s">
        <v>225</v>
      </c>
      <c r="I61" s="23" t="s">
        <v>226</v>
      </c>
      <c r="J61" s="23" t="s">
        <v>227</v>
      </c>
      <c r="K61" s="23" t="s">
        <v>228</v>
      </c>
      <c r="L61" s="8"/>
      <c r="M61" s="8"/>
      <c r="N61" s="8"/>
    </row>
    <row r="62" spans="1:14" ht="15.2" customHeight="1" thickBot="1" x14ac:dyDescent="0.25">
      <c r="A62" s="8"/>
      <c r="B62" s="8"/>
      <c r="C62" s="8"/>
      <c r="D62" s="24"/>
      <c r="E62" s="25" t="s">
        <v>229</v>
      </c>
      <c r="F62" s="26">
        <v>2</v>
      </c>
      <c r="G62" s="27">
        <v>1</v>
      </c>
      <c r="H62" s="27"/>
      <c r="I62" s="27"/>
      <c r="J62" s="29">
        <f>ROUND(F62*G62,3)</f>
        <v>2</v>
      </c>
      <c r="K62" s="31">
        <f>SUM(J62:J62)</f>
        <v>2</v>
      </c>
      <c r="L62" s="8"/>
      <c r="M62" s="8"/>
      <c r="N62" s="8"/>
    </row>
    <row r="63" spans="1:14" ht="15.4" customHeight="1" thickBot="1" x14ac:dyDescent="0.25">
      <c r="A63" s="33"/>
      <c r="B63" s="33"/>
      <c r="C63" s="33"/>
      <c r="D63" s="43" t="s">
        <v>230</v>
      </c>
      <c r="E63" s="44"/>
      <c r="F63" s="44"/>
      <c r="G63" s="44"/>
      <c r="H63" s="44"/>
      <c r="I63" s="44"/>
      <c r="J63" s="44"/>
      <c r="K63" s="44"/>
      <c r="L63" s="45">
        <f>M23+M26+M27+M28+M29+M30+M31+M32+M33+M34+M35+M36+M37+M40+M41+M42+M43+M44+M45+M46+M47+M50+M51+M52+M55+M56+M57+M58+M59+M60</f>
        <v>36326.339999999997</v>
      </c>
      <c r="M63" s="45">
        <f>ROUND(L63,2)</f>
        <v>36326.339999999997</v>
      </c>
      <c r="N63" s="8"/>
    </row>
    <row r="64" spans="1:14" ht="15.4" customHeight="1" thickBot="1" x14ac:dyDescent="0.25">
      <c r="A64" s="46" t="s">
        <v>231</v>
      </c>
      <c r="B64" s="46" t="s">
        <v>232</v>
      </c>
      <c r="C64" s="47"/>
      <c r="D64" s="74" t="s">
        <v>233</v>
      </c>
      <c r="E64" s="74"/>
      <c r="F64" s="74"/>
      <c r="G64" s="74"/>
      <c r="H64" s="74"/>
      <c r="I64" s="74"/>
      <c r="J64" s="74"/>
      <c r="K64" s="47"/>
      <c r="L64" s="48">
        <f>L107</f>
        <v>3464.92</v>
      </c>
      <c r="M64" s="48">
        <f>ROUND(L64,2)</f>
        <v>3464.92</v>
      </c>
      <c r="N64" s="8"/>
    </row>
    <row r="65" spans="1:14" ht="15.4" customHeight="1" thickBot="1" x14ac:dyDescent="0.25">
      <c r="A65" s="49" t="s">
        <v>234</v>
      </c>
      <c r="B65" s="49" t="s">
        <v>235</v>
      </c>
      <c r="C65" s="50"/>
      <c r="D65" s="75" t="s">
        <v>236</v>
      </c>
      <c r="E65" s="75"/>
      <c r="F65" s="75"/>
      <c r="G65" s="75"/>
      <c r="H65" s="75"/>
      <c r="I65" s="75"/>
      <c r="J65" s="75"/>
      <c r="K65" s="50"/>
      <c r="L65" s="51">
        <f>L73</f>
        <v>1077.68</v>
      </c>
      <c r="M65" s="51">
        <f>ROUND(L65,2)</f>
        <v>1077.68</v>
      </c>
      <c r="N65" s="8"/>
    </row>
    <row r="66" spans="1:14" ht="15.4" customHeight="1" thickBot="1" x14ac:dyDescent="0.25">
      <c r="A66" s="12" t="s">
        <v>237</v>
      </c>
      <c r="B66" s="6" t="s">
        <v>238</v>
      </c>
      <c r="C66" s="6" t="s">
        <v>239</v>
      </c>
      <c r="D66" s="71" t="s">
        <v>240</v>
      </c>
      <c r="E66" s="71"/>
      <c r="F66" s="71"/>
      <c r="G66" s="71"/>
      <c r="H66" s="71"/>
      <c r="I66" s="71"/>
      <c r="J66" s="71"/>
      <c r="K66" s="19">
        <f>ROUND(1,2)</f>
        <v>1</v>
      </c>
      <c r="L66" s="20">
        <f>ROUND(17.88*(1+M2/100),2)</f>
        <v>18.420000000000002</v>
      </c>
      <c r="M66" s="20">
        <f>ROUND(K66*L66,2)</f>
        <v>18.420000000000002</v>
      </c>
      <c r="N66" s="8"/>
    </row>
    <row r="67" spans="1:14" ht="15.4" customHeight="1" thickBot="1" x14ac:dyDescent="0.25">
      <c r="A67" s="12" t="s">
        <v>241</v>
      </c>
      <c r="B67" s="6" t="s">
        <v>242</v>
      </c>
      <c r="C67" s="6" t="s">
        <v>243</v>
      </c>
      <c r="D67" s="71" t="s">
        <v>244</v>
      </c>
      <c r="E67" s="71"/>
      <c r="F67" s="71"/>
      <c r="G67" s="71"/>
      <c r="H67" s="71"/>
      <c r="I67" s="71"/>
      <c r="J67" s="71"/>
      <c r="K67" s="19">
        <f>ROUND(6,2)</f>
        <v>6</v>
      </c>
      <c r="L67" s="20">
        <f>ROUND(25.39*(1+M2/100),2)</f>
        <v>26.15</v>
      </c>
      <c r="M67" s="20">
        <f>ROUND(K67*L67,2)</f>
        <v>156.9</v>
      </c>
      <c r="N67" s="8"/>
    </row>
    <row r="68" spans="1:14" ht="15.4" customHeight="1" thickBot="1" x14ac:dyDescent="0.25">
      <c r="A68" s="12" t="s">
        <v>245</v>
      </c>
      <c r="B68" s="6" t="s">
        <v>246</v>
      </c>
      <c r="C68" s="6" t="s">
        <v>247</v>
      </c>
      <c r="D68" s="71" t="s">
        <v>248</v>
      </c>
      <c r="E68" s="71"/>
      <c r="F68" s="71"/>
      <c r="G68" s="71"/>
      <c r="H68" s="71"/>
      <c r="I68" s="71"/>
      <c r="J68" s="71"/>
      <c r="K68" s="19">
        <f>SUM(K70:K71)</f>
        <v>2</v>
      </c>
      <c r="L68" s="20">
        <f>ROUND(101.34*(1+M2/100),2)</f>
        <v>104.38</v>
      </c>
      <c r="M68" s="20">
        <f>ROUND(K68*L68,2)</f>
        <v>208.76</v>
      </c>
      <c r="N68" s="8"/>
    </row>
    <row r="69" spans="1:14" ht="15.2" customHeight="1" thickBot="1" x14ac:dyDescent="0.25">
      <c r="A69" s="8"/>
      <c r="B69" s="8"/>
      <c r="C69" s="8"/>
      <c r="D69" s="8"/>
      <c r="E69" s="21"/>
      <c r="F69" s="23" t="s">
        <v>249</v>
      </c>
      <c r="G69" s="23" t="s">
        <v>250</v>
      </c>
      <c r="H69" s="23" t="s">
        <v>251</v>
      </c>
      <c r="I69" s="23" t="s">
        <v>252</v>
      </c>
      <c r="J69" s="23" t="s">
        <v>253</v>
      </c>
      <c r="K69" s="23" t="s">
        <v>254</v>
      </c>
      <c r="L69" s="8"/>
      <c r="M69" s="8"/>
      <c r="N69" s="8"/>
    </row>
    <row r="70" spans="1:14" ht="21.4" customHeight="1" thickBot="1" x14ac:dyDescent="0.25">
      <c r="A70" s="8"/>
      <c r="B70" s="8"/>
      <c r="C70" s="8"/>
      <c r="D70" s="24"/>
      <c r="E70" s="25" t="s">
        <v>255</v>
      </c>
      <c r="F70" s="26">
        <v>1</v>
      </c>
      <c r="G70" s="27"/>
      <c r="H70" s="27"/>
      <c r="I70" s="27"/>
      <c r="J70" s="29">
        <f>ROUND(F70,3)</f>
        <v>1</v>
      </c>
      <c r="K70" s="32"/>
      <c r="L70" s="8"/>
      <c r="M70" s="8"/>
      <c r="N70" s="8"/>
    </row>
    <row r="71" spans="1:14" ht="15.2" customHeight="1" thickBot="1" x14ac:dyDescent="0.25">
      <c r="A71" s="8"/>
      <c r="B71" s="8"/>
      <c r="C71" s="8"/>
      <c r="D71" s="24"/>
      <c r="E71" s="6" t="s">
        <v>256</v>
      </c>
      <c r="F71" s="4">
        <v>1</v>
      </c>
      <c r="G71" s="19"/>
      <c r="H71" s="19"/>
      <c r="I71" s="19"/>
      <c r="J71" s="28">
        <f>ROUND(F71,3)</f>
        <v>1</v>
      </c>
      <c r="K71" s="30">
        <f>SUM(J70:J71)</f>
        <v>2</v>
      </c>
      <c r="L71" s="8"/>
      <c r="M71" s="8"/>
      <c r="N71" s="8"/>
    </row>
    <row r="72" spans="1:14" ht="15.4" customHeight="1" thickBot="1" x14ac:dyDescent="0.25">
      <c r="A72" s="12" t="s">
        <v>257</v>
      </c>
      <c r="B72" s="6" t="s">
        <v>258</v>
      </c>
      <c r="C72" s="6" t="s">
        <v>259</v>
      </c>
      <c r="D72" s="71" t="s">
        <v>260</v>
      </c>
      <c r="E72" s="71"/>
      <c r="F72" s="71"/>
      <c r="G72" s="71"/>
      <c r="H72" s="71"/>
      <c r="I72" s="71"/>
      <c r="J72" s="71"/>
      <c r="K72" s="19">
        <f>ROUND(4,2)</f>
        <v>4</v>
      </c>
      <c r="L72" s="20">
        <f>ROUND(168.35*(1+M2/100),2)</f>
        <v>173.4</v>
      </c>
      <c r="M72" s="20">
        <f>ROUND(K72*L72,2)</f>
        <v>693.6</v>
      </c>
      <c r="N72" s="8"/>
    </row>
    <row r="73" spans="1:14" ht="15.4" customHeight="1" thickBot="1" x14ac:dyDescent="0.25">
      <c r="A73" s="33"/>
      <c r="B73" s="33"/>
      <c r="C73" s="33"/>
      <c r="D73" s="52" t="s">
        <v>261</v>
      </c>
      <c r="E73" s="53"/>
      <c r="F73" s="53"/>
      <c r="G73" s="53"/>
      <c r="H73" s="53"/>
      <c r="I73" s="53"/>
      <c r="J73" s="53"/>
      <c r="K73" s="53"/>
      <c r="L73" s="54">
        <f>M66+M67+M68+M72</f>
        <v>1077.68</v>
      </c>
      <c r="M73" s="54">
        <f>ROUND(L73,2)</f>
        <v>1077.68</v>
      </c>
      <c r="N73" s="8"/>
    </row>
    <row r="74" spans="1:14" ht="15.4" customHeight="1" thickBot="1" x14ac:dyDescent="0.25">
      <c r="A74" s="55" t="s">
        <v>262</v>
      </c>
      <c r="B74" s="55" t="s">
        <v>263</v>
      </c>
      <c r="C74" s="56"/>
      <c r="D74" s="76" t="s">
        <v>264</v>
      </c>
      <c r="E74" s="76"/>
      <c r="F74" s="76"/>
      <c r="G74" s="76"/>
      <c r="H74" s="76"/>
      <c r="I74" s="76"/>
      <c r="J74" s="76"/>
      <c r="K74" s="56"/>
      <c r="L74" s="57">
        <f>L93</f>
        <v>1326.35</v>
      </c>
      <c r="M74" s="57">
        <f>ROUND(L74,2)</f>
        <v>1326.35</v>
      </c>
      <c r="N74" s="8"/>
    </row>
    <row r="75" spans="1:14" ht="15.4" customHeight="1" thickBot="1" x14ac:dyDescent="0.25">
      <c r="A75" s="12" t="s">
        <v>265</v>
      </c>
      <c r="B75" s="6" t="s">
        <v>266</v>
      </c>
      <c r="C75" s="6" t="s">
        <v>267</v>
      </c>
      <c r="D75" s="71" t="s">
        <v>268</v>
      </c>
      <c r="E75" s="71"/>
      <c r="F75" s="71"/>
      <c r="G75" s="71"/>
      <c r="H75" s="71"/>
      <c r="I75" s="71"/>
      <c r="J75" s="71"/>
      <c r="K75" s="19">
        <f>SUM(K77:K81)</f>
        <v>120</v>
      </c>
      <c r="L75" s="20">
        <f>ROUND(3.03*(1+M2/100),2)</f>
        <v>3.12</v>
      </c>
      <c r="M75" s="20">
        <f>ROUND(K75*L75,2)</f>
        <v>374.4</v>
      </c>
      <c r="N75" s="8"/>
    </row>
    <row r="76" spans="1:14" ht="15.2" customHeight="1" thickBot="1" x14ac:dyDescent="0.25">
      <c r="A76" s="8"/>
      <c r="B76" s="8"/>
      <c r="C76" s="8"/>
      <c r="D76" s="8"/>
      <c r="E76" s="21"/>
      <c r="F76" s="23" t="s">
        <v>269</v>
      </c>
      <c r="G76" s="23" t="s">
        <v>270</v>
      </c>
      <c r="H76" s="23" t="s">
        <v>271</v>
      </c>
      <c r="I76" s="23" t="s">
        <v>272</v>
      </c>
      <c r="J76" s="23" t="s">
        <v>273</v>
      </c>
      <c r="K76" s="23" t="s">
        <v>274</v>
      </c>
      <c r="L76" s="8"/>
      <c r="M76" s="8"/>
      <c r="N76" s="8"/>
    </row>
    <row r="77" spans="1:14" ht="21.4" customHeight="1" thickBot="1" x14ac:dyDescent="0.25">
      <c r="A77" s="8"/>
      <c r="B77" s="8"/>
      <c r="C77" s="8"/>
      <c r="D77" s="24"/>
      <c r="E77" s="25" t="s">
        <v>275</v>
      </c>
      <c r="F77" s="26">
        <v>1</v>
      </c>
      <c r="G77" s="27">
        <v>20</v>
      </c>
      <c r="H77" s="27"/>
      <c r="I77" s="27"/>
      <c r="J77" s="29">
        <f>ROUND(F77*G77,3)</f>
        <v>20</v>
      </c>
      <c r="K77" s="32"/>
      <c r="L77" s="8"/>
      <c r="M77" s="8"/>
      <c r="N77" s="8"/>
    </row>
    <row r="78" spans="1:14" ht="15.2" customHeight="1" thickBot="1" x14ac:dyDescent="0.25">
      <c r="A78" s="8"/>
      <c r="B78" s="8"/>
      <c r="C78" s="8"/>
      <c r="D78" s="24"/>
      <c r="E78" s="6" t="s">
        <v>276</v>
      </c>
      <c r="F78" s="4">
        <v>1</v>
      </c>
      <c r="G78" s="19">
        <v>20</v>
      </c>
      <c r="H78" s="19"/>
      <c r="I78" s="19"/>
      <c r="J78" s="28">
        <f>ROUND(F78*G78,3)</f>
        <v>20</v>
      </c>
      <c r="K78" s="8"/>
      <c r="L78" s="8"/>
      <c r="M78" s="8"/>
      <c r="N78" s="8"/>
    </row>
    <row r="79" spans="1:14" ht="15.2" customHeight="1" thickBot="1" x14ac:dyDescent="0.25">
      <c r="A79" s="8"/>
      <c r="B79" s="8"/>
      <c r="C79" s="8"/>
      <c r="D79" s="24"/>
      <c r="E79" s="6" t="s">
        <v>277</v>
      </c>
      <c r="F79" s="4">
        <v>1</v>
      </c>
      <c r="G79" s="19">
        <v>20</v>
      </c>
      <c r="H79" s="19"/>
      <c r="I79" s="19"/>
      <c r="J79" s="28">
        <f>ROUND(F79*G79,3)</f>
        <v>20</v>
      </c>
      <c r="K79" s="8"/>
      <c r="L79" s="8"/>
      <c r="M79" s="8"/>
      <c r="N79" s="8"/>
    </row>
    <row r="80" spans="1:14" ht="15.2" customHeight="1" thickBot="1" x14ac:dyDescent="0.25">
      <c r="A80" s="8"/>
      <c r="B80" s="8"/>
      <c r="C80" s="8"/>
      <c r="D80" s="24"/>
      <c r="E80" s="6"/>
      <c r="F80" s="4"/>
      <c r="G80" s="19"/>
      <c r="H80" s="19"/>
      <c r="I80" s="19"/>
      <c r="J80" s="22" t="s">
        <v>278</v>
      </c>
      <c r="K80" s="8"/>
      <c r="L80" s="8"/>
      <c r="M80" s="8"/>
      <c r="N80" s="8"/>
    </row>
    <row r="81" spans="1:14" ht="15.2" customHeight="1" thickBot="1" x14ac:dyDescent="0.25">
      <c r="A81" s="8"/>
      <c r="B81" s="8"/>
      <c r="C81" s="8"/>
      <c r="D81" s="24"/>
      <c r="E81" s="6" t="s">
        <v>279</v>
      </c>
      <c r="F81" s="4"/>
      <c r="G81" s="19">
        <v>60</v>
      </c>
      <c r="H81" s="19"/>
      <c r="I81" s="19"/>
      <c r="J81" s="28">
        <f>ROUND(G81,3)</f>
        <v>60</v>
      </c>
      <c r="K81" s="30">
        <f>SUM(J77:J81)</f>
        <v>120</v>
      </c>
      <c r="L81" s="8"/>
      <c r="M81" s="8"/>
      <c r="N81" s="8"/>
    </row>
    <row r="82" spans="1:14" ht="15.4" customHeight="1" thickBot="1" x14ac:dyDescent="0.25">
      <c r="A82" s="12" t="s">
        <v>280</v>
      </c>
      <c r="B82" s="6" t="s">
        <v>281</v>
      </c>
      <c r="C82" s="6" t="s">
        <v>282</v>
      </c>
      <c r="D82" s="71" t="s">
        <v>283</v>
      </c>
      <c r="E82" s="71"/>
      <c r="F82" s="71"/>
      <c r="G82" s="71"/>
      <c r="H82" s="71"/>
      <c r="I82" s="71"/>
      <c r="J82" s="71"/>
      <c r="K82" s="19">
        <f>SUM(K84:K89)</f>
        <v>92</v>
      </c>
      <c r="L82" s="20">
        <f>ROUND(4.03*(1+M2/100),2)</f>
        <v>4.1500000000000004</v>
      </c>
      <c r="M82" s="20">
        <f>ROUND(K82*L82,2)</f>
        <v>381.8</v>
      </c>
      <c r="N82" s="8"/>
    </row>
    <row r="83" spans="1:14" ht="15.2" customHeight="1" thickBot="1" x14ac:dyDescent="0.25">
      <c r="A83" s="8"/>
      <c r="B83" s="8"/>
      <c r="C83" s="8"/>
      <c r="D83" s="8"/>
      <c r="E83" s="21"/>
      <c r="F83" s="23" t="s">
        <v>284</v>
      </c>
      <c r="G83" s="23" t="s">
        <v>285</v>
      </c>
      <c r="H83" s="23" t="s">
        <v>286</v>
      </c>
      <c r="I83" s="23" t="s">
        <v>287</v>
      </c>
      <c r="J83" s="23" t="s">
        <v>288</v>
      </c>
      <c r="K83" s="23" t="s">
        <v>289</v>
      </c>
      <c r="L83" s="8"/>
      <c r="M83" s="8"/>
      <c r="N83" s="8"/>
    </row>
    <row r="84" spans="1:14" ht="15.2" customHeight="1" thickBot="1" x14ac:dyDescent="0.25">
      <c r="A84" s="8"/>
      <c r="B84" s="8"/>
      <c r="C84" s="8"/>
      <c r="D84" s="24"/>
      <c r="E84" s="25" t="s">
        <v>290</v>
      </c>
      <c r="F84" s="26">
        <v>1</v>
      </c>
      <c r="G84" s="27">
        <v>20</v>
      </c>
      <c r="H84" s="27"/>
      <c r="I84" s="27"/>
      <c r="J84" s="29">
        <f>ROUND(F84*G84,3)</f>
        <v>20</v>
      </c>
      <c r="K84" s="32"/>
      <c r="L84" s="8"/>
      <c r="M84" s="8"/>
      <c r="N84" s="8"/>
    </row>
    <row r="85" spans="1:14" ht="15.2" customHeight="1" thickBot="1" x14ac:dyDescent="0.25">
      <c r="A85" s="8"/>
      <c r="B85" s="8"/>
      <c r="C85" s="8"/>
      <c r="D85" s="24"/>
      <c r="E85" s="6" t="s">
        <v>291</v>
      </c>
      <c r="F85" s="4">
        <v>1</v>
      </c>
      <c r="G85" s="19">
        <v>20</v>
      </c>
      <c r="H85" s="19"/>
      <c r="I85" s="19"/>
      <c r="J85" s="28">
        <f>ROUND(F85*G85,3)</f>
        <v>20</v>
      </c>
      <c r="K85" s="8"/>
      <c r="L85" s="8"/>
      <c r="M85" s="8"/>
      <c r="N85" s="8"/>
    </row>
    <row r="86" spans="1:14" ht="15.2" customHeight="1" thickBot="1" x14ac:dyDescent="0.25">
      <c r="A86" s="8"/>
      <c r="B86" s="8"/>
      <c r="C86" s="8"/>
      <c r="D86" s="24"/>
      <c r="E86" s="6" t="s">
        <v>292</v>
      </c>
      <c r="F86" s="4">
        <v>1</v>
      </c>
      <c r="G86" s="19">
        <v>20</v>
      </c>
      <c r="H86" s="19"/>
      <c r="I86" s="19"/>
      <c r="J86" s="28">
        <f>ROUND(F86*G86,3)</f>
        <v>20</v>
      </c>
      <c r="K86" s="8"/>
      <c r="L86" s="8"/>
      <c r="M86" s="8"/>
      <c r="N86" s="8"/>
    </row>
    <row r="87" spans="1:14" ht="15.2" customHeight="1" thickBot="1" x14ac:dyDescent="0.25">
      <c r="A87" s="8"/>
      <c r="B87" s="8"/>
      <c r="C87" s="8"/>
      <c r="D87" s="24"/>
      <c r="E87" s="6" t="s">
        <v>293</v>
      </c>
      <c r="F87" s="4">
        <v>1</v>
      </c>
      <c r="G87" s="19">
        <v>20</v>
      </c>
      <c r="H87" s="19"/>
      <c r="I87" s="19"/>
      <c r="J87" s="28">
        <f>ROUND(F87*G87,3)</f>
        <v>20</v>
      </c>
      <c r="K87" s="8"/>
      <c r="L87" s="8"/>
      <c r="M87" s="8"/>
      <c r="N87" s="8"/>
    </row>
    <row r="88" spans="1:14" ht="15.2" customHeight="1" thickBot="1" x14ac:dyDescent="0.25">
      <c r="A88" s="8"/>
      <c r="B88" s="8"/>
      <c r="C88" s="8"/>
      <c r="D88" s="24"/>
      <c r="E88" s="6"/>
      <c r="F88" s="4"/>
      <c r="G88" s="19"/>
      <c r="H88" s="19"/>
      <c r="I88" s="19"/>
      <c r="J88" s="22" t="s">
        <v>294</v>
      </c>
      <c r="K88" s="8"/>
      <c r="L88" s="8"/>
      <c r="M88" s="8"/>
      <c r="N88" s="8"/>
    </row>
    <row r="89" spans="1:14" ht="15.2" customHeight="1" thickBot="1" x14ac:dyDescent="0.25">
      <c r="A89" s="8"/>
      <c r="B89" s="8"/>
      <c r="C89" s="8"/>
      <c r="D89" s="24"/>
      <c r="E89" s="6" t="s">
        <v>295</v>
      </c>
      <c r="F89" s="4">
        <v>0.15</v>
      </c>
      <c r="G89" s="19">
        <v>80</v>
      </c>
      <c r="H89" s="19"/>
      <c r="I89" s="19"/>
      <c r="J89" s="28">
        <f>ROUND(F89*G89,3)</f>
        <v>12</v>
      </c>
      <c r="K89" s="30">
        <f>SUM(J84:J89)</f>
        <v>92</v>
      </c>
      <c r="L89" s="8"/>
      <c r="M89" s="8"/>
      <c r="N89" s="8"/>
    </row>
    <row r="90" spans="1:14" ht="15.4" customHeight="1" thickBot="1" x14ac:dyDescent="0.25">
      <c r="A90" s="12" t="s">
        <v>296</v>
      </c>
      <c r="B90" s="6" t="s">
        <v>297</v>
      </c>
      <c r="C90" s="6" t="s">
        <v>298</v>
      </c>
      <c r="D90" s="71" t="s">
        <v>299</v>
      </c>
      <c r="E90" s="71"/>
      <c r="F90" s="71"/>
      <c r="G90" s="71"/>
      <c r="H90" s="71"/>
      <c r="I90" s="71"/>
      <c r="J90" s="71"/>
      <c r="K90" s="19">
        <f>SUM(K92:K92)</f>
        <v>35</v>
      </c>
      <c r="L90" s="20">
        <f>ROUND(15.82*(1+M2/100),2)</f>
        <v>16.29</v>
      </c>
      <c r="M90" s="20">
        <f>ROUND(K90*L90,2)</f>
        <v>570.15</v>
      </c>
      <c r="N90" s="8"/>
    </row>
    <row r="91" spans="1:14" ht="15.2" customHeight="1" thickBot="1" x14ac:dyDescent="0.25">
      <c r="A91" s="8"/>
      <c r="B91" s="8"/>
      <c r="C91" s="8"/>
      <c r="D91" s="8"/>
      <c r="E91" s="21"/>
      <c r="F91" s="23" t="s">
        <v>300</v>
      </c>
      <c r="G91" s="23" t="s">
        <v>301</v>
      </c>
      <c r="H91" s="23" t="s">
        <v>302</v>
      </c>
      <c r="I91" s="23" t="s">
        <v>303</v>
      </c>
      <c r="J91" s="23" t="s">
        <v>304</v>
      </c>
      <c r="K91" s="23" t="s">
        <v>305</v>
      </c>
      <c r="L91" s="8"/>
      <c r="M91" s="8"/>
      <c r="N91" s="8"/>
    </row>
    <row r="92" spans="1:14" ht="15.2" customHeight="1" thickBot="1" x14ac:dyDescent="0.25">
      <c r="A92" s="8"/>
      <c r="B92" s="8"/>
      <c r="C92" s="8"/>
      <c r="D92" s="24"/>
      <c r="E92" s="25" t="s">
        <v>306</v>
      </c>
      <c r="F92" s="26">
        <v>1</v>
      </c>
      <c r="G92" s="27">
        <v>35</v>
      </c>
      <c r="H92" s="27"/>
      <c r="I92" s="27"/>
      <c r="J92" s="29">
        <f>ROUND(F92*G92,3)</f>
        <v>35</v>
      </c>
      <c r="K92" s="31">
        <f>SUM(J92:J92)</f>
        <v>35</v>
      </c>
      <c r="L92" s="8"/>
      <c r="M92" s="8"/>
      <c r="N92" s="8"/>
    </row>
    <row r="93" spans="1:14" ht="15.4" customHeight="1" thickBot="1" x14ac:dyDescent="0.25">
      <c r="A93" s="33"/>
      <c r="B93" s="33"/>
      <c r="C93" s="33"/>
      <c r="D93" s="52" t="s">
        <v>307</v>
      </c>
      <c r="E93" s="53"/>
      <c r="F93" s="53"/>
      <c r="G93" s="53"/>
      <c r="H93" s="53"/>
      <c r="I93" s="53"/>
      <c r="J93" s="53"/>
      <c r="K93" s="53"/>
      <c r="L93" s="54">
        <f>M75+M82+M90</f>
        <v>1326.35</v>
      </c>
      <c r="M93" s="54">
        <f>ROUND(L93,2)</f>
        <v>1326.35</v>
      </c>
      <c r="N93" s="8"/>
    </row>
    <row r="94" spans="1:14" ht="15.4" customHeight="1" thickBot="1" x14ac:dyDescent="0.25">
      <c r="A94" s="55" t="s">
        <v>308</v>
      </c>
      <c r="B94" s="55" t="s">
        <v>309</v>
      </c>
      <c r="C94" s="56"/>
      <c r="D94" s="76" t="s">
        <v>310</v>
      </c>
      <c r="E94" s="76"/>
      <c r="F94" s="76"/>
      <c r="G94" s="76"/>
      <c r="H94" s="76"/>
      <c r="I94" s="76"/>
      <c r="J94" s="76"/>
      <c r="K94" s="56"/>
      <c r="L94" s="57">
        <f>L101</f>
        <v>610.38</v>
      </c>
      <c r="M94" s="57">
        <f>ROUND(L94,2)</f>
        <v>610.38</v>
      </c>
      <c r="N94" s="8"/>
    </row>
    <row r="95" spans="1:14" ht="30.6" customHeight="1" thickBot="1" x14ac:dyDescent="0.25">
      <c r="A95" s="12" t="s">
        <v>311</v>
      </c>
      <c r="B95" s="6" t="s">
        <v>312</v>
      </c>
      <c r="C95" s="6" t="s">
        <v>313</v>
      </c>
      <c r="D95" s="71" t="s">
        <v>314</v>
      </c>
      <c r="E95" s="71"/>
      <c r="F95" s="71"/>
      <c r="G95" s="71"/>
      <c r="H95" s="71"/>
      <c r="I95" s="71"/>
      <c r="J95" s="71"/>
      <c r="K95" s="19">
        <f>ROUND(2,2)</f>
        <v>2</v>
      </c>
      <c r="L95" s="20">
        <f>ROUND(10.53*(1+M2/100),2)</f>
        <v>10.85</v>
      </c>
      <c r="M95" s="20">
        <f>ROUND(K95*L95,2)</f>
        <v>21.7</v>
      </c>
      <c r="N95" s="8"/>
    </row>
    <row r="96" spans="1:14" ht="21.4" customHeight="1" thickBot="1" x14ac:dyDescent="0.25">
      <c r="A96" s="12" t="s">
        <v>315</v>
      </c>
      <c r="B96" s="6" t="s">
        <v>316</v>
      </c>
      <c r="C96" s="6" t="s">
        <v>317</v>
      </c>
      <c r="D96" s="71" t="s">
        <v>318</v>
      </c>
      <c r="E96" s="71"/>
      <c r="F96" s="71"/>
      <c r="G96" s="71"/>
      <c r="H96" s="71"/>
      <c r="I96" s="71"/>
      <c r="J96" s="71"/>
      <c r="K96" s="19">
        <f>SUM(K98:K99)</f>
        <v>130</v>
      </c>
      <c r="L96" s="20">
        <f>ROUND(2.88*(1+M2/100),2)</f>
        <v>2.97</v>
      </c>
      <c r="M96" s="20">
        <f>ROUND(K96*L96,2)</f>
        <v>386.1</v>
      </c>
      <c r="N96" s="8"/>
    </row>
    <row r="97" spans="1:14" ht="15.2" customHeight="1" thickBot="1" x14ac:dyDescent="0.25">
      <c r="A97" s="8"/>
      <c r="B97" s="8"/>
      <c r="C97" s="8"/>
      <c r="D97" s="8"/>
      <c r="E97" s="21"/>
      <c r="F97" s="23" t="s">
        <v>319</v>
      </c>
      <c r="G97" s="23" t="s">
        <v>320</v>
      </c>
      <c r="H97" s="23" t="s">
        <v>321</v>
      </c>
      <c r="I97" s="23" t="s">
        <v>322</v>
      </c>
      <c r="J97" s="23" t="s">
        <v>323</v>
      </c>
      <c r="K97" s="23" t="s">
        <v>324</v>
      </c>
      <c r="L97" s="8"/>
      <c r="M97" s="8"/>
      <c r="N97" s="8"/>
    </row>
    <row r="98" spans="1:14" ht="21.4" customHeight="1" thickBot="1" x14ac:dyDescent="0.25">
      <c r="A98" s="8"/>
      <c r="B98" s="8"/>
      <c r="C98" s="8"/>
      <c r="D98" s="24"/>
      <c r="E98" s="25" t="s">
        <v>325</v>
      </c>
      <c r="F98" s="26">
        <v>1</v>
      </c>
      <c r="G98" s="27">
        <v>30</v>
      </c>
      <c r="H98" s="27"/>
      <c r="I98" s="27"/>
      <c r="J98" s="29">
        <f>ROUND(F98*G98,3)</f>
        <v>30</v>
      </c>
      <c r="K98" s="32"/>
      <c r="L98" s="8"/>
      <c r="M98" s="8"/>
      <c r="N98" s="8"/>
    </row>
    <row r="99" spans="1:14" ht="15.2" customHeight="1" thickBot="1" x14ac:dyDescent="0.25">
      <c r="A99" s="8"/>
      <c r="B99" s="8"/>
      <c r="C99" s="8"/>
      <c r="D99" s="24"/>
      <c r="E99" s="6" t="s">
        <v>326</v>
      </c>
      <c r="F99" s="4">
        <v>5</v>
      </c>
      <c r="G99" s="19">
        <v>20</v>
      </c>
      <c r="H99" s="19"/>
      <c r="I99" s="19"/>
      <c r="J99" s="28">
        <f>ROUND(F99*G99,3)</f>
        <v>100</v>
      </c>
      <c r="K99" s="30">
        <f>SUM(J98:J99)</f>
        <v>130</v>
      </c>
      <c r="L99" s="8"/>
      <c r="M99" s="8"/>
      <c r="N99" s="8"/>
    </row>
    <row r="100" spans="1:14" ht="15.4" customHeight="1" thickBot="1" x14ac:dyDescent="0.25">
      <c r="A100" s="12" t="s">
        <v>327</v>
      </c>
      <c r="B100" s="6" t="s">
        <v>328</v>
      </c>
      <c r="C100" s="6" t="s">
        <v>329</v>
      </c>
      <c r="D100" s="71" t="s">
        <v>330</v>
      </c>
      <c r="E100" s="71"/>
      <c r="F100" s="71"/>
      <c r="G100" s="71"/>
      <c r="H100" s="71"/>
      <c r="I100" s="71"/>
      <c r="J100" s="71"/>
      <c r="K100" s="19">
        <f>ROUND(1,2)</f>
        <v>1</v>
      </c>
      <c r="L100" s="20">
        <f>ROUND(196.682*(1+M2/100),2)</f>
        <v>202.58</v>
      </c>
      <c r="M100" s="20">
        <f>ROUND(K100*L100,2)</f>
        <v>202.58</v>
      </c>
      <c r="N100" s="8"/>
    </row>
    <row r="101" spans="1:14" ht="15.4" customHeight="1" thickBot="1" x14ac:dyDescent="0.25">
      <c r="A101" s="33"/>
      <c r="B101" s="33"/>
      <c r="C101" s="33"/>
      <c r="D101" s="52" t="s">
        <v>331</v>
      </c>
      <c r="E101" s="53"/>
      <c r="F101" s="53"/>
      <c r="G101" s="53"/>
      <c r="H101" s="53"/>
      <c r="I101" s="53"/>
      <c r="J101" s="53"/>
      <c r="K101" s="53"/>
      <c r="L101" s="54">
        <f>M95+M96+M100</f>
        <v>610.38</v>
      </c>
      <c r="M101" s="54">
        <f>ROUND(L101,2)</f>
        <v>610.38</v>
      </c>
      <c r="N101" s="8"/>
    </row>
    <row r="102" spans="1:14" ht="15.4" customHeight="1" thickBot="1" x14ac:dyDescent="0.25">
      <c r="A102" s="55" t="s">
        <v>332</v>
      </c>
      <c r="B102" s="55" t="s">
        <v>333</v>
      </c>
      <c r="C102" s="56"/>
      <c r="D102" s="76" t="s">
        <v>334</v>
      </c>
      <c r="E102" s="76"/>
      <c r="F102" s="76"/>
      <c r="G102" s="76"/>
      <c r="H102" s="76"/>
      <c r="I102" s="76"/>
      <c r="J102" s="76"/>
      <c r="K102" s="56"/>
      <c r="L102" s="57">
        <f>L106</f>
        <v>450.51</v>
      </c>
      <c r="M102" s="57">
        <f>ROUND(L102,2)</f>
        <v>450.51</v>
      </c>
      <c r="N102" s="8"/>
    </row>
    <row r="103" spans="1:14" ht="15.4" customHeight="1" thickBot="1" x14ac:dyDescent="0.25">
      <c r="A103" s="12" t="s">
        <v>335</v>
      </c>
      <c r="B103" s="6" t="s">
        <v>336</v>
      </c>
      <c r="C103" s="6" t="s">
        <v>337</v>
      </c>
      <c r="D103" s="71" t="s">
        <v>338</v>
      </c>
      <c r="E103" s="71"/>
      <c r="F103" s="71"/>
      <c r="G103" s="71"/>
      <c r="H103" s="71"/>
      <c r="I103" s="71"/>
      <c r="J103" s="71"/>
      <c r="K103" s="19">
        <f>SUM(K105:K105)</f>
        <v>1</v>
      </c>
      <c r="L103" s="20">
        <f>ROUND(437.39*(1+M2/100),2)</f>
        <v>450.51</v>
      </c>
      <c r="M103" s="20">
        <f>ROUND(K103*L103,2)</f>
        <v>450.51</v>
      </c>
      <c r="N103" s="8"/>
    </row>
    <row r="104" spans="1:14" ht="15.2" customHeight="1" thickBot="1" x14ac:dyDescent="0.25">
      <c r="A104" s="8"/>
      <c r="B104" s="8"/>
      <c r="C104" s="8"/>
      <c r="D104" s="8"/>
      <c r="E104" s="21"/>
      <c r="F104" s="23" t="s">
        <v>339</v>
      </c>
      <c r="G104" s="23" t="s">
        <v>340</v>
      </c>
      <c r="H104" s="23" t="s">
        <v>341</v>
      </c>
      <c r="I104" s="23" t="s">
        <v>342</v>
      </c>
      <c r="J104" s="23" t="s">
        <v>343</v>
      </c>
      <c r="K104" s="23" t="s">
        <v>344</v>
      </c>
      <c r="L104" s="8"/>
      <c r="M104" s="8"/>
      <c r="N104" s="8"/>
    </row>
    <row r="105" spans="1:14" ht="30.6" customHeight="1" thickBot="1" x14ac:dyDescent="0.25">
      <c r="A105" s="8"/>
      <c r="B105" s="8"/>
      <c r="C105" s="8"/>
      <c r="D105" s="24"/>
      <c r="E105" s="25" t="s">
        <v>345</v>
      </c>
      <c r="F105" s="26">
        <v>1</v>
      </c>
      <c r="G105" s="27"/>
      <c r="H105" s="27"/>
      <c r="I105" s="27"/>
      <c r="J105" s="29">
        <f>ROUND(F105,3)</f>
        <v>1</v>
      </c>
      <c r="K105" s="31">
        <f>SUM(J105:J105)</f>
        <v>1</v>
      </c>
      <c r="L105" s="8"/>
      <c r="M105" s="8"/>
      <c r="N105" s="8"/>
    </row>
    <row r="106" spans="1:14" ht="15.4" customHeight="1" thickBot="1" x14ac:dyDescent="0.25">
      <c r="A106" s="33"/>
      <c r="B106" s="33"/>
      <c r="C106" s="33"/>
      <c r="D106" s="52" t="s">
        <v>346</v>
      </c>
      <c r="E106" s="53"/>
      <c r="F106" s="53"/>
      <c r="G106" s="53"/>
      <c r="H106" s="53"/>
      <c r="I106" s="53"/>
      <c r="J106" s="53"/>
      <c r="K106" s="53"/>
      <c r="L106" s="54">
        <f>M103</f>
        <v>450.51</v>
      </c>
      <c r="M106" s="54">
        <f>ROUND(L106,2)</f>
        <v>450.51</v>
      </c>
      <c r="N106" s="8"/>
    </row>
    <row r="107" spans="1:14" ht="15.4" customHeight="1" thickBot="1" x14ac:dyDescent="0.25">
      <c r="A107" s="58"/>
      <c r="B107" s="58"/>
      <c r="C107" s="58"/>
      <c r="D107" s="59" t="s">
        <v>347</v>
      </c>
      <c r="E107" s="60"/>
      <c r="F107" s="60"/>
      <c r="G107" s="60"/>
      <c r="H107" s="60"/>
      <c r="I107" s="60"/>
      <c r="J107" s="60"/>
      <c r="K107" s="60"/>
      <c r="L107" s="61">
        <f>M73+M93+M101+M106</f>
        <v>3464.92</v>
      </c>
      <c r="M107" s="61">
        <f>ROUND(L107,2)</f>
        <v>3464.92</v>
      </c>
      <c r="N107" s="8"/>
    </row>
    <row r="108" spans="1:14" ht="15.4" customHeight="1" thickBot="1" x14ac:dyDescent="0.25">
      <c r="A108" s="46" t="s">
        <v>348</v>
      </c>
      <c r="B108" s="46" t="s">
        <v>349</v>
      </c>
      <c r="C108" s="47"/>
      <c r="D108" s="74" t="s">
        <v>350</v>
      </c>
      <c r="E108" s="74"/>
      <c r="F108" s="74"/>
      <c r="G108" s="74"/>
      <c r="H108" s="74"/>
      <c r="I108" s="74"/>
      <c r="J108" s="74"/>
      <c r="K108" s="47"/>
      <c r="L108" s="48">
        <f>L125</f>
        <v>1820.98</v>
      </c>
      <c r="M108" s="48">
        <f>ROUND(L108,2)</f>
        <v>1820.98</v>
      </c>
      <c r="N108" s="8"/>
    </row>
    <row r="109" spans="1:14" ht="15.4" customHeight="1" thickBot="1" x14ac:dyDescent="0.25">
      <c r="A109" s="12" t="s">
        <v>351</v>
      </c>
      <c r="B109" s="6" t="s">
        <v>352</v>
      </c>
      <c r="C109" s="6" t="s">
        <v>353</v>
      </c>
      <c r="D109" s="71" t="s">
        <v>354</v>
      </c>
      <c r="E109" s="71"/>
      <c r="F109" s="71"/>
      <c r="G109" s="71"/>
      <c r="H109" s="71"/>
      <c r="I109" s="71"/>
      <c r="J109" s="71"/>
      <c r="K109" s="19">
        <f>ROUND(1,2)</f>
        <v>1</v>
      </c>
      <c r="L109" s="20">
        <f>ROUND(561.15*(1+M2/100),2)</f>
        <v>577.98</v>
      </c>
      <c r="M109" s="20">
        <f>ROUND(K109*L109,2)</f>
        <v>577.98</v>
      </c>
      <c r="N109" s="8"/>
    </row>
    <row r="110" spans="1:14" ht="15.4" customHeight="1" thickBot="1" x14ac:dyDescent="0.25">
      <c r="A110" s="12" t="s">
        <v>355</v>
      </c>
      <c r="B110" s="6" t="s">
        <v>356</v>
      </c>
      <c r="C110" s="6" t="s">
        <v>357</v>
      </c>
      <c r="D110" s="71" t="s">
        <v>358</v>
      </c>
      <c r="E110" s="71"/>
      <c r="F110" s="71"/>
      <c r="G110" s="71"/>
      <c r="H110" s="71"/>
      <c r="I110" s="71"/>
      <c r="J110" s="71"/>
      <c r="K110" s="19">
        <f>SUM(K112:K113)</f>
        <v>23.5</v>
      </c>
      <c r="L110" s="20">
        <f>ROUND(19.57*(1+M2/100),2)</f>
        <v>20.16</v>
      </c>
      <c r="M110" s="20">
        <f>ROUND(K110*L110,2)</f>
        <v>473.76</v>
      </c>
      <c r="N110" s="8"/>
    </row>
    <row r="111" spans="1:14" ht="15.2" customHeight="1" thickBot="1" x14ac:dyDescent="0.25">
      <c r="A111" s="8"/>
      <c r="B111" s="8"/>
      <c r="C111" s="8"/>
      <c r="D111" s="8"/>
      <c r="E111" s="21"/>
      <c r="F111" s="23" t="s">
        <v>359</v>
      </c>
      <c r="G111" s="23" t="s">
        <v>360</v>
      </c>
      <c r="H111" s="23" t="s">
        <v>361</v>
      </c>
      <c r="I111" s="23" t="s">
        <v>362</v>
      </c>
      <c r="J111" s="23" t="s">
        <v>363</v>
      </c>
      <c r="K111" s="23" t="s">
        <v>364</v>
      </c>
      <c r="L111" s="8"/>
      <c r="M111" s="8"/>
      <c r="N111" s="8"/>
    </row>
    <row r="112" spans="1:14" ht="15.2" customHeight="1" thickBot="1" x14ac:dyDescent="0.25">
      <c r="A112" s="8"/>
      <c r="B112" s="8"/>
      <c r="C112" s="8"/>
      <c r="D112" s="24"/>
      <c r="E112" s="25" t="s">
        <v>365</v>
      </c>
      <c r="F112" s="26"/>
      <c r="G112" s="27">
        <v>17.5</v>
      </c>
      <c r="H112" s="27"/>
      <c r="I112" s="27"/>
      <c r="J112" s="29">
        <f>ROUND(G112,3)</f>
        <v>17.5</v>
      </c>
      <c r="K112" s="32"/>
      <c r="L112" s="8"/>
      <c r="M112" s="8"/>
      <c r="N112" s="8"/>
    </row>
    <row r="113" spans="1:14" ht="15.2" customHeight="1" thickBot="1" x14ac:dyDescent="0.25">
      <c r="A113" s="8"/>
      <c r="B113" s="8"/>
      <c r="C113" s="8"/>
      <c r="D113" s="24"/>
      <c r="E113" s="6" t="s">
        <v>366</v>
      </c>
      <c r="F113" s="4"/>
      <c r="G113" s="19">
        <v>6</v>
      </c>
      <c r="H113" s="19"/>
      <c r="I113" s="19"/>
      <c r="J113" s="28">
        <f>ROUND(G113,3)</f>
        <v>6</v>
      </c>
      <c r="K113" s="30">
        <f>SUM(J112:J113)</f>
        <v>23.5</v>
      </c>
      <c r="L113" s="8"/>
      <c r="M113" s="8"/>
      <c r="N113" s="8"/>
    </row>
    <row r="114" spans="1:14" ht="15.4" customHeight="1" thickBot="1" x14ac:dyDescent="0.25">
      <c r="A114" s="12" t="s">
        <v>367</v>
      </c>
      <c r="B114" s="6" t="s">
        <v>368</v>
      </c>
      <c r="C114" s="6" t="s">
        <v>369</v>
      </c>
      <c r="D114" s="71" t="s">
        <v>370</v>
      </c>
      <c r="E114" s="71"/>
      <c r="F114" s="71"/>
      <c r="G114" s="71"/>
      <c r="H114" s="71"/>
      <c r="I114" s="71"/>
      <c r="J114" s="71"/>
      <c r="K114" s="19">
        <f>SUM(K116:K117)</f>
        <v>77.724999999999994</v>
      </c>
      <c r="L114" s="20">
        <f>ROUND(7.22*(1+M2/100),2)</f>
        <v>7.44</v>
      </c>
      <c r="M114" s="20">
        <f>ROUND(K114*L114,2)</f>
        <v>578.27</v>
      </c>
      <c r="N114" s="8"/>
    </row>
    <row r="115" spans="1:14" ht="15.2" customHeight="1" thickBot="1" x14ac:dyDescent="0.25">
      <c r="A115" s="8"/>
      <c r="B115" s="8"/>
      <c r="C115" s="8"/>
      <c r="D115" s="8"/>
      <c r="E115" s="21"/>
      <c r="F115" s="23" t="s">
        <v>371</v>
      </c>
      <c r="G115" s="23" t="s">
        <v>372</v>
      </c>
      <c r="H115" s="23" t="s">
        <v>373</v>
      </c>
      <c r="I115" s="23" t="s">
        <v>374</v>
      </c>
      <c r="J115" s="23" t="s">
        <v>375</v>
      </c>
      <c r="K115" s="23" t="s">
        <v>376</v>
      </c>
      <c r="L115" s="8"/>
      <c r="M115" s="8"/>
      <c r="N115" s="8"/>
    </row>
    <row r="116" spans="1:14" ht="15.2" customHeight="1" thickBot="1" x14ac:dyDescent="0.25">
      <c r="A116" s="8"/>
      <c r="B116" s="8"/>
      <c r="C116" s="8"/>
      <c r="D116" s="24"/>
      <c r="E116" s="25" t="s">
        <v>377</v>
      </c>
      <c r="F116" s="26"/>
      <c r="G116" s="27">
        <v>18</v>
      </c>
      <c r="H116" s="27"/>
      <c r="I116" s="27">
        <v>3</v>
      </c>
      <c r="J116" s="29">
        <f>ROUND(G116*I116,3)</f>
        <v>54</v>
      </c>
      <c r="K116" s="32"/>
      <c r="L116" s="8"/>
      <c r="M116" s="8"/>
      <c r="N116" s="8"/>
    </row>
    <row r="117" spans="1:14" ht="15.2" customHeight="1" thickBot="1" x14ac:dyDescent="0.25">
      <c r="A117" s="8"/>
      <c r="B117" s="8"/>
      <c r="C117" s="8"/>
      <c r="D117" s="24"/>
      <c r="E117" s="6"/>
      <c r="F117" s="4"/>
      <c r="G117" s="19">
        <v>6.5</v>
      </c>
      <c r="H117" s="19"/>
      <c r="I117" s="19">
        <v>3.65</v>
      </c>
      <c r="J117" s="28">
        <f>ROUND(G117*I117,3)</f>
        <v>23.725000000000001</v>
      </c>
      <c r="K117" s="30">
        <f>SUM(J116:J117)</f>
        <v>77.724999999999994</v>
      </c>
      <c r="L117" s="8"/>
      <c r="M117" s="8"/>
      <c r="N117" s="8"/>
    </row>
    <row r="118" spans="1:14" ht="15.4" customHeight="1" thickBot="1" x14ac:dyDescent="0.25">
      <c r="A118" s="12" t="s">
        <v>378</v>
      </c>
      <c r="B118" s="6" t="s">
        <v>379</v>
      </c>
      <c r="C118" s="6" t="s">
        <v>380</v>
      </c>
      <c r="D118" s="71" t="s">
        <v>381</v>
      </c>
      <c r="E118" s="71"/>
      <c r="F118" s="71"/>
      <c r="G118" s="71"/>
      <c r="H118" s="71"/>
      <c r="I118" s="71"/>
      <c r="J118" s="71"/>
      <c r="K118" s="19">
        <f>SUM(K120:K120)</f>
        <v>0.5</v>
      </c>
      <c r="L118" s="20">
        <f>ROUND(75.24*(1+M2/100),2)</f>
        <v>77.5</v>
      </c>
      <c r="M118" s="20">
        <f>ROUND(K118*L118,2)</f>
        <v>38.75</v>
      </c>
      <c r="N118" s="8"/>
    </row>
    <row r="119" spans="1:14" ht="15.2" customHeight="1" thickBot="1" x14ac:dyDescent="0.25">
      <c r="A119" s="8"/>
      <c r="B119" s="8"/>
      <c r="C119" s="8"/>
      <c r="D119" s="8"/>
      <c r="E119" s="21"/>
      <c r="F119" s="23" t="s">
        <v>382</v>
      </c>
      <c r="G119" s="23" t="s">
        <v>383</v>
      </c>
      <c r="H119" s="23" t="s">
        <v>384</v>
      </c>
      <c r="I119" s="23" t="s">
        <v>385</v>
      </c>
      <c r="J119" s="23" t="s">
        <v>386</v>
      </c>
      <c r="K119" s="23" t="s">
        <v>387</v>
      </c>
      <c r="L119" s="8"/>
      <c r="M119" s="8"/>
      <c r="N119" s="8"/>
    </row>
    <row r="120" spans="1:14" ht="21.4" customHeight="1" thickBot="1" x14ac:dyDescent="0.25">
      <c r="A120" s="8"/>
      <c r="B120" s="8"/>
      <c r="C120" s="8"/>
      <c r="D120" s="24"/>
      <c r="E120" s="25" t="s">
        <v>388</v>
      </c>
      <c r="F120" s="26">
        <v>1</v>
      </c>
      <c r="G120" s="27">
        <v>0.5</v>
      </c>
      <c r="H120" s="27"/>
      <c r="I120" s="27"/>
      <c r="J120" s="29">
        <f>ROUND(F120*G120,3)</f>
        <v>0.5</v>
      </c>
      <c r="K120" s="31">
        <f>SUM(J120:J120)</f>
        <v>0.5</v>
      </c>
      <c r="L120" s="8"/>
      <c r="M120" s="8"/>
      <c r="N120" s="8"/>
    </row>
    <row r="121" spans="1:14" ht="15.4" customHeight="1" thickBot="1" x14ac:dyDescent="0.25">
      <c r="A121" s="12" t="s">
        <v>389</v>
      </c>
      <c r="B121" s="6" t="s">
        <v>390</v>
      </c>
      <c r="C121" s="6" t="s">
        <v>391</v>
      </c>
      <c r="D121" s="71" t="s">
        <v>392</v>
      </c>
      <c r="E121" s="71"/>
      <c r="F121" s="71"/>
      <c r="G121" s="71"/>
      <c r="H121" s="71"/>
      <c r="I121" s="71"/>
      <c r="J121" s="71"/>
      <c r="K121" s="19">
        <f>SUM(K123:K124)</f>
        <v>17.22</v>
      </c>
      <c r="L121" s="20">
        <f>ROUND(8.58*(1+M2/100),2)</f>
        <v>8.84</v>
      </c>
      <c r="M121" s="20">
        <f>ROUND(K121*L121,2)</f>
        <v>152.22</v>
      </c>
      <c r="N121" s="8"/>
    </row>
    <row r="122" spans="1:14" ht="15.2" customHeight="1" thickBot="1" x14ac:dyDescent="0.25">
      <c r="A122" s="8"/>
      <c r="B122" s="8"/>
      <c r="C122" s="8"/>
      <c r="D122" s="8"/>
      <c r="E122" s="21"/>
      <c r="F122" s="23" t="s">
        <v>393</v>
      </c>
      <c r="G122" s="23" t="s">
        <v>394</v>
      </c>
      <c r="H122" s="23" t="s">
        <v>395</v>
      </c>
      <c r="I122" s="23" t="s">
        <v>396</v>
      </c>
      <c r="J122" s="23" t="s">
        <v>397</v>
      </c>
      <c r="K122" s="23" t="s">
        <v>398</v>
      </c>
      <c r="L122" s="8"/>
      <c r="M122" s="8"/>
      <c r="N122" s="8"/>
    </row>
    <row r="123" spans="1:14" ht="15.2" customHeight="1" thickBot="1" x14ac:dyDescent="0.25">
      <c r="A123" s="8"/>
      <c r="B123" s="8"/>
      <c r="C123" s="8"/>
      <c r="D123" s="24"/>
      <c r="E123" s="25" t="s">
        <v>399</v>
      </c>
      <c r="F123" s="26">
        <v>12.22</v>
      </c>
      <c r="G123" s="27"/>
      <c r="H123" s="27"/>
      <c r="I123" s="27"/>
      <c r="J123" s="29">
        <f>ROUND(F123,3)</f>
        <v>12.22</v>
      </c>
      <c r="K123" s="32"/>
      <c r="L123" s="8"/>
      <c r="M123" s="8"/>
      <c r="N123" s="8"/>
    </row>
    <row r="124" spans="1:14" ht="15.2" customHeight="1" thickBot="1" x14ac:dyDescent="0.25">
      <c r="A124" s="8"/>
      <c r="B124" s="8"/>
      <c r="C124" s="8"/>
      <c r="D124" s="24"/>
      <c r="E124" s="6" t="s">
        <v>400</v>
      </c>
      <c r="F124" s="4">
        <v>5</v>
      </c>
      <c r="G124" s="19"/>
      <c r="H124" s="19"/>
      <c r="I124" s="19"/>
      <c r="J124" s="28">
        <f>ROUND(F124,3)</f>
        <v>5</v>
      </c>
      <c r="K124" s="30">
        <f>SUM(J123:J124)</f>
        <v>17.22</v>
      </c>
      <c r="L124" s="8"/>
      <c r="M124" s="8"/>
      <c r="N124" s="8"/>
    </row>
    <row r="125" spans="1:14" ht="15.4" customHeight="1" thickBot="1" x14ac:dyDescent="0.25">
      <c r="A125" s="33"/>
      <c r="B125" s="33"/>
      <c r="C125" s="33"/>
      <c r="D125" s="43" t="s">
        <v>401</v>
      </c>
      <c r="E125" s="44"/>
      <c r="F125" s="44"/>
      <c r="G125" s="44"/>
      <c r="H125" s="44"/>
      <c r="I125" s="44"/>
      <c r="J125" s="44"/>
      <c r="K125" s="44"/>
      <c r="L125" s="45">
        <f>M109+M110+M114+M118+M121</f>
        <v>1820.98</v>
      </c>
      <c r="M125" s="45">
        <f>ROUND(L125,2)</f>
        <v>1820.98</v>
      </c>
      <c r="N125" s="8"/>
    </row>
    <row r="126" spans="1:14" ht="15.4" customHeight="1" thickBot="1" x14ac:dyDescent="0.25">
      <c r="A126" s="46" t="s">
        <v>402</v>
      </c>
      <c r="B126" s="46" t="s">
        <v>403</v>
      </c>
      <c r="C126" s="47"/>
      <c r="D126" s="74" t="s">
        <v>404</v>
      </c>
      <c r="E126" s="74"/>
      <c r="F126" s="74"/>
      <c r="G126" s="74"/>
      <c r="H126" s="74"/>
      <c r="I126" s="74"/>
      <c r="J126" s="74"/>
      <c r="K126" s="47"/>
      <c r="L126" s="48">
        <f>L139</f>
        <v>3515.9</v>
      </c>
      <c r="M126" s="48">
        <f>ROUND(L126,2)</f>
        <v>3515.9</v>
      </c>
      <c r="N126" s="8"/>
    </row>
    <row r="127" spans="1:14" ht="15.4" customHeight="1" thickBot="1" x14ac:dyDescent="0.25">
      <c r="A127" s="12" t="s">
        <v>405</v>
      </c>
      <c r="B127" s="6" t="s">
        <v>406</v>
      </c>
      <c r="C127" s="6" t="s">
        <v>407</v>
      </c>
      <c r="D127" s="71" t="s">
        <v>408</v>
      </c>
      <c r="E127" s="71"/>
      <c r="F127" s="71"/>
      <c r="G127" s="71"/>
      <c r="H127" s="71"/>
      <c r="I127" s="71"/>
      <c r="J127" s="71"/>
      <c r="K127" s="19">
        <f>ROUND(1,2)</f>
        <v>1</v>
      </c>
      <c r="L127" s="20">
        <f>ROUND(220*(1+M2/100),2)</f>
        <v>226.6</v>
      </c>
      <c r="M127" s="20">
        <f>ROUND(K127*L127,2)</f>
        <v>226.6</v>
      </c>
      <c r="N127" s="8"/>
    </row>
    <row r="128" spans="1:14" ht="30.6" customHeight="1" thickBot="1" x14ac:dyDescent="0.25">
      <c r="A128" s="12" t="s">
        <v>409</v>
      </c>
      <c r="B128" s="6" t="s">
        <v>410</v>
      </c>
      <c r="C128" s="6" t="s">
        <v>411</v>
      </c>
      <c r="D128" s="71" t="s">
        <v>412</v>
      </c>
      <c r="E128" s="71"/>
      <c r="F128" s="71"/>
      <c r="G128" s="71"/>
      <c r="H128" s="71"/>
      <c r="I128" s="71"/>
      <c r="J128" s="71"/>
      <c r="K128" s="19">
        <f>ROUND(1,2)</f>
        <v>1</v>
      </c>
      <c r="L128" s="20">
        <f>ROUND(555.339*(1+M2/100),2)</f>
        <v>572</v>
      </c>
      <c r="M128" s="20">
        <f>ROUND(K128*L128,2)</f>
        <v>572</v>
      </c>
      <c r="N128" s="8"/>
    </row>
    <row r="129" spans="1:14" ht="21.4" customHeight="1" thickBot="1" x14ac:dyDescent="0.25">
      <c r="A129" s="12" t="s">
        <v>413</v>
      </c>
      <c r="B129" s="6" t="s">
        <v>414</v>
      </c>
      <c r="C129" s="6" t="s">
        <v>415</v>
      </c>
      <c r="D129" s="71" t="s">
        <v>416</v>
      </c>
      <c r="E129" s="71"/>
      <c r="F129" s="71"/>
      <c r="G129" s="71"/>
      <c r="H129" s="71"/>
      <c r="I129" s="71"/>
      <c r="J129" s="71"/>
      <c r="K129" s="19">
        <f>SUM(K131:K133)</f>
        <v>3</v>
      </c>
      <c r="L129" s="20">
        <f>ROUND(213.592*(1+M2/100),2)</f>
        <v>220</v>
      </c>
      <c r="M129" s="20">
        <f>ROUND(K129*L129,2)</f>
        <v>660</v>
      </c>
      <c r="N129" s="8"/>
    </row>
    <row r="130" spans="1:14" ht="15.2" customHeight="1" thickBot="1" x14ac:dyDescent="0.25">
      <c r="A130" s="8"/>
      <c r="B130" s="8"/>
      <c r="C130" s="8"/>
      <c r="D130" s="8"/>
      <c r="E130" s="21"/>
      <c r="F130" s="23" t="s">
        <v>417</v>
      </c>
      <c r="G130" s="23" t="s">
        <v>418</v>
      </c>
      <c r="H130" s="23" t="s">
        <v>419</v>
      </c>
      <c r="I130" s="23" t="s">
        <v>420</v>
      </c>
      <c r="J130" s="23" t="s">
        <v>421</v>
      </c>
      <c r="K130" s="23" t="s">
        <v>422</v>
      </c>
      <c r="L130" s="8"/>
      <c r="M130" s="8"/>
      <c r="N130" s="8"/>
    </row>
    <row r="131" spans="1:14" ht="30.6" customHeight="1" thickBot="1" x14ac:dyDescent="0.25">
      <c r="A131" s="8"/>
      <c r="B131" s="8"/>
      <c r="C131" s="8"/>
      <c r="D131" s="24"/>
      <c r="E131" s="25" t="s">
        <v>423</v>
      </c>
      <c r="F131" s="26">
        <v>1</v>
      </c>
      <c r="G131" s="27"/>
      <c r="H131" s="27"/>
      <c r="I131" s="27"/>
      <c r="J131" s="29">
        <f>ROUND(F131,3)</f>
        <v>1</v>
      </c>
      <c r="K131" s="32"/>
      <c r="L131" s="8"/>
      <c r="M131" s="8"/>
      <c r="N131" s="8"/>
    </row>
    <row r="132" spans="1:14" ht="21.4" customHeight="1" thickBot="1" x14ac:dyDescent="0.25">
      <c r="A132" s="8"/>
      <c r="B132" s="8"/>
      <c r="C132" s="8"/>
      <c r="D132" s="24"/>
      <c r="E132" s="6" t="s">
        <v>424</v>
      </c>
      <c r="F132" s="4">
        <v>1</v>
      </c>
      <c r="G132" s="19"/>
      <c r="H132" s="19"/>
      <c r="I132" s="19"/>
      <c r="J132" s="28">
        <f>ROUND(F132,3)</f>
        <v>1</v>
      </c>
      <c r="K132" s="8"/>
      <c r="L132" s="8"/>
      <c r="M132" s="8"/>
      <c r="N132" s="8"/>
    </row>
    <row r="133" spans="1:14" ht="30.6" customHeight="1" thickBot="1" x14ac:dyDescent="0.25">
      <c r="A133" s="8"/>
      <c r="B133" s="8"/>
      <c r="C133" s="8"/>
      <c r="D133" s="24"/>
      <c r="E133" s="6" t="s">
        <v>425</v>
      </c>
      <c r="F133" s="4">
        <v>1</v>
      </c>
      <c r="G133" s="19"/>
      <c r="H133" s="19"/>
      <c r="I133" s="19"/>
      <c r="J133" s="28">
        <f>ROUND(F133,3)</f>
        <v>1</v>
      </c>
      <c r="K133" s="30">
        <f>SUM(J131:J133)</f>
        <v>3</v>
      </c>
      <c r="L133" s="8"/>
      <c r="M133" s="8"/>
      <c r="N133" s="8"/>
    </row>
    <row r="134" spans="1:14" ht="21.4" customHeight="1" thickBot="1" x14ac:dyDescent="0.25">
      <c r="A134" s="12" t="s">
        <v>426</v>
      </c>
      <c r="B134" s="6" t="s">
        <v>427</v>
      </c>
      <c r="C134" s="6" t="s">
        <v>428</v>
      </c>
      <c r="D134" s="71" t="s">
        <v>429</v>
      </c>
      <c r="E134" s="71"/>
      <c r="F134" s="71"/>
      <c r="G134" s="71"/>
      <c r="H134" s="71"/>
      <c r="I134" s="71"/>
      <c r="J134" s="71"/>
      <c r="K134" s="19">
        <f>ROUND(1,2)</f>
        <v>1</v>
      </c>
      <c r="L134" s="20">
        <f>ROUND(16.13*(1+M2/100),2)</f>
        <v>16.61</v>
      </c>
      <c r="M134" s="20">
        <f>ROUND(K134*L134,2)</f>
        <v>16.61</v>
      </c>
      <c r="N134" s="8"/>
    </row>
    <row r="135" spans="1:14" ht="21.4" customHeight="1" thickBot="1" x14ac:dyDescent="0.25">
      <c r="A135" s="12" t="s">
        <v>430</v>
      </c>
      <c r="B135" s="6" t="s">
        <v>431</v>
      </c>
      <c r="C135" s="6" t="s">
        <v>432</v>
      </c>
      <c r="D135" s="71" t="s">
        <v>433</v>
      </c>
      <c r="E135" s="71"/>
      <c r="F135" s="71"/>
      <c r="G135" s="71"/>
      <c r="H135" s="71"/>
      <c r="I135" s="71"/>
      <c r="J135" s="71"/>
      <c r="K135" s="19">
        <f>ROUND(1,2)</f>
        <v>1</v>
      </c>
      <c r="L135" s="20">
        <f>ROUND(26.4*(1+M2/100),2)</f>
        <v>27.19</v>
      </c>
      <c r="M135" s="20">
        <f>ROUND(K135*L135,2)</f>
        <v>27.19</v>
      </c>
      <c r="N135" s="8"/>
    </row>
    <row r="136" spans="1:14" ht="21.4" customHeight="1" thickBot="1" x14ac:dyDescent="0.25">
      <c r="A136" s="12" t="s">
        <v>434</v>
      </c>
      <c r="B136" s="6" t="s">
        <v>435</v>
      </c>
      <c r="C136" s="6" t="s">
        <v>436</v>
      </c>
      <c r="D136" s="71" t="s">
        <v>437</v>
      </c>
      <c r="E136" s="71"/>
      <c r="F136" s="71"/>
      <c r="G136" s="71"/>
      <c r="H136" s="71"/>
      <c r="I136" s="71"/>
      <c r="J136" s="71"/>
      <c r="K136" s="19">
        <f>ROUND(1,2)</f>
        <v>1</v>
      </c>
      <c r="L136" s="20">
        <f>ROUND(74.801*(1+M2/100),2)</f>
        <v>77.05</v>
      </c>
      <c r="M136" s="20">
        <f>ROUND(K136*L136,2)</f>
        <v>77.05</v>
      </c>
      <c r="N136" s="8"/>
    </row>
    <row r="137" spans="1:14" ht="86.1" customHeight="1" thickBot="1" x14ac:dyDescent="0.25">
      <c r="A137" s="12" t="s">
        <v>438</v>
      </c>
      <c r="B137" s="6" t="s">
        <v>439</v>
      </c>
      <c r="C137" s="6" t="s">
        <v>440</v>
      </c>
      <c r="D137" s="71" t="s">
        <v>441</v>
      </c>
      <c r="E137" s="71"/>
      <c r="F137" s="71"/>
      <c r="G137" s="71"/>
      <c r="H137" s="71"/>
      <c r="I137" s="71"/>
      <c r="J137" s="71"/>
      <c r="K137" s="19">
        <f>ROUND(1,2)</f>
        <v>1</v>
      </c>
      <c r="L137" s="20">
        <f>ROUND(1623.74*(1+M2/100),2)</f>
        <v>1672.45</v>
      </c>
      <c r="M137" s="20">
        <f>ROUND(K137*L137,2)</f>
        <v>1672.45</v>
      </c>
      <c r="N137" s="8"/>
    </row>
    <row r="138" spans="1:14" ht="15.4" customHeight="1" thickBot="1" x14ac:dyDescent="0.25">
      <c r="A138" s="12" t="s">
        <v>442</v>
      </c>
      <c r="B138" s="6" t="s">
        <v>443</v>
      </c>
      <c r="C138" s="6" t="s">
        <v>444</v>
      </c>
      <c r="D138" s="71" t="s">
        <v>445</v>
      </c>
      <c r="E138" s="71"/>
      <c r="F138" s="71"/>
      <c r="G138" s="71"/>
      <c r="H138" s="71"/>
      <c r="I138" s="71"/>
      <c r="J138" s="71"/>
      <c r="K138" s="19">
        <f>ROUND(1,2)</f>
        <v>1</v>
      </c>
      <c r="L138" s="20">
        <f>ROUND(256.311*(1+M2/100),2)</f>
        <v>264</v>
      </c>
      <c r="M138" s="20">
        <f>ROUND(K138*L138,2)</f>
        <v>264</v>
      </c>
      <c r="N138" s="8"/>
    </row>
    <row r="139" spans="1:14" ht="15.4" customHeight="1" thickBot="1" x14ac:dyDescent="0.25">
      <c r="A139" s="33"/>
      <c r="B139" s="33"/>
      <c r="C139" s="33"/>
      <c r="D139" s="43" t="s">
        <v>446</v>
      </c>
      <c r="E139" s="44"/>
      <c r="F139" s="44"/>
      <c r="G139" s="44"/>
      <c r="H139" s="44"/>
      <c r="I139" s="44"/>
      <c r="J139" s="44"/>
      <c r="K139" s="44"/>
      <c r="L139" s="45">
        <f>M127+M128+M129+M134+M135+M136+M137+M138</f>
        <v>3515.9</v>
      </c>
      <c r="M139" s="45">
        <f>ROUND(L139,2)</f>
        <v>3515.9</v>
      </c>
      <c r="N139" s="8"/>
    </row>
    <row r="140" spans="1:14" ht="15.4" customHeight="1" thickBot="1" x14ac:dyDescent="0.25">
      <c r="A140" s="58"/>
      <c r="B140" s="58"/>
      <c r="C140" s="58"/>
      <c r="D140" s="62" t="s">
        <v>447</v>
      </c>
      <c r="E140" s="63"/>
      <c r="F140" s="63"/>
      <c r="G140" s="63"/>
      <c r="H140" s="63"/>
      <c r="I140" s="63"/>
      <c r="J140" s="63"/>
      <c r="K140" s="63"/>
      <c r="L140" s="64">
        <f>M63+M107+M125+M139</f>
        <v>45128.14</v>
      </c>
      <c r="M140" s="64">
        <f>ROUND(L140,2)</f>
        <v>45128.14</v>
      </c>
      <c r="N140" s="8"/>
    </row>
    <row r="141" spans="1:14" ht="15.4" customHeight="1" thickBot="1" x14ac:dyDescent="0.25">
      <c r="A141" s="37" t="s">
        <v>448</v>
      </c>
      <c r="B141" s="37" t="s">
        <v>449</v>
      </c>
      <c r="C141" s="38"/>
      <c r="D141" s="72" t="s">
        <v>450</v>
      </c>
      <c r="E141" s="72"/>
      <c r="F141" s="72"/>
      <c r="G141" s="72"/>
      <c r="H141" s="72"/>
      <c r="I141" s="72"/>
      <c r="J141" s="72"/>
      <c r="K141" s="38"/>
      <c r="L141" s="39">
        <f>L148</f>
        <v>2238.25</v>
      </c>
      <c r="M141" s="39">
        <f>ROUND(L141,2)</f>
        <v>2238.25</v>
      </c>
      <c r="N141" s="8"/>
    </row>
    <row r="142" spans="1:14" ht="15.4" customHeight="1" thickBot="1" x14ac:dyDescent="0.25">
      <c r="A142" s="12" t="s">
        <v>451</v>
      </c>
      <c r="B142" s="6" t="s">
        <v>452</v>
      </c>
      <c r="C142" s="6" t="s">
        <v>453</v>
      </c>
      <c r="D142" s="71" t="s">
        <v>454</v>
      </c>
      <c r="E142" s="71"/>
      <c r="F142" s="71"/>
      <c r="G142" s="71"/>
      <c r="H142" s="71"/>
      <c r="I142" s="71"/>
      <c r="J142" s="71"/>
      <c r="K142" s="19">
        <f>ROUND(1,2)</f>
        <v>1</v>
      </c>
      <c r="L142" s="20">
        <f>ROUND(229.145*(1+M2/100),2)</f>
        <v>236.02</v>
      </c>
      <c r="M142" s="20">
        <f>ROUND(K142*L142,2)</f>
        <v>236.02</v>
      </c>
      <c r="N142" s="8"/>
    </row>
    <row r="143" spans="1:14" ht="21.4" customHeight="1" thickBot="1" x14ac:dyDescent="0.25">
      <c r="A143" s="12" t="s">
        <v>455</v>
      </c>
      <c r="B143" s="6" t="s">
        <v>456</v>
      </c>
      <c r="C143" s="6" t="s">
        <v>457</v>
      </c>
      <c r="D143" s="71" t="s">
        <v>458</v>
      </c>
      <c r="E143" s="71"/>
      <c r="F143" s="71"/>
      <c r="G143" s="71"/>
      <c r="H143" s="71"/>
      <c r="I143" s="71"/>
      <c r="J143" s="71"/>
      <c r="K143" s="19">
        <f>SUM(K145:K146)</f>
        <v>2</v>
      </c>
      <c r="L143" s="20">
        <f>ROUND(590.047*(1+M2/100),2)</f>
        <v>607.75</v>
      </c>
      <c r="M143" s="20">
        <f>ROUND(K143*L143,2)</f>
        <v>1215.5</v>
      </c>
      <c r="N143" s="8"/>
    </row>
    <row r="144" spans="1:14" ht="15.2" customHeight="1" thickBot="1" x14ac:dyDescent="0.25">
      <c r="A144" s="8"/>
      <c r="B144" s="8"/>
      <c r="C144" s="8"/>
      <c r="D144" s="8"/>
      <c r="E144" s="21"/>
      <c r="F144" s="23" t="s">
        <v>459</v>
      </c>
      <c r="G144" s="23" t="s">
        <v>460</v>
      </c>
      <c r="H144" s="23" t="s">
        <v>461</v>
      </c>
      <c r="I144" s="23" t="s">
        <v>462</v>
      </c>
      <c r="J144" s="23" t="s">
        <v>463</v>
      </c>
      <c r="K144" s="23" t="s">
        <v>464</v>
      </c>
      <c r="L144" s="8"/>
      <c r="M144" s="8"/>
      <c r="N144" s="8"/>
    </row>
    <row r="145" spans="1:14" ht="30.6" customHeight="1" thickBot="1" x14ac:dyDescent="0.25">
      <c r="A145" s="8"/>
      <c r="B145" s="8"/>
      <c r="C145" s="8"/>
      <c r="D145" s="24"/>
      <c r="E145" s="25" t="s">
        <v>465</v>
      </c>
      <c r="F145" s="26">
        <v>1</v>
      </c>
      <c r="G145" s="27"/>
      <c r="H145" s="27"/>
      <c r="I145" s="27"/>
      <c r="J145" s="29">
        <f>ROUND(F145,3)</f>
        <v>1</v>
      </c>
      <c r="K145" s="32"/>
      <c r="L145" s="8"/>
      <c r="M145" s="8"/>
      <c r="N145" s="8"/>
    </row>
    <row r="146" spans="1:14" ht="30.6" customHeight="1" thickBot="1" x14ac:dyDescent="0.25">
      <c r="A146" s="8"/>
      <c r="B146" s="8"/>
      <c r="C146" s="8"/>
      <c r="D146" s="24"/>
      <c r="E146" s="6" t="s">
        <v>466</v>
      </c>
      <c r="F146" s="4">
        <v>1</v>
      </c>
      <c r="G146" s="19"/>
      <c r="H146" s="19"/>
      <c r="I146" s="19"/>
      <c r="J146" s="28">
        <f>ROUND(F146,3)</f>
        <v>1</v>
      </c>
      <c r="K146" s="30">
        <f>SUM(J145:J146)</f>
        <v>2</v>
      </c>
      <c r="L146" s="8"/>
      <c r="M146" s="8"/>
      <c r="N146" s="8"/>
    </row>
    <row r="147" spans="1:14" ht="15.4" customHeight="1" thickBot="1" x14ac:dyDescent="0.25">
      <c r="A147" s="12" t="s">
        <v>467</v>
      </c>
      <c r="B147" s="6" t="s">
        <v>468</v>
      </c>
      <c r="C147" s="6" t="s">
        <v>469</v>
      </c>
      <c r="D147" s="71" t="s">
        <v>470</v>
      </c>
      <c r="E147" s="71"/>
      <c r="F147" s="71"/>
      <c r="G147" s="71"/>
      <c r="H147" s="71"/>
      <c r="I147" s="71"/>
      <c r="J147" s="71"/>
      <c r="K147" s="19">
        <f>ROUND(1,2)</f>
        <v>1</v>
      </c>
      <c r="L147" s="20">
        <f>ROUND(763.816*(1+M2/100),2)</f>
        <v>786.73</v>
      </c>
      <c r="M147" s="20">
        <f>ROUND(K147*L147,2)</f>
        <v>786.73</v>
      </c>
      <c r="N147" s="8"/>
    </row>
    <row r="148" spans="1:14" ht="15.4" customHeight="1" thickBot="1" x14ac:dyDescent="0.25">
      <c r="A148" s="33"/>
      <c r="B148" s="33"/>
      <c r="C148" s="33"/>
      <c r="D148" s="34" t="s">
        <v>471</v>
      </c>
      <c r="E148" s="35"/>
      <c r="F148" s="35"/>
      <c r="G148" s="35"/>
      <c r="H148" s="35"/>
      <c r="I148" s="35"/>
      <c r="J148" s="35"/>
      <c r="K148" s="35"/>
      <c r="L148" s="36">
        <f>M142+M143+M147</f>
        <v>2238.25</v>
      </c>
      <c r="M148" s="36">
        <f>ROUND(L148,2)</f>
        <v>2238.25</v>
      </c>
      <c r="N148" s="8"/>
    </row>
    <row r="149" spans="1:14" ht="15.4" customHeight="1" thickBot="1" x14ac:dyDescent="0.25">
      <c r="A149" s="58"/>
      <c r="B149" s="58"/>
      <c r="C149" s="58"/>
      <c r="D149" s="65" t="s">
        <v>472</v>
      </c>
      <c r="E149" s="66"/>
      <c r="F149" s="66"/>
      <c r="G149" s="66"/>
      <c r="H149" s="66"/>
      <c r="I149" s="66"/>
      <c r="J149" s="66"/>
      <c r="K149" s="66"/>
      <c r="L149" s="67">
        <f>M20+M140+M148</f>
        <v>48951.360000000001</v>
      </c>
      <c r="M149" s="67">
        <f>ROUND(L149,2)</f>
        <v>48951.360000000001</v>
      </c>
      <c r="N149" s="8"/>
    </row>
  </sheetData>
  <mergeCells count="80">
    <mergeCell ref="D138:J138"/>
    <mergeCell ref="D141:J141"/>
    <mergeCell ref="D142:J142"/>
    <mergeCell ref="D143:J143"/>
    <mergeCell ref="D147:J147"/>
    <mergeCell ref="D129:J129"/>
    <mergeCell ref="D134:J134"/>
    <mergeCell ref="D135:J135"/>
    <mergeCell ref="D136:J136"/>
    <mergeCell ref="D137:J137"/>
    <mergeCell ref="D118:J118"/>
    <mergeCell ref="D121:J121"/>
    <mergeCell ref="D126:J126"/>
    <mergeCell ref="D127:J127"/>
    <mergeCell ref="D128:J128"/>
    <mergeCell ref="D103:J103"/>
    <mergeCell ref="D108:J108"/>
    <mergeCell ref="D109:J109"/>
    <mergeCell ref="D110:J110"/>
    <mergeCell ref="D114:J114"/>
    <mergeCell ref="D94:J94"/>
    <mergeCell ref="D95:J95"/>
    <mergeCell ref="D96:J96"/>
    <mergeCell ref="D100:J100"/>
    <mergeCell ref="D102:J102"/>
    <mergeCell ref="D72:J72"/>
    <mergeCell ref="D74:J74"/>
    <mergeCell ref="D75:J75"/>
    <mergeCell ref="D82:J82"/>
    <mergeCell ref="D90:J90"/>
    <mergeCell ref="D64:J64"/>
    <mergeCell ref="D65:J65"/>
    <mergeCell ref="D66:J66"/>
    <mergeCell ref="D67:J67"/>
    <mergeCell ref="D68:J68"/>
    <mergeCell ref="D56:J56"/>
    <mergeCell ref="D57:J57"/>
    <mergeCell ref="D58:J58"/>
    <mergeCell ref="D59:J59"/>
    <mergeCell ref="D60:J60"/>
    <mergeCell ref="D47:J47"/>
    <mergeCell ref="D50:J50"/>
    <mergeCell ref="D51:J51"/>
    <mergeCell ref="D52:J52"/>
    <mergeCell ref="D55:J55"/>
    <mergeCell ref="D42:J42"/>
    <mergeCell ref="D43:J43"/>
    <mergeCell ref="D44:J44"/>
    <mergeCell ref="D45:J45"/>
    <mergeCell ref="D46:J46"/>
    <mergeCell ref="D35:J35"/>
    <mergeCell ref="D36:J36"/>
    <mergeCell ref="D37:J37"/>
    <mergeCell ref="D40:J40"/>
    <mergeCell ref="D41:J41"/>
    <mergeCell ref="D30:J30"/>
    <mergeCell ref="D31:J31"/>
    <mergeCell ref="D32:J32"/>
    <mergeCell ref="D33:J33"/>
    <mergeCell ref="D34:J34"/>
    <mergeCell ref="D23:J23"/>
    <mergeCell ref="D26:J26"/>
    <mergeCell ref="D27:J27"/>
    <mergeCell ref="D28:J28"/>
    <mergeCell ref="D29:J29"/>
    <mergeCell ref="D17:J17"/>
    <mergeCell ref="D18:J18"/>
    <mergeCell ref="D19:J19"/>
    <mergeCell ref="D21:J21"/>
    <mergeCell ref="D22:J22"/>
    <mergeCell ref="D7:J7"/>
    <mergeCell ref="D8:J8"/>
    <mergeCell ref="D9:J9"/>
    <mergeCell ref="D12:J12"/>
    <mergeCell ref="D16:J16"/>
    <mergeCell ref="B1:M1"/>
    <mergeCell ref="A2:C2"/>
    <mergeCell ref="D4:J4"/>
    <mergeCell ref="D5:J5"/>
    <mergeCell ref="D6:J6"/>
  </mergeCells>
  <pageMargins left="0.62007900000000005" right="0.472441" top="0.472441" bottom="0.472441" header="0" footer="0"/>
  <pageSetup paperSize="9" orientation="landscape" r:id="rId1"/>
  <rowBreaks count="2" manualBreakCount="2">
    <brk max="16383" man="1"/>
    <brk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Cortadella Sicart, Marta</cp:lastModifiedBy>
  <dcterms:modified xsi:type="dcterms:W3CDTF">2025-11-05T07:30:15Z</dcterms:modified>
</cp:coreProperties>
</file>