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FISICS\HOME\DTE\GEEC\2025\SCS-2025-8 Acord Marc Monitors\Valoració econ i final\"/>
    </mc:Choice>
  </mc:AlternateContent>
  <bookViews>
    <workbookView xWindow="0" yWindow="0" windowWidth="19200" windowHeight="6770"/>
  </bookViews>
  <sheets>
    <sheet name="VALORACIONS TOTALS LOTS" sheetId="3" r:id="rId1"/>
    <sheet name="LOT_1_2_3 ALTRES CALCULS" sheetId="4" r:id="rId2"/>
    <sheet name=" LOT 4_CALCUL PREU PONDERAT" sheetId="5" r:id="rId3"/>
    <sheet name="LOT 4_ALTRES CALCULS" sheetId="6" r:id="rId4"/>
  </sheets>
  <definedNames>
    <definedName name="_xlnm.Print_Area" localSheetId="0">'VALORACIONS TOTALS LOTS'!$A$4:$Z$26</definedName>
    <definedName name="_xlnm.Print_Titles" localSheetId="0">'VALORACIONS TOTALS LOTS'!$3:$7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7" i="6" l="1"/>
  <c r="G56" i="6"/>
  <c r="G55" i="6"/>
  <c r="G54" i="6"/>
  <c r="G40" i="6"/>
  <c r="G39" i="6"/>
  <c r="G38" i="6"/>
  <c r="G37" i="6"/>
  <c r="G23" i="6"/>
  <c r="G22" i="6"/>
  <c r="G21" i="6"/>
  <c r="G20" i="6"/>
  <c r="G6" i="6"/>
  <c r="G5" i="6"/>
  <c r="G4" i="6"/>
  <c r="G3" i="6"/>
  <c r="F57" i="6"/>
  <c r="F56" i="6"/>
  <c r="F55" i="6"/>
  <c r="F54" i="6"/>
  <c r="F40" i="6"/>
  <c r="F39" i="6"/>
  <c r="F38" i="6"/>
  <c r="F37" i="6"/>
  <c r="F23" i="6"/>
  <c r="F22" i="6"/>
  <c r="F21" i="6"/>
  <c r="F20" i="6"/>
  <c r="F6" i="6"/>
  <c r="F5" i="6"/>
  <c r="F4" i="6"/>
  <c r="F3" i="6"/>
  <c r="L40" i="6"/>
  <c r="L39" i="6"/>
  <c r="L38" i="6"/>
  <c r="L37" i="6"/>
  <c r="L23" i="6"/>
  <c r="L22" i="6"/>
  <c r="L21" i="6"/>
  <c r="L20" i="6"/>
  <c r="L6" i="6"/>
  <c r="L5" i="6"/>
  <c r="L4" i="6"/>
  <c r="L3" i="6"/>
  <c r="K57" i="6"/>
  <c r="K56" i="6"/>
  <c r="K55" i="6"/>
  <c r="K54" i="6"/>
  <c r="K40" i="6"/>
  <c r="K39" i="6"/>
  <c r="K38" i="6"/>
  <c r="K37" i="6"/>
  <c r="K23" i="6"/>
  <c r="K22" i="6"/>
  <c r="K21" i="6"/>
  <c r="K20" i="6"/>
  <c r="K6" i="6"/>
  <c r="K5" i="6"/>
  <c r="K4" i="6"/>
  <c r="K3" i="6"/>
  <c r="L22" i="4"/>
  <c r="L21" i="4"/>
  <c r="L20" i="4"/>
  <c r="L19" i="4"/>
  <c r="L18" i="4"/>
  <c r="L17" i="4"/>
  <c r="L16" i="4"/>
  <c r="L12" i="4"/>
  <c r="L11" i="4"/>
  <c r="L10" i="4"/>
  <c r="L9" i="4"/>
  <c r="L5" i="4"/>
  <c r="L3" i="4"/>
  <c r="K22" i="4"/>
  <c r="K21" i="4"/>
  <c r="K20" i="4"/>
  <c r="K19" i="4"/>
  <c r="K18" i="4"/>
  <c r="K17" i="4"/>
  <c r="K16" i="4"/>
  <c r="K12" i="4"/>
  <c r="K11" i="4"/>
  <c r="K10" i="4"/>
  <c r="K9" i="4"/>
  <c r="K5" i="4"/>
  <c r="K3" i="4"/>
  <c r="F22" i="4"/>
  <c r="F21" i="4"/>
  <c r="F20" i="4"/>
  <c r="F19" i="4"/>
  <c r="F17" i="4"/>
  <c r="G19" i="4" s="1"/>
  <c r="F16" i="4"/>
  <c r="G3" i="4"/>
  <c r="F12" i="4"/>
  <c r="F11" i="4"/>
  <c r="F10" i="4"/>
  <c r="G12" i="4" s="1"/>
  <c r="F5" i="4"/>
  <c r="F3" i="4"/>
  <c r="G5" i="4" s="1"/>
  <c r="L57" i="6"/>
  <c r="L56" i="6"/>
  <c r="L55" i="6"/>
  <c r="L54" i="6"/>
  <c r="G10" i="4" l="1"/>
  <c r="G16" i="4"/>
  <c r="G20" i="4"/>
  <c r="G21" i="4"/>
  <c r="G22" i="4"/>
  <c r="G11" i="4"/>
  <c r="G17" i="4"/>
  <c r="AD20" i="3"/>
  <c r="AD21" i="3"/>
  <c r="AB26" i="3"/>
  <c r="AD26" i="3" s="1"/>
  <c r="AB25" i="3"/>
  <c r="AD25" i="3" s="1"/>
  <c r="AB24" i="3"/>
  <c r="AD24" i="3" s="1"/>
  <c r="AB23" i="3"/>
  <c r="AD23" i="3" s="1"/>
  <c r="AB22" i="3"/>
  <c r="AD22" i="3" s="1"/>
  <c r="AB21" i="3"/>
  <c r="AB20" i="3"/>
  <c r="AA20" i="3"/>
  <c r="AC20" i="3" l="1"/>
  <c r="O57" i="6" l="1"/>
  <c r="O56" i="6"/>
  <c r="O55" i="6"/>
  <c r="O54" i="6"/>
  <c r="O40" i="6"/>
  <c r="O39" i="6"/>
  <c r="O38" i="6"/>
  <c r="O37" i="6"/>
  <c r="O6" i="6"/>
  <c r="O5" i="6"/>
  <c r="O4" i="6"/>
  <c r="O3" i="6"/>
  <c r="M21" i="3" l="1"/>
  <c r="X32" i="3" l="1"/>
  <c r="W34" i="3"/>
  <c r="X34" i="3"/>
  <c r="AH34" i="3" l="1"/>
  <c r="AH33" i="3"/>
  <c r="AG34" i="3"/>
  <c r="AG33" i="3"/>
  <c r="AF34" i="3"/>
  <c r="AF33" i="3"/>
  <c r="AE34" i="3"/>
  <c r="AE33" i="3"/>
  <c r="AD34" i="3"/>
  <c r="AD33" i="3"/>
  <c r="AC33" i="3"/>
  <c r="AC34" i="3"/>
  <c r="AA34" i="3"/>
  <c r="AA33" i="3"/>
  <c r="Z34" i="3"/>
  <c r="Z33" i="3"/>
  <c r="Y34" i="3"/>
  <c r="Y33" i="3"/>
  <c r="Y32" i="3"/>
  <c r="U33" i="3"/>
  <c r="U32" i="3"/>
  <c r="AH32" i="3"/>
  <c r="AG32" i="3"/>
  <c r="AF32" i="3"/>
  <c r="AE32" i="3"/>
  <c r="AC32" i="3"/>
  <c r="AA32" i="3"/>
  <c r="Z32" i="3"/>
  <c r="W33" i="3"/>
  <c r="V32" i="3"/>
  <c r="X33" i="3"/>
  <c r="AH31" i="3" l="1"/>
  <c r="AG31" i="3"/>
  <c r="AF31" i="3"/>
  <c r="AE31" i="3"/>
  <c r="AC31" i="3"/>
  <c r="AA31" i="3"/>
  <c r="Z31" i="3"/>
  <c r="Y31" i="3"/>
  <c r="X31" i="3"/>
  <c r="W31" i="3"/>
  <c r="T31" i="3"/>
  <c r="O34" i="3"/>
  <c r="O33" i="3"/>
  <c r="O32" i="3"/>
  <c r="O31" i="3"/>
  <c r="M34" i="3"/>
  <c r="M33" i="3"/>
  <c r="M32" i="3"/>
  <c r="M31" i="3"/>
  <c r="D34" i="3" l="1"/>
  <c r="D33" i="3"/>
  <c r="D32" i="3"/>
  <c r="D31" i="3"/>
  <c r="AM31" i="3" l="1"/>
  <c r="AN33" i="3" s="1"/>
  <c r="U26" i="3"/>
  <c r="U25" i="3"/>
  <c r="U24" i="3"/>
  <c r="U23" i="3"/>
  <c r="U22" i="3"/>
  <c r="U21" i="3"/>
  <c r="O22" i="4"/>
  <c r="O21" i="4"/>
  <c r="O20" i="4"/>
  <c r="O19" i="4"/>
  <c r="O18" i="4"/>
  <c r="O17" i="4"/>
  <c r="O16" i="4"/>
  <c r="AN32" i="3" l="1"/>
  <c r="AN34" i="3"/>
  <c r="AN31" i="3"/>
  <c r="U20" i="3"/>
  <c r="O12" i="4" l="1"/>
  <c r="V17" i="3" s="1"/>
  <c r="O11" i="4"/>
  <c r="V16" i="3" s="1"/>
  <c r="O10" i="4"/>
  <c r="V15" i="3" s="1"/>
  <c r="O9" i="4"/>
  <c r="V14" i="3" s="1"/>
  <c r="O5" i="4"/>
  <c r="V11" i="3" s="1"/>
  <c r="O4" i="4"/>
  <c r="V10" i="3" s="1"/>
  <c r="O3" i="4"/>
  <c r="V9" i="3" s="1"/>
  <c r="T17" i="3"/>
  <c r="U17" i="3" l="1"/>
  <c r="U16" i="3"/>
  <c r="U15" i="3" l="1"/>
  <c r="T14" i="3" l="1"/>
  <c r="U14" i="3"/>
  <c r="T11" i="3" l="1"/>
  <c r="T10" i="3"/>
  <c r="T9" i="3"/>
  <c r="U11" i="3"/>
  <c r="U10" i="3"/>
  <c r="U9" i="3"/>
  <c r="S32" i="3" l="1"/>
  <c r="S31" i="3"/>
  <c r="S34" i="3" l="1"/>
  <c r="V31" i="3" l="1"/>
  <c r="F69" i="5"/>
  <c r="F52" i="5"/>
  <c r="F35" i="5"/>
  <c r="N37" i="5" s="1"/>
  <c r="F18" i="5"/>
  <c r="N54" i="5" s="1"/>
  <c r="Y9" i="3"/>
  <c r="Z9" i="3" s="1"/>
  <c r="V20" i="3"/>
  <c r="N20" i="5" l="1"/>
  <c r="N3" i="5"/>
  <c r="O37" i="5" s="1"/>
  <c r="O20" i="5" l="1"/>
  <c r="O3" i="5"/>
  <c r="O54" i="5"/>
  <c r="S33" i="3"/>
  <c r="R20" i="6" l="1"/>
  <c r="V34" i="3" l="1"/>
  <c r="V33" i="3"/>
  <c r="Q32" i="3"/>
  <c r="Q34" i="3" l="1"/>
  <c r="Q33" i="3"/>
  <c r="R3" i="6"/>
  <c r="Q31" i="3"/>
  <c r="R37" i="6"/>
  <c r="R54" i="6"/>
  <c r="R40" i="6"/>
  <c r="R39" i="6"/>
  <c r="R38" i="6"/>
  <c r="AE3" i="6" l="1"/>
  <c r="AE63" i="6"/>
  <c r="AE59" i="6"/>
  <c r="AE34" i="6"/>
  <c r="AE24" i="6"/>
  <c r="AE20" i="6"/>
  <c r="AE12" i="6"/>
  <c r="AE11" i="6"/>
  <c r="R68" i="6"/>
  <c r="R67" i="6"/>
  <c r="AE67" i="6" s="1"/>
  <c r="R66" i="6"/>
  <c r="AE66" i="6" s="1"/>
  <c r="R65" i="6"/>
  <c r="AE65" i="6" s="1"/>
  <c r="R64" i="6"/>
  <c r="AE64" i="6" s="1"/>
  <c r="R63" i="6"/>
  <c r="R62" i="6"/>
  <c r="AE62" i="6" s="1"/>
  <c r="R61" i="6"/>
  <c r="AE61" i="6" s="1"/>
  <c r="R60" i="6"/>
  <c r="AE60" i="6" s="1"/>
  <c r="R59" i="6"/>
  <c r="R58" i="6"/>
  <c r="AE58" i="6" s="1"/>
  <c r="R57" i="6"/>
  <c r="AE57" i="6" s="1"/>
  <c r="R56" i="6"/>
  <c r="AE56" i="6" s="1"/>
  <c r="R55" i="6"/>
  <c r="AE55" i="6" s="1"/>
  <c r="AE54" i="6"/>
  <c r="R51" i="6"/>
  <c r="R50" i="6"/>
  <c r="AE50" i="6" s="1"/>
  <c r="R49" i="6"/>
  <c r="AE49" i="6" s="1"/>
  <c r="R48" i="6"/>
  <c r="AE48" i="6" s="1"/>
  <c r="R47" i="6"/>
  <c r="AE47" i="6" s="1"/>
  <c r="R46" i="6"/>
  <c r="AE46" i="6" s="1"/>
  <c r="R45" i="6"/>
  <c r="AE45" i="6" s="1"/>
  <c r="R44" i="6"/>
  <c r="AE44" i="6" s="1"/>
  <c r="R43" i="6"/>
  <c r="AE43" i="6" s="1"/>
  <c r="R42" i="6"/>
  <c r="AE42" i="6" s="1"/>
  <c r="R41" i="6"/>
  <c r="AE41" i="6" s="1"/>
  <c r="AE40" i="6"/>
  <c r="AE39" i="6"/>
  <c r="AE38" i="6"/>
  <c r="AE37" i="6"/>
  <c r="R34" i="6"/>
  <c r="R33" i="6"/>
  <c r="AE33" i="6" s="1"/>
  <c r="R32" i="6"/>
  <c r="AE32" i="6" s="1"/>
  <c r="R31" i="6"/>
  <c r="AE31" i="6" s="1"/>
  <c r="R30" i="6"/>
  <c r="AE30" i="6" s="1"/>
  <c r="R29" i="6"/>
  <c r="AE29" i="6" s="1"/>
  <c r="R28" i="6"/>
  <c r="AE28" i="6" s="1"/>
  <c r="R27" i="6"/>
  <c r="AE27" i="6" s="1"/>
  <c r="R26" i="6"/>
  <c r="AE26" i="6" s="1"/>
  <c r="R25" i="6"/>
  <c r="AE25" i="6" s="1"/>
  <c r="R24" i="6"/>
  <c r="R23" i="6"/>
  <c r="AE23" i="6" s="1"/>
  <c r="R22" i="6"/>
  <c r="AE22" i="6" s="1"/>
  <c r="R21" i="6"/>
  <c r="AE21" i="6" s="1"/>
  <c r="R17" i="6"/>
  <c r="R16" i="6"/>
  <c r="AE16" i="6" s="1"/>
  <c r="R15" i="6"/>
  <c r="AE15" i="6" s="1"/>
  <c r="R14" i="6"/>
  <c r="AE14" i="6" s="1"/>
  <c r="R13" i="6"/>
  <c r="AE13" i="6" s="1"/>
  <c r="R12" i="6"/>
  <c r="R11" i="6"/>
  <c r="R10" i="6"/>
  <c r="AE10" i="6" s="1"/>
  <c r="R9" i="6"/>
  <c r="AE9" i="6" s="1"/>
  <c r="R8" i="6"/>
  <c r="AE8" i="6" s="1"/>
  <c r="R7" i="6"/>
  <c r="AE7" i="6" s="1"/>
  <c r="R6" i="6"/>
  <c r="AE6" i="6" s="1"/>
  <c r="R5" i="6"/>
  <c r="AE5" i="6" s="1"/>
  <c r="R4" i="6"/>
  <c r="AE4" i="6" s="1"/>
  <c r="V68" i="6"/>
  <c r="V51" i="6"/>
  <c r="V34" i="6"/>
  <c r="AB32" i="3" s="1"/>
  <c r="X34" i="6"/>
  <c r="AD32" i="3" s="1"/>
  <c r="AC34" i="6"/>
  <c r="X17" i="6"/>
  <c r="V17" i="6"/>
  <c r="AB31" i="3" s="1"/>
  <c r="G21" i="5"/>
  <c r="H21" i="5" s="1"/>
  <c r="I21" i="5" s="1"/>
  <c r="J21" i="5" s="1"/>
  <c r="K21" i="5" s="1"/>
  <c r="M21" i="5" s="1"/>
  <c r="G20" i="5"/>
  <c r="G51" i="5"/>
  <c r="G50" i="5"/>
  <c r="G49" i="5"/>
  <c r="G48" i="5"/>
  <c r="G47" i="5"/>
  <c r="G46" i="5"/>
  <c r="G45" i="5"/>
  <c r="G44" i="5"/>
  <c r="G43" i="5"/>
  <c r="G42" i="5"/>
  <c r="G41" i="5"/>
  <c r="G34" i="5"/>
  <c r="G33" i="5"/>
  <c r="G32" i="5"/>
  <c r="G31" i="5"/>
  <c r="H31" i="5" s="1"/>
  <c r="I31" i="5" s="1"/>
  <c r="J31" i="5" s="1"/>
  <c r="K31" i="5" s="1"/>
  <c r="M31" i="5" s="1"/>
  <c r="G30" i="5"/>
  <c r="G29" i="5"/>
  <c r="G28" i="5"/>
  <c r="G27" i="5"/>
  <c r="G26" i="5"/>
  <c r="G25" i="5"/>
  <c r="G24" i="5"/>
  <c r="G17" i="5"/>
  <c r="H17" i="5" s="1"/>
  <c r="I17" i="5" s="1"/>
  <c r="J17" i="5" s="1"/>
  <c r="K17" i="5" s="1"/>
  <c r="M17" i="5" s="1"/>
  <c r="G16" i="5"/>
  <c r="G15" i="5"/>
  <c r="G14" i="5"/>
  <c r="G13" i="5"/>
  <c r="G12" i="5"/>
  <c r="G11" i="5"/>
  <c r="G10" i="5"/>
  <c r="G9" i="5"/>
  <c r="H9" i="5" s="1"/>
  <c r="I9" i="5" s="1"/>
  <c r="J9" i="5" s="1"/>
  <c r="K9" i="5" s="1"/>
  <c r="M9" i="5" s="1"/>
  <c r="G7" i="5"/>
  <c r="G8" i="5"/>
  <c r="G68" i="5"/>
  <c r="G67" i="5"/>
  <c r="H67" i="5" s="1"/>
  <c r="I67" i="5" s="1"/>
  <c r="J67" i="5" s="1"/>
  <c r="K67" i="5" s="1"/>
  <c r="M67" i="5" s="1"/>
  <c r="G66" i="5"/>
  <c r="G65" i="5"/>
  <c r="G64" i="5"/>
  <c r="G63" i="5"/>
  <c r="G62" i="5"/>
  <c r="G61" i="5"/>
  <c r="G60" i="5"/>
  <c r="G59" i="5"/>
  <c r="G58" i="5"/>
  <c r="G57" i="5"/>
  <c r="G56" i="5"/>
  <c r="G55" i="5"/>
  <c r="G54" i="5"/>
  <c r="G40" i="5"/>
  <c r="G39" i="5"/>
  <c r="H39" i="5" s="1"/>
  <c r="I39" i="5" s="1"/>
  <c r="J39" i="5" s="1"/>
  <c r="K39" i="5" s="1"/>
  <c r="M39" i="5" s="1"/>
  <c r="G38" i="5"/>
  <c r="G37" i="5"/>
  <c r="G23" i="5"/>
  <c r="H23" i="5"/>
  <c r="I23" i="5" s="1"/>
  <c r="J23" i="5" s="1"/>
  <c r="K23" i="5" s="1"/>
  <c r="M23" i="5" s="1"/>
  <c r="G22" i="5"/>
  <c r="G6" i="5"/>
  <c r="G5" i="5"/>
  <c r="G4" i="5"/>
  <c r="G3" i="5"/>
  <c r="E68" i="5"/>
  <c r="H68" i="5" s="1"/>
  <c r="I68" i="5" s="1"/>
  <c r="J68" i="5" s="1"/>
  <c r="K68" i="5" s="1"/>
  <c r="M68" i="5" s="1"/>
  <c r="E67" i="5"/>
  <c r="E66" i="5"/>
  <c r="H66" i="5" s="1"/>
  <c r="I66" i="5" s="1"/>
  <c r="J66" i="5" s="1"/>
  <c r="K66" i="5" s="1"/>
  <c r="M66" i="5" s="1"/>
  <c r="E65" i="5"/>
  <c r="E64" i="5"/>
  <c r="E63" i="5"/>
  <c r="E62" i="5"/>
  <c r="E61" i="5"/>
  <c r="H61" i="5" s="1"/>
  <c r="I61" i="5" s="1"/>
  <c r="J61" i="5" s="1"/>
  <c r="K61" i="5" s="1"/>
  <c r="M61" i="5" s="1"/>
  <c r="E60" i="5"/>
  <c r="H60" i="5" s="1"/>
  <c r="I60" i="5" s="1"/>
  <c r="J60" i="5" s="1"/>
  <c r="K60" i="5" s="1"/>
  <c r="M60" i="5" s="1"/>
  <c r="E59" i="5"/>
  <c r="E58" i="5"/>
  <c r="E57" i="5"/>
  <c r="E56" i="5"/>
  <c r="E55" i="5"/>
  <c r="H55" i="5" s="1"/>
  <c r="I55" i="5" s="1"/>
  <c r="J55" i="5" s="1"/>
  <c r="K55" i="5" s="1"/>
  <c r="M55" i="5" s="1"/>
  <c r="E54" i="5"/>
  <c r="E51" i="5"/>
  <c r="H51" i="5" s="1"/>
  <c r="I51" i="5" s="1"/>
  <c r="J51" i="5" s="1"/>
  <c r="K51" i="5" s="1"/>
  <c r="M51" i="5" s="1"/>
  <c r="E50" i="5"/>
  <c r="H50" i="5" s="1"/>
  <c r="I50" i="5" s="1"/>
  <c r="J50" i="5" s="1"/>
  <c r="K50" i="5" s="1"/>
  <c r="M50" i="5" s="1"/>
  <c r="E49" i="5"/>
  <c r="H49" i="5" s="1"/>
  <c r="I49" i="5" s="1"/>
  <c r="J49" i="5" s="1"/>
  <c r="K49" i="5" s="1"/>
  <c r="M49" i="5" s="1"/>
  <c r="E48" i="5"/>
  <c r="E47" i="5"/>
  <c r="E46" i="5"/>
  <c r="H46" i="5" s="1"/>
  <c r="I46" i="5" s="1"/>
  <c r="J46" i="5" s="1"/>
  <c r="K46" i="5" s="1"/>
  <c r="M46" i="5" s="1"/>
  <c r="E45" i="5"/>
  <c r="E44" i="5"/>
  <c r="E43" i="5"/>
  <c r="H43" i="5" s="1"/>
  <c r="I43" i="5" s="1"/>
  <c r="J43" i="5" s="1"/>
  <c r="K43" i="5" s="1"/>
  <c r="M43" i="5" s="1"/>
  <c r="E42" i="5"/>
  <c r="H42" i="5" s="1"/>
  <c r="I42" i="5" s="1"/>
  <c r="J42" i="5" s="1"/>
  <c r="K42" i="5" s="1"/>
  <c r="M42" i="5" s="1"/>
  <c r="E41" i="5"/>
  <c r="H41" i="5" s="1"/>
  <c r="I41" i="5" s="1"/>
  <c r="J41" i="5" s="1"/>
  <c r="K41" i="5" s="1"/>
  <c r="M41" i="5" s="1"/>
  <c r="E40" i="5"/>
  <c r="E39" i="5"/>
  <c r="E38" i="5"/>
  <c r="E37" i="5"/>
  <c r="E52" i="5" s="1"/>
  <c r="E34" i="5"/>
  <c r="H34" i="5" s="1"/>
  <c r="I34" i="5" s="1"/>
  <c r="J34" i="5" s="1"/>
  <c r="K34" i="5" s="1"/>
  <c r="M34" i="5" s="1"/>
  <c r="E33" i="5"/>
  <c r="E32" i="5"/>
  <c r="H32" i="5" s="1"/>
  <c r="I32" i="5" s="1"/>
  <c r="J32" i="5" s="1"/>
  <c r="K32" i="5" s="1"/>
  <c r="M32" i="5" s="1"/>
  <c r="E31" i="5"/>
  <c r="E30" i="5"/>
  <c r="E29" i="5"/>
  <c r="H29" i="5" s="1"/>
  <c r="I29" i="5" s="1"/>
  <c r="J29" i="5" s="1"/>
  <c r="K29" i="5" s="1"/>
  <c r="M29" i="5" s="1"/>
  <c r="E28" i="5"/>
  <c r="H28" i="5" s="1"/>
  <c r="I28" i="5" s="1"/>
  <c r="J28" i="5" s="1"/>
  <c r="K28" i="5" s="1"/>
  <c r="M28" i="5" s="1"/>
  <c r="E27" i="5"/>
  <c r="H27" i="5" s="1"/>
  <c r="I27" i="5" s="1"/>
  <c r="J27" i="5" s="1"/>
  <c r="K27" i="5" s="1"/>
  <c r="M27" i="5" s="1"/>
  <c r="E26" i="5"/>
  <c r="H26" i="5" s="1"/>
  <c r="I26" i="5" s="1"/>
  <c r="J26" i="5" s="1"/>
  <c r="K26" i="5" s="1"/>
  <c r="M26" i="5" s="1"/>
  <c r="E25" i="5"/>
  <c r="H25" i="5" s="1"/>
  <c r="I25" i="5" s="1"/>
  <c r="J25" i="5" s="1"/>
  <c r="K25" i="5" s="1"/>
  <c r="M25" i="5" s="1"/>
  <c r="E24" i="5"/>
  <c r="H24" i="5" s="1"/>
  <c r="I24" i="5" s="1"/>
  <c r="J24" i="5" s="1"/>
  <c r="K24" i="5" s="1"/>
  <c r="M24" i="5" s="1"/>
  <c r="E23" i="5"/>
  <c r="E22" i="5"/>
  <c r="E21" i="5"/>
  <c r="E20" i="5"/>
  <c r="E9" i="3"/>
  <c r="E17" i="5"/>
  <c r="E16" i="5"/>
  <c r="E15" i="5"/>
  <c r="H15" i="5" s="1"/>
  <c r="I15" i="5" s="1"/>
  <c r="J15" i="5" s="1"/>
  <c r="K15" i="5" s="1"/>
  <c r="M15" i="5" s="1"/>
  <c r="E14" i="5"/>
  <c r="E13" i="5"/>
  <c r="E12" i="5"/>
  <c r="H12" i="5" s="1"/>
  <c r="I12" i="5" s="1"/>
  <c r="J12" i="5" s="1"/>
  <c r="K12" i="5" s="1"/>
  <c r="M12" i="5" s="1"/>
  <c r="E11" i="5"/>
  <c r="E10" i="5"/>
  <c r="H10" i="5" s="1"/>
  <c r="I10" i="5" s="1"/>
  <c r="J10" i="5" s="1"/>
  <c r="K10" i="5" s="1"/>
  <c r="M10" i="5" s="1"/>
  <c r="E9" i="5"/>
  <c r="E8" i="5"/>
  <c r="H8" i="5" s="1"/>
  <c r="I8" i="5" s="1"/>
  <c r="J8" i="5" s="1"/>
  <c r="K8" i="5" s="1"/>
  <c r="M8" i="5" s="1"/>
  <c r="E7" i="5"/>
  <c r="E6" i="5"/>
  <c r="E5" i="5"/>
  <c r="H5" i="5" s="1"/>
  <c r="I5" i="5" s="1"/>
  <c r="J5" i="5" s="1"/>
  <c r="K5" i="5" s="1"/>
  <c r="M5" i="5" s="1"/>
  <c r="E4" i="5"/>
  <c r="E3" i="5"/>
  <c r="AI32" i="3" l="1"/>
  <c r="AC51" i="6"/>
  <c r="AE51" i="6" s="1"/>
  <c r="AB33" i="3"/>
  <c r="AI33" i="3" s="1"/>
  <c r="AC68" i="6"/>
  <c r="AE68" i="6" s="1"/>
  <c r="AB34" i="3"/>
  <c r="AI34" i="3" s="1"/>
  <c r="AC17" i="6"/>
  <c r="AE17" i="6" s="1"/>
  <c r="AD31" i="3"/>
  <c r="AI31" i="3" s="1"/>
  <c r="E69" i="5"/>
  <c r="H62" i="5"/>
  <c r="I62" i="5" s="1"/>
  <c r="J62" i="5" s="1"/>
  <c r="K62" i="5" s="1"/>
  <c r="M62" i="5" s="1"/>
  <c r="H7" i="5"/>
  <c r="I7" i="5" s="1"/>
  <c r="J7" i="5" s="1"/>
  <c r="K7" i="5" s="1"/>
  <c r="M7" i="5" s="1"/>
  <c r="H16" i="5"/>
  <c r="I16" i="5" s="1"/>
  <c r="J16" i="5" s="1"/>
  <c r="K16" i="5" s="1"/>
  <c r="M16" i="5" s="1"/>
  <c r="H30" i="5"/>
  <c r="I30" i="5" s="1"/>
  <c r="J30" i="5" s="1"/>
  <c r="K30" i="5" s="1"/>
  <c r="M30" i="5" s="1"/>
  <c r="H44" i="5"/>
  <c r="I44" i="5" s="1"/>
  <c r="J44" i="5" s="1"/>
  <c r="K44" i="5" s="1"/>
  <c r="M44" i="5" s="1"/>
  <c r="H4" i="5"/>
  <c r="I4" i="5" s="1"/>
  <c r="J4" i="5" s="1"/>
  <c r="K4" i="5" s="1"/>
  <c r="M4" i="5" s="1"/>
  <c r="H40" i="5"/>
  <c r="I40" i="5" s="1"/>
  <c r="J40" i="5" s="1"/>
  <c r="K40" i="5" s="1"/>
  <c r="M40" i="5" s="1"/>
  <c r="H56" i="5"/>
  <c r="I56" i="5" s="1"/>
  <c r="J56" i="5" s="1"/>
  <c r="K56" i="5" s="1"/>
  <c r="M56" i="5" s="1"/>
  <c r="E35" i="5"/>
  <c r="H11" i="5"/>
  <c r="I11" i="5" s="1"/>
  <c r="J11" i="5" s="1"/>
  <c r="K11" i="5" s="1"/>
  <c r="M11" i="5" s="1"/>
  <c r="H33" i="5"/>
  <c r="I33" i="5" s="1"/>
  <c r="J33" i="5" s="1"/>
  <c r="K33" i="5" s="1"/>
  <c r="M33" i="5" s="1"/>
  <c r="H47" i="5"/>
  <c r="I47" i="5" s="1"/>
  <c r="J47" i="5" s="1"/>
  <c r="K47" i="5" s="1"/>
  <c r="M47" i="5" s="1"/>
  <c r="H22" i="5"/>
  <c r="I22" i="5" s="1"/>
  <c r="J22" i="5" s="1"/>
  <c r="K22" i="5" s="1"/>
  <c r="M22" i="5" s="1"/>
  <c r="H6" i="5"/>
  <c r="I6" i="5" s="1"/>
  <c r="J6" i="5" s="1"/>
  <c r="K6" i="5" s="1"/>
  <c r="M6" i="5" s="1"/>
  <c r="H58" i="5"/>
  <c r="I58" i="5" s="1"/>
  <c r="J58" i="5" s="1"/>
  <c r="K58" i="5" s="1"/>
  <c r="M58" i="5" s="1"/>
  <c r="H48" i="5"/>
  <c r="I48" i="5" s="1"/>
  <c r="J48" i="5" s="1"/>
  <c r="K48" i="5" s="1"/>
  <c r="M48" i="5" s="1"/>
  <c r="E18" i="5"/>
  <c r="H13" i="5"/>
  <c r="I13" i="5" s="1"/>
  <c r="J13" i="5" s="1"/>
  <c r="K13" i="5" s="1"/>
  <c r="M13" i="5" s="1"/>
  <c r="H20" i="5"/>
  <c r="I20" i="5" s="1"/>
  <c r="J20" i="5" s="1"/>
  <c r="K20" i="5" s="1"/>
  <c r="M20" i="5" s="1"/>
  <c r="M35" i="5" s="1"/>
  <c r="I32" i="3" s="1"/>
  <c r="H37" i="5"/>
  <c r="I37" i="5" s="1"/>
  <c r="J37" i="5" s="1"/>
  <c r="K37" i="5" s="1"/>
  <c r="M37" i="5" s="1"/>
  <c r="M52" i="5" s="1"/>
  <c r="I33" i="3" s="1"/>
  <c r="H57" i="5"/>
  <c r="I57" i="5" s="1"/>
  <c r="J57" i="5" s="1"/>
  <c r="K57" i="5" s="1"/>
  <c r="M57" i="5" s="1"/>
  <c r="H63" i="5"/>
  <c r="I63" i="5" s="1"/>
  <c r="J63" i="5" s="1"/>
  <c r="K63" i="5" s="1"/>
  <c r="M63" i="5" s="1"/>
  <c r="H45" i="5"/>
  <c r="I45" i="5" s="1"/>
  <c r="J45" i="5" s="1"/>
  <c r="K45" i="5" s="1"/>
  <c r="M45" i="5" s="1"/>
  <c r="H64" i="5"/>
  <c r="I64" i="5" s="1"/>
  <c r="J64" i="5" s="1"/>
  <c r="K64" i="5" s="1"/>
  <c r="M64" i="5" s="1"/>
  <c r="H65" i="5"/>
  <c r="I65" i="5" s="1"/>
  <c r="J65" i="5" s="1"/>
  <c r="K65" i="5" s="1"/>
  <c r="M65" i="5" s="1"/>
  <c r="H59" i="5"/>
  <c r="I59" i="5" s="1"/>
  <c r="J59" i="5" s="1"/>
  <c r="K59" i="5" s="1"/>
  <c r="M59" i="5" s="1"/>
  <c r="H3" i="5"/>
  <c r="I3" i="5" s="1"/>
  <c r="J3" i="5" s="1"/>
  <c r="K3" i="5" s="1"/>
  <c r="M3" i="5" s="1"/>
  <c r="H54" i="5"/>
  <c r="I54" i="5" s="1"/>
  <c r="J54" i="5" s="1"/>
  <c r="K54" i="5" s="1"/>
  <c r="M54" i="5" s="1"/>
  <c r="H14" i="5"/>
  <c r="I14" i="5" s="1"/>
  <c r="J14" i="5" s="1"/>
  <c r="K14" i="5" s="1"/>
  <c r="M14" i="5" s="1"/>
  <c r="H38" i="5"/>
  <c r="I38" i="5" s="1"/>
  <c r="J38" i="5" s="1"/>
  <c r="K38" i="5" s="1"/>
  <c r="M38" i="5" s="1"/>
  <c r="AE69" i="6"/>
  <c r="AE18" i="6"/>
  <c r="AJ31" i="3" s="1"/>
  <c r="AE35" i="6"/>
  <c r="AE52" i="6"/>
  <c r="AJ33" i="3" l="1"/>
  <c r="AL33" i="3" s="1"/>
  <c r="AJ32" i="3"/>
  <c r="AL32" i="3" s="1"/>
  <c r="AJ34" i="3"/>
  <c r="M69" i="5"/>
  <c r="I34" i="3" s="1"/>
  <c r="M18" i="5"/>
  <c r="I31" i="3" s="1"/>
  <c r="AL31" i="3" s="1"/>
  <c r="AL34" i="3" l="1"/>
  <c r="V26" i="3"/>
  <c r="V25" i="3"/>
  <c r="V24" i="3"/>
  <c r="V23" i="3"/>
  <c r="V21" i="3"/>
  <c r="Q22" i="3"/>
  <c r="S26" i="3"/>
  <c r="S25" i="3"/>
  <c r="S24" i="3"/>
  <c r="S23" i="3"/>
  <c r="S22" i="3"/>
  <c r="S21" i="3"/>
  <c r="S20" i="3"/>
  <c r="Q26" i="3" l="1"/>
  <c r="Q25" i="3"/>
  <c r="Q24" i="3"/>
  <c r="Q23" i="3"/>
  <c r="Q21" i="3"/>
  <c r="Q20" i="3"/>
  <c r="S17" i="3" l="1"/>
  <c r="S16" i="3"/>
  <c r="S15" i="3"/>
  <c r="S14" i="3"/>
  <c r="Q17" i="3" l="1"/>
  <c r="Q16" i="3"/>
  <c r="Q15" i="3"/>
  <c r="S11" i="3" l="1"/>
  <c r="S9" i="3"/>
  <c r="Q9" i="3" l="1"/>
  <c r="Q11" i="3"/>
  <c r="Y20" i="3" l="1"/>
  <c r="Z21" i="3" s="1"/>
  <c r="Z25" i="3" l="1"/>
  <c r="Z20" i="3"/>
  <c r="Z26" i="3"/>
  <c r="Z24" i="3"/>
  <c r="Z23" i="3"/>
  <c r="Z22" i="3"/>
  <c r="O26" i="3"/>
  <c r="O25" i="3"/>
  <c r="O21" i="3"/>
  <c r="O22" i="3"/>
  <c r="O23" i="3"/>
  <c r="O20" i="3"/>
  <c r="M26" i="3"/>
  <c r="M24" i="3"/>
  <c r="M23" i="3"/>
  <c r="M25" i="3"/>
  <c r="M22" i="3"/>
  <c r="O17" i="3" l="1"/>
  <c r="O15" i="3"/>
  <c r="O14" i="3"/>
  <c r="M17" i="3"/>
  <c r="M16" i="3"/>
  <c r="M15" i="3"/>
  <c r="O11" i="3"/>
  <c r="O9" i="3"/>
  <c r="M11" i="3"/>
  <c r="M10" i="3"/>
  <c r="M20" i="3"/>
  <c r="M14" i="3"/>
  <c r="M9" i="3"/>
  <c r="E21" i="3"/>
  <c r="F21" i="3" s="1"/>
  <c r="G21" i="3" s="1"/>
  <c r="H21" i="3" s="1"/>
  <c r="I21" i="3" s="1"/>
  <c r="X21" i="3" s="1"/>
  <c r="E22" i="3"/>
  <c r="F22" i="3" s="1"/>
  <c r="G22" i="3" s="1"/>
  <c r="H22" i="3" s="1"/>
  <c r="I22" i="3" s="1"/>
  <c r="X22" i="3" s="1"/>
  <c r="E23" i="3"/>
  <c r="F23" i="3" s="1"/>
  <c r="G23" i="3" s="1"/>
  <c r="H23" i="3" s="1"/>
  <c r="I23" i="3" s="1"/>
  <c r="X23" i="3" s="1"/>
  <c r="E24" i="3"/>
  <c r="F24" i="3" s="1"/>
  <c r="G24" i="3" s="1"/>
  <c r="H24" i="3" s="1"/>
  <c r="I24" i="3" s="1"/>
  <c r="X24" i="3" s="1"/>
  <c r="E25" i="3"/>
  <c r="F25" i="3" s="1"/>
  <c r="G25" i="3" s="1"/>
  <c r="H25" i="3" s="1"/>
  <c r="E26" i="3"/>
  <c r="F26" i="3" s="1"/>
  <c r="G26" i="3" s="1"/>
  <c r="H26" i="3" s="1"/>
  <c r="E20" i="3"/>
  <c r="F20" i="3" s="1"/>
  <c r="E10" i="3"/>
  <c r="F10" i="3" s="1"/>
  <c r="E11" i="3"/>
  <c r="F11" i="3" s="1"/>
  <c r="F9" i="3"/>
  <c r="E15" i="3"/>
  <c r="F15" i="3" s="1"/>
  <c r="G15" i="3" s="1"/>
  <c r="H15" i="3" s="1"/>
  <c r="I15" i="3" s="1"/>
  <c r="AO20" i="3"/>
  <c r="AO9" i="3"/>
  <c r="X15" i="3" l="1"/>
  <c r="AP21" i="3"/>
  <c r="AP22" i="3"/>
  <c r="AP23" i="3"/>
  <c r="AP24" i="3"/>
  <c r="AP25" i="3"/>
  <c r="AP26" i="3"/>
  <c r="AP20" i="3"/>
  <c r="Z11" i="3"/>
  <c r="Z10" i="3"/>
  <c r="AP10" i="3"/>
  <c r="AP11" i="3"/>
  <c r="AP9" i="3"/>
  <c r="I25" i="3"/>
  <c r="X25" i="3" s="1"/>
  <c r="G9" i="3"/>
  <c r="H9" i="3" s="1"/>
  <c r="I9" i="3" s="1"/>
  <c r="X9" i="3" s="1"/>
  <c r="I26" i="3"/>
  <c r="X26" i="3" s="1"/>
  <c r="G20" i="3"/>
  <c r="H20" i="3" s="1"/>
  <c r="I20" i="3" s="1"/>
  <c r="X20" i="3" s="1"/>
  <c r="G11" i="3"/>
  <c r="H11" i="3" s="1"/>
  <c r="I11" i="3" s="1"/>
  <c r="X11" i="3" s="1"/>
  <c r="G10" i="3"/>
  <c r="H10" i="3" s="1"/>
  <c r="I10" i="3" s="1"/>
  <c r="X10" i="3" s="1"/>
  <c r="E16" i="3" l="1"/>
  <c r="F16" i="3" s="1"/>
  <c r="E17" i="3"/>
  <c r="F17" i="3" s="1"/>
  <c r="G17" i="3" l="1"/>
  <c r="G16" i="3"/>
  <c r="H16" i="3" l="1"/>
  <c r="I16" i="3" s="1"/>
  <c r="X16" i="3" s="1"/>
  <c r="H17" i="3"/>
  <c r="I17" i="3" s="1"/>
  <c r="X17" i="3" s="1"/>
  <c r="Y14" i="3"/>
  <c r="Z15" i="3" l="1"/>
  <c r="Z16" i="3"/>
  <c r="Z17" i="3"/>
  <c r="Z14" i="3"/>
  <c r="E14" i="3"/>
  <c r="F14" i="3" s="1"/>
  <c r="AO14" i="3"/>
  <c r="AP17" i="3" l="1"/>
  <c r="AP16" i="3"/>
  <c r="AP15" i="3"/>
  <c r="AP14" i="3"/>
  <c r="G14" i="3"/>
  <c r="H14" i="3" s="1"/>
  <c r="AQ20" i="3" l="1"/>
  <c r="AR20" i="3" s="1"/>
  <c r="I14" i="3"/>
  <c r="X14" i="3" s="1"/>
  <c r="AQ9" i="3"/>
  <c r="AR9" i="3" s="1"/>
  <c r="AQ14" i="3" l="1"/>
  <c r="AR14" i="3" s="1"/>
</calcChain>
</file>

<file path=xl/sharedStrings.xml><?xml version="1.0" encoding="utf-8"?>
<sst xmlns="http://schemas.openxmlformats.org/spreadsheetml/2006/main" count="507" uniqueCount="203">
  <si>
    <t>Empresa</t>
  </si>
  <si>
    <t>LOT</t>
  </si>
  <si>
    <t>Import total de licitació (s/IVA)</t>
  </si>
  <si>
    <t>Oferta econòmica total (s/IVA)</t>
  </si>
  <si>
    <t>A=Ovalorada-Omillor</t>
  </si>
  <si>
    <t>B=A/Import licitació</t>
  </si>
  <si>
    <t>C=B*1/Index ponderació</t>
  </si>
  <si>
    <t>D=1-C</t>
  </si>
  <si>
    <t>Punts preu</t>
  </si>
  <si>
    <t>Garantia (en anys)</t>
  </si>
  <si>
    <t>Punts garantia</t>
  </si>
  <si>
    <t>Puntuació TOTAL</t>
  </si>
  <si>
    <t>Mitjana Preu</t>
  </si>
  <si>
    <t>Percentatge de baixada</t>
  </si>
  <si>
    <t>Mitjana aritmètica (variable 1)</t>
  </si>
  <si>
    <t>Mitjana desviacions (variable 3)</t>
  </si>
  <si>
    <t>Suma Variable 1+Variable 3</t>
  </si>
  <si>
    <t>Punts avaluació tècnica (sobre B)</t>
  </si>
  <si>
    <t>Qualitat ambiental flota de vehicles</t>
  </si>
  <si>
    <t>Punts qualitat ambiental flota de vehicles</t>
  </si>
  <si>
    <t>Major nombre de vehicles assignats a l'execució</t>
  </si>
  <si>
    <t>Punts major nombre de vehicles</t>
  </si>
  <si>
    <t>Cost i varietat del catàleg d’accessoris</t>
  </si>
  <si>
    <t>SCS-2025-8</t>
  </si>
  <si>
    <t>LOT 2 - MONITOR CONFIGURABLE</t>
  </si>
  <si>
    <t>LOT 1 - MONITOR DE TRANSPORT</t>
  </si>
  <si>
    <t>LOT 3 - MONITOR SEMIMODULAR</t>
  </si>
  <si>
    <t>LOT 4 - MONITORS MODULARS</t>
  </si>
  <si>
    <t>ABAST MEDICA, SL</t>
  </si>
  <si>
    <t>DEXTROMEDICA, SL</t>
  </si>
  <si>
    <t>PHILIPS IBERICA, SAU</t>
  </si>
  <si>
    <t>DRÄGER HISPANIA, SAU</t>
  </si>
  <si>
    <t>GENERAL ELECTRIC HEALTHCARE ESPAÑA, SAU</t>
  </si>
  <si>
    <t>AGENOR MANTENIMIENTOS, SA</t>
  </si>
  <si>
    <t>NIHON KOHDEN IBÉRICA, SL</t>
  </si>
  <si>
    <t>12 vehicles distintiu Zero</t>
  </si>
  <si>
    <t>1 vehicle distintiu Zero
37 vehicles distintiu ECO
27 vehicles distintiu C</t>
  </si>
  <si>
    <t>8 vehicles distintiu Zero
4 vehicles distintiu ECO
2 vehicles distintiu C</t>
  </si>
  <si>
    <t>9 vehicles distintiu C</t>
  </si>
  <si>
    <t>181 vehicles distintiu Zero
40 vehicles distintiu ECO
227 vehicles distintiu C</t>
  </si>
  <si>
    <t>10 vehicles distintiu ECO</t>
  </si>
  <si>
    <t>Cost i varietat del catàleg de mòduls</t>
  </si>
  <si>
    <t>Punts cost i varietat catàleg accessoris</t>
  </si>
  <si>
    <t>Inclusió paràmetres de mesura  addicionals</t>
  </si>
  <si>
    <t>Punts inclusió paràmetres de mesura</t>
  </si>
  <si>
    <t>Punts cost i varietat catàleg mòduls</t>
  </si>
  <si>
    <t>Possibilitat d’incloure mòdul de metabolisme per calorimetria indirecta</t>
  </si>
  <si>
    <t>Punts possibilitat d’incloure mòdul de metabolisme</t>
  </si>
  <si>
    <t xml:space="preserve">Instal·lació del sistema de rèplica sense cost addicional </t>
  </si>
  <si>
    <t>Punts instal·lació sistema rèplica</t>
  </si>
  <si>
    <t>Cost llicències addicionals</t>
  </si>
  <si>
    <t>Punts cost llicències addicionals</t>
  </si>
  <si>
    <t>Inclusió de programari i maquinari necessari</t>
  </si>
  <si>
    <t>Punts inclusió de programari i maquinari</t>
  </si>
  <si>
    <t>Garantir la compatibilitat de la central i monitors (10 anys) sense cost</t>
  </si>
  <si>
    <t>Punts garantir compatibilitat central i monitors (10 anys) sense cost</t>
  </si>
  <si>
    <t>Garantir la compatibilitat  central i futurs monitors (6 anys) sense cost</t>
  </si>
  <si>
    <t>Punts garantir compatibilitat central i futurs monitors (6 anys) sense cost</t>
  </si>
  <si>
    <t>SÍ</t>
  </si>
  <si>
    <t xml:space="preserve">Si, 5 elements mòbils. </t>
  </si>
  <si>
    <t xml:space="preserve">Si, 16 elements mòbils. </t>
  </si>
  <si>
    <t>NO</t>
  </si>
  <si>
    <r>
      <t xml:space="preserve">L'oferta presentada per ABAST MEDICA, SL al lot 3 és un </t>
    </r>
    <r>
      <rPr>
        <sz val="9"/>
        <color rgb="FFFF0000"/>
        <rFont val="Arial"/>
        <family val="2"/>
      </rPr>
      <t>19,30%</t>
    </r>
    <r>
      <rPr>
        <sz val="9"/>
        <color indexed="8"/>
        <rFont val="Arial"/>
        <family val="2"/>
      </rPr>
      <t xml:space="preserve"> inferior a la mitjana de les ofertes econòmiques presentades per les empreses licitadores, però  la puntuació obtinguda en relació als criteris susceptibles de judici de valor NO està per damunt del valor que resulta de la suma de les variables 1 i 3. Per tant, NO es troba incursa en valor anormal o desproporcionat</t>
    </r>
  </si>
  <si>
    <t>Paràmetres de mesura addicionals</t>
  </si>
  <si>
    <t>Cost mòduls</t>
  </si>
  <si>
    <t>Varietat mòduls</t>
  </si>
  <si>
    <t>Cost accessoris</t>
  </si>
  <si>
    <t>Varietat accessoris</t>
  </si>
  <si>
    <t>No indica</t>
  </si>
  <si>
    <t>No indica cost</t>
  </si>
  <si>
    <r>
      <t>49.804,90</t>
    </r>
    <r>
      <rPr>
        <sz val="9"/>
        <rFont val="Arial"/>
        <family val="2"/>
      </rPr>
      <t>€; 21 mòduls</t>
    </r>
  </si>
  <si>
    <t>No indica cost; No indica mòduls</t>
  </si>
  <si>
    <t>paràmetres de mesura addicionals: 3 canals de PI, 1 canal de despesa cardíaca, 1 canal BIS, 1 canal de capnografia i 1 canal de temperatura addicional</t>
  </si>
  <si>
    <r>
      <t>20.265,00</t>
    </r>
    <r>
      <rPr>
        <sz val="9"/>
        <rFont val="Arial"/>
        <family val="2"/>
      </rPr>
      <t>€; 9 mòduls</t>
    </r>
  </si>
  <si>
    <r>
      <t>49.804,9</t>
    </r>
    <r>
      <rPr>
        <sz val="9"/>
        <rFont val="Arial"/>
        <family val="2"/>
      </rPr>
      <t>€; 21 mòduls</t>
    </r>
  </si>
  <si>
    <t>Monitor neonatal d'ECG, PANI, SpO2, FC, FR, PAI, temperatura i capnografia</t>
  </si>
  <si>
    <t xml:space="preserve">Monitor d'ECG, PANI, SAO2, FC, PAI i temperatura </t>
  </si>
  <si>
    <t>Monitor d'ECG, PANI, PO2, FC, PAI i temperatura, mida mitjana</t>
  </si>
  <si>
    <t>Monitor d'ECG, PANI, PO2, FC, PAI i temperatura , mida gran</t>
  </si>
  <si>
    <t>Mòdul de pressió invasiva</t>
  </si>
  <si>
    <t xml:space="preserve">Mòdul de capnografia de flux lateral (sidestream) </t>
  </si>
  <si>
    <t xml:space="preserve">Mòdul de capnografia de microflux (microstream) </t>
  </si>
  <si>
    <t>Mòdul tipus BIS</t>
  </si>
  <si>
    <t>Mòdul de temperatura</t>
  </si>
  <si>
    <t>Mòdul de gasos anestèsics</t>
  </si>
  <si>
    <t>Mòdul de relaxació neuromuscular</t>
  </si>
  <si>
    <t xml:space="preserve">Mòdul de despesa cardíaca  </t>
  </si>
  <si>
    <t>Mòdul de cabal cardíac tipus PiCCO</t>
  </si>
  <si>
    <t>Central de monitoratge</t>
  </si>
  <si>
    <t>Mòdul de connexió per a mesura de saturació venosa mixta (S⊽O₂)</t>
  </si>
  <si>
    <t xml:space="preserve">Monitor d'ECG, PANI, SpO2, FC, PAI i temperatura </t>
  </si>
  <si>
    <t>Monitor d'ECG, PANI, SpO2, FC, PAI i temperatura, mida mitjana</t>
  </si>
  <si>
    <t>Monitor d'ECG, PANI, SpO2, FC, PAI i temperatura , mida gran</t>
  </si>
  <si>
    <t>Mòdul de connexió per a mesura de saturació venosa mixta</t>
  </si>
  <si>
    <t>Factor de ponderació</t>
  </si>
  <si>
    <t>Punts preu ponderat</t>
  </si>
  <si>
    <t>Quantitat</t>
  </si>
  <si>
    <t>Preu unitari màxim</t>
  </si>
  <si>
    <t>Factor de ponderacio</t>
  </si>
  <si>
    <t>Total Ponderat</t>
  </si>
  <si>
    <t>Cost  de mòduls</t>
  </si>
  <si>
    <t>Varietat de Mòduls</t>
  </si>
  <si>
    <t>Cost catàleg d’accessoris</t>
  </si>
  <si>
    <t>Varietat catàleg accessoris</t>
  </si>
  <si>
    <t>SI</t>
  </si>
  <si>
    <t>Total Altres central</t>
  </si>
  <si>
    <t>Total Altres monitors</t>
  </si>
  <si>
    <t>No inclou paràmetres de messura addicionals sense cost</t>
  </si>
  <si>
    <r>
      <t>25.499</t>
    </r>
    <r>
      <rPr>
        <sz val="9"/>
        <rFont val="Arial"/>
        <family val="2"/>
      </rPr>
      <t>€; 12 mòduls</t>
    </r>
  </si>
  <si>
    <r>
      <t>3.929,50</t>
    </r>
    <r>
      <rPr>
        <sz val="9"/>
        <rFont val="Arial"/>
        <family val="2"/>
      </rPr>
      <t>€; 9 mòduls</t>
    </r>
  </si>
  <si>
    <r>
      <t>20.265</t>
    </r>
    <r>
      <rPr>
        <sz val="9"/>
        <rFont val="Arial"/>
        <family val="2"/>
      </rPr>
      <t>€; 9 mòduls</t>
    </r>
  </si>
  <si>
    <r>
      <t>12.045,09</t>
    </r>
    <r>
      <rPr>
        <sz val="9"/>
        <rFont val="Arial"/>
        <family val="2"/>
      </rPr>
      <t>€; 8 mòduls</t>
    </r>
  </si>
  <si>
    <r>
      <t>4.644,23</t>
    </r>
    <r>
      <rPr>
        <sz val="9"/>
        <rFont val="Arial"/>
        <family val="2"/>
      </rPr>
      <t>€; 7 mòduls</t>
    </r>
  </si>
  <si>
    <t>4,261€ ;2 accessoris</t>
  </si>
  <si>
    <t>Punts inclusió paràmetres de mesura addcional sense cost (5p)</t>
  </si>
  <si>
    <t>Paràmetres addicionals</t>
  </si>
  <si>
    <t>No oferta cap paràmetre de messura addicional sense cost</t>
  </si>
  <si>
    <t>Paràmetres de mesura addicionals sense cost:  Presión de la arteria pulmonar(AP), Presión aórtica (Ao), Presión arterial umbilical (PAU), PAB Presión de la arteria braquial, PAF Presión de la arteria femoral, PPC Presión de perfusión cerebral, PVC Presión venosa central, PRAI Presión de la aurícula izquierda, PAD Presión de la aurícula derecha, PIC Presión intracraneal, PVU Presión venosa umbilical, VI Presión del ventrículo izquierdo</t>
  </si>
  <si>
    <t>paràmetres de mesura addicionals: 2 canals de PI, 1 canal de despesa cardíaca, 1 canal BIS, 1 canal de capnografia i 1 canal de temperatura addicional</t>
  </si>
  <si>
    <t>Paràmetres de mesura addicionals sense cost: 1 canals de PI, 1 EtCO2</t>
  </si>
  <si>
    <t>Paràmetre de mesur aaddicional sense cost:  un paràmetre de mesura addicional de PAI</t>
  </si>
  <si>
    <t>Temperatura arterial, Temperatura interna, Temperatura esofàgica, Temperatura rectal, Temperatura cutània, Temperatura venosa, Temperatura nasofaríngia, Temperatura ambient, Temperatura de la bufeta, Temperatura cerebral, Temperatura de Foley, Temperatura vesicular, Pressió arterial, Pressió aòrtica, Pressió venosa central, Pressió intracranial, Pressió auricular esquerra, Pressió arterio-pulmonar, Pressió auricular dreta, Pressió arterial umbilical, Pressió venosa umbilical, Pressió arterial braquial, Pressió arterial femoral, Pressió intraabdominal, Pressió arterial femoral dreta, Pressió arterial femoral esquerra, Pressió medul·lar, Pressió vesical, Pressió anterior, Pressió posterior</t>
  </si>
  <si>
    <t>Oferta econòmica
total (S/IVA)</t>
  </si>
  <si>
    <t>Preu total màxim (S/IVA)</t>
  </si>
  <si>
    <t>Desviació aritmètica</t>
  </si>
  <si>
    <t>Paràmetre de mesura addicionals: Pressió de la artèria pulmonar(AP), Pressió aòrtica (Ao), Pressió arterial umbilical (PAU), PAB Pressió de la artèria braquial, PAF Pressió de la artèria femoral, PPC Pressió de perfusió cerebral, PVC Pressió venosa central, PRAI Pressió de la aurícula esquerra, PAD Pressió de la aurícula dreta, PIC Pressió intracranial, PVU Pressió venosa umbilical, VI Pressió del ventricular esquerra.
Total de 12 paràmetres de mesura addicionals</t>
  </si>
  <si>
    <t>No indica cost; No indica accessoris</t>
  </si>
  <si>
    <t>Paràmetre de messura addicionals: fàrmacs i dosificació,  paràmetres hemodinàmics d'oxigenació i ventilació, 2ona temperatura, histogrames de ECG i SPO2, ECG 12 derivacions derivat, espirometria, calorímetria indirecte i gasos anerstèsics</t>
  </si>
  <si>
    <t>paràmetres de mesura</t>
  </si>
  <si>
    <t>nombre de paràmetres de messura</t>
  </si>
  <si>
    <t>ST/STE Map, Análisis de QT i ECG de12 derivaciones derivadas Hexad</t>
  </si>
  <si>
    <t>Paràmetres addicionals sense cost: Segment ST/STE, Interval QT/QTc, Perfusió (Perf), Temperatura arterial, Temperatura interna, Temperatura esofàgica, Temperatura rectal, Temperatura cutània, Temperatura venosa, Temperatura nasofaríngia, Temperatura ambiental, Temperatura vesical, Temperatura cerebral, Temperatura de Foley, Temperatura vesicular, Pressió aòrtica, Pressió venosa central, Pressió intracranial, Pressió auricular esquerra, Pressió arteriopulmonar, Pressió auricular dreta, Pressió arterial umbilical, Pressió venosa umbilical, Pressió arterial braquial, Pressió arterial femoral, Pressió intraabdominal, Pressió arterial femoral dreta, Pressió arterial femoral esquerra, Pressió medul·lar, Pressió vesical, Pressió anterior, Pressió posterior</t>
  </si>
  <si>
    <t>No ho indica</t>
  </si>
  <si>
    <t>Mòdul de pressió invasiva, Mòdul SpO₂ FAST, Mòdul SpO₂ Masimo Rainbow, Mòdul SpO₂ Masimo SET, Mòdul SpO₂ Nellcor, Mòdul de cabal cardíac, Mòdul de cabal cardíac PiCCO, Mòdul de temperatura, Mòdul EEG, Mòdul BIS, Mòdul BIS Bilateral, Mòdul G7m, Mòdul NMT, Mòdul Masimo O3, Mòdul Masimo CO₂, Mòdul Masimo Sedline, Mòdul EC10, Mòdul FloTrac, Mòdul d’extensió hemodinàmica, Mòdul d’extensió de capnografia, Mòdul d’extensió Microstream</t>
  </si>
  <si>
    <t>Mindray SpO₂, Mindray TEMP, Pressió arterial invasiva IBP , Cabal cardíac PiCCO , Capnografia SideStream CO₂, Capnografia Microstream CO₂ , Capnografia directa CO₂, Capnografia SideStream CO₂ + O₂</t>
  </si>
  <si>
    <r>
      <t>11.259,00</t>
    </r>
    <r>
      <rPr>
        <sz val="9"/>
        <rFont val="Arial"/>
        <family val="2"/>
      </rPr>
      <t>€; 8 mòduls</t>
    </r>
  </si>
  <si>
    <t>Nom accessoris</t>
  </si>
  <si>
    <r>
      <t>13.979</t>
    </r>
    <r>
      <rPr>
        <sz val="9"/>
        <rFont val="Arial"/>
        <family val="2"/>
      </rPr>
      <t>€ ; 162 accessoris</t>
    </r>
  </si>
  <si>
    <t>Cánula nasal para muestra de CO2, Infantil, con línea de 7', 25 pcs/caja, reemplaza M02B-10-64509, Soporte de pared GCX (con adaptador de bloqueo rápido) para iMEC/iPM/uMEC/ePM, Módulo IBP de 1 ranura 2 canales (sin accesorios), Licencia de software NeuroSight, Licencia de software AF Summary, Sensor SpO2 desechable 520A, No adhesivo, Adu, &gt;30kg, 20 pcs/caja, no disponible en Rusia, Taiwán, Corea, Singapur y Brasil, Sensor reutilizable DS100A, Adu, Sensor reutilizable OXI-P/I, Ped/Infantil, Sensor reutilizable Nellcor SpO2, Adu/Neo, con 50 piezas de vendaje, Kit de accesorios IBP (UCI), Cánula nasal para muestra de CO2, Ped, con línea de 7', 25 pcs/caja, reemplaza M02A-10-25938, Catéter de arteria femoral, Pediátrico, Electrodo+cable+conectores: 5 cables, Adu, Snap, a prueba de ESU, IEC, Electrodo+cable+conectores: 5 cables, Adu, Clip, a prueba de ESU, IEC, Adaptador de vía aérea reutilizable, Adu/Ped, Cánula nasal para muestra de CO2, Adu, con línea de 7', 25 pcs/caja, reemplaza M02A-10-25937, TDS soporte de montaje en poste de 6" con pinza de bloqueo cruzado, Catéter arterial estándar, Adulto, EWS (licencia de software), Cable de conexión TDS para BeneVision N (10m), Cable de extensión Masimo SpO2, 8 pines, con conector morado, Cable Masimo (RD SET), 8 pines, con conector morado, Filtro de agua DRYLINE II, Adu/Ped, 10 pcs/caja (reemplaza 100-000080-00), compatible solo con módulo CO2 de corriente lateral de una ranura, Filtro de agua DRYLINE II, Neo, 10 pcs/caja (reemplaza 100-000081-00), compatible solo con módulo CO2 de corriente lateral de una ranura, Línea de muestra, Neo, 2.5 m, 25 pcs/caja (P/N: 60-15300-00), reemplaza 9200-10-10555, Adaptador de vía aérea reutilizable neonatal (Respironics), Línea de muestra, Adu/Ped, 2.5 m, 25 pcs/caja (P/N:60-15200-00), reemplaza 9200-10-10533, Kit de gestión de cables de 5 ganchos, Control remoto (2.4G RF, puerto USB), Electrodo+cable+cables: 12-lead, Adu, Snap, a prueba de desfibrilador, IEC, Electrodo+cable+cables: 12-lead, Adu, Clip, a prueba de desfibrilador, IEC, Cable IBP de 12 pines IM2202 (para BD), Cable IBP de 12 pines IM2211 para Edwards, Kit CO2 de corriente lateral de una ranura, Adu/Ped, Kit CO2 de corriente lateral de una ranura, Neo, Electrodo+cable+cables: 3-lead, Ped, Snap, a prueba de desfibrilador, IEC, Electrodo+cable+cables: 3-lead, Ped, Clip, a prueba de desfibrilador, IEC, Gancho de barra de cama TDS, Cable Mindray+512F Adu dedo, Cable de conexión TDS para BeneVision N (4m), Electrodo+cable+cables: 5-lead, Adu, Clip, a prueba de desfibrilador, IEC, Sensor reutilizable SpO2 512K, Ped, vendaje, 8 a 30kg, Electrodo+cable+cables: 3-lead, Neo, Clip, a prueba de desfibrilador, IEC, Cable troncal ECG: 3/5/6-lead, Adu/Ped, a prueba de ESU, 12 Pin, 3.1m, AHA/IEC (solo para cables ECG TM80), Cable troncal ECG: 3/5-lead, 12 Pin, a prueba de ESU, AHA/IEC, Cable Mindray+512G Ped dedo, Pinza cruzada/pole N1/T1/TDS, Cable Mindray+512E, Adu dedo, Sensor reutilizable SpO2 513A, Adu / Ped, Clip para oreja, Cable troncal ECG: 3-lead, 12 Pin, a prueba de ESU, AHA/IEC, inventario bajo, ciclo de reposición: 60 días, Kit de teclado inalámbrico y ratón, Cable Mindray+512H Ped dedo, Cable Mindray+518B Neo pie, Carro accesorio N1 para transporte fuera del hospital, Cable de conexión TDS para BeneVision N (2m), Electrodo+cable+cables: 5-lead, Adu, Snap, a prueba de desfibrilador, IEC, Electrodo+cable+cables: 3-lead, Adu/Ped, Snap, a prueba de desfibrilador, IEC, Electrodo+cable+cables: 3-lead, Adu, Clip, a prueba de desfibrilador, IEC, Cable de conexión TDS para BeneView T (4m), Mango N1 (igual que el mango T1), Gancho de barra de cama N1 (emparejado con mango N1, igual que el gancho de barra de cama T1), Cable troncal ECG: 12-lead, 12 Pin, a prueba de desfibrilador, IEC, Kit de monitoreo PiCCO PV8215 (transductor IBP con conector Utah, carcasa de sensor de temperatura de inyectante), Kit de teclado y ratón con cable, Sonda de temperatura reutilizable MR403B, Adu, Piel, 2 Pin, Batería de litio (7.56V, 2500 mAh, LI12I003A), Fondo de montaje y accesorio para transductor IBP (BD), Cable de salida para ECG, señal analógica de IBP y sincronización de desfibrilador, MPM con puerto MP1, Cable IBP de 12 pines IM2206 (para Utah), Cable Codman ICP de 12 pines, inventario bajo, ciclo de reposición: 45 días, Sensor reutilizable SpO2 518BLH, Neo, Pie, lazo, Tubos + manguitos reutilizables Neo (CM1300C&amp;D&amp;E, 1 pieza por modelo), Adaptador IBP tipo Y (convierte un conector en dos conectores), Cable IBP tipo Y PiCCO (para presión arterial y presión venosa central) - largo, Cable PiCCO (para temperatura de inyectante y temperatura sanguínea), Sensor reutilizable SpO2 512F, Adu, Clip para dedo, Sensor reutilizable SpO2 512H, Ped, Clip para dedo, Sensor reutilizable SpO2 518B, Neo, Pie (Adu/Ped, dedo o pie), Sensor reutilizable SpO2 512E, Adu, Punta de dedo, Sensor reutilizable SpO2 512G, Ped, Punta de dedo, Cable IBP de 12 pines IM2201 (para UCI), Tubos (3m) + manguito Adu (CM1203 25-35 cm), Cables de 6-leads, Adu/Ped, Snap, 36", reutilizables, TPU, IEC, BeneVision, Cables de 6-leads, Adu/Ped, Clip, 36", reutilizables, TPU, IEC, BeneVision, Cable IBP tipo Y PiCCO (para presión arterial y presión venosa central) - corto, Cables de 5-leads, Adu/Ped, Clip, TPU, IEC (largo, 1m/1.4m), Cables de 3-leads, Neo, Clip, TPU, IEC (1m), Cable troncal ECG, 3-leads, Neo, 12 Pin, TPU, AHA/IEC, DIN, Cable de extensión SpO2 Nellcor, 8 Pin, Cable troncal ECG: 3/5-lead, 12 Pin, a prueba de desfibrilador, AHA/IEC, Cable troncal ECG: 3/5/6-leads, Adu/Ped, a prueba de desfibrilador, 12 Pin, 3.1m, AHA/IEC (solo para cables de ECG TM80), Cables de 5-leads, Adu/Ped, Snap, TPU, IEC (1m/1.4m), Cable de conexión TDS para BeneView T (1m), Cable troncal ECG: 3-lead, 12 Pin, a prueba de desfibrilador, AHA/IEC, Cables de 3-leads, Adu/Ped, Clip, TPU, IEC (1m), Cables de 12-leads, Extremidad, Adu/Ped, Clip, Gris, TPU, IEC (0.8m), Cables de 12-leads, Pecho, Adu/Ped, Clip, Blanco, TPU, IEC (0.6m), Cables de 12-leads, Extremidad, Adu/Ped, Snap, Gris, TPU, IEC (0.8m), Cables de 12-leads, Pecho ECG, Adu/Ped, Snap, Blanco, TPU, IEC (0.6m), Sonda de temperatura reutilizable MR401B, Adu, Esófago/Rectal, 2 Pin, Sonda de temperatura reutilizable MR402B, Ped/Neo, Esófago/Rectal, 2 Pin, Sonda de temperatura reutilizable MR404B, Ped/Neo, Piel, 2 Pin, Adaptador DRYLINE vía aérea, Recto, 10 pcs/caja, (P/N: 60-14100-00), reemplaza 9000-10-07486, Cable de extensión SpO2 Mindray, 7 Pin, 2.5m, Tubos (3m) + manguito desechable Neo (CM1500C 5.8-10.9 cm, 1 pieza), Tubos (3m) + manguito Adu (CM1303 25-35cm), Tubos (3m) + manguito Ped (CM1302 18-26cm), Kit Microstream CO2, Neo, Electrodos ECG: Neo, 50 pcs/pack, Covidien, Cables de 3-leads, Adu/Ped, Snap, TPU, IEC (1m), Tubos (3m) + manguito Ped (CM1202 18-26 cm), Herramienta de configuración de puntuación clínica Mindray (para Early Warning Score), Adaptador Commen Quick lock para todos los modelos existentes bajo pantalla de 12" y VS (ya sea en soporte de pared o carro), Adaptador DRYLINE vía aérea, Neo, Recto, 10 pcs/caja, reemplaza 040-001187-00, ECG leadwires, Single-patient use, 3-lead, Ped/Neo, Clip, IEC, DIN, Microstream CO2 kit, Adu, DRYLINE airway adapter, Elbow, 10 pcs/box (P/N: 60-14200-00), replace 9000-10-07487, Microstream™ Advance Adult‐Pediatric Intubated CO2 Filter Line, Extended Duration,4m, Microstream™ Advance Filtro de CO2 para Neonatos e Infantes Intubados, Duración Extendida, 4m, Kit Microstream CO2, Ped, CM1305 Manguito NIBP sin vejiga, muslo adulto, reutilizable, 46-66 cm, con conector, Abrazadera de montaje para transductor IBP (UCI, se envía con el cable), Tubería NIBP, Adu/Ped/Infantil, con conectores de enchufe de aire (3m), Tubería NIBP, Neo, con conectores de enchufe de aire (3m), Microstream™ Advance Filtro de CO2 para Adultos y Pediatría Intubados, Uso a Corto Plazo, 2m, Microstream™ Advance Filtro de CO2 para Adultos y Pediatría Intubados, Duración Extendida, 2m, Microstream™ Advance Filtro de CO2 para Adultos y Pediatría Intubados, Uso a Corto Plazo, 4m, Microstream™ Advance Filtro Nasal de CO2 para Adultos con Tubo de O2, Duración Extendida, 2m, CM1307 Manguito reutilizable sin vejiga, Adu grande, 33-47 cm, con envoltura larga, con conector, Microstream™ Advance Filtro Oral-Nasal de CO2 para Adultos con Tubo de O2, Uso a Corto Plazo, 2m, Microstream™ Advance Filtro Oral-Nasal de CO2 para Pediatría con Tubo de O2, Uso a Corto Plazo, 2m, Microstream™ Advance Filtro Oral-Nasal de CO2 para Adultos con Tubo de O2, Uso a Corto Plazo, 4m, Microstream™ Advance Filtro Oral-Nasal de CO2 para Pediatría con Tubo de O2, Uso a Corto Plazo, 4m, Microstream™ Advance Filtro Nasal de CO2 para Neonatos e Infantes, Duración Extendida, 2m, Electrodos ECG: Ped/Neo, 30 piezas/paquete, INTCO, Cable de 3 derivaciones ECG, de un solo uso, Ped/Neo, con clip, IEC, DIN, CM1200 Manguito reutilizable, Infante pequeño, 7-13 cm, con conector, CM1201 Manguito reutilizable, Infante, 10-19 cm, con conector, CM1202 Manguito reutilizable, Niño, 18-26 cm, con conector, CM1203 Manguito reutilizable, Adu, 25-35 cm, con conector, CM1204 Manguito reutilizable, Adu grande, 33-47 cm, con conector, CM1205 Manguito reutilizable, Muslo, 46-66 cm, con conector, CM1304 Manguito reutilizable sin vejiga, Adu grande, 33-47 cm, con conector, CM1306 Manguito reutilizable sin vejiga, Adu, 25-35 cm, con envoltura larga, con conector, Soporte fijo para transductor IBP (UCI, se envía con el cable), Microstream™ Advance Filtro Oral-Nasal de CO2 para Pediatría, Uso a Corto Plazo, 2m, CM1302 Manguito reutilizable sin vejiga, Niño, 18-26 cm, con conector, CM1303 Manguito reutilizable sin vejiga, Adu, 25-35 cm, con conector, CM1300C Manguito reutilizable sin vejiga, Neo, 5.8-10.9 cm, con conector, CM1300D Manguito reutilizable sin vejiga, Neo, 7.1-13.1 cm, con conector, CM1300E Manguito reutilizable sin vejiga, Neo, 8-15 cm, con conector, CM1300 Manguito reutilizable sin vejiga, Infante pequeño, 7-13 cm, con conector, CM1301 Manguito reutilizable sin vejiga, Infante, 10-19 cm, con conector, Correas de gestión de cables (5 piezas/paquete), Abrazadera de montaje PiCCO para transductor IBP PV8215, Cable de puesta a tierra, Adaptador de CO2, Correas de gestión de accesorios, 62 cm, 2 piezas/paquete, Electrodos ECG: Adu, 10 piezas/paquete, Kendall, Electrodos ECG: Adu, 5 piezas/paquete, INTCO, Waveforms&amp;Numeric data Salida HL7 (Licencias de Software), Numeric data Salida HL7 (Licencia de Software)</t>
  </si>
  <si>
    <t>Cable tronco ECG 3 derivaciones, Cable tronco ECG 3 derivaciones para quirófano, Cable ECG 3 latiguillos tipo pinza, Cable ECG 3 latiguillos tipo pinza para quirófano, [INCLUIDO] Cable tronco ECG 5 derivaciones, Cable tronco ECG 5 derivaciones para quirófano, [INCLUIDO] Cable ECG 5 latiguillos tipo pinza, Cable ECG 5 latiguillos tipo pinza para quirófano, Cable tronco ECG 6 derivaciones, Cable ECG 6 latiguillos tipo pinza, Cable tronco ECG 10 derivaciones, Cable ECG 5 latiguillos tipo pinza para precordiales, Sensor SpO2 dedal silicona 2m, Sensor SpO2 dedal silicona 3m, Sensor SpO2 dedal silicona para pediatrico, Sensor SpO2 mano/pie silicona para neonato, Sensor SpO2 oreja silicona, [INCLUIDO] Sensor SpO2 dedo tipo clip, Cable extensión SpO2, Cable adaptador SpO2 conector DSub9 Philips, Cable adaptador SpO2 conector Nellcor, Cable adaptador SpO2 conector Masimo LNCS, Cable adaptador SpO2 conector Masimo RD, Cable troncal SpO2 Masimo RD Rainbow, Cable troncal SpO2 Masimo LNCS, Cable conector PNI neonatal, [INCLUIDO] Cable conector PNI, Manguito Easy Care talla infantil, Manguito Easy Care talla pediatrica, [INCLUIDO] Manguito Easy Care talla adulto pequeño, [INCLUIDO] Manguito Easy Care talla adulto, Manguito Easy Care  talla adulto (largo), [INCLUIDO] Manguito Easy Care talla obeso, Manguito Easy Care talla obeso (largo), Manguito Easy Care talla extra obeso, Sensor capnografía tecnología Mainstream, Adaptador CO2 Mainstream adulto reutilizable, Adaptador CO2 Mainstream neonato reutilizable, Adaptador CO2 Mainstream adulto (10 uds), Adaptador CO2 Mainstream infantil (10 uds), Sensor capnografía tecnología Sidestream, Linia muestreo CO2 Sidestream adulto (10 uds), Linia muestreo CO2 Sidestream humidificada adulto (10 uds), Conector EC5 para conexión con dispositivos externos, [INCLUIDO] Cable dual para 2 presiones invasivas, Cable transductor de presión invasiva compatible con Edwards, Cable troncal para gasto cardíaco, [INCLUIDO] Sensor de temperaura esofagica/rectal adulto, Sensor de temperaura esofagica/rectal pediatrico, Sensor de temperatura cutanea, Cable troncal EEG 2 canales, Cable troncal EEG 4 canales, Electrodos EEG para 2 canales, Electrodos EEG para 4 canales, Cable de paciente para NMT, Cable troncal de presión FloTrac</t>
  </si>
  <si>
    <r>
      <t>20.500,05</t>
    </r>
    <r>
      <rPr>
        <sz val="9"/>
        <rFont val="Arial"/>
        <family val="2"/>
      </rPr>
      <t>€ ; 56 accessoris</t>
    </r>
  </si>
  <si>
    <t>Soporte de montaje en pared GCX (con adaptador de bloqueo rápido) para iMEC/iPM/uMEC/ePM, Batería recargable de Li-ion 10.95V 5200mAh (puerta, nuevo uMEC), Kit de accesorios IBP (UCI), Cable IBP de 12 pines IM2202 (para BD), Cable IBP de 12 pines IM2211 para Edwards, Cable Mindray+512F, Adu, dedo, Kit de abrazadera para barandilla de cama (10 y 12 pulgadas, nuevo uMEC), Kit de gancho para barandilla de cama (10 y 12 pulgadas, nuevo uMEC), Sensor reutilizable 512K SpO2, Ped, vendaje, 8 a 30kg, Electrodo+cable+alambres: 3-leads, Neo, Clip, a prueba de desfibrilador, IEC, Electrodo+cable y alambres (integrados): Ped, 3-leads, Snap, IEC, Electrodo+cable y alambres (integrados): Ped, 3-leads, Clip, IEC, Cable troncal ECG: 3/5-leads, 12 pines, a prueba de ESU, AHA/IEC, Electrodo+cable+alambres: 5-leads, Adu, Snap, a prueba de desfibrilador, IEC, Sensor reutilizable 513A SpO2, Adu/Ped, Clip para oreja, Cable Mindray+512H, dedo Ped, Cable Mindray+518B, pie Neo, Sonda de un solo paciente CM1505, Muslo, 46-66 cm, 10 piezas/caja, Electrodo+cable+alambres: 3-leads, Adu, Clip, a prueba de desfibrilador, IEC, Cable 512F de 7 pines, cable reutilizable de 3m, clip para dedo, accesorio SpO2 integrativo, Adulto, Sonda de temperatura reutilizable MR403B, Adu, Piel, 2 pines, Fondo de montaje y accesorio para transductor IBP (BD), Cable de 7 pines 518B, cable reutilizable de 3m, vendaje, accesorio SpO2 integrativo (Adu/Neo), Cable IBP de 12 pines IM2206 (para Utah), Sensor reutilizable 518BLH SpO2, Neo, Pie, sujeción, Sensor reutilizable 512F SpO2, Adu, Clip para dedo, Sensor reutilizable 512H SpO2, Ped, Clip para dedo, Sensor reutilizable 518B SpO2, Neo, Pie (Adu/Ped, dedo o dedo del pie), Sensor reutilizable 512E SpO2, Adu, Punta de dedo, Sensor reutilizable 512G SpO2, Ped, Punta de dedo, Cable IBP de 12 pines IM2201 (para UCI), Cables de 5-leads, Adu/Ped, Clip, TPU, IEC (largo, 1m/1.4m), Cables de 3-leads, Neo, Clip, TPU, IEC (1m), Cable troncal ECG, 3-leads, Neo, 12 pines, TPU, AHA/IEC, DIN, Electrodo+cable y alambres (integrados): Adu, 5-leads, Snap, IEC, Electrodo+cable y alambres (integrados): Adu, 5-leads, Clip, IEC, Electrodo+cable y alambres (integrados): Adu, 3-leads, Clip, IEC, Cable ECG y alambres (integrados): Adu/Ped, Cable ECG 12 pines de 5-leads, IEC, Snap, Cable ECG y alambres (integrados): Adu/Ped, Cable ECG 12 pines de 5-leads, IEC, Clip, Cable ECG y alambres (integrados): Adu/Ped, Cable ECG 12 pines de 3-leads, IEC, Clip, Cable troncal ECG: 3-leads, 12 pines, a prueba de desfibrilador, AHA/IEC, Cables de 3-leads, Adu/Ped, Clip, TPU, IEC (1m), Sonda de temperatura reutilizable MR401B, Adu, Esofágica/Rectal, 2 pines, Sonda de temperatura reutilizable MR402B, Ped/Neo, Esofágica/Rectal, 2 pines, Sonda de temperatura reutilizable MR404B, Ped/Neo, Piel, 2 pines, Electrodos ECG: Neo, 50 piezas/paquete, Covidien, Cable troncal ECG: 3/5-leads, 12 pines, a prueba de desfibrilador, AHA/IEC, Cables de 3-leads, Adu/Ped, Snap, TPU, IEC (1m), Cables de 5-leads, Adu/Ped, Snap, TPU, IEC (1m/1.4m), Tubos (3m)+ Sonda Adu (CM1203 25-35 cm), Tubos (3m)+ Sonda Ped (CM1202 18-26 cm), Herramienta de configuración de puntuación clínica Mindray (para Early Warning Score), Adaptador de bloqueo rápido Commen para todos los modelos existentes con pantalla de 12" o menos y VS (ya sea en soporte de pared o carro), Cable de extensión SpO2 Mindray, 7 pines, 2.5m, Sonda CM1305 sin vejiga NIBP, muslo adulto, reutilizable, 46-66cm, con conector, Abrazadera de montaje para transductor IBP (UCI, enviar con el cable), Sonda reutilizable CM1307 sin vejiga, Grande Adu, 33-47cm, envoltura larga, con conector, Tubos NIBP, Adu/Ped/Infante, con conectores (3m), Electrodos ECG: Ped/Neo, 30 piezas/paquete, INTCO, Sonda reutilizable CM1201, Infante, 10-19 cm, con conector, Sonda reutilizable CM1202, Niño, 18-26 cm, con conector, Sonda reutilizable CM1203, Adu, 25-35 cm, con conector, Sonda reutilizable CM1204, Grande Adu, 33-47 cm, con conector, Sonda reutilizable CM1205, Muslo, 46-66 cm, con conector, Sonda reutilizable CM1304 sin vejiga, Grande Adu, 33-47 cm, con conector, Sonda reutilizable CM1306 sin vejiga, Adu, 25-35 cm, envoltura larga, con conector, Descanso estable para transductor IBP (UCI, enviar con el cable), Sonda reutilizable CM1302 sin vejiga, Niño, 18-26 cm, con conector, Sonda reutilizable CM1303 sin vejiga, Adu, 25-35 cm, con conector, Sonda sin vejiga CM1300, Pequeño infante, reutilizable, 7-13 cm, con conector, Sonda sin vejiga CM1301, Infante, reutilizable, 10-19 cm, con conector, Electrodos ECG: Adu, 10 piezas/paquete, Kendall, Electrodos ECG: Adu, 5 piezas/paquete, INTCO, cable ecg 12 derivaciones, Cables de 12-leads para extremidades, Adu/Ped, Clip, Gris, TPU, IEC (0.8m), Cables de 12-leads para pecho, Adu/Ped, Clip, Blanco, TPU, IEC (0.6m)</t>
  </si>
  <si>
    <t>BISx pod Vista 120/300,  Kit Tofscan: Tofscan, sensor de adulto dedo, cargador y manual de usuario, Módulo etCO2 Capnostat 5, reutilizable, MCable Mainstream CO2, para Evita, Infinity® V500, Infinity® M540, Vista 120, Vista 120 S y Delta VF9.1 y superiores, Módulo etCO2 Sidestream Drager G2, INFINITY MCABLE MICROSTREAMCO2, Módulo spO2 Nellcor OxiMax., Módulo Pod Spo2 Masimo SET M540 (todos con sus cables adaptadores)</t>
  </si>
  <si>
    <t>Paràmetres de mesura addicionals: 3 canals de PI, 1 canal de despesa cardíaca, 1 canal BIS, 1 canal de capnografia i 1 canal de temperatura addicional</t>
  </si>
  <si>
    <t>Cables troncales de ECG, Cables troncales de ECG, Cables troncales de ECG, Cables troncales de ECG, Cables troncales de ECG, Cables troncales de ECG, Latiguillos de ECG, Latiguillos de ECG, Latiguillos de ECG, Latiguillos de ECG, Latiguillos de ECG, Electrodos, Otros accesorios, Otros accesorios, Otros accesorios, Otros accesorios, Cables de temperatura, Cables de temperatura, Cables de temperatura, Sondas de Temperatura, Sondas de Temperatura, Sondas de Temperatura, Adaptador de presión arterial invasiva, Cable de presión arterial invasiva, Cable de presión arterial invasiva, Cable de presión arterial invasiva, Cable de presión arterial invasiva, Cable de presión arterial invasiva, Cable de presión arterial invasiva, Cable de presión arterial invasiva, Cable de presión arterial invasiva, Mangueras de aire para manguitos, Mangueras de aire para manguitos, Mangueras de aire para manguitos, Mangueras de aire para manguitos, Mangueras de aire para manguitos, Manguitos PANI- 5 unidades por caja, Manguitos PANI- 5 unidades por caja, Manguitos PANI- 5 unidades por caja, Manguitos PANI- 5 unidades por caja, Manguitos PANI- 5 unidades por caja, Manguitos PANI- 5 unidades por caja, Manguitos PANI- 5 unidades por caja, Manguitos PANI- 5 unidades por caja, Surtidos  Manguitos PANI - conector DINACLICK, Surtidos  Manguitos PANI - conector DINACLICK, Surtidos  Manguitos PANI - conector DINACLICK, Manguitos PANI- 5 unidades por caja, Manguitos PANI- 5 unidades por caja, Manguitos PANI- 5 unidades por caja, Manguitos PANI- 5 unidades por caja, Manguitos PANI- 5 unidades por caja, Manguitos PANI- 5 unidades por caja, Manguitos PANI- 5 unidades por caja, Manguitos PANI- 5 unidades por caja, Manguitos PANI- 5 unidades por caja, Manguitos PANI- 5 unidades por caja, Manguitos PANI- 5 unidades por caja, Surtidos  Manguitos PANI - conector DINACLICK, Surtidos  Manguitos PANI - conector DINACLICK, Surtidos  Manguitos PANI - conector DINACLICK, Manguitos Neonatales - 2 tubos neo Snap Classic Cuff, Manguitos Neonatales - 2 tubos neo Snap Classic Cuff, Manguitos Neonatales - 2 tubos neo Snap Classic Cuff, Manguitos Neonatales - 2 tubos neo Snap Classic Cuff, Manguitos Neonatales - 2 tubos neo Snap Classic Cuff, Manguitos Neonatales - 2 tubos neo Snap Soft Cuff, Manguitos Neonatales - 2 tubos neo Snap Soft Cuff, Manguitos Neonatales - 2 tubos neo Snap Soft Cuff, Manguitos Neonatales - 2 tubos neo Snap Soft Cuff, Manguitos Neonatales - 2 tubos neo Snap Soft Cuff, Surtidos  Manguitos PANI - 2 tubos neosnap, Surtidos  Manguitos PANI - 2 tubos neosnap, Sensores de saturación integrados reutilizables, Sensores de saturación integrados reutilizables, Sensores de saturación integrados reutilizables, Sensores de saturación integrados reutilizables, Cable de Interconexion saturación, Sensores reutilizables saturación Tecnología GE, Sensores reutilizables saturación Tecnología GE, Sensores reutilizables saturación Tecnología GE, Sensores reutilizables saturación Tecnología GE, Sensores reutilizables saturación Tecnología GE, Sensores reutilizables saturación Tecnología GE, Cable de irconexion -saturación tenología Nellcor, Sensores reutilizables Nellcor, Sensores reutilizables Nellcor, Sensores reutilizables Nellcor, Clips de fijación, Cables de interconexión LNCS y RD para tecnología Masimo , Cables de interconexión LNCS y RD para tecnología Masimo , Cables de interconexión LNCS y RD para tecnología Masimo , Cables de interconexión LNCS y RD para tecnología Masimo , Cables de interconexión LNCS y RD para tecnología Masimo , Cables de interconexión LNCS y RD para tecnología Masimo , Cable Entropía, NMT cable sensor, NMT mecanosensor, NMT mecanosensor, NMT electrosensor, Software AOA anestesia, Software conexión directa sistemas de anestesia, Software notificaciones, Software arritmias y FA, Software 12 derivaciones, Software presión de Pulso, Software visualización Cama cama, Software de alerta temprana, Software de Oxycardioespirograma, Software de Full disclosure 72hr, Software de salida HL7, Software de soporte tecnico remoto, WIFI, Portamodulos adicional, Soporte pared para portamodulos, Soporte para equipos de anestesia, Lector de codigo de barras, Soporte cama, Soporte rodable, Soporte rodable, Soporte Pared, Soporte Pared, Gancho  para accesorios, accesorio, accesorio, accesorio, accesorio, accesorio</t>
  </si>
  <si>
    <t>Módulo de CO, Módulo de CO2 y O2, Módulo de CO2, O2 y A. Anestésicos con id, Módulo G.C. termodilución + cable + termistor. Módulo de BIS, Módulo Entropía, Módulo Relajación muscular, Interface Unity ID - dispositivo de conexión equipos externos, DIDCA para Aisys, Avance, Carestation 600, Carestation 700, Engstrom y R860- No incluido en la oferta</t>
  </si>
  <si>
    <t>Nom Mòduls</t>
  </si>
  <si>
    <r>
      <t>18.195</t>
    </r>
    <r>
      <rPr>
        <sz val="9"/>
        <rFont val="Arial"/>
        <family val="2"/>
      </rPr>
      <t>€; 171 accessoris</t>
    </r>
  </si>
  <si>
    <t>Electrodo con cables ECG de 5 derivaciones para adulto, tipo Snap, compatible con IEC, protección contra desfibrilación., Electrodo con cables ECG de 3 derivaciones para adulto/pediátrico, tipo Snap, estándar IEC y desfibrilación segura., Electrodo con cables ECG de 3 derivaciones para adulto, tipo clip, protección desfibrilación, compatible IEC., Cable troncal ECG de 12 derivaciones, conector de 12 pines, compatible IEC, protección ante desfibrilación., Kit PiCCO con transductor de presión invasiva (IBP), conector tipo Utah, incluye sensor de temperatura para volumen de inyección., Kit con teclado y ratón por cable, para estaciones de monitorización o central de enfermería., Sonda de temperatura reutilizable para adultos, medición en piel, con conector de 2 pines., Accesorio y base de montaje para transductor de presión invasiva, versión BD., Cable de salida para señal analógica de ECG, IBP y sincronización de desfibrilador, compatible con puerto MP1., Cable de presión invasiva de 12 pines compatible con conector Utah., Cable para sensor de presión intracraneal Codman, 12 pines. Bajo stock, reposición en 45 días., Sensor SpO2 reutilizable para neonatos, tipo lazo para el pie, cómodo y seguro para monitoreo continuo., Tubo y manguitos neonatales reutilizables (modelos CM1300C, D y E), 1 unidad por modelo., Cable PiCCO tipo Y (largo) para presión arterial y presión venosa central., Cable PiCCO para sensor de temperatura de inyección y temperatura sanguínea., Sensor SpO2 reutilizable, adulto, tipo pinza en el dedo., Sensor SpO2 reutilizable, pediátrico, tipo pinza en el dedo., Sensor SpO2 reutilizable, neonato, para pie (también compatible con dedo en adultos/pediátricos)., Sensor SpO2 reutilizable, adulto, tipo dedal (finger-tip)., Sensor SpO2 reutilizable, pediátrico, tipo dedal (finger-tip)., Cable IBP de 12 pines para cuidados intensivos (UCI)., Tubo (3 m) con manguito adulto reutilizable CM1203 (25–35 cm)., Cable ECG reutilizable de 6 derivaciones, adulto/pediátrico, tipo Snap, 36", TPU, estándar IEC, compatible BeneVision., Cable ECG reutilizable de 6 derivaciones, adulto/pediátrico, tipo Clip, 36", TPU, estándar IEC, compatible BeneVision., Cable PiCCO tipo Y (corto) para presión arterial y presión venosa central., Cables ECG de 5 derivaciones, adulto/pediátrico, tipo Clip, TPU, IEC, largos (1 m / 1.4 m)., Cables ECG de 3 derivaciones, neonato, tipo Clip, TPU, IEC, 1 metro., Cable troncal ECG de 3 derivaciones, neonato, 12 pines, TPU, AHA/IEC, DIN., Cable de extensión para sensor SpO2 Nellcor, 8 pines., Cable troncal ECG de 3 o 5 derivaciones, 12 pines, protegido contra desfibrilación, AHA/IEC., Cable troncal ECG de 3/5/6 derivaciones, adulto/pediátrico, 12 pines, 3.1 m, protección desfibrilación, AHA/IEC (solo para TM80)., Cables ECG de 5 derivaciones, adulto/pediátrico, tipo Snap, TPU, IEC, 1 m o 1.4 m., Adaptador de mano reutilizable para sensor de monitoreo neuromuscular (NMT), válido para pacientes adultos y pediátricos., Cable troncal ECG de 3 derivaciones, conector de 12 pines, protegido contra desfibrilación, compatible con normas AHA/IEC., Cables ECG de 3 derivaciones para adultos y pediátricos, tipo clip, recubiertos de TPU, 1 metro, estándar IEC., Cables de derivaciones para extremidades ECG de 12 derivaciones, adultos/pediátricos, tipo clip, color gris, 0.8 m, IEC., Cables precordiales ECG para adultos/pediátricos, tipo clip, blancos, 0.6 m, TPU, IEC., Cables para extremidades ECG de 12 derivaciones, tipo Snap, gris, TPU, 0.8 m, IEC., Cables precordiales ECG con conector Snap, blancos, TPU, 0.6 m, IEC, para adultos/pediátricos., Sonda de temperatura reutilizable para adultos, uso esofágico o rectal, con conector de 2 pines., Sonda de temperatura reutilizable para pediátricos o neonatos, esofágica o rectal, con conector de 2 pines., Sonda de temperatura reutilizable para piel en pediátricos o neonatos, 2 pines., Adaptador de línea de aire DRYLINE recto, caja de 10 unidades, reemplaza el ref. 9000-10-07486., Cable de extensión para sensores SpO2 de Mindray, con conector de 7 pines y longitud de 2.5 metros., Jeringa de control de 12 ml con conector giratorio, utilizada para mediciones hemodinámicas., Tubo de 3 m con manguito adulto reutilizable modelo CM1303 (25–35 cm), 1 unidad., Tubo de 3 m con manguito pediátrico reutilizable modelo CM1302 (18–26 cm), 1 unidad., Kit de capnografía Microstream para neonatos, para medir CO₂ espirado., Cables ECG de 3 derivaciones, adultos/pediátricos, tipo Snap, TPU, 1 metro, IEC., Tubo de 3 m con manguito pediátrico reutilizable modelo CM1202 (18–26 cm)., Carcasa para sensor de temperatura del líquido de inyección, modelo BD SP5045., Cable para conexión del monitor al sistema de aviso de enfermería., Herramienta de configuración de puntuación clínica de Mindray, para activación de sistemas de alerta temprana (Early Warning Score)., Adaptador de vía aérea DRYLINE recto para neonatos, caja de 10 unidades, reemplaza el ref. 040-001187-00., Electrodos ICG Medis (N1201), paquete de 4 unidades, para monitorización de gasto cardíaco por bioimpedancia., Módulo vacío de una ranura, utilizado como espacio reservado en sistemas modulares., Adaptador para soportes móviles compatibles con monitores N17, N15, T5 y ePM15., Cables ECG de un solo uso, 3 derivaciones, para pediátrico/neonato, tipo clip, estándar IEC, conector DIN., Kit de capnografía Microstream para adultos, mide el CO₂ espirado en pacientes intubados o con mascarilla., Adaptador de vía aérea DRYLINE en forma de codo, caja de 10 unidades, reemplaza el ref. 9000-10-07487., Kit de capnografía Microstream para pediátricos, para monitorización de CO₂ espirado., Manguito NIBP reutilizable sin vejiga, para muslo de adulto, tamaño 46–66 cm, conector incluido., Abrazadera de montaje para transductor de presión invasiva (IBP), se entrega junto con el cable en UCI., Tubo NIBP de 3 metros con conectores de aire, compatible con adulto, pediátrico e infantil., Tubo NIBP de 3 metros con conectores de aire, compatible con neonatos., Manguito NIBP reutilizable sin vejiga para adultos grandes, tamaño 33–47 cm, diseño de envoltura larga, con conector., Placa de transición para adaptadores de brazo GCX serie VHM/M, compatible con monitores N17, N15, N12 y T., Electrodos ECG para pediátricos o neonatos, paquete de 30 unidades, marca INTCO., Cables ECG de un solo uso, 3 derivaciones, pediátrico/neonato, tipo Snap, estándar IEC, conector DIN., Manguito NIBP reutilizable para lactantes pequeños, tamaño 7–13 cm, con conector., Manguito NIBP reutilizable para lactantes, tamaño 10–19 cm, con conector., Manguito NIBP reutilizable para niños, tamaño 18–26 cm, con conector., Manguito NIBP reutilizable para adultos, tamaño 25–35 cm, con conector., Manguito NIBP reutilizable para adultos grandes, tamaño 33–47 cm, con conector., Manguito NIBP reutilizable para muslo de adulto, tamaño 46–66 cm, con conector., Manguito NIBP reutilizable sin vejiga, adulto grande, tamaño 33–47 cm, con conector., Manguito NIBP reutilizable sin vejiga, adulto, tamaño 25–35 cm, diseño de envoltura larga, con conector., Soporte estabilizador para transductor de presión invasiva (IBP), se entrega con el cable en entornos de UCI., Manguito NIBP reutilizable sin vejiga para niños, tamaño 18–26 cm, con conector., Manguito NIBP reutilizable sin vejiga para adultos, tamaño 25–35 cm, con conector., Manguito reutilizable para neonatos, sin vejiga, con un rango de tamaño de 5.8 a 10.9 cm, incluye conector., Manguito reutilizable para neonatos, sin vejiga, con un rango de tamaño de 7.1 a 13.1 cm, incluye conector., Manguito reutilizable para neonatos, sin vejiga, con un rango de tamaño de 8 a 15 cm, incluye conector., Manguito reutilizable para lactantes pequeños, sin vejiga, con un rango de tamaño de 7 a 13 cm, incluye conector., Manguito reutilizable para lactantes, sin vejiga, con un rango de tamaño de 10 a 19 cm, incluye conector., Correas para gestión de cables (5 unidades/paquete)., Abrazadera de montaje PiCCO para transductor PV8215 IBP., Cable de puesta a tierra., Correas para gestión de accesorios, 62 cm, 2 unidades/paquete., Electrodos ECG: Adu, 10 unidades/paquete, Kendall., Cable troncal ECG: 3/5/6 cables, Adu/Ped, resistente a ESU, 12 pines, 3.1 m, AHA/IEC (solo para cables ECG TM80)., Cable troncal ECG: 3/5 cables, 12 pines, resistente a ESU, AHA/IEC., Cable Mindray +512G Pedí dedo., Cable de conexión SMR (Generación II) para BeneVision N (2 m)., Cable Mindray +512E, Adu dedo., Sensor SpO2 reutilizable 513A, Adu/Ped, clip para oreja., Cable de estimulación NMT., Kit de gancho para gestión de cables para SMR (instalado en la parte inferior del SMR)., Abrazadera de montaje SMR., Cable troncal ECG: 3 cables, 12 pines, resistente a ESU, AHA/IEC, bajo inventario, ciclo de reposición: 60 días., Kit de teclado inalámbrico y ratón., Cable Mindray +512H Pedí dedo., Cable Mindray +518B Neo pie., Kit de accesorios Multi-Gas de dos ranuras (Adu/Ped/Neo)., Módulo IBP de 2 canales 1 ranura (sin accesorios)., Resumen ECG de 24 horas (licencia de software)., Pace View (licencia de software)., InfusionView (licencia de software)., Módulo de temperatura de 2 canales., NeuroSight (licencia de software)., Resumen AF (licencia de software)., Sensor reutilizable DS100A, Adu., Sensor reutilizable OXI-P/I, Ped/Infante., Sensor reutilizable Nellcor SpO2, Adu/Neo, con 50 piezas de vendaje., Kit de accesorios IBP (UCI)., Cánula nasal de muestra CO2, Ped, con línea de 7’, 25 piezas/caja, reemplaza M02A-10-25938., Kit de bandeja de teclado GCX M series para montaje en pared o techo (poste de 6” hacia abajo)., Catéter de arteria femoral, Pediátrico., Montaje de poste hacia abajo TDS de 9” con abrazadera de bloqueo cruzado., Electrodo+cable+alambres: 5-leads, Adu, Snap, a prueba de ESU, IEC., Electrodo+cable+alambres: 5-leads, Adu, Clip, a prueba de ESU, IEC., Cable principal NMT., Módulo BISx/BISx4 de 1 ranura (sin accesorios)., Módulo de enlace CCO/SvO2 (para Edwards Vigillance/Vigileo/EV1000) (sin cable de enlace)., Adaptador reutilizable para vía respiratoria, Adu/Ped., Cánula nasal de muestra CO2, Adu, con línea de 7’, 25 piezas/caja, reemplaza M02A-10-25937., Cable de conexión SMR (Generación II) para BeneVision N (4m)., Montaje de poste hacia arriba TDS de 6” con abrazadera de bloqueo cruzado., Batería recargable de litio-ion (11.1V, 4500mAh)., Catéter estándar para arteria, Adulto., EWS (licencia de software)., Cable de extensión Masimo SpO2, 8 pines, conector morado., Cable Masimo (RD SET), 8 pines, conector morado., TRAMPILLA DE AGUA DRYLINE II, Adu/Ped, 10 piezas/caja (reemplaza 100-000080-00), compatible solo con módulo CO2 sidestream de un solo puerto., TRAMPILLA DE AGUA DRYLINE II, Neo, 10 piezas/caja (reemplaza 100-000081-00), compatible solo con módulo CO2 sidestream de un solo puerto., Línea de muestreo, Neo, 2.5 m, 25 piezas/caja (P/N: 60-15300-00), reemplaza 9200-10-10555., Cable de conexión SMR (Generación II) para BeneVision N (10m)., Adaptador reutilizable para vías respiratorias Neonatal (Respironics)., Línea de muestreo, Adu/Ped, 2.5 m, 25 piezas/caja (P/N:60-15200-00), reemplaza 9200-10-10533., Adaptador DVI-D a VGA., Módulo de enlace para termómetro de oído infrarrojo., Kit de montaje SMR en pared (versión básica)., Kit de gestión de cables con 5 ganchos., Adaptador de ID BeneLink &amp; Cable H (BeneFusion DS5 e InfusionView si se adquiere)., Adaptador de ID BeneLink &amp; Cable I (BeneFusion nSeris e InfusionView si se adquiere)., Control remoto (2.4G RF, puerto USB)., Electrodo+cable+alambres: 12-leads, Adu, Snap, a prueba de desfibrilador, IEC., Electrodo+cable+alambres: 12-leads, Adu, Clip, a prueba de desfibrilador, IEC., Cable de transductor NMT., Canal de 7” (17.8 cm) con abrazadera de poste de 38 mm., SMR poste de 9” hacia abajo con abrazadera de montaje., Adaptador ID BeneLink (Wato Series, A series, SynoVent E3/E5, PB840)., Adaptador ID BeneLink &amp; Cable B (Newport E360, Evita 2/4/XL, Servo i/s, Flow-I, G5/C2/Galileo)., Adaptador ID BeneLink &amp; Cable C (Fabius plus/tiro/GS, Primus, TCM CombiM/Tosca, TOF-Watch SX)., Adaptador ID BeneLink &amp; Cable D (Avance, Aisys, Aestiva 7100/7900)., Adaptador ID BeneLink &amp; Cable E (CareFusion-Vela)., Adaptador ID BeneLink &amp; Cable F (B.Braun Infusomat Space/Perfusor Space)., Adaptador ID BeneLink &amp; Cable G (Bombas Fresenius)., Cable IBP de 12 pines IM2202 (para BD)., Cable IBP de 12 pines IM2211 para Edwards., Kit de CO2 Sidestream de un solo puerto, Adu/Ped., Kit de CO2 Sidestream de un solo puerto, Neo., Electrodo+cable+alambres: 3-leads, Ped, Snap, a prueba de desfibrilador, IEC., Electrodo+cable+alambres: 3-leads, Ped, Clip, a prueba de desfibrilador, IEC., SMR poste de 6” hacia abajo con abrazadera de montaje., Cable Mindray+512F, Adu, dedo., Electrodo+cable+alambres: 5-leads, Adu, Clip, a prueba de desfibrilador, IEC., Sensor SpO2 reutilizable 512K, Ped, vendaje, 8 a 30 kg., Cable CCO Link., Electrodo+cable+alambres: 3-leads, Neo, Clip, a prueba de desfibrilador, IEC., ECG Electrodes: Adu, 5 pcs/pack, INTCO.</t>
  </si>
  <si>
    <t>Manguito presión no invasiva reusable, Manguito presión no invasiva reusable, Manguito presión no invasiva reusable, Cable ECG 12 derivaciones, Sensor adulto de saturación reusable, cable de alimentación normatica europea, Carro de transporte, Cable troncal tecnología Nellcor de saturación de SpO2, Sensor tecnología Nellcor de saturación de SpO2, Cable troncal tecnología Masimo de saturación de SpO2, Sensor tecnología Masimo de saturación de SpO2, sonda temperatura adulto reusable, sonda temperatura neonatal reusable</t>
  </si>
  <si>
    <t>SpO2 Module, Temperature Module, Comen NIBP Module, Glasgow 12-lead resting ECG analysis, ECG, IBP, EtCO2, C.O. (gasto cardíaco), Built-in Wi-Fi module 2.4G/5G</t>
  </si>
  <si>
    <t>No inclou paràmetres de messura addicionals</t>
  </si>
  <si>
    <t>Mòdul de temperatura predictiva,  MS_SCO2_NanoPod OEM </t>
  </si>
  <si>
    <t>1.441,75€ ; 13 accessoris</t>
  </si>
  <si>
    <r>
      <t>32.189,56</t>
    </r>
    <r>
      <rPr>
        <sz val="9"/>
        <rFont val="Arial"/>
        <family val="2"/>
      </rPr>
      <t>€ ;111 accessoris</t>
    </r>
  </si>
  <si>
    <t>Mindray SPO2, Mindray TEMP, Presión Arterial Invasiva IBP, Capnografía SideStream CO2, Capnografía Microstream CO2, Capnografía Directa CO2, Gasto Cardíaco C.O., Gases anestésicos AG + O2, Índice Biespectral BIS, Gases anestésicos AG + O2 + BIS, Gases anestésicos AG, Capnografía SideStream CO2 + O2</t>
  </si>
  <si>
    <t>Cable troncal per connectar el monitor als cables ECG, Cable troncal per connectar el monitor als cables ECG, Cable troncal per connectar el monitor als cables ECG, Cable troncal per connectar el monitor als cables ECG, Cable troncal per connectar el monitor als cables ECG, Cable troncal per connectar el monitor als cables ECG, Cable troncal per connectar el monitor als cables ECG, Cable troncal per connectar el monitor als cables ECG, Cable troncal per connectar el monitor als cables ECG, Cable troncal per connectar el monitor als cables ECG, Cable troncal per connectar el monitor als cables ECG, Cables ECG, Cables ECG, Cables ECG, Cables ECG, Cables ECG, Cables ECG, Cables ECG, Cables ECG, Cables ECG, Cables ECG, Cables ECG, Cables ECG, Cables ECG, Cables ECG, Cable troncal per connectar el monitor als cables ECG, Cable troncal per connectar el monitor als cables ECG, Cable troncal per connectar el monitor als cables ECG, Cables ECG, Cables ECG, Sensor de SpO2, tecnologia Dräger, Sensor de SpO2, tecnologia Dräger, Sensor de SpO2, tecnologia Dräger, Sensor de SpO2, tecnologia Dräger, Sensor de SpO2, tecnologia Dräger, Sensor de SpO2, tecnologia Dräger, Sensor de SpO2, tecnologia Dräger, Sensor de SpO2, tecnologia Dräger, Sensor de SpO2, tecnologia Dräger, Cable intermig entre el monitor i el sensor de SpO2, tecnologia Nellcor, Cable intermig entre el monitor i el sensor de SpO2, tecnologia Nellcor, Sensor de SpO2, tecnologia Nellcor, Sensor de SpO2, tecnologia Nellcor, Sensor de SpO2, tecnologia Nellcor, Sensor de SpO2, tecnologia Nellcor, Cable intermig entre el monitor i el sensor de SpO2, tecnologia Masimo, Cable intermig entre el monitor i el sensor de SpO2, tecnologia Masimo, Cable intermig entre el monitor i el sensor de SpO2, tecnologia Masimo, Cable intermig entre el monitor i el sensor de SpO2, tecnologia Masimo, Sensor de SpO2, tecnologia Masimo, Sensor de SpO2, tecnologia Masimo, Sensor de SpO2, tecnologia Masimo, Sensor de SpO2, tecnologia Masimo, Sensor de SpO2, tecnologia Masimo, Sensor de SpO2, tecnologia Masimo, Sensor de SpO2, tecnologia Masimo, Sensor de SpO2, tecnologia Masimo, Sensor de SpO2, tecnologia Masimo, Sensor de SpO2, tecnologia Masimo, Sensor de SpO2, tecnologia Masimo, Sensor de SpO2, tecnologia Masimo, Sensor de SpO2, tecnologia Masimo, Tub per connectar el monitor als maneguets de PANI, Maneguet PANI, Maneguet PANI, Maneguet PANI, Maneguet PANI, Maneguet PANI, Maneguet PANI, Sonda de temperatura, Sonda de temperatura, Sonda de temperatura, Sonda de temperatura, Adaptador per sondes de temperatura de 7 pins, Sonda de temperatura, Sonda de temperatura, Sonda de temperatura, Sonda de temperatura, Sonda de temperatura, Sonda de temperatura, Cable de PAI, tecnologia Dickinson/Argon, Cable de PAI, tecnologia Edwards, Cable de PAI, tecnologia Abbott, Medex, Cable de PAI, tecnologia Utah, Cable PAI, Cable PAI, Cable de C.O., Sonda de temperatura de injecció de C.O., Carcassa de la sonda de temperatura de injecció de C.O., Xeringa de control de C.O., Trampa d'aigua pel mòdul de capnografia sidestream Drager G2, Cubeta de CO2 per capnografia mainstream, Cubeta de CO2 per capnografia mainstream, Ulleretes CO2 per capnografia microstream, Adaptador CO2 per capnografia microstream per a pacient intubat, Adaptador CO2 per capnografia microstream per a pacient intubat, Ulleretes CO2 per capnografia microstream, Ulleretes CO2 per capnografia microstream, Ulleretes CO2 per capnografia microstream, Ulleretes CO2 per capnografia microstream, Ulleretes CO2 per capnografia microstream, Ulleretes CO2 per capnografia microstream, Ulleretes CO2 per capnografia microstream, Ulleretes CO2 per capnografia microstream, Sensor per al TOFscan, Sensor per al TOFscan, Sensor per al TOFscan, Sensor per al TOFscan, Sensor per al TOFscan, Cable intermig per a connectar el TOFscan amb el sensor d'un sol ús, Bateria recarregable per al monitor Vista 300</t>
  </si>
  <si>
    <r>
      <t>34.413,28</t>
    </r>
    <r>
      <rPr>
        <sz val="9"/>
        <rFont val="Arial"/>
        <family val="2"/>
      </rPr>
      <t>€ ;128 accessoris</t>
    </r>
  </si>
  <si>
    <t>33,971,73€ ;127 accessoris</t>
  </si>
  <si>
    <t>Cable troncal ECG de 3/5 derivaciones- 1,2 m -No incluido en la oferta, Cable troncal ECG de 3/5 derivaciones- 3,6m- Incluido kit inicio, Cable troncal ECG de 3/5 derivaciones- 6m - No incluido en la oferta, Cable troncal ECG neonatal de 3 derivaciones DIN- 1,2m - No incluido en la oferta, Cable troncal ECG neonatal de 3 derivaciones DIN-3,6m - No incluido en la oferta, Cable troncal ECG de 12 derivaciones- 3,6m, Set de Latiguillos ECG de 3 derivaciones con pinza- 74 cm - No incluido en la oferta, Set de Latiguillos ECG de 3 derivaciones con pinza- 130 cm - No incluido en la oferta, Set de Latiguillos ECG de 5 derivaciones con pinza- 74 cm-Incluido kit inicio, Set de Latiguillos ECG de 5 derivaciones con pinza- 130 cm - No incluido en la oferta, Set de Latiguillos ECG de 5 derivaciones C2-6 con pinza- 130 cm - No incluido en la oferta, Electrodos de ECG precableados de 3 derivaciones, Radiotranslúcido - Hidrogel Sólido- 300 unidades/caja- No incluido en la oferta, Conversor DIN de 3 derivaciones-- No incluido en la oferta, Conversor DIN de 5 derivaciones-- No incluido en la oferta, Separador de Latiguillos- 3 unidades/caja - No incluido en la oferta, Pinza de sábana, Cable de temperatura, sondas serie 400, sencillo. Se conecta directamente a sondas de temperatura reutilizables.- 0,5 m - No incluido en la oferta, Cable de temperatura, sondas serie 400, doble. Se conecta directamente a sondas de temperatura reutilizables.- 0,5m - No incluido en la oferta, Sonda de temperatura reutilizable – esofágica/rectal, 280 cm- Adultos - No incluido en la oferta, Sonda de temperatura reutilizable – esofágica/rectal, 280 cm- Pediatrica - No incluido en la oferta, Sonda de temperatura reutilizable – cutánea, 280 cm- adultos - No incluido en la oferta, Cable adaptador doble de presión arterial invasiva- 30 cm - No incluido en la oferta, Cable de presión arterial invasiva, Utah/Biotrans-sencillo-3,6 m - No incluido en la oferta, Cable de presión arterial invasiva, Utah/Biotrans-doble-3,6 m - No incluido en la oferta, Cable de presión arterial invasiva, ICU Medical Transpac-IV- sencillo-3,6 m - No incluido en la oferta, Cable de presión arterial invasiva, ICU Medical Transpac-IV- doble-3,6 m - No incluido en la oferta, Cable de presión arterial invasiva, Edwards LS TruWave- sencillo-3,6m - Incluido en la oferta un cable de PI dependiendo de lo utilizado en el centro, Cable de presión arterial invasiva, Edwards LS TruWave- doble-3,6m - No incluido en la oferta, Cable de presión arterial invasiva, Argon- sencillo-3,6m - No incluido en la oferta, Cable de presión arterial invasiva, Argon- doble-3,6m - No incluido en la oferta, Conector dinaclick Adulto pediátrico 1,2 m - No incluido en la oferta, Conector dinaclick Adulto pediátrico 3,6 m- Incluido kit inicio, Conector dinaclick Adulto pediátrico 7,2 m - No incluido en la oferta, Conector Neo-Snap neonato 2,4 m - No incluido en la oferta, Conector Neo-Snap neonato 3,6 m- No incluido en la oferta, Dura Cuff- 2 tubos dinaclick Infantil tamaño de 8-13 cm - No incluido en la oferta, Dura Cuff- 2 tubos dinaclick Niño tamaño de 12-19cm - No incluido en la oferta, Dura Cuff- 2 tubos dinaclick Adulto Pequeño tamaño de 17-25 cm - No incluido en la oferta, Dura Cuff- 2 tubos dinaclick Adulto con Soporte tamaño de 23-33 cm - No incluido en la oferta, Dura Cuff- 2 tubos dinaclick Adulto Largo tamaño de 23-33 cm - No incluido en la oferta, Dura Cuff- 2 tubos dinaclick Adulto Grande tamaño de 31-40 cm - No incluido en la oferta, Dura Cuff- 2 tubos dinaclick Adulto Grande Largo tamaño de 31-40 cm - No incluido en la oferta, Dura Cuff- 2 tubos dinaclick Muslo tamaño de 38-50 cm, 3 Manguitos : 1 Adulto pequeño, 1 Adulto, 1 Adulto largo-Incluido kit inicio, 6 Manguitos : 2 Infantil, 3 Niño, 1 Adulto pequeño - No incluido en la oferta, 6 Manguitos : 1 Adulto pequeño, 3 Adulto, 1 Adulto largo, 1 Adulto grande - No incluido en la oferta, Soft Cuff- 2 tubos dinaclick Infantil tamaño de 8-13 cm - No incluido en la oferta, Soft Cuff- 2 tubos dinaclick Niño tamaño de 12-19cm - No incluido en la oferta, Soft Cuff- 2 tubos dinaclick Niño largo tamaño de 12-19cm - No incluido en la oferta, Soft Cuff- 2 tubos dinaclick Adulto Pequeño tamaño de 17-25 cm - No incluido en la oferta, Soft Cuff- 2 tubos dinaclick Adulto Pequeño Largo tamaño de 17-25 cm - No incluido en la oferta, Soft Cuff- 2 tubos dinaclick Adulto con Soporte tamaño de 23-33 cm - No incluido en la oferta, Soft Cuff- 2 tubos dinaclick Adulto Largo tamaño de 23-33 cm - No incluido en la oferta, Soft Cuff- 2 tubos dinaclick Adulto Grande tamaño de 31-40 cm - No incluido en la oferta, Soft Cuff- 2 tubos dinaclick Adulto Grande Largo tamaño de 31-40 cm - No incluido en la oferta, Soft Cuff- 2 tubos dinaclick Muslo tamaño de 38-50 cm - No incluido en la oferta, Radial Cuff Adulto obeso 26-36 cm (antebrazo) - No incluido en la oferta, 20 Manguitos : 5 Adulto pequeño, 10 Adulto, 5 Adulto grande - No incluido en la oferta, 20 Manguitos : 3 Adulto pequeño, 7 Adulto, 3 Adulto largo, 3 Adulto grande, 4 RADIAL-CUF (antebrazo) - No incluido en la oferta, 4 Manguitos : 1 Adulto pequeño, 1 Adulto, 1 Adulto grande, 1 RADIAL-CUF - No incluido en la oferta, Manguito Neonatal Classic- Cuff de tamaño 1: 3-6 cm de circunferencia - No incluido en la oferta, Manguito Neonatal Classic- Cuff de tamaño 2: 4-8 cm de circunferencia - No incluido en la oferta, Manguito Neonatal Classic- Cuff de tamaño 3: 6-11 cm de circunferencia - No incluido en la oferta, Manguito Neonatal Classic- Cuff de tamaño 4: 7-13 cm de circunferencia - No incluido en la oferta, Manguito Neonatal Classic- Cuff de tamaño 5: 8-15 cm de circunferencia - No incluido en la oferta, Manguito Neonatal Soft- Cuff de tamaño 1: 3-6 cm de circunferencia - No incluido en la oferta, Manguito Neonatal Soft- Cuff de tamaño 2: 4-8 cm de circunferencia - No incluido en la oferta, Manguito Neonatal Soft- Cuff de tamaño 3: 6-11 cm de circunferencia - No incluido en la oferta, Manguito Neonatal Soft- Cuff de tamaño 4: 7-13 cm de circunferencia - No incluido en la oferta, Manguito Neonatal Soft- Cuff de tamaño 5: 8-15 cm de circunferencia - No incluido en la oferta, 20 Manguitos SOFT-CUF : 2 Neo #1, 3 Neo #2, 5 Neo #3, 5 Neo #4, 5 Neo #5 - No incluido en la oferta, 20 Manguitos CLASSIC-CUF : 2 Neo #1, 3 Neo #2, 5 Neo #3, 5 Neo #4, 5 Neo #5 - No incluido en la oferta, Sensor de dedo integrado TruSignal- adulto Pediatrico ≥ 20 kg-4 m - No incluido en la oferta, Sensor de dedo integrado Silicona TruSignal- adulto ≥ 30 kg-4 m - No incluido en la oferta, Sensor de dedo integrado Silicona TruSignal- Pediatrico 15-30 kg-3 m - No incluido en la oferta, Sensor de oreja integrado TruSignal- adulto Pediatrico ≥ 10 kg-4 m - No incluido en la oferta, Cable de interconexión TruSignal con conector GE HealthCare 3 m-Incluido kit inicio, Sensor de dedo Truesignal adulto Pediatrico ≥ 20 kg -1 m-Incluido kit inicio, Sensor Finger Tip Truesignal Pediatrico 15-30 kg 1 m - No incluido en la oferta, Sensor Finger Tip Truesignal adulto &gt; 30 kg 1 m, Sensor de oreja Truesignal- adulto pediatrico ≥ 10 kg- 1m - No incluido en la oferta, Sensor envolvente truesignal- adulto pediatrico ≥ 3 kg-1 m - No incluido en la oferta, Sensor para Piel sensible truesignal- adulto-pediatrico-lactante-neonato- sin limite de peso-1m, Cable de interconexión con conector GE HealthCare y conector Nellcor OxiMax™3m - No incluido en la oferta, Sensor Nellcor de dedo Durasensor adulto &lt; 30 kg - No incluido en la oferta, Sensor Nellcor SpO2 Multisite adulto &gt; 1 kg - No incluido en la oferta, Sensor Nellcor SpO2- Pediatrico Infantil 3-40 kg, Clip de oreja SpO2 Nellcor D-YSE, para usar con 70124033 - No incluido en la oferta, Cable de interconexión Masimo LNC-10- 3 M - No incluido en la oferta, Cable Masimo RD SET GE para V100- 3,6 M - No incluido en la oferta, Sensor de dedo Masimo adulto &gt; 30 kg, Sensor de dedo Masimo pediatrico 10-50 kg - No incluido en la oferta, Sensor de dedo Masimo adulto &gt; 30 kg - No incluido en la oferta, Sensor de dedo Masimo pediatrico 10-50 kg - No incluido en la oferta, Cable Entropía 3,5 m - No incluido en la oferta, Cable Sensor NMT 3 m - No incluido en la oferta, Mecanosensor NMT adulto - No incluido en la oferta, Mecanosensor NMT Pediatrico - No incluido en la oferta, Electrosensor NMT- adulto pediatrico - No incluido en la oferta, SW - opción o actualización para SPI y AoA - No incluido en la oferta, SW - opción o actualización conexión directa a CS650/CS750 + kit cable - No incluido en la oferta, SW - opción o actualización notificaciones personalizadas - No incluido en la oferta, SW - opción o actualización Arritmias avanzadas para B1x5, incluye la FibA -incluido kit inicio, SW - opción o actualización ECG de 12 derivaciones -incluido kit inicio, SW - opción o actualización variación presión o de pulso VPS/VPP - No incluido en la oferta, SW - opción o actualización visualización cama-cama/AVOA - No incluido en la oferta, SW - opción o actualización Sistema de Alerta Temprana - EWS - No incluido en la oferta, SW - opción o actualización Oxycardiorespirograma - No incluido en la oferta, SW - opción o actualización Registro de curvas - Full Disclosure 72 h, SW - opción o actualización salida directa HL7-perfil IHE - No incluido en la oferta, SW - opción o actualización soporte servicio técnico remoto RSvP, Opción o actualización registrador térmico - No incluido en la oferta, Configuración inicial - Opción conexión a red WIFI IEEE 802.11a/b/g, Portamódulos F2 externo con cable de datos y alimentación (sin soportes) - No incluido en la oferta, Kit soportes pared rack F2: 411959-001 riel 19"/48 cm + 407349-009 soporte 12"/30 cm + 2099090-101 - No incluido en la oferta, Soporte bandeja superior CS620/650 monitor o rack F2, Lector código de barras B1x5 v4, cable 2,4 m con conector USB - No incluido en la oferta, Soporte cama -No incluido en la oferta, Soporte pie rodable 5 ruedas con cestilla - GCX - Incluido en la oferta, Soporte pie rodable 5 ruedas con cestilla - SUNO- No incluido en la oferta, Soporte de pared con brazo de 8" (20,3 cm); necesita riel pared - No incluido en la oferta, Soporte de pared con brazo de 12" (30,5 cm); necesita riel pared - No incluido en la oferta, Doble gancho accesorios, montado debajo soporte de pared - No incluido en la oferta, Abrazadera a poste con diámetro 2,5-5,1 cm con riel CGX de 17,8 cm - No incluido en la oferta, Riel de pared de 19" (48 cm) - No incluido en la oferta, Cestilla accesorios GCX, incluye elementos para montar en riel pared GCX, poste 50 mm o rieles 25x40 mm - No incluido en la oferta, Soporte sobremesa B1x5M/P, B450/B650, altura 11 cm- No incluido en la oferta</t>
  </si>
  <si>
    <t>Synthesized 18 leadfunction license - no incluido, esCCO/hemodynamics graph licence - no incluido, EWS/GSC function license - no incluido, Estación LAN inalámbrica - no incluido, Registradora - no incluido, Multi Socket Module - incluido, Interface sincronización ECG/PI - incluido</t>
  </si>
  <si>
    <t>32,926,18€ ;98 accessoris</t>
  </si>
  <si>
    <t>Juegos de accesorios para NK SpO2, Cable de electrodo de ECG 3 derivaciones, Cable de electrodo 3, broche, IEC, Cable de electrodo de ECG 6 derivaciones, Cable de electrodo de ECG 6 derivaciones, Cable de conexión ECG 3/6 derivaciones, Derivación 3 ECG baja impe neonat/pediát, Derivación 5 ECG baja impe neonat/pediát, Adaptador de ECG neonatal, Cable de paciente de ECG 10 derivaciones, Cable de paciente de ECG 10 derivaciones, ECG Electrode Vitrode L,150uds, ECG Electrode Vitrode F,150uds, ECG Electrode Vitrode M,150uds, Cable de conexión SpO2, Cable de conexión SpO2, SpO2 BluPRO Sonda de clip para dedos, Sonda de clip de dedo BluPRO SpO2, Sonda SpO2 BluPRO multisitio, SpO2 BluPRO Sonda de punta de dedo L, SpO2 BluPRO Sonda de punta de dedo M, Desecha Cinta fijación dcable sonda,90ud, Cinta sujetador sonda reutilizable,30uds, SpO2 BluPRO Multi-Site-Sens, 5uds, SpO2 Clip para los oídos, Cinta fijación de esponja Tipo S, 24uds, Cinta de fijación de esponja L, 24uds, Sonda caucho silicona SpO2,adulto&gt;40kg, SpO2 BluPRO Probe, 24uds, SpO2 BluPRO Probe, 24uds, SpO2 BluPRO Probe, 24uds, SpO2 BluPRO Probe, 24uds, SpO2 BluPRO Multi-Site-Sens, 5uds, Cinta de fijación de esponja L, 24uds, Cinta fijación de esponja Tipo S, 24uds, Tubo de aire para adultos/niños 1,5m, Tubo de aire para adultos/niños 3,5m, Manguera aire para neonato, 3,5 m, Snap, NIBP Infantil Yawara Manguito 2, Manguito PNI lactantes, Manguito PNI niños, Manguito PNI adulto S, Manguito PNI adulto M, Manguito PNI adulto L, Manguito PNI para muslo, Kit Accesorios incl. set NIBP ISO/IEC, NIBP cuff neonatal 11cm, NIBP cuff neonatal 14cm, NIBP cuff neonatal 20cm, NIBP cuff neonatal 25cm, NIBP cuff neonatal 27cm, Temp sonda, esofágica/rectal, pediátrica, Temp sonda, esofágica/rectal, adulto, Temperatura. sonda, piel, disco, Kit de sensor de CO2 cap-ONE, Adaptador de vía aérea, 30uds, Adaptador de vía aérea, 30uds, Adaptador de vía aérea, 30uds, Máscara Cap-One, adulto L, YG-272T, 10pc, Máscara Cap-One,adulto XL, YG-282T, 10pc, Máscara Cap-One, pediátrica YG-232T,10pc, Máscara Cap-One, bebé YG-242T, 10pc, Tapa adulta-ONE biteblock, 20uds, adaptador nasal cap-ONE, cánula, adulto, cap-ONE adaptad nasal,correa,pediátrico, adaptad nasal cap-one,cánula,pediatrico, Kit de sensor de CO2 cap-ONE, Adaptador de vía aérea, 30uds, Adaptador nasal de CO2, 30uds, Adaptador nasal de CO2, 30uds, Adaptador nasal de CO2, 30uds, Cánula oxígeno para adaptador nasal,50pc, Sensor de CO2 cap-One, cap-One CO2 Cable Adaptador, Cable de conexión IBP, Adaptador de cable IBP, Cable de conexión IBP, Cable de conexión IBP, Cable de conexión IBP, Transductor presión IBP Edwards 10 pz, Cable de conexión IBP, Juego de cables de conexión IBP, Cable de conexión IBP, IBP Con. Cable para transductores Medex, IBP Con. Cable para transductores Medex, IBP Con. Cable  Transductores TRANSPAC, IBP Con. Cable para transductores Medex, Cable de conexión PI PMK225, Cable adaptador auxiliar, Adaptador de cable IBP, CO. Cable de conexión, Inyección Edwards Lifesciences Sen Cable, Sensor inyección línea Becton Dickinson, Temp amb Becton Dickinson Kit inyec,5 ud, Becton Dickinson Injec.Sen.Housi.,25uds, Becton Dickinson Ther. diluir Cat., 5 pz, Becton Dickinson Ther. diluir Cat., 5 pz, cable de sonda de baño de Merit</t>
  </si>
  <si>
    <t>Cable tronco ECG 3 derivaciones, Cable tronco ECG 3 derivaciones para quirófano, Cable ECG 3 latiguillos tipo pinza, Cable ECG 3 latiguillos tipo pinza para quirófano, [INCLUIDO] Cable tronco ECG 5 derivaciones, Cable tronco ECG 5 derivaciones para quirófano, [INCLUIDO] Cable ECG 5 latiguillos tipo pinza, Cable ECG 5 latiguillos tipo pinza para quirófano, Cable tronco ECG 6 derivaciones, Cable ECG 6 latiguillos tipo pinza, Cable tronco ECG 10 derivaciones, Cable ECG 5 latiguillos tipo pinza para precordiales, Sensor SpO2 dedal silicona 2m, Sensor SpO2 dedal silicona 3m, Sensor SpO2 dedal silicona para pediatrico, Sensor SpO2 mano/pie silicona para neonato, Sensor SpO2 oreja silicona, [INCLUIDO] Sensor SpO2 dedo tipo clip, Cable extensión SpO2, Cable adaptador SpO2 conector DSub9 Philips, Cable adaptador SpO2 conector Nellcor, Cable adaptador SpO2 conector Masimo LNCS, Cable adaptador SpO2 conector Masimo RD, Cable troncal SpO2 Masimo RD Rainbow, Cable troncal SpO2 Masimo LNCS, Cable conector PNI neonatal, [INCLUIDO] Cable conector PNI, Manguito Easy Care talla infantil, Manguito Easy Care talla pediatrica, [INCLUIDO] Manguito Easy Care talla adulto pequeño, [INCLUIDO] Manguito Easy Care talla adulto, Manguito Easy Care  talla adulto (largo), [INCLUIDO] Manguito Easy Care talla obeso, Manguito Easy Care talla obeso (largo), Manguito Easy Care talla extra obeso, Sensor capnografía tecnología Mainstream, Adaptador CO2 Mainstream adulto reutilizable, Adaptador CO2 Mainstream neonato reutilizable, Adaptador CO2 Mainstream adulto (10 uds), Adaptador CO2 Mainstream infantil (10 uds), Sensor capnografía tecnología Sidestream, Linia muestreo CO2 Sidestream adulto (10 uds), Linia muestreo CO2 Sidestream humidificada adulto (10 uds), Linia muestreo CO2 Sidestream nasal adulto corta duración (10 uds), Linia muestreo CO2 Sidestream nasal pediatrico corta duración (10 uds), Linia muestreo CO2 Sidestream nasal infantil corta duración (10 uds), Linia muestreo CO2 Sidestream nasal adulto oxigeno corta duración (10 uds), Linia muestreo CO2 Sidestream nasal pediatrico oxigeno corta duración (10 uds), Linia muestreo CO2 Sidestream nasal infantil oxigeno corta duración (10 uds), Linia muestreo CO2 Microstream adulto/pedi intubado corta duracion (25 uds), NIV Line CO2 Microstream adulto nasal corta duracion (25 uds), NIV Line CO2 Microstream pediatrico nasal corta duracion (25 uds), CapnoLine CO2 Microstream adulto nasal larga duración (25 uds), NIV Line CO2 Microstream infantil/neo nasal corta duracion (25 uds), NIV Line CO2 Microstream adulto oxigeno nasal corta duracion (25 uds), CapnoLine CO2 Microstream adulto oxigeno nasal larga duración (25 uds), CapnoLine CO2 Microstream pediatrico oxigeno nasal larga duración (25 uds), CapnoLine CO2 Microstream infantil/neo oxigeno nasal larga duración (25 uds), Conector EC5 para conexión con dispositivos externos, [INCLUIDO] Cable dual para 2 presiones invasivas, Cable transductor de presión invasiva compatible con Edwards, Cable troncal para gasto cardíaco, [INCLUIDO] Sensor de temperaura esofagica/rectal adulto, Sensor de temperaura esofagica/rectal pediatrico, Sensor de temperatura cutanea, Cable troncal EEG 2 canales, Cable troncal EEG 4 canales, Electrodos EEG para 2 canales, Electrodos EEG para 4 canales, Cable de paciente para NMT, Cable troncal de presión FloTrac</t>
  </si>
  <si>
    <r>
      <t>64.848,00</t>
    </r>
    <r>
      <rPr>
        <sz val="9"/>
        <rFont val="Arial"/>
        <family val="2"/>
      </rPr>
      <t>€; 22 mòduls</t>
    </r>
  </si>
  <si>
    <r>
      <t>27.142,91€</t>
    </r>
    <r>
      <rPr>
        <sz val="9"/>
        <rFont val="Arial"/>
        <family val="2"/>
      </rPr>
      <t>; 9 mòduls</t>
    </r>
  </si>
  <si>
    <t>Electrodo con cables ECG de 5 derivaciones para adulto, tipo Snap, compatible con IEC, protección contra desfibrilación. Electrodo con cables ECG de 3 derivaciones para adulto/pediátrico, tipo Snap, estándar IEC y desfibrilación segura. Electrodo con cables ECG de 3 derivaciones para adulto, tipo clip, protección desfibrilación, compatible IEC. Cable troncal ECG de 12 derivaciones, conector de 12 pines, compatible IEC, protección ante desfibrilación. Kit PiCCO con transductor de presión invasiva (IBP), conector tipo Utah, incluye sensor de temperatura para volumen de inyección. Kit con teclado y ratón por cable, para estaciones de monitorización o central de enfermería. Sonda de temperatura reutilizable para adultos, medición en piel, con conector de 2 pines. Accesorio y base de montaje para transductor de presión invasiva, versión BD. Cable de salida para señal analógica de ECG, IBP y sincronización de desfibrilador, compatible con puerto MP1. Cable de presión invasiva de 12 pines compatible con conector Utah. Cable para sensor de presión intracraneal Codman, 12 pines. Bajo stock, reposición en 45 días. Sensor SpO2 reutilizable para neonatos, tipo lazo para el pie, cómodo y seguro para monitoreo continuo. Tubo y manguitos neonatales reutilizables (modelos CM1300C, D y E), 1 unidad por modelo. Cable PiCCO tipo Y (largo) para presión arterial y presión venosa central. Cable PiCCO para sensor de temperatura de inyección y temperatura sanguínea. Sensor SpO2 reutilizable, adulto, tipo pinza en el dedo. Sensor SpO2 reutilizable, pediátrico, tipo pinza en el dedo. Sensor SpO2 reutilizable, neonato, para pie (también compatible con dedo en adultos/pediátricos). Sensor SpO2 reutilizable, adulto, tipo dedal (finger-tip). Sensor SpO2 reutilizable, pediátrico, tipo dedal (finger-tip). Cable IBP de 12 pines para cuidados intensivos (UCI). Tubo (3 m) con manguito adulto reutilizable CM1203 (25–35 cm). Cable ECG reutilizable de 6 derivaciones, adulto/pediátrico, tipo Snap, 36", TPU, estándar IEC, compatible BeneVision. Cable ECG reutilizable de 6 derivaciones, adulto/pediátrico, tipo Clip, 36", TPU, estándar IEC, compatible BeneVision. Cable PiCCO tipo Y (corto) para presión arterial y presión venosa central. Cables ECG de 5 derivaciones, adulto/pediátrico, tipo Clip, TPU, IEC, largos (1 m / 1.4 m). Cables ECG de 3 derivaciones, neonato, tipo Clip, TPU, IEC, 1 metro. Cable troncal ECG de 3 derivaciones, neonato, 12 pines, TPU, AHA/IEC, DIN. Cable de extensión para sensor SpO2 Nellcor, 8 pines. Cable troncal ECG de 3 o 5 derivaciones, 12 pines, protegido contra desfibrilación, AHA/IEC. Cable troncal ECG de 3/5/6 derivaciones, adulto/pediátrico, 12 pines, 3.1 m, protección desfibrilación, AHA/IEC (solo para TM80). Cables ECG de 5 derivaciones, adulto/pediátrico, tipo Snap, TPU, IEC, 1 m o 1.4 m. Adaptador de mano reutilizable para sensor de monitoreo neuromuscular (NMT), válido para pacientes adultos y pediátricos. Cable troncal ECG de 3 derivaciones, conector de 12 pines, protegido contra desfibrilación, compatible con normas AHA/IEC. Cables ECG de 3 derivaciones para adultos y pediátricos, tipo clip, recubiertos de TPU, 1 metro, estándar IEC. Cables de derivaciones para extremidades ECG de 12 derivaciones, adultos/pediátricos, tipo clip, color gris, 0.8 m, IEC. Cables precordiales ECG para adultos/pediátricos, tipo clip, blancos, 0.6 m, TPU, IEC. Cables para extremidades ECG de 12 derivaciones, tipo Snap, gris, TPU, 0.8 m, IEC. Cables precordiales ECG con conector Snap, blancos, TPU, 0.6 m, IEC, para adultos/pediátricos. Sonda de temperatura reutilizable para adultos, uso esofágico o rectal, con conector de 2 pines. Sonda de temperatura reutilizable para pediátricos o neonatos, esofágica o rectal, con conector de 2 pines. Sonda de temperatura reutilizable para piel en pediátricos o neonatos, 2 pines. Adaptador de línea de aire DRYLINE recto, caja de 10 unidades, reemplaza el ref. 9000-10-07486. Cable de extensión para sensores SpO2 de Mindray, con conector de 7 pines y longitud de 2.5 metros. Jeringa de control de 12 ml con conector giratorio, utilizada para mediciones hemodinámicas. Tubo de 3 m con manguito adulto reutilizable modelo CM1303 (25–35 cm), 1 unidad. Tubo de 3 m con manguito pediátrico reutilizable modelo CM1302 (18–26 cm), 1 unidad. Kit de capnografía Microstream para neonatos, para medir CO₂ espirado. Cables ECG de 3 derivaciones, adultos/pediátricos, tipo Snap, TPU, 1 metro, IEC. Tubo de 3 m con manguito pediátrico reutilizable modelo CM1202 (18–26 cm). Carcasa para sensor de temperatura del líquido de inyección, modelo BD SP5045. Cable para conexión del monitor al sistema de aviso de enfermería. Herramienta de configuración de puntuación clínica de Mindray, para activación de sistemas de alerta temprana (Early Warning Score). Adaptador de vía aérea DRYLINE recto para neonatos, caja de 10 unidades, reemplaza el ref. 040-001187-00. Electrodos ICG Medis (N1201), paquete de 4 unidades, para monitorización de gasto cardíaco por bioimpedancia. Módulo vacío de una ranura, utilizado como espacio reservado en sistemas modulares. Adaptador para soportes móviles compatibles con monitores N17, N15, T5 y ePM15. Cables ECG de un solo uso, 3 derivaciones, para pediátrico/neonato, tipo clip, estándar IEC, conector DIN. Kit de capnografía Microstream para adultos, mide el CO₂ espirado en pacientes intubados o con mascarilla. Adaptador de vía aérea DRYLINE en forma de codo, caja de 10 unidades, reemplaza el ref. 9000-10-07487. Línea de filtro de CO₂ para pacientes adultos/pediátricos intubados, uso prolongado, longitud 4 metros. Línea de filtro de CO₂ para neonatos/lactantes intubados, uso prolongado, longitud 4 metros. Kit de capnografía Microstream para pediátricos, para monitorización de CO₂ espirado. Manguito NIBP reutilizable sin vejiga, para muslo de adulto, tamaño 46–66 cm, conector incluido. Cable de extensión para sondas de temperatura desechables, con conector de 2 pines tipo Molex. Abrazadera de montaje para transductor de presión invasiva (IBP), se entrega junto con el cable en UCI. Tubo NIBP de 3 metros con conectores de aire, compatible con adulto, pediátrico e infantil. Tubo NIBP de 3 metros con conectores de aire, compatible con neonatos. Manguito NIBP reutilizable sin vejiga para adultos grandes, tamaño 33–47 cm, diseño de envoltura larga, con conector. Placa de transición para adaptadores de brazo GCX serie VHM/M, compatible con monitores N17, N15, N12 y T. Electrodos ECG para pediátricos o neonatos, paquete de 30 unidades, marca INTCO. Cables ECG de un solo uso, 3 derivaciones, pediátrico/neonato, tipo Snap, estándar IEC, conector DIN. Manguito NIBP reutilizable para lactantes pequeños, tamaño 7–13 cm, con conector. Manguito NIBP reutilizable para lactantes, tamaño 10–19 cm, con conector. Manguito NIBP reutilizable para niños, tamaño 18–26 cm, con conector. Manguito NIBP reutilizable para adultos, tamaño 25–35 cm, con conector. Manguito NIBP reutilizable para adultos grandes, tamaño 33–47 cm, con conector. Manguito NIBP reutilizable para muslo de adulto, tamaño 46–66 cm, con conector. Manguito NIBP reutilizable sin vejiga, adulto grande, tamaño 33–47 cm, con conector. Manguito NIBP reutilizable sin vejiga, adulto, tamaño 25–35 cm, diseño de envoltura larga, con conector. Soporte estabilizador para transductor de presión invasiva (IBP), se entrega con el cable en entornos de UCI. Manguito NIBP reutilizable sin vejiga para niños, tamaño 18–26 cm, con conector. Manguito NIBP reutilizable sin vejiga para adultos, tamaño 25–35 cm, con conector. Manguito reutilizable para neonatos, sin vejiga, con un rango de tamaño de 5.8 a 10.9 cm, incluye conector. Manguito reutilizable para neonatos, sin vejiga, con un rango de tamaño de 7.1 a 13.1 cm, incluye conector. Manguito reutilizable para neonatos, sin vejiga, con un rango de tamaño de 8 a 15 cm, incluye conector. Manguito reutilizable para lactantes pequeños, sin vejiga, con un rango de tamaño de 7 a 13 cm, incluye conector. Manguito reutilizable para lactantes, sin vejiga, con un rango de tamaño de 10 a 19 cm, incluye conector. Correas para gestión de cables (5 unidades/paquete). Abrazadera de montaje PiCCO para transductor PV8215 IBP. Cable de puesta a tierra. Correas para gestión de accesorios, 62 cm, 2 unidades/paquete. Electrodos ECG: Adu, 10 unidades/paquete, Kendall. Cable troncal ECG: 3/5/6 cables, Adu/Ped, resistente a ESU, 12 pines, 3.1 m, AHA/IEC (solo para cables ECG TM80). Cable troncal ECG: 3/5 cables, 12 pines, resistente a ESU, AHA/IEC. Cable Mindray +512G Pedí dedo. Cable de conexión SMR (Generación II) para BeneVision N (2 m). Cable Mindray +512E, Adu dedo. Manguito de un solo paciente, Adu, 25-35 cm, envolvimiento largo, 10 unidades/caja. Sensor SpO2 reutilizable 513A, Adu/Ped, clip para oreja. Cable de estimulación NMT. Kit de gancho para gestión de cables para SMR (instalado en la parte inferior del SMR). Abrazadera de montaje SMR. Cable troncal ECG: 3 cables, 12 pines, resistente a ESU, AHA/IEC, bajo inventario, ciclo de reposición: 60 días. Kit de teclado inalámbrico y ratón. Cable Mindray +512H Pedí dedo. Cable Mindray +518B Neo pie. Kit de accesorios Multi-Gas de dos ranuras (Adu/Ped/Neo). Módulo IBP de 2 canales 1 ranura (sin accesorios). Resumen ECG de 24 horas (licencia de software). Pace View (licencia de software). InfusionView (licencia de software). Módulo de temperatura de 2 canales. NeuroSight (licencia de software). Resumen AF (licencia de software). Sensor reutilizable DS100A, Adu. Sensor reutilizable OXI-P/I, Ped/Infante. Sensor reutilizable Nellcor SpO2, Adu/Neo, con 50 piezas de vendaje. Kit de accesorios IBP (UCI). Cánula nasal de muestra CO2, Ped, con línea de 7’, 25 piezas/caja, reemplaza M02A-10-25938. Kit de bandeja de teclado GCX M series para montaje en pared o techo (poste de 6” hacia abajo). Catéter de arteria femoral, Pediátrico. Montaje de poste hacia abajo TDS de 9” con abrazadera de bloqueo cruzado. Electrodo+cable+alambres: 5-leads, Adu, Snap, a prueba de ESU, IEC. Electrodo+cable+alambres: 5-leads, Adu, Clip, a prueba de ESU, IEC. Cable principal NMT. Módulo de enlace CCO/SvO2 (para Edwards Vigillance/Vigileo/EV1000) (sin cable de enlace). Adaptador reutilizable para vía respiratoria, Adu/Ped. Cánula nasal de muestra CO2, Adu, con línea de 7’, 25 piezas/caja, reemplaza M02A-10-25937. Cable de conexión SMR (Generación II) para BeneVision N (4m). Montaje de poste hacia arriba TDS de 6” con abrazadera de bloqueo cruzado. Batería recargable de litio-ion (11.1V, 4500mAh). Catéter estándar para arteria, Adulto. EWS (licencia de software). Cable de extensión Masimo SpO2, 8 pines, conector morado. Cable Masimo (RD SET), 8 pines, conector morado. TRAMPILLA DE AGUA DRYLINE II, Adu/Ped, 10 piezas/caja (reemplaza 100-000080-00), compatible solo con módulo CO2 sidestream de un solo puerto. TRAMPILLA DE AGUA DRYLINE II, Neo, 10 piezas/caja (reemplaza 100-000081-00), compatible solo con módulo CO2 sidestream de un solo puerto. Línea de muestreo, Neo, 2.5 m, 25 piezas/caja (P/N: 60-15300-00), reemplaza 9200-10-10555. Cable de conexión SMR (Generación II) para BeneVision N (10m). Sonda de temperatura desechable M412, superficie de la piel, conector Molex, 0.76m, 20 piezas/caja. Adaptador reutilizable para vías respiratorias Neonatal (Respironics). Línea de muestreo, Adu/Ped, 2.5 m, 25 piezas/caja (P/N:60-15200-00), reemplaza 9200-10-10533. Adaptador DVI-D a VGA. Módulo de enlace para termómetro de oído infrarrojo. Kit de montaje SMR en pared (versión básica). Kit de gestión de cables con 5 ganchos. Adaptador de ID BeneLink &amp; Cable H (BeneFusion DS5 e InfusionView si se adquiere). Adaptador de ID BeneLink &amp; Cable I (BeneFusion nSeris e InfusionView si se adquiere). Control remoto (2.4G RF, puerto USB). Electrodo+cable+alambres: 12-leads, Adu, Snap, a prueba de desfibrilador, IEC. Electrodo+cable+alambres: 12-leads, Adu, Clip, a prueba de desfibrilador, IEC. Cable de transductor NMT. Canal de 7” (17.8 cm) con abrazadera de poste de 38 mm. SMR poste de 9” hacia abajo con abrazadera de montaje. Adaptador ID BeneLink (Wato Series, A series, SynoVent E3/E5, PB840). Adaptador ID BeneLink &amp; Cable B (Newport E360, Evita 2/4/XL, Servo i/s, Flow-I, G5/C2/Galileo). Adaptador ID BeneLink &amp; Cable C (Fabius plus/tiro/GS, Primus, TCM CombiM/Tosca, TOF-Watch SX). Adaptador ID BeneLink &amp; Cable D (Avance, Aisys, Aestiva 7100/7900). Adaptador ID BeneLink &amp; Cable E (CareFusion-Vela). Adaptador ID BeneLink &amp; Cable F (B.Braun Infusomat Space/Perfusor Space). Adaptador ID BeneLink &amp; Cable G (Bombas Fresenius). Cable IBP de 12 pines IM2202 (para BD). Cable IBP de 12 pines IM2211 para Edwards. Kit de CO2 Sidestream de un solo puerto, Adu/Ped. Kit de CO2 Sidestream de un solo puerto, Neo. Electrodo+cable+alambres: 3-leads, Ped, Snap, a prueba de desfibrilador, IEC. Electrodo+cable+alambres: 3-leads, Ped, Clip, a prueba de desfibrilador, IEC. SMR poste de 6” hacia abajo con abrazadera de montaje. Cable Mindray+512F, Adu, dedo. Electrodo+cable+alambres: 5-leads, Adu, Clip, a prueba de desfibrilador, IEC. Sensor SpO2 reutilizable 512K, Ped, vendaje, 8 a 30 kg. Cable CCO Link</t>
  </si>
  <si>
    <t>Nom mòduls</t>
  </si>
  <si>
    <t>Mindray SPO2 , Mindray TEMP , Presión Arterial Invasiva  IBP, Gasto Cardíaco C.O., Gasto Cardíaco PICCO, Gasto Cardíaco FloTrac, Gasto Cardíaco SvO2, Capnografía SideStream CO2, Capnografía Microstream CO2, Capnografía Directa CO2, Gases anestésicos AG + O2, Gases anestésicos AG + O2 + BIS, Transmisión Neuromuscular NMT, Índice Biespectral BIS , Espectroscopia de infrarrojo rSO2, Gases Respiratorios RM --, Cardiografía de Impedancia ICG  , Electroencefalograma EEG/aEEG, Índice de nociocepción ANI, Conectividad Benelink, Gases anestésicos AG , Capnografía SideStream CO2 + O2</t>
  </si>
  <si>
    <t>MVe (Expiratory Minute Volume), MVi (Inspiratory Minute Volume), TVe (Expiratory Tidal Volume), TVi (Inspiratory Tidal Volume), awRR (Airway Respiratory Rate), RR (Respiratory Rate), PEEP (Positive End-Expiratory Pressure), Pmedia (Mean Airway Pressure), PIP (Peak Inspiratory Pressure), Pplat (Plateau Pressure), PIF (Peak Inspiratory Flow), PEF (Peak Expiratory Flow), I:E (Inspiratory:Expiratory Ratio), FEV1.0 (Forced Expiratory Volume in 1 second), Compl (Compliance), RSBI (Rapid Shallow Breathing Index), NIF (Negative Inspiratory Force), WOB (Work of Breathing), RAW (Airway Resistance), CCO (Continuous Cardiac Output), C.O. (Cardiac Output), CCI / C.I. (Cardiac Index), SV (Stroke Volume), SVI (Stroke Volume Index), SVR (Systemic Vascular Resistance), SVRI (Systemic Vascular Resistance Index), RVEF (Right Ventricular Ejection Fraction), EDV (End Diastolic Volume), EDVI (End Diastolic Volume Index), ESV (End Systolic Volume), ESVI (End Systolic Volume Index), TB (Thoracic Bioimpedance), SaO₂ (Arterial O2 Saturation), VO₂ (Oxygen Consumption), O₂EI (O₂ Extraction Index), DO₂ (Oxygen Delivery), ScvO₂ (Central Venous O2 Saturation), SvO₂ (Mixed Venous O2 Saturation), SQI (Signal Quality Index), GEF (Global Ejection Fraction), CFI (Cardiac Function Index), GEDV (Global End-Diastolic Volume), ITBV (Intrathoracic Blood Volume), ITBI (Intrathoracic Blood Volume Index), EVLW (Extravascular Lung Water), EVWI (EVLW Index), PVPI (Pulmonary Vascular Permeability Index), Presión de la arteria pulmonar (AP), Presión aórtica (Ao), Presión arterial umbilical (PAU), PAB Presión de la arteria braquial, PAF Presión de la arteria femoral, PPC Presión de perfusión cerebral, PVC Presión venosa central, PRAI Presión de la aurícula izquierda, PAD Presión de la aurícula derecha, PIC Presión intracraneal, PVU Presión venosa umbilical, VI Presión del ventrículo izquierdo</t>
  </si>
  <si>
    <t>IntelliVue Hemodynamic Extension B06 Dual IBP, Temp, Masimo Rainbow SET IV Module, IntelliVue EEG Module, IntelliVue NMT Module, Thermal Array Recorder Module, Masimo CO2 Module, Masimo O3 Module, Masimo SedLine Module, FloTrac Module</t>
  </si>
  <si>
    <t xml:space="preserve">X3/MX100 Lithium Ion Battery </t>
  </si>
  <si>
    <t>Modulo de CO2, Módulo de CO2 y O2, Módulo de CO2, O2 y Espirometría, Módulo de CO2, O2 y A. Anestésicos con id, Módulo de CO2, O2, A. Anestésicos, ID y Espirometría, Modulo monitorización CO2, O2, Espirometría y Metabolimetría, Módulo de CO2, O2, A. Anestésicos con id y EndTidal control, Módulo de CO2, O2, A. Anestésicos con ID, Espirometría y EndTidal control, Módulo G.C. termodilución, Módulo de G.C. Continuo PiCCO, Módulo SpO2 Masimo, Módulo SpO2 Nellcor Oximax, Módulo de BIS, Módulo de Entropia, Módulo de EEGX, Módulo de NMT, Módulo de Presión, Módulo PDM, Módulo para conexión equipos externos, Conector para equipos de anestesia, Sistema Carescape One adicional completo, Sistema Carescape One adicional individual, Parametro ECG adicional, Parametro Saturación tecnologia GE, Parametro Saturación tecnologia Nellcor, Parametro Saturación tecnologia Masimo, Parametro PI adicional, Parametro PI adicional, Parametro PI adicional, Parametro PI adicional, Parametro PI adicional, Parametro de temperatura adicional, Parametro de temperatura adicional, Parametro microstream de Medtronic adicional, Parametro INVOS adicional, Modulo de Temperatura</t>
  </si>
  <si>
    <r>
      <t>98.475,00€</t>
    </r>
    <r>
      <rPr>
        <sz val="9"/>
        <rFont val="Arial"/>
        <family val="2"/>
      </rPr>
      <t>; 36 mòduls</t>
    </r>
  </si>
  <si>
    <r>
      <t>18.225,00</t>
    </r>
    <r>
      <rPr>
        <sz val="9"/>
        <rFont val="Arial"/>
        <family val="2"/>
      </rPr>
      <t>€; 173 accessoris</t>
    </r>
  </si>
  <si>
    <r>
      <t>269,35</t>
    </r>
    <r>
      <rPr>
        <sz val="9"/>
        <rFont val="Arial"/>
        <family val="2"/>
      </rPr>
      <t>€; 1 accessori</t>
    </r>
  </si>
  <si>
    <r>
      <t>30.961,00</t>
    </r>
    <r>
      <rPr>
        <sz val="9"/>
        <rFont val="Arial"/>
        <family val="2"/>
      </rPr>
      <t>€; 114 accessoris</t>
    </r>
  </si>
  <si>
    <t>Accesorios de EEG , Juego de electrodos, Accesorios de EEG , Juego de electrodos, Sensores reutilizables Nellcor, Sensores reutilizables Nellcor, Accesorio Nellcor, Cable de irconexion -saturación tenología Nellcor, Mangueras de aire para manguitos, Mangueras de aire para manguitos, Mangueras de aire para manguitos, Mangueras de aire para manguitos, Mangueras de aire para manguitos, Surtidos Manguitos PANI - conector DINACLICK, Surtidos Manguitos PANI - conector DINACLICK, Surtidos Manguitos PANI - conector DINACLICK, Accesorios Monitorización ECG Cable para CS One, Accesorios Monitorización ECG Cable para CS One, Accesorios Monitorización ECG Cable para CS One, Accesorios Monitorización ECG Cable para CS One, Manguera de inflado PANI, Manguera de inflado PANI, Manguera de inflado PANI, Manguera de inflado PANI, Manguera de inflado PANI, Manguera de inflado PANI, Manguera de inflado PANI, Manguera de inflado PANI, Manguera de inflado PANI, Manguera de inflado PANI, Adaptador de presión arterial invasiva, Cable de presión arterial invasiva, Cable de presión arterial invasiva, Cable de presión arterial invasiva, Cable de presión arterial invasiva, Cable de presión arterial invasiva, Cable de presión arterial invasiva, Cable de presión arterial invasiva, Cable de presión arterial invasiva, Cables de temperatura, Cables de temperatura, Cables de temperatura, Cable de gasto cardiaco, Cables troncales de ECG, Cables troncales de ECG, Cables troncales de ECG, Cables troncales de ECG, Cables troncales de ECG, Cables troncales de ECG, Latiguillos de ECG, Latiguillos de ECG, Latiguillos de ECG, Latiguillos de ECG, Latiguillos de ECG, Latiguillos de ECG, Latiguillos de ECG, Latiguillos de ECG, Latiguillos de ECG, Latiguillos de ECG, Otros accesorios, Otros accesorios, Otros accesorios, Otros accesorios, Otros accesorios, Sondas de Temperatura, Sondas de Temperatura, Sondas de Temperatura, Sondas de Temperatura, Sondas de Temperatura, Sondas de Temperatura, Manguito PANI-reutilizable-5 unidades por caja, Manguito PANI-reutilizable-5 unidades por caja, Manguito PANI-reutilizable-5 unidades por caja, Manguito PANI-reutilizable-5 unidades por caja, Manguito PANI-reutilizable-5 unidades por caja, Manguito PANI-reutilizable-5 unidades por caja, Manguito PANI-reutilizable-5 unidades por caja, Manguito PANI-reutilizable-5 unidades por caja, Manguito PANI-reutilizable-5 unidades por caja, Cable Entropía, Monitorización de gases, Cables de interconexión LNCS y RD para tecnología Masimo, Cables de interconexión LNCS y RD para tecnología Masimo, Accesorio Rainbow- Cable troncalMasimo RD Rainbow, Accesorio Rainbow- Cable troncalMasimo RD Rainbow, Accesorio Rainbow- Cable troncalMasimo RD Rainbow, Accesorio Rainbow- Cable troncalMasimo RD Rainbow, Sensores de saturación integrados reutilizables, Sensores reutilizables saturación Tecnología GE, Sensores de saturación integrados reutilizables, Sensores reutilizables saturación Tecnología GE, Sensores de saturación integrados reutilizables, Sensores reutilizables saturación Tecnología GE, Sensores de saturación integrados reutilizables, Sensores reutilizables saturación Tecnología GE, Sensores reutilizables saturación Tecnología GE, Cable de Interconexion saturación, Sensores reutilizables saturación Tecnología GE, NMT cable sensor, NMT electrosensor, NMT cable adaptador, NMT mecanosensor, NMT mecanosensor, Pantalla de replica, Licencia de Calorimetria indirecta, Licencia COMBO-telemetría ECG Canvas, Licencia basica, Soporte parameters, Soporte parameters, Soporte parameters, Soporte parameters, Pinza para soporte de parameters, Adaptador de fijador soporte, Fuente de alimentación externa CS One, soporte, soporte</t>
  </si>
  <si>
    <t>No inclou dispositius mòbils</t>
  </si>
  <si>
    <t>Segment ST/STE, Interval QT/QTc, Freqüència de pols, Perfusió (Perf), Pols (PNI), Temperatura arterial, Temperatura interna, Temperatura esofàgica, Temperatura rectal, Temperatura cutània, Temperatura venosa, Temperatura nasofaríngia, Temperatura ambient, Temperatura de la bufeta, Temperatura cerebral, Temperatura de Foley, Temperatura vesicular, Pressió aòrtica, Pressió venosa central, Pressió intracranial, Pressió auricular esquerra, Pressió arterio-pulmonar, Pressió auricular dreta, Pressió arterial umbilical, Pressió venosa umbilical, Pressió arterial braquial, Pressió arterial femoral, Pressió intraabdominal, Pressió arterial femoral dreta, Pressió arterial femoral esquerra, Pressió medul·lar, Pressió vesical, Pressió anterior, Pressió posterior</t>
  </si>
  <si>
    <t>Segmento ST/STE, Intervalo QT/QTc, Frecuencia de pulso, Perfusión (Perf), Pulso, Temperatura arterial, Temperatura interna, Temperatura esofágica, Temperatura rectal, Temperatura cutánea, Temperatura venosa, Temperatura nasofaríngea, Temperatura ambiente, Temperatura de la vejiga, Temperatura cerebral, Temperatura de Foley, Temperatura vesicular, Presión aórtica, Presión venosa central, Presión intracraneal, Presión auricular izquierda, Presión arteriopulmonar, Presión auricular derecha, Presión arterial umbilical, Presión venosa umbilical, Presión arterial braquial, Presión arterial femoral, Presión intraabdominal, Presión arterial femoral derecha, Presión arterial femoral izquierda, Presión medular, Presión vesical, Presión anterior, Presión posterior, Índice pulmonar integrado (IPI)</t>
  </si>
  <si>
    <t>59;31</t>
  </si>
  <si>
    <t>37;34</t>
  </si>
  <si>
    <t>* Els accessoris són aquelles opcions que donen varietat clínica al monitor (SpO₂, NBP, CO₂, temperatura, EEG, BIS etc...) i versatilitat en la instal·lació. No són accessoris els elements rebutjables</t>
  </si>
  <si>
    <t>Punts messura de paràmetres addicionals SENSE COST</t>
  </si>
  <si>
    <t>* Els camps en blanc corresponent a paràmetres que no es valoren en aquell producte</t>
  </si>
  <si>
    <t>Total Altres Calculs Lot 4</t>
  </si>
  <si>
    <t>Total Altres calculs ponderat Lot 4</t>
  </si>
  <si>
    <t>Punts calcul preu ponderat Lot 4</t>
  </si>
  <si>
    <t>** Aquells mòduls  o accessoris dels quals no s'indiqui el valor econòmic no és consideraran en els càlculs de la puntuació tècnica ni es podran adquirir a través dels basats de l'acord marc.</t>
  </si>
  <si>
    <t>No indica cost; 
3 mòduls**</t>
  </si>
  <si>
    <r>
      <t>4.962</t>
    </r>
    <r>
      <rPr>
        <sz val="9"/>
        <rFont val="Arial"/>
        <family val="2"/>
      </rPr>
      <t>€ ;76 accessoris</t>
    </r>
  </si>
  <si>
    <t>Paràmetres de mesura addicionals:
Volum corrent CO₂ (EtCO₂),
Fracció del CO₂ expirat (FiCO₂),
freqüència respiratòria de les vies aèries (FRVa),
pressió de l’artèria pulmonar (AP),
pressió aòrtica (Ao),
pressió arterial umbilical (PAU),
PAB pressió de l’artèria braquial,
PAF pressió de l’artèria femoral,
PPC pressió de perfusió cerebral,
PVC pressió venosa central,
PRAI pressió de l’aurícula esquerra,
PAD pressió de l’aurícula dreta,
PIC pressió intracranial,
PVU pressió venosa umbilical,
VI pressió del ventricle esquerre,
C.O (Cardiac Output),
TI (Injectate Temperature),
TB (Blood Temperature)
ΔT (Delta T)</t>
  </si>
  <si>
    <r>
      <t>29.194,16</t>
    </r>
    <r>
      <rPr>
        <sz val="9"/>
        <rFont val="Arial"/>
        <family val="2"/>
      </rPr>
      <t>€ ;106 accessoris</t>
    </r>
  </si>
  <si>
    <t>1 vehicle distintiu Zero
43 vehicles distintiu ECO
26 vehicles distintiu C</t>
  </si>
  <si>
    <t>No indica cost,
 ni mòduls</t>
  </si>
  <si>
    <t>27.119,08€ ; 69 accessoris</t>
  </si>
  <si>
    <t>NO, disposa de conexió amb un equip extern de calorímetria però no d'un mòdul del sistema de monitorització que permeti la mesura de calorímetria indirecta</t>
  </si>
  <si>
    <t>Desviacio aritmètica</t>
  </si>
  <si>
    <t>Suma 
Variable 1
+Variable 3</t>
  </si>
  <si>
    <t>Sumatori (Pi/At) més econòmic</t>
  </si>
  <si>
    <t>No hi indica</t>
  </si>
  <si>
    <t xml:space="preserve">Acord Marc per a l'adquisició de monitors de constants vitals destinats a diversos centres assistencials que depenen del Servei Català de la Salut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</si>
</sst>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_(&quot;$&quot;* #,##0.00_);_(&quot;$&quot;* \(#,##0.00\);_(&quot;$&quot;* &quot;-&quot;??_);_(@_)"/>
  </numFmts>
  <fonts count="26" x14ac:knownFonts="1">
    <font>
      <sz val="11"/>
      <color theme="1"/>
      <name val="Calibri"/>
      <family val="2"/>
      <scheme val="minor"/>
    </font>
    <font>
      <sz val="10"/>
      <color indexed="8"/>
      <name val="Arial"/>
      <family val="2"/>
    </font>
    <font>
      <b/>
      <sz val="10"/>
      <color indexed="8"/>
      <name val="Arial"/>
      <family val="2"/>
    </font>
    <font>
      <sz val="10"/>
      <color indexed="8"/>
      <name val="Trebuchet MS"/>
      <family val="2"/>
    </font>
    <font>
      <b/>
      <sz val="8"/>
      <color indexed="8"/>
      <name val="Arial"/>
      <family val="2"/>
    </font>
    <font>
      <b/>
      <sz val="9"/>
      <color indexed="8"/>
      <name val="Arial"/>
      <family val="2"/>
    </font>
    <font>
      <sz val="9"/>
      <color indexed="8"/>
      <name val="Arial"/>
      <family val="2"/>
    </font>
    <font>
      <i/>
      <sz val="9"/>
      <color indexed="8"/>
      <name val="Trebuchet MS"/>
      <family val="2"/>
    </font>
    <font>
      <sz val="9"/>
      <color indexed="8"/>
      <name val="Trebuchet MS"/>
      <family val="2"/>
    </font>
    <font>
      <b/>
      <sz val="9"/>
      <color indexed="8"/>
      <name val="Trebuchet MS"/>
      <family val="2"/>
    </font>
    <font>
      <sz val="11"/>
      <color indexed="8"/>
      <name val="Arial"/>
      <family val="2"/>
    </font>
    <font>
      <b/>
      <sz val="9"/>
      <name val="Trebuchet MS"/>
      <family val="2"/>
    </font>
    <font>
      <sz val="9"/>
      <color indexed="8"/>
      <name val="Calibri"/>
      <family val="2"/>
    </font>
    <font>
      <b/>
      <sz val="11"/>
      <color indexed="8"/>
      <name val="Arial"/>
      <family val="2"/>
    </font>
    <font>
      <i/>
      <sz val="9"/>
      <name val="Trebuchet MS"/>
      <family val="2"/>
    </font>
    <font>
      <sz val="9"/>
      <color rgb="FFFF0000"/>
      <name val="Arial"/>
      <family val="2"/>
    </font>
    <font>
      <sz val="9"/>
      <name val="Arial"/>
      <family val="2"/>
    </font>
    <font>
      <i/>
      <sz val="9"/>
      <color theme="1"/>
      <name val="Trebuchet MS"/>
      <family val="2"/>
    </font>
    <font>
      <sz val="11"/>
      <color theme="1"/>
      <name val="Calibri"/>
      <family val="2"/>
      <scheme val="minor"/>
    </font>
    <font>
      <b/>
      <sz val="11"/>
      <color theme="1"/>
      <name val="Calibri"/>
      <family val="2"/>
      <scheme val="minor"/>
    </font>
    <font>
      <sz val="11"/>
      <name val="Calibri"/>
      <family val="2"/>
      <scheme val="minor"/>
    </font>
    <font>
      <sz val="11"/>
      <color indexed="8"/>
      <name val="Calibri"/>
      <family val="2"/>
    </font>
    <font>
      <b/>
      <sz val="11"/>
      <name val="Calibri"/>
      <family val="2"/>
      <scheme val="minor"/>
    </font>
    <font>
      <sz val="11"/>
      <color rgb="FFFF0000"/>
      <name val="Calibri"/>
      <family val="2"/>
      <scheme val="minor"/>
    </font>
    <font>
      <sz val="9"/>
      <name val="Trebuchet MS"/>
      <family val="2"/>
    </font>
    <font>
      <b/>
      <sz val="9"/>
      <color rgb="FFFF0000"/>
      <name val="Trebuchet MS"/>
      <family val="2"/>
    </font>
  </fonts>
  <fills count="6">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8">
    <border>
      <left/>
      <right/>
      <top/>
      <bottom/>
      <diagonal/>
    </border>
    <border>
      <left/>
      <right/>
      <top/>
      <bottom style="thin">
        <color indexed="64"/>
      </bottom>
      <diagonal/>
    </border>
    <border>
      <left style="dotted">
        <color auto="1"/>
      </left>
      <right style="dotted">
        <color auto="1"/>
      </right>
      <top style="dotted">
        <color auto="1"/>
      </top>
      <bottom style="dotted">
        <color auto="1"/>
      </bottom>
      <diagonal/>
    </border>
    <border>
      <left/>
      <right/>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indexed="22"/>
      </left>
      <right/>
      <top style="thin">
        <color indexed="22"/>
      </top>
      <bottom style="thin">
        <color indexed="22"/>
      </bottom>
      <diagonal/>
    </border>
    <border>
      <left/>
      <right/>
      <top style="dotted">
        <color auto="1"/>
      </top>
      <bottom/>
      <diagonal/>
    </border>
  </borders>
  <cellStyleXfs count="5">
    <xf numFmtId="0" fontId="0" fillId="0" borderId="0"/>
    <xf numFmtId="0" fontId="1" fillId="0" borderId="0"/>
    <xf numFmtId="165" fontId="21" fillId="0" borderId="0" applyFont="0" applyFill="0" applyBorder="0" applyAlignment="0" applyProtection="0"/>
    <xf numFmtId="0" fontId="18" fillId="0" borderId="0"/>
    <xf numFmtId="0" fontId="18" fillId="0" borderId="0"/>
  </cellStyleXfs>
  <cellXfs count="149">
    <xf numFmtId="0" fontId="0" fillId="0" borderId="0" xfId="0"/>
    <xf numFmtId="0" fontId="3" fillId="0" borderId="0" xfId="1" applyFont="1" applyFill="1" applyAlignment="1">
      <alignment horizontal="left" wrapText="1"/>
    </xf>
    <xf numFmtId="0" fontId="1" fillId="0" borderId="0" xfId="1"/>
    <xf numFmtId="0" fontId="3" fillId="0" borderId="0" xfId="1" applyFont="1" applyFill="1" applyAlignment="1">
      <alignment vertical="center" wrapText="1"/>
    </xf>
    <xf numFmtId="0" fontId="2" fillId="0" borderId="1" xfId="1" applyFont="1" applyFill="1" applyBorder="1" applyAlignment="1">
      <alignment horizontal="left"/>
    </xf>
    <xf numFmtId="0" fontId="4" fillId="0" borderId="1" xfId="1" applyFont="1" applyFill="1" applyBorder="1" applyAlignment="1">
      <alignment horizontal="right" wrapText="1"/>
    </xf>
    <xf numFmtId="0" fontId="4" fillId="0" borderId="1" xfId="1" applyFont="1" applyFill="1" applyBorder="1" applyAlignment="1">
      <alignment horizontal="center" wrapText="1"/>
    </xf>
    <xf numFmtId="0" fontId="5" fillId="0" borderId="1" xfId="1" applyFont="1" applyFill="1" applyBorder="1" applyAlignment="1">
      <alignment horizontal="right" wrapText="1"/>
    </xf>
    <xf numFmtId="0" fontId="7" fillId="0" borderId="0" xfId="1" applyFont="1" applyFill="1" applyAlignment="1">
      <alignment horizontal="left" wrapText="1"/>
    </xf>
    <xf numFmtId="0" fontId="6" fillId="0" borderId="0" xfId="1" applyFont="1" applyAlignment="1">
      <alignment horizontal="right"/>
    </xf>
    <xf numFmtId="4" fontId="8" fillId="0" borderId="0" xfId="1" applyNumberFormat="1" applyFont="1" applyFill="1" applyAlignment="1">
      <alignment horizontal="right" wrapText="1"/>
    </xf>
    <xf numFmtId="4" fontId="7" fillId="0" borderId="0" xfId="1" applyNumberFormat="1" applyFont="1" applyFill="1" applyAlignment="1">
      <alignment horizontal="right"/>
    </xf>
    <xf numFmtId="4" fontId="9" fillId="0" borderId="0" xfId="1" applyNumberFormat="1" applyFont="1" applyFill="1" applyAlignment="1">
      <alignment horizontal="right" vertical="center"/>
    </xf>
    <xf numFmtId="0" fontId="1" fillId="0" borderId="0" xfId="1"/>
    <xf numFmtId="0" fontId="6" fillId="0" borderId="0" xfId="1" applyFont="1"/>
    <xf numFmtId="0" fontId="1" fillId="0" borderId="0" xfId="1" applyAlignment="1">
      <alignment vertical="center"/>
    </xf>
    <xf numFmtId="0" fontId="6" fillId="0" borderId="0" xfId="1" applyFont="1" applyAlignment="1">
      <alignment vertical="center"/>
    </xf>
    <xf numFmtId="0" fontId="8" fillId="0" borderId="2" xfId="1" applyFont="1" applyFill="1" applyBorder="1" applyAlignment="1">
      <alignment horizontal="left" vertical="center" wrapText="1"/>
    </xf>
    <xf numFmtId="164" fontId="8" fillId="0" borderId="2" xfId="1" applyNumberFormat="1" applyFont="1" applyFill="1" applyBorder="1" applyAlignment="1">
      <alignment horizontal="right" vertical="center" wrapText="1"/>
    </xf>
    <xf numFmtId="4" fontId="7" fillId="0" borderId="2"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8" fillId="0" borderId="2" xfId="1" applyNumberFormat="1" applyFont="1" applyFill="1" applyBorder="1" applyAlignment="1">
      <alignment horizontal="right" vertical="center" wrapText="1"/>
    </xf>
    <xf numFmtId="4" fontId="11" fillId="0" borderId="2" xfId="1" applyNumberFormat="1" applyFont="1" applyFill="1" applyBorder="1" applyAlignment="1">
      <alignment horizontal="right" vertical="center" wrapText="1"/>
    </xf>
    <xf numFmtId="164" fontId="8" fillId="0" borderId="2" xfId="1" applyNumberFormat="1" applyFont="1" applyFill="1" applyBorder="1" applyAlignment="1">
      <alignment horizontal="right" vertical="center" wrapText="1"/>
    </xf>
    <xf numFmtId="4" fontId="8" fillId="0" borderId="2" xfId="1" applyNumberFormat="1" applyFont="1" applyFill="1" applyBorder="1" applyAlignment="1">
      <alignment horizontal="right" vertical="center" wrapText="1"/>
    </xf>
    <xf numFmtId="0" fontId="10" fillId="0" borderId="0" xfId="1" applyFont="1" applyFill="1" applyAlignment="1">
      <alignment horizontal="left" vertical="center" wrapText="1"/>
    </xf>
    <xf numFmtId="0" fontId="10" fillId="0" borderId="0" xfId="1" applyFont="1" applyFill="1" applyAlignment="1">
      <alignment vertical="center" wrapText="1"/>
    </xf>
    <xf numFmtId="164" fontId="12" fillId="0" borderId="2" xfId="1" applyNumberFormat="1" applyFont="1" applyFill="1" applyBorder="1" applyAlignment="1">
      <alignment horizontal="right" vertical="center" wrapText="1"/>
    </xf>
    <xf numFmtId="3" fontId="7" fillId="0" borderId="2" xfId="1" applyNumberFormat="1" applyFont="1" applyFill="1" applyBorder="1" applyAlignment="1">
      <alignment horizontal="right" vertical="center"/>
    </xf>
    <xf numFmtId="0" fontId="10" fillId="0" borderId="0" xfId="1" applyFont="1" applyFill="1" applyAlignment="1">
      <alignment horizontal="left" vertical="center" wrapText="1"/>
    </xf>
    <xf numFmtId="164" fontId="8" fillId="0" borderId="2" xfId="1" applyNumberFormat="1" applyFont="1" applyFill="1" applyBorder="1" applyAlignment="1">
      <alignment horizontal="right" vertical="center" wrapText="1"/>
    </xf>
    <xf numFmtId="4" fontId="8" fillId="0" borderId="2" xfId="1" applyNumberFormat="1" applyFont="1" applyFill="1" applyBorder="1" applyAlignment="1">
      <alignment horizontal="right" vertical="center" wrapText="1"/>
    </xf>
    <xf numFmtId="0" fontId="13" fillId="0" borderId="0" xfId="1" applyFont="1" applyFill="1" applyAlignment="1">
      <alignment horizontal="left" wrapText="1"/>
    </xf>
    <xf numFmtId="4" fontId="14" fillId="0" borderId="2" xfId="1" applyNumberFormat="1" applyFont="1" applyFill="1" applyBorder="1" applyAlignment="1">
      <alignment horizontal="right" vertical="center"/>
    </xf>
    <xf numFmtId="0" fontId="15" fillId="0" borderId="0" xfId="1" applyFont="1"/>
    <xf numFmtId="0" fontId="15" fillId="0" borderId="0" xfId="1" applyFont="1" applyAlignment="1">
      <alignment horizontal="right"/>
    </xf>
    <xf numFmtId="4" fontId="14" fillId="0" borderId="2" xfId="1" applyNumberFormat="1" applyFont="1" applyFill="1" applyBorder="1" applyAlignment="1">
      <alignment horizontal="right" vertical="center" wrapText="1"/>
    </xf>
    <xf numFmtId="4" fontId="14" fillId="0" borderId="2" xfId="1" applyNumberFormat="1" applyFont="1" applyFill="1" applyBorder="1" applyAlignment="1">
      <alignment horizontal="left" vertical="center" wrapText="1"/>
    </xf>
    <xf numFmtId="164" fontId="0" fillId="0" borderId="0" xfId="0" applyNumberFormat="1"/>
    <xf numFmtId="0" fontId="0" fillId="0" borderId="0" xfId="0" applyAlignment="1">
      <alignment horizontal="right"/>
    </xf>
    <xf numFmtId="0" fontId="0" fillId="0" borderId="0" xfId="0"/>
    <xf numFmtId="4" fontId="17" fillId="0" borderId="2" xfId="1" applyNumberFormat="1" applyFont="1" applyFill="1" applyBorder="1" applyAlignment="1">
      <alignment horizontal="right" vertical="center" wrapText="1"/>
    </xf>
    <xf numFmtId="4" fontId="17" fillId="0" borderId="2" xfId="1" applyNumberFormat="1" applyFont="1" applyFill="1" applyBorder="1" applyAlignment="1">
      <alignment horizontal="right" vertical="center"/>
    </xf>
    <xf numFmtId="4" fontId="17" fillId="0" borderId="2" xfId="1" applyNumberFormat="1" applyFont="1" applyFill="1" applyBorder="1" applyAlignment="1">
      <alignment horizontal="left" vertical="center" wrapText="1"/>
    </xf>
    <xf numFmtId="4" fontId="9" fillId="2" borderId="2" xfId="1" applyNumberFormat="1" applyFont="1" applyFill="1" applyBorder="1" applyAlignment="1">
      <alignment horizontal="right" vertical="center"/>
    </xf>
    <xf numFmtId="4" fontId="8" fillId="0" borderId="2" xfId="1" applyNumberFormat="1" applyFont="1" applyFill="1" applyBorder="1" applyAlignment="1">
      <alignment horizontal="right" vertical="center" wrapText="1"/>
    </xf>
    <xf numFmtId="0" fontId="4" fillId="0" borderId="0" xfId="1" applyFont="1" applyFill="1" applyBorder="1" applyAlignment="1">
      <alignment horizontal="right" wrapText="1"/>
    </xf>
    <xf numFmtId="0" fontId="0" fillId="0" borderId="0" xfId="0" applyAlignment="1">
      <alignment horizontal="left"/>
    </xf>
    <xf numFmtId="0" fontId="0" fillId="0" borderId="0" xfId="0" applyAlignment="1">
      <alignment wrapText="1"/>
    </xf>
    <xf numFmtId="2" fontId="0" fillId="0" borderId="0" xfId="0" applyNumberFormat="1"/>
    <xf numFmtId="164" fontId="20" fillId="0" borderId="0" xfId="0" applyNumberFormat="1" applyFont="1" applyFill="1" applyBorder="1" applyAlignment="1">
      <alignment horizontal="left"/>
    </xf>
    <xf numFmtId="0" fontId="8" fillId="0" borderId="0" xfId="1" applyFont="1" applyFill="1" applyBorder="1" applyAlignment="1">
      <alignment horizontal="left" vertical="center" wrapText="1"/>
    </xf>
    <xf numFmtId="0" fontId="0" fillId="0" borderId="0" xfId="0" applyBorder="1"/>
    <xf numFmtId="0" fontId="4" fillId="0" borderId="0" xfId="1" applyFont="1" applyFill="1" applyBorder="1" applyAlignment="1">
      <alignment horizontal="left" wrapText="1"/>
    </xf>
    <xf numFmtId="164" fontId="20" fillId="0" borderId="0" xfId="0" applyNumberFormat="1" applyFont="1" applyBorder="1" applyAlignment="1">
      <alignment horizontal="left"/>
    </xf>
    <xf numFmtId="164" fontId="6" fillId="0" borderId="0" xfId="1" applyNumberFormat="1" applyFont="1" applyFill="1" applyBorder="1" applyAlignment="1">
      <alignment horizontal="left" wrapText="1"/>
    </xf>
    <xf numFmtId="0" fontId="6" fillId="0" borderId="0" xfId="1" applyFont="1"/>
    <xf numFmtId="164" fontId="6" fillId="0" borderId="0" xfId="0" applyNumberFormat="1" applyFont="1" applyFill="1" applyBorder="1" applyAlignment="1">
      <alignment horizontal="left" wrapText="1"/>
    </xf>
    <xf numFmtId="0" fontId="0" fillId="0" borderId="0" xfId="0" applyBorder="1" applyAlignment="1">
      <alignment horizontal="left"/>
    </xf>
    <xf numFmtId="2" fontId="6" fillId="0" borderId="0" xfId="1" applyNumberFormat="1" applyFont="1" applyFill="1" applyBorder="1" applyAlignment="1">
      <alignment horizontal="left" wrapText="1"/>
    </xf>
    <xf numFmtId="2" fontId="0" fillId="0" borderId="0" xfId="0" applyNumberFormat="1" applyAlignment="1">
      <alignment horizontal="left"/>
    </xf>
    <xf numFmtId="4" fontId="6" fillId="0" borderId="0" xfId="1" applyNumberFormat="1" applyFont="1" applyFill="1" applyBorder="1" applyAlignment="1">
      <alignment horizontal="left" wrapText="1"/>
    </xf>
    <xf numFmtId="2" fontId="19" fillId="0" borderId="0" xfId="0" applyNumberFormat="1" applyFont="1"/>
    <xf numFmtId="2" fontId="22" fillId="0" borderId="0" xfId="0" applyNumberFormat="1" applyFont="1"/>
    <xf numFmtId="4" fontId="1" fillId="0" borderId="0" xfId="1" applyNumberFormat="1"/>
    <xf numFmtId="0" fontId="0" fillId="0" borderId="0" xfId="0" applyFill="1" applyBorder="1" applyAlignment="1">
      <alignment horizontal="center" vertical="center" wrapText="1"/>
    </xf>
    <xf numFmtId="4" fontId="14" fillId="0" borderId="0" xfId="1" applyNumberFormat="1" applyFont="1" applyFill="1" applyBorder="1" applyAlignment="1">
      <alignment horizontal="right" vertical="center"/>
    </xf>
    <xf numFmtId="164" fontId="14" fillId="0" borderId="0" xfId="1" applyNumberFormat="1" applyFont="1" applyFill="1" applyBorder="1" applyAlignment="1">
      <alignment horizontal="right" vertical="center"/>
    </xf>
    <xf numFmtId="4" fontId="14" fillId="0" borderId="0" xfId="1" applyNumberFormat="1" applyFont="1" applyFill="1" applyBorder="1" applyAlignment="1">
      <alignment horizontal="right"/>
    </xf>
    <xf numFmtId="164" fontId="14" fillId="0" borderId="0" xfId="1" applyNumberFormat="1" applyFont="1" applyFill="1" applyBorder="1" applyAlignment="1">
      <alignment horizontal="right"/>
    </xf>
    <xf numFmtId="4" fontId="14" fillId="0" borderId="0" xfId="1" applyNumberFormat="1" applyFont="1" applyFill="1" applyBorder="1" applyAlignment="1">
      <alignment horizontal="right" wrapText="1"/>
    </xf>
    <xf numFmtId="4" fontId="0" fillId="0" borderId="0" xfId="0" applyNumberFormat="1" applyBorder="1" applyAlignment="1"/>
    <xf numFmtId="0" fontId="0" fillId="0" borderId="0" xfId="0" applyBorder="1" applyAlignment="1">
      <alignment horizontal="center" vertical="center" wrapText="1"/>
    </xf>
    <xf numFmtId="2" fontId="4" fillId="0" borderId="1" xfId="1" applyNumberFormat="1" applyFont="1" applyFill="1" applyBorder="1" applyAlignment="1">
      <alignment horizontal="right" wrapText="1"/>
    </xf>
    <xf numFmtId="2" fontId="4" fillId="0" borderId="0" xfId="1" applyNumberFormat="1" applyFont="1" applyFill="1" applyBorder="1" applyAlignment="1">
      <alignment horizontal="right" wrapText="1"/>
    </xf>
    <xf numFmtId="0" fontId="13" fillId="0" borderId="1" xfId="1" applyFont="1" applyFill="1" applyBorder="1" applyAlignment="1">
      <alignment horizontal="left" wrapText="1"/>
    </xf>
    <xf numFmtId="4" fontId="16" fillId="0" borderId="2" xfId="1" applyNumberFormat="1" applyFont="1" applyFill="1" applyBorder="1" applyAlignment="1">
      <alignment horizontal="right" vertical="center" wrapText="1"/>
    </xf>
    <xf numFmtId="0" fontId="0" fillId="0" borderId="0" xfId="0" applyBorder="1" applyAlignment="1">
      <alignment horizontal="center" wrapText="1"/>
    </xf>
    <xf numFmtId="0" fontId="0" fillId="0" borderId="0" xfId="0" applyFill="1"/>
    <xf numFmtId="0" fontId="23" fillId="0" borderId="0" xfId="0" applyFont="1"/>
    <xf numFmtId="0" fontId="6" fillId="0" borderId="0" xfId="1" applyFont="1" applyBorder="1"/>
    <xf numFmtId="164" fontId="19" fillId="0" borderId="0" xfId="0" applyNumberFormat="1" applyFont="1" applyAlignment="1">
      <alignment horizontal="left"/>
    </xf>
    <xf numFmtId="4" fontId="8" fillId="0" borderId="0" xfId="1" applyNumberFormat="1" applyFont="1" applyFill="1" applyBorder="1" applyAlignment="1">
      <alignment vertical="center" wrapText="1"/>
    </xf>
    <xf numFmtId="4" fontId="8" fillId="0" borderId="4" xfId="1" applyNumberFormat="1" applyFont="1" applyFill="1" applyBorder="1" applyAlignment="1">
      <alignment horizontal="right" vertical="center" wrapText="1"/>
    </xf>
    <xf numFmtId="4" fontId="8" fillId="0" borderId="5" xfId="1" applyNumberFormat="1" applyFont="1" applyFill="1" applyBorder="1" applyAlignment="1">
      <alignment horizontal="right" vertical="center" wrapText="1"/>
    </xf>
    <xf numFmtId="164" fontId="19" fillId="0" borderId="0" xfId="0" applyNumberFormat="1" applyFont="1" applyBorder="1" applyAlignment="1">
      <alignment horizontal="left"/>
    </xf>
    <xf numFmtId="2" fontId="22" fillId="0" borderId="0" xfId="0" applyNumberFormat="1" applyFont="1" applyBorder="1"/>
    <xf numFmtId="0" fontId="1" fillId="0" borderId="0" xfId="1" applyBorder="1"/>
    <xf numFmtId="164" fontId="23" fillId="0" borderId="0" xfId="0" applyNumberFormat="1" applyFont="1"/>
    <xf numFmtId="164" fontId="20" fillId="0" borderId="0" xfId="0" applyNumberFormat="1" applyFont="1"/>
    <xf numFmtId="0" fontId="20" fillId="0" borderId="0" xfId="0" applyFont="1"/>
    <xf numFmtId="0" fontId="20" fillId="0" borderId="0" xfId="0" applyFont="1" applyAlignment="1">
      <alignment horizontal="right"/>
    </xf>
    <xf numFmtId="0" fontId="0" fillId="0" borderId="0" xfId="0" applyAlignment="1"/>
    <xf numFmtId="0" fontId="0" fillId="0" borderId="0" xfId="0" applyAlignment="1">
      <alignment horizontal="left" wrapText="1"/>
    </xf>
    <xf numFmtId="164" fontId="0" fillId="0" borderId="0" xfId="0" applyNumberFormat="1" applyAlignment="1">
      <alignment horizontal="left"/>
    </xf>
    <xf numFmtId="164" fontId="20" fillId="0" borderId="0" xfId="0" applyNumberFormat="1" applyFont="1" applyAlignment="1">
      <alignment wrapText="1"/>
    </xf>
    <xf numFmtId="0" fontId="6" fillId="0" borderId="6" xfId="0" applyFont="1" applyFill="1" applyBorder="1" applyAlignment="1" applyProtection="1">
      <alignment wrapText="1"/>
      <protection locked="0"/>
    </xf>
    <xf numFmtId="0" fontId="24" fillId="0" borderId="0" xfId="1" applyFont="1" applyFill="1" applyBorder="1" applyAlignment="1">
      <alignment horizontal="left" vertical="center" wrapText="1"/>
    </xf>
    <xf numFmtId="0" fontId="20" fillId="0" borderId="0" xfId="0" applyFont="1" applyAlignment="1">
      <alignment horizontal="right" wrapText="1"/>
    </xf>
    <xf numFmtId="0" fontId="20" fillId="0" borderId="0" xfId="0" applyFont="1" applyAlignment="1">
      <alignment horizontal="left"/>
    </xf>
    <xf numFmtId="0" fontId="5" fillId="0" borderId="0" xfId="1" applyFont="1" applyFill="1" applyBorder="1" applyAlignment="1">
      <alignment horizontal="right" wrapText="1"/>
    </xf>
    <xf numFmtId="0" fontId="1" fillId="0" borderId="0" xfId="1" applyBorder="1" applyAlignment="1">
      <alignment vertical="center"/>
    </xf>
    <xf numFmtId="0" fontId="6" fillId="0" borderId="0" xfId="1" applyFont="1" applyBorder="1" applyAlignment="1">
      <alignment vertical="center"/>
    </xf>
    <xf numFmtId="0" fontId="1" fillId="0" borderId="0" xfId="0" applyFont="1"/>
    <xf numFmtId="4" fontId="17" fillId="0" borderId="0" xfId="1" applyNumberFormat="1" applyFont="1" applyFill="1" applyBorder="1" applyAlignment="1">
      <alignment horizontal="right" vertical="center"/>
    </xf>
    <xf numFmtId="0" fontId="6" fillId="0" borderId="0" xfId="1" applyFont="1" applyBorder="1" applyAlignment="1">
      <alignment horizontal="right"/>
    </xf>
    <xf numFmtId="4" fontId="11" fillId="0" borderId="7" xfId="1" applyNumberFormat="1" applyFont="1" applyFill="1" applyBorder="1" applyAlignment="1">
      <alignment horizontal="right" vertical="center" wrapText="1"/>
    </xf>
    <xf numFmtId="164" fontId="6" fillId="0" borderId="2" xfId="1" applyNumberFormat="1" applyFont="1" applyBorder="1"/>
    <xf numFmtId="0" fontId="6" fillId="0" borderId="2" xfId="1" applyFont="1" applyBorder="1"/>
    <xf numFmtId="2" fontId="6" fillId="0" borderId="2" xfId="1" applyNumberFormat="1" applyFont="1" applyBorder="1"/>
    <xf numFmtId="0" fontId="4" fillId="4" borderId="1" xfId="1" applyFont="1" applyFill="1" applyBorder="1" applyAlignment="1">
      <alignment horizontal="right" wrapText="1"/>
    </xf>
    <xf numFmtId="0" fontId="4" fillId="3" borderId="1" xfId="1" applyFont="1" applyFill="1" applyBorder="1" applyAlignment="1">
      <alignment horizontal="right" wrapText="1"/>
    </xf>
    <xf numFmtId="0" fontId="4" fillId="5" borderId="1" xfId="1" applyFont="1" applyFill="1" applyBorder="1" applyAlignment="1">
      <alignment horizontal="right" wrapText="1"/>
    </xf>
    <xf numFmtId="0" fontId="0" fillId="0" borderId="0" xfId="0" applyAlignment="1">
      <alignment vertical="top" wrapText="1"/>
    </xf>
    <xf numFmtId="0" fontId="0" fillId="0" borderId="0" xfId="0" applyFont="1" applyAlignment="1">
      <alignment wrapText="1"/>
    </xf>
    <xf numFmtId="4" fontId="8" fillId="0" borderId="2" xfId="1" applyNumberFormat="1" applyFont="1" applyFill="1" applyBorder="1" applyAlignment="1">
      <alignment horizontal="right" wrapText="1"/>
    </xf>
    <xf numFmtId="4" fontId="7" fillId="0" borderId="2" xfId="1" applyNumberFormat="1" applyFont="1" applyFill="1" applyBorder="1" applyAlignment="1">
      <alignment horizontal="right"/>
    </xf>
    <xf numFmtId="4" fontId="14" fillId="0" borderId="2" xfId="1" applyNumberFormat="1" applyFont="1" applyFill="1" applyBorder="1" applyAlignment="1">
      <alignment horizontal="right"/>
    </xf>
    <xf numFmtId="0" fontId="6" fillId="0" borderId="2" xfId="1" applyFont="1" applyBorder="1" applyAlignment="1"/>
    <xf numFmtId="4" fontId="14" fillId="0" borderId="2" xfId="1" applyNumberFormat="1" applyFont="1" applyFill="1" applyBorder="1" applyAlignment="1">
      <alignment horizontal="right" wrapText="1"/>
    </xf>
    <xf numFmtId="2" fontId="6" fillId="0" borderId="2" xfId="1" applyNumberFormat="1" applyFont="1" applyBorder="1" applyAlignment="1"/>
    <xf numFmtId="4" fontId="6" fillId="0" borderId="2" xfId="1" applyNumberFormat="1" applyFont="1" applyBorder="1" applyAlignment="1"/>
    <xf numFmtId="164" fontId="6" fillId="0" borderId="2" xfId="1" applyNumberFormat="1" applyFont="1" applyBorder="1" applyAlignment="1"/>
    <xf numFmtId="4" fontId="9" fillId="2" borderId="2" xfId="1" applyNumberFormat="1" applyFont="1" applyFill="1" applyBorder="1" applyAlignment="1">
      <alignment horizontal="right"/>
    </xf>
    <xf numFmtId="2" fontId="8" fillId="0" borderId="2" xfId="1" applyNumberFormat="1" applyFont="1" applyFill="1" applyBorder="1" applyAlignment="1"/>
    <xf numFmtId="4" fontId="11" fillId="0" borderId="2" xfId="1" applyNumberFormat="1" applyFont="1" applyFill="1" applyBorder="1" applyAlignment="1">
      <alignment horizontal="right" wrapText="1"/>
    </xf>
    <xf numFmtId="0" fontId="6" fillId="0" borderId="2" xfId="1" applyFont="1" applyBorder="1" applyAlignment="1">
      <alignment vertical="center"/>
    </xf>
    <xf numFmtId="2" fontId="6" fillId="0" borderId="2" xfId="1" applyNumberFormat="1" applyFont="1" applyBorder="1" applyAlignment="1">
      <alignment vertical="center"/>
    </xf>
    <xf numFmtId="4" fontId="25" fillId="0" borderId="2" xfId="1" applyNumberFormat="1" applyFont="1" applyFill="1" applyBorder="1" applyAlignment="1">
      <alignment horizontal="right" vertical="center" wrapText="1"/>
    </xf>
    <xf numFmtId="2" fontId="0" fillId="0" borderId="0" xfId="0" applyNumberFormat="1" applyAlignment="1">
      <alignment horizontal="right"/>
    </xf>
    <xf numFmtId="164" fontId="0" fillId="0" borderId="0" xfId="0" applyNumberFormat="1" applyAlignment="1">
      <alignment horizontal="left" wrapText="1"/>
    </xf>
    <xf numFmtId="2" fontId="20" fillId="0" borderId="0" xfId="0" applyNumberFormat="1" applyFont="1"/>
    <xf numFmtId="2" fontId="6" fillId="0" borderId="2" xfId="1" applyNumberFormat="1" applyFont="1" applyBorder="1" applyAlignment="1">
      <alignment horizontal="right"/>
    </xf>
    <xf numFmtId="4" fontId="6" fillId="0" borderId="0" xfId="1" applyNumberFormat="1" applyFont="1" applyAlignment="1">
      <alignment horizontal="center" vertical="center"/>
    </xf>
    <xf numFmtId="0" fontId="6" fillId="0" borderId="0" xfId="1" applyFont="1" applyAlignment="1">
      <alignment horizontal="left" vertical="center" wrapText="1"/>
    </xf>
    <xf numFmtId="164" fontId="8" fillId="0" borderId="2" xfId="1" applyNumberFormat="1" applyFont="1" applyFill="1" applyBorder="1" applyAlignment="1">
      <alignment horizontal="right" vertical="center" wrapText="1"/>
    </xf>
    <xf numFmtId="4" fontId="8" fillId="0" borderId="2" xfId="1" applyNumberFormat="1" applyFont="1" applyFill="1" applyBorder="1" applyAlignment="1">
      <alignment horizontal="center" vertical="center" wrapText="1"/>
    </xf>
    <xf numFmtId="2" fontId="6" fillId="0" borderId="0" xfId="1" applyNumberFormat="1" applyFont="1" applyAlignment="1">
      <alignment horizontal="center" vertical="center"/>
    </xf>
    <xf numFmtId="164" fontId="6" fillId="0" borderId="2" xfId="1" applyNumberFormat="1" applyFont="1" applyBorder="1" applyAlignment="1">
      <alignment horizontal="center" vertical="center"/>
    </xf>
    <xf numFmtId="164" fontId="1" fillId="0" borderId="2" xfId="1" applyNumberFormat="1" applyBorder="1" applyAlignment="1">
      <alignment horizontal="center" vertical="center"/>
    </xf>
    <xf numFmtId="0" fontId="1" fillId="0" borderId="2" xfId="1" applyBorder="1" applyAlignment="1">
      <alignment horizontal="center" vertical="center"/>
    </xf>
    <xf numFmtId="0" fontId="1" fillId="0" borderId="0" xfId="1" applyFont="1" applyFill="1" applyAlignment="1">
      <alignment horizontal="left" vertical="center" wrapText="1"/>
    </xf>
    <xf numFmtId="4" fontId="8" fillId="0" borderId="2" xfId="1" applyNumberFormat="1" applyFont="1" applyFill="1" applyBorder="1" applyAlignment="1">
      <alignment horizontal="right" vertical="center" wrapText="1"/>
    </xf>
    <xf numFmtId="4" fontId="6" fillId="0" borderId="0" xfId="1" applyNumberFormat="1" applyFont="1" applyBorder="1" applyAlignment="1">
      <alignment horizontal="center" vertical="center"/>
    </xf>
    <xf numFmtId="2" fontId="6" fillId="0" borderId="0" xfId="1" applyNumberFormat="1" applyFont="1" applyBorder="1" applyAlignment="1">
      <alignment horizontal="center" vertical="center"/>
    </xf>
    <xf numFmtId="4" fontId="8" fillId="0" borderId="0" xfId="1" applyNumberFormat="1" applyFont="1" applyFill="1" applyBorder="1" applyAlignment="1">
      <alignment horizontal="center" vertical="center" wrapText="1"/>
    </xf>
    <xf numFmtId="2" fontId="1" fillId="0" borderId="0" xfId="1" applyNumberFormat="1" applyAlignment="1">
      <alignment horizontal="center" vertical="center"/>
    </xf>
    <xf numFmtId="2" fontId="1" fillId="0" borderId="3" xfId="1" applyNumberFormat="1" applyBorder="1" applyAlignment="1">
      <alignment horizontal="center" vertical="center"/>
    </xf>
    <xf numFmtId="2" fontId="1" fillId="0" borderId="0" xfId="1" applyNumberFormat="1" applyBorder="1" applyAlignment="1">
      <alignment horizontal="center" vertical="center"/>
    </xf>
  </cellXfs>
  <cellStyles count="5">
    <cellStyle name="Moneda 2" xfId="2"/>
    <cellStyle name="Normal" xfId="0" builtinId="0"/>
    <cellStyle name="Normal 2" xfId="1"/>
    <cellStyle name="Normal 2 2" xfId="3"/>
    <cellStyle name="Normal 4" xfId="4"/>
  </cellStyles>
  <dxfs count="0"/>
  <tableStyles count="0" defaultTableStyle="TableStyleMedium2" defaultPivotStyle="PivotStyleLight16"/>
  <colors>
    <mruColors>
      <color rgb="FFA185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0</xdr:row>
      <xdr:rowOff>44450</xdr:rowOff>
    </xdr:from>
    <xdr:to>
      <xdr:col>0</xdr:col>
      <xdr:colOff>1878842</xdr:colOff>
      <xdr:row>2</xdr:row>
      <xdr:rowOff>13336</xdr:rowOff>
    </xdr:to>
    <xdr:pic>
      <xdr:nvPicPr>
        <xdr:cNvPr id="2" name="Imat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44450"/>
          <a:ext cx="1834392" cy="286386"/>
        </a:xfrm>
        <a:prstGeom prst="rect">
          <a:avLst/>
        </a:prstGeom>
      </xdr:spPr>
    </xdr:pic>
    <xdr:clientData/>
  </xdr:twoCellAnchor>
  <xdr:twoCellAnchor editAs="oneCell">
    <xdr:from>
      <xdr:col>0</xdr:col>
      <xdr:colOff>0</xdr:colOff>
      <xdr:row>49</xdr:row>
      <xdr:rowOff>107950</xdr:rowOff>
    </xdr:from>
    <xdr:to>
      <xdr:col>0</xdr:col>
      <xdr:colOff>1304801</xdr:colOff>
      <xdr:row>51</xdr:row>
      <xdr:rowOff>150116</xdr:rowOff>
    </xdr:to>
    <xdr:pic>
      <xdr:nvPicPr>
        <xdr:cNvPr id="5" name="Imat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8478500"/>
          <a:ext cx="1304801" cy="359665"/>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2"/>
  <sheetViews>
    <sheetView tabSelected="1" zoomScale="110" zoomScaleNormal="110" zoomScaleSheetLayoutView="55" workbookViewId="0">
      <selection activeCell="D7" sqref="D7"/>
    </sheetView>
  </sheetViews>
  <sheetFormatPr defaultColWidth="9.1796875" defaultRowHeight="12.5" x14ac:dyDescent="0.25"/>
  <cols>
    <col min="1" max="1" width="28.26953125" style="2" customWidth="1"/>
    <col min="2" max="2" width="29.54296875" style="2" customWidth="1"/>
    <col min="3" max="3" width="13.1796875" style="2" customWidth="1"/>
    <col min="4" max="4" width="14" style="2" customWidth="1"/>
    <col min="5" max="5" width="16.7265625" style="2" hidden="1" customWidth="1"/>
    <col min="6" max="6" width="15.1796875" style="2" hidden="1" customWidth="1"/>
    <col min="7" max="7" width="19.1796875" style="2" hidden="1" customWidth="1"/>
    <col min="8" max="8" width="12.81640625" style="2" hidden="1" customWidth="1"/>
    <col min="9" max="9" width="10.453125" style="2" customWidth="1"/>
    <col min="10" max="10" width="10.54296875" style="2" customWidth="1"/>
    <col min="11" max="11" width="7.26953125" style="2" customWidth="1"/>
    <col min="12" max="12" width="23" style="13" customWidth="1"/>
    <col min="13" max="15" width="11.453125" style="13" customWidth="1"/>
    <col min="16" max="16" width="18.54296875" style="13" customWidth="1"/>
    <col min="17" max="17" width="12.81640625" style="13" customWidth="1"/>
    <col min="18" max="18" width="18.7265625" style="13" customWidth="1"/>
    <col min="19" max="19" width="13.26953125" style="13" customWidth="1"/>
    <col min="20" max="20" width="25.1796875" style="13" hidden="1" customWidth="1"/>
    <col min="21" max="28" width="13.26953125" style="13" customWidth="1"/>
    <col min="29" max="29" width="23.453125" style="13" customWidth="1"/>
    <col min="30" max="36" width="13.26953125" style="13" customWidth="1"/>
    <col min="37" max="37" width="14.1796875" style="13" customWidth="1"/>
    <col min="38" max="40" width="16.81640625" style="2" customWidth="1"/>
    <col min="41" max="41" width="12.54296875" style="2" hidden="1" customWidth="1"/>
    <col min="42" max="42" width="10.54296875" style="2" hidden="1" customWidth="1"/>
    <col min="43" max="43" width="19.54296875" style="2" hidden="1" customWidth="1"/>
    <col min="44" max="44" width="10.54296875" style="2" hidden="1" customWidth="1"/>
    <col min="45" max="45" width="15.1796875" style="2" customWidth="1"/>
    <col min="46" max="46" width="17.453125" style="2" customWidth="1"/>
    <col min="47" max="47" width="15.1796875" style="2" customWidth="1"/>
    <col min="48" max="48" width="19.81640625" style="2" customWidth="1"/>
    <col min="49" max="49" width="13.1796875" style="2" customWidth="1"/>
    <col min="50" max="50" width="8.81640625" style="2" customWidth="1"/>
    <col min="51" max="51" width="15.453125" style="2" customWidth="1"/>
    <col min="52" max="52" width="11.1796875" style="2" customWidth="1"/>
    <col min="53" max="248" width="8.7265625" style="2"/>
    <col min="249" max="249" width="28.26953125" style="2" customWidth="1"/>
    <col min="250" max="250" width="44.26953125" style="2" customWidth="1"/>
    <col min="251" max="251" width="21.54296875" style="2" customWidth="1"/>
    <col min="252" max="252" width="21.81640625" style="2" customWidth="1"/>
    <col min="253" max="257" width="0" style="2" hidden="1" customWidth="1"/>
    <col min="258" max="258" width="9.81640625" style="2" customWidth="1"/>
    <col min="259" max="259" width="9" style="2" customWidth="1"/>
    <col min="260" max="260" width="8.7265625" style="2" customWidth="1"/>
    <col min="261" max="261" width="14.54296875" style="2" customWidth="1"/>
    <col min="262" max="262" width="8.81640625" style="2" customWidth="1"/>
    <col min="263" max="263" width="12" style="2" customWidth="1"/>
    <col min="264" max="264" width="11.81640625" style="2" customWidth="1"/>
    <col min="265" max="265" width="13.26953125" style="2" customWidth="1"/>
    <col min="266" max="266" width="8.7265625" style="2"/>
    <col min="267" max="267" width="11.453125" style="2" customWidth="1"/>
    <col min="268" max="268" width="22.7265625" style="2" customWidth="1"/>
    <col min="269" max="504" width="8.7265625" style="2"/>
    <col min="505" max="505" width="28.26953125" style="2" customWidth="1"/>
    <col min="506" max="506" width="44.26953125" style="2" customWidth="1"/>
    <col min="507" max="507" width="21.54296875" style="2" customWidth="1"/>
    <col min="508" max="508" width="21.81640625" style="2" customWidth="1"/>
    <col min="509" max="513" width="0" style="2" hidden="1" customWidth="1"/>
    <col min="514" max="514" width="9.81640625" style="2" customWidth="1"/>
    <col min="515" max="515" width="9" style="2" customWidth="1"/>
    <col min="516" max="516" width="8.7265625" style="2" customWidth="1"/>
    <col min="517" max="517" width="14.54296875" style="2" customWidth="1"/>
    <col min="518" max="518" width="8.81640625" style="2" customWidth="1"/>
    <col min="519" max="519" width="12" style="2" customWidth="1"/>
    <col min="520" max="520" width="11.81640625" style="2" customWidth="1"/>
    <col min="521" max="521" width="13.26953125" style="2" customWidth="1"/>
    <col min="522" max="522" width="8.7265625" style="2"/>
    <col min="523" max="523" width="11.453125" style="2" customWidth="1"/>
    <col min="524" max="524" width="22.7265625" style="2" customWidth="1"/>
    <col min="525" max="760" width="8.7265625" style="2"/>
    <col min="761" max="761" width="28.26953125" style="2" customWidth="1"/>
    <col min="762" max="762" width="44.26953125" style="2" customWidth="1"/>
    <col min="763" max="763" width="21.54296875" style="2" customWidth="1"/>
    <col min="764" max="764" width="21.81640625" style="2" customWidth="1"/>
    <col min="765" max="769" width="0" style="2" hidden="1" customWidth="1"/>
    <col min="770" max="770" width="9.81640625" style="2" customWidth="1"/>
    <col min="771" max="771" width="9" style="2" customWidth="1"/>
    <col min="772" max="772" width="8.7265625" style="2" customWidth="1"/>
    <col min="773" max="773" width="14.54296875" style="2" customWidth="1"/>
    <col min="774" max="774" width="8.81640625" style="2" customWidth="1"/>
    <col min="775" max="775" width="12" style="2" customWidth="1"/>
    <col min="776" max="776" width="11.81640625" style="2" customWidth="1"/>
    <col min="777" max="777" width="13.26953125" style="2" customWidth="1"/>
    <col min="778" max="778" width="8.7265625" style="2"/>
    <col min="779" max="779" width="11.453125" style="2" customWidth="1"/>
    <col min="780" max="780" width="22.7265625" style="2" customWidth="1"/>
    <col min="781" max="1016" width="8.7265625" style="2"/>
    <col min="1017" max="1017" width="28.26953125" style="2" customWidth="1"/>
    <col min="1018" max="1018" width="44.26953125" style="2" customWidth="1"/>
    <col min="1019" max="1019" width="21.54296875" style="2" customWidth="1"/>
    <col min="1020" max="1020" width="21.81640625" style="2" customWidth="1"/>
    <col min="1021" max="1025" width="0" style="2" hidden="1" customWidth="1"/>
    <col min="1026" max="1026" width="9.81640625" style="2" customWidth="1"/>
    <col min="1027" max="1027" width="9" style="2" customWidth="1"/>
    <col min="1028" max="1028" width="8.7265625" style="2" customWidth="1"/>
    <col min="1029" max="1029" width="14.54296875" style="2" customWidth="1"/>
    <col min="1030" max="1030" width="8.81640625" style="2" customWidth="1"/>
    <col min="1031" max="1031" width="12" style="2" customWidth="1"/>
    <col min="1032" max="1032" width="11.81640625" style="2" customWidth="1"/>
    <col min="1033" max="1033" width="13.26953125" style="2" customWidth="1"/>
    <col min="1034" max="1034" width="8.7265625" style="2"/>
    <col min="1035" max="1035" width="11.453125" style="2" customWidth="1"/>
    <col min="1036" max="1036" width="22.7265625" style="2" customWidth="1"/>
    <col min="1037" max="1272" width="8.7265625" style="2"/>
    <col min="1273" max="1273" width="28.26953125" style="2" customWidth="1"/>
    <col min="1274" max="1274" width="44.26953125" style="2" customWidth="1"/>
    <col min="1275" max="1275" width="21.54296875" style="2" customWidth="1"/>
    <col min="1276" max="1276" width="21.81640625" style="2" customWidth="1"/>
    <col min="1277" max="1281" width="0" style="2" hidden="1" customWidth="1"/>
    <col min="1282" max="1282" width="9.81640625" style="2" customWidth="1"/>
    <col min="1283" max="1283" width="9" style="2" customWidth="1"/>
    <col min="1284" max="1284" width="8.7265625" style="2" customWidth="1"/>
    <col min="1285" max="1285" width="14.54296875" style="2" customWidth="1"/>
    <col min="1286" max="1286" width="8.81640625" style="2" customWidth="1"/>
    <col min="1287" max="1287" width="12" style="2" customWidth="1"/>
    <col min="1288" max="1288" width="11.81640625" style="2" customWidth="1"/>
    <col min="1289" max="1289" width="13.26953125" style="2" customWidth="1"/>
    <col min="1290" max="1290" width="8.7265625" style="2"/>
    <col min="1291" max="1291" width="11.453125" style="2" customWidth="1"/>
    <col min="1292" max="1292" width="22.7265625" style="2" customWidth="1"/>
    <col min="1293" max="1528" width="8.7265625" style="2"/>
    <col min="1529" max="1529" width="28.26953125" style="2" customWidth="1"/>
    <col min="1530" max="1530" width="44.26953125" style="2" customWidth="1"/>
    <col min="1531" max="1531" width="21.54296875" style="2" customWidth="1"/>
    <col min="1532" max="1532" width="21.81640625" style="2" customWidth="1"/>
    <col min="1533" max="1537" width="0" style="2" hidden="1" customWidth="1"/>
    <col min="1538" max="1538" width="9.81640625" style="2" customWidth="1"/>
    <col min="1539" max="1539" width="9" style="2" customWidth="1"/>
    <col min="1540" max="1540" width="8.7265625" style="2" customWidth="1"/>
    <col min="1541" max="1541" width="14.54296875" style="2" customWidth="1"/>
    <col min="1542" max="1542" width="8.81640625" style="2" customWidth="1"/>
    <col min="1543" max="1543" width="12" style="2" customWidth="1"/>
    <col min="1544" max="1544" width="11.81640625" style="2" customWidth="1"/>
    <col min="1545" max="1545" width="13.26953125" style="2" customWidth="1"/>
    <col min="1546" max="1546" width="8.7265625" style="2"/>
    <col min="1547" max="1547" width="11.453125" style="2" customWidth="1"/>
    <col min="1548" max="1548" width="22.7265625" style="2" customWidth="1"/>
    <col min="1549" max="1784" width="8.7265625" style="2"/>
    <col min="1785" max="1785" width="28.26953125" style="2" customWidth="1"/>
    <col min="1786" max="1786" width="44.26953125" style="2" customWidth="1"/>
    <col min="1787" max="1787" width="21.54296875" style="2" customWidth="1"/>
    <col min="1788" max="1788" width="21.81640625" style="2" customWidth="1"/>
    <col min="1789" max="1793" width="0" style="2" hidden="1" customWidth="1"/>
    <col min="1794" max="1794" width="9.81640625" style="2" customWidth="1"/>
    <col min="1795" max="1795" width="9" style="2" customWidth="1"/>
    <col min="1796" max="1796" width="8.7265625" style="2" customWidth="1"/>
    <col min="1797" max="1797" width="14.54296875" style="2" customWidth="1"/>
    <col min="1798" max="1798" width="8.81640625" style="2" customWidth="1"/>
    <col min="1799" max="1799" width="12" style="2" customWidth="1"/>
    <col min="1800" max="1800" width="11.81640625" style="2" customWidth="1"/>
    <col min="1801" max="1801" width="13.26953125" style="2" customWidth="1"/>
    <col min="1802" max="1802" width="8.7265625" style="2"/>
    <col min="1803" max="1803" width="11.453125" style="2" customWidth="1"/>
    <col min="1804" max="1804" width="22.7265625" style="2" customWidth="1"/>
    <col min="1805" max="2040" width="8.7265625" style="2"/>
    <col min="2041" max="2041" width="28.26953125" style="2" customWidth="1"/>
    <col min="2042" max="2042" width="44.26953125" style="2" customWidth="1"/>
    <col min="2043" max="2043" width="21.54296875" style="2" customWidth="1"/>
    <col min="2044" max="2044" width="21.81640625" style="2" customWidth="1"/>
    <col min="2045" max="2049" width="0" style="2" hidden="1" customWidth="1"/>
    <col min="2050" max="2050" width="9.81640625" style="2" customWidth="1"/>
    <col min="2051" max="2051" width="9" style="2" customWidth="1"/>
    <col min="2052" max="2052" width="8.7265625" style="2" customWidth="1"/>
    <col min="2053" max="2053" width="14.54296875" style="2" customWidth="1"/>
    <col min="2054" max="2054" width="8.81640625" style="2" customWidth="1"/>
    <col min="2055" max="2055" width="12" style="2" customWidth="1"/>
    <col min="2056" max="2056" width="11.81640625" style="2" customWidth="1"/>
    <col min="2057" max="2057" width="13.26953125" style="2" customWidth="1"/>
    <col min="2058" max="2058" width="8.7265625" style="2"/>
    <col min="2059" max="2059" width="11.453125" style="2" customWidth="1"/>
    <col min="2060" max="2060" width="22.7265625" style="2" customWidth="1"/>
    <col min="2061" max="2296" width="8.7265625" style="2"/>
    <col min="2297" max="2297" width="28.26953125" style="2" customWidth="1"/>
    <col min="2298" max="2298" width="44.26953125" style="2" customWidth="1"/>
    <col min="2299" max="2299" width="21.54296875" style="2" customWidth="1"/>
    <col min="2300" max="2300" width="21.81640625" style="2" customWidth="1"/>
    <col min="2301" max="2305" width="0" style="2" hidden="1" customWidth="1"/>
    <col min="2306" max="2306" width="9.81640625" style="2" customWidth="1"/>
    <col min="2307" max="2307" width="9" style="2" customWidth="1"/>
    <col min="2308" max="2308" width="8.7265625" style="2" customWidth="1"/>
    <col min="2309" max="2309" width="14.54296875" style="2" customWidth="1"/>
    <col min="2310" max="2310" width="8.81640625" style="2" customWidth="1"/>
    <col min="2311" max="2311" width="12" style="2" customWidth="1"/>
    <col min="2312" max="2312" width="11.81640625" style="2" customWidth="1"/>
    <col min="2313" max="2313" width="13.26953125" style="2" customWidth="1"/>
    <col min="2314" max="2314" width="8.7265625" style="2"/>
    <col min="2315" max="2315" width="11.453125" style="2" customWidth="1"/>
    <col min="2316" max="2316" width="22.7265625" style="2" customWidth="1"/>
    <col min="2317" max="2552" width="8.7265625" style="2"/>
    <col min="2553" max="2553" width="28.26953125" style="2" customWidth="1"/>
    <col min="2554" max="2554" width="44.26953125" style="2" customWidth="1"/>
    <col min="2555" max="2555" width="21.54296875" style="2" customWidth="1"/>
    <col min="2556" max="2556" width="21.81640625" style="2" customWidth="1"/>
    <col min="2557" max="2561" width="0" style="2" hidden="1" customWidth="1"/>
    <col min="2562" max="2562" width="9.81640625" style="2" customWidth="1"/>
    <col min="2563" max="2563" width="9" style="2" customWidth="1"/>
    <col min="2564" max="2564" width="8.7265625" style="2" customWidth="1"/>
    <col min="2565" max="2565" width="14.54296875" style="2" customWidth="1"/>
    <col min="2566" max="2566" width="8.81640625" style="2" customWidth="1"/>
    <col min="2567" max="2567" width="12" style="2" customWidth="1"/>
    <col min="2568" max="2568" width="11.81640625" style="2" customWidth="1"/>
    <col min="2569" max="2569" width="13.26953125" style="2" customWidth="1"/>
    <col min="2570" max="2570" width="8.7265625" style="2"/>
    <col min="2571" max="2571" width="11.453125" style="2" customWidth="1"/>
    <col min="2572" max="2572" width="22.7265625" style="2" customWidth="1"/>
    <col min="2573" max="2808" width="8.7265625" style="2"/>
    <col min="2809" max="2809" width="28.26953125" style="2" customWidth="1"/>
    <col min="2810" max="2810" width="44.26953125" style="2" customWidth="1"/>
    <col min="2811" max="2811" width="21.54296875" style="2" customWidth="1"/>
    <col min="2812" max="2812" width="21.81640625" style="2" customWidth="1"/>
    <col min="2813" max="2817" width="0" style="2" hidden="1" customWidth="1"/>
    <col min="2818" max="2818" width="9.81640625" style="2" customWidth="1"/>
    <col min="2819" max="2819" width="9" style="2" customWidth="1"/>
    <col min="2820" max="2820" width="8.7265625" style="2" customWidth="1"/>
    <col min="2821" max="2821" width="14.54296875" style="2" customWidth="1"/>
    <col min="2822" max="2822" width="8.81640625" style="2" customWidth="1"/>
    <col min="2823" max="2823" width="12" style="2" customWidth="1"/>
    <col min="2824" max="2824" width="11.81640625" style="2" customWidth="1"/>
    <col min="2825" max="2825" width="13.26953125" style="2" customWidth="1"/>
    <col min="2826" max="2826" width="8.7265625" style="2"/>
    <col min="2827" max="2827" width="11.453125" style="2" customWidth="1"/>
    <col min="2828" max="2828" width="22.7265625" style="2" customWidth="1"/>
    <col min="2829" max="3064" width="8.7265625" style="2"/>
    <col min="3065" max="3065" width="28.26953125" style="2" customWidth="1"/>
    <col min="3066" max="3066" width="44.26953125" style="2" customWidth="1"/>
    <col min="3067" max="3067" width="21.54296875" style="2" customWidth="1"/>
    <col min="3068" max="3068" width="21.81640625" style="2" customWidth="1"/>
    <col min="3069" max="3073" width="0" style="2" hidden="1" customWidth="1"/>
    <col min="3074" max="3074" width="9.81640625" style="2" customWidth="1"/>
    <col min="3075" max="3075" width="9" style="2" customWidth="1"/>
    <col min="3076" max="3076" width="8.7265625" style="2" customWidth="1"/>
    <col min="3077" max="3077" width="14.54296875" style="2" customWidth="1"/>
    <col min="3078" max="3078" width="8.81640625" style="2" customWidth="1"/>
    <col min="3079" max="3079" width="12" style="2" customWidth="1"/>
    <col min="3080" max="3080" width="11.81640625" style="2" customWidth="1"/>
    <col min="3081" max="3081" width="13.26953125" style="2" customWidth="1"/>
    <col min="3082" max="3082" width="8.7265625" style="2"/>
    <col min="3083" max="3083" width="11.453125" style="2" customWidth="1"/>
    <col min="3084" max="3084" width="22.7265625" style="2" customWidth="1"/>
    <col min="3085" max="3320" width="8.7265625" style="2"/>
    <col min="3321" max="3321" width="28.26953125" style="2" customWidth="1"/>
    <col min="3322" max="3322" width="44.26953125" style="2" customWidth="1"/>
    <col min="3323" max="3323" width="21.54296875" style="2" customWidth="1"/>
    <col min="3324" max="3324" width="21.81640625" style="2" customWidth="1"/>
    <col min="3325" max="3329" width="0" style="2" hidden="1" customWidth="1"/>
    <col min="3330" max="3330" width="9.81640625" style="2" customWidth="1"/>
    <col min="3331" max="3331" width="9" style="2" customWidth="1"/>
    <col min="3332" max="3332" width="8.7265625" style="2" customWidth="1"/>
    <col min="3333" max="3333" width="14.54296875" style="2" customWidth="1"/>
    <col min="3334" max="3334" width="8.81640625" style="2" customWidth="1"/>
    <col min="3335" max="3335" width="12" style="2" customWidth="1"/>
    <col min="3336" max="3336" width="11.81640625" style="2" customWidth="1"/>
    <col min="3337" max="3337" width="13.26953125" style="2" customWidth="1"/>
    <col min="3338" max="3338" width="8.7265625" style="2"/>
    <col min="3339" max="3339" width="11.453125" style="2" customWidth="1"/>
    <col min="3340" max="3340" width="22.7265625" style="2" customWidth="1"/>
    <col min="3341" max="3576" width="8.7265625" style="2"/>
    <col min="3577" max="3577" width="28.26953125" style="2" customWidth="1"/>
    <col min="3578" max="3578" width="44.26953125" style="2" customWidth="1"/>
    <col min="3579" max="3579" width="21.54296875" style="2" customWidth="1"/>
    <col min="3580" max="3580" width="21.81640625" style="2" customWidth="1"/>
    <col min="3581" max="3585" width="0" style="2" hidden="1" customWidth="1"/>
    <col min="3586" max="3586" width="9.81640625" style="2" customWidth="1"/>
    <col min="3587" max="3587" width="9" style="2" customWidth="1"/>
    <col min="3588" max="3588" width="8.7265625" style="2" customWidth="1"/>
    <col min="3589" max="3589" width="14.54296875" style="2" customWidth="1"/>
    <col min="3590" max="3590" width="8.81640625" style="2" customWidth="1"/>
    <col min="3591" max="3591" width="12" style="2" customWidth="1"/>
    <col min="3592" max="3592" width="11.81640625" style="2" customWidth="1"/>
    <col min="3593" max="3593" width="13.26953125" style="2" customWidth="1"/>
    <col min="3594" max="3594" width="8.7265625" style="2"/>
    <col min="3595" max="3595" width="11.453125" style="2" customWidth="1"/>
    <col min="3596" max="3596" width="22.7265625" style="2" customWidth="1"/>
    <col min="3597" max="3832" width="8.7265625" style="2"/>
    <col min="3833" max="3833" width="28.26953125" style="2" customWidth="1"/>
    <col min="3834" max="3834" width="44.26953125" style="2" customWidth="1"/>
    <col min="3835" max="3835" width="21.54296875" style="2" customWidth="1"/>
    <col min="3836" max="3836" width="21.81640625" style="2" customWidth="1"/>
    <col min="3837" max="3841" width="0" style="2" hidden="1" customWidth="1"/>
    <col min="3842" max="3842" width="9.81640625" style="2" customWidth="1"/>
    <col min="3843" max="3843" width="9" style="2" customWidth="1"/>
    <col min="3844" max="3844" width="8.7265625" style="2" customWidth="1"/>
    <col min="3845" max="3845" width="14.54296875" style="2" customWidth="1"/>
    <col min="3846" max="3846" width="8.81640625" style="2" customWidth="1"/>
    <col min="3847" max="3847" width="12" style="2" customWidth="1"/>
    <col min="3848" max="3848" width="11.81640625" style="2" customWidth="1"/>
    <col min="3849" max="3849" width="13.26953125" style="2" customWidth="1"/>
    <col min="3850" max="3850" width="8.7265625" style="2"/>
    <col min="3851" max="3851" width="11.453125" style="2" customWidth="1"/>
    <col min="3852" max="3852" width="22.7265625" style="2" customWidth="1"/>
    <col min="3853" max="4088" width="8.7265625" style="2"/>
    <col min="4089" max="4089" width="28.26953125" style="2" customWidth="1"/>
    <col min="4090" max="4090" width="44.26953125" style="2" customWidth="1"/>
    <col min="4091" max="4091" width="21.54296875" style="2" customWidth="1"/>
    <col min="4092" max="4092" width="21.81640625" style="2" customWidth="1"/>
    <col min="4093" max="4097" width="0" style="2" hidden="1" customWidth="1"/>
    <col min="4098" max="4098" width="9.81640625" style="2" customWidth="1"/>
    <col min="4099" max="4099" width="9" style="2" customWidth="1"/>
    <col min="4100" max="4100" width="8.7265625" style="2" customWidth="1"/>
    <col min="4101" max="4101" width="14.54296875" style="2" customWidth="1"/>
    <col min="4102" max="4102" width="8.81640625" style="2" customWidth="1"/>
    <col min="4103" max="4103" width="12" style="2" customWidth="1"/>
    <col min="4104" max="4104" width="11.81640625" style="2" customWidth="1"/>
    <col min="4105" max="4105" width="13.26953125" style="2" customWidth="1"/>
    <col min="4106" max="4106" width="8.7265625" style="2"/>
    <col min="4107" max="4107" width="11.453125" style="2" customWidth="1"/>
    <col min="4108" max="4108" width="22.7265625" style="2" customWidth="1"/>
    <col min="4109" max="4344" width="8.7265625" style="2"/>
    <col min="4345" max="4345" width="28.26953125" style="2" customWidth="1"/>
    <col min="4346" max="4346" width="44.26953125" style="2" customWidth="1"/>
    <col min="4347" max="4347" width="21.54296875" style="2" customWidth="1"/>
    <col min="4348" max="4348" width="21.81640625" style="2" customWidth="1"/>
    <col min="4349" max="4353" width="0" style="2" hidden="1" customWidth="1"/>
    <col min="4354" max="4354" width="9.81640625" style="2" customWidth="1"/>
    <col min="4355" max="4355" width="9" style="2" customWidth="1"/>
    <col min="4356" max="4356" width="8.7265625" style="2" customWidth="1"/>
    <col min="4357" max="4357" width="14.54296875" style="2" customWidth="1"/>
    <col min="4358" max="4358" width="8.81640625" style="2" customWidth="1"/>
    <col min="4359" max="4359" width="12" style="2" customWidth="1"/>
    <col min="4360" max="4360" width="11.81640625" style="2" customWidth="1"/>
    <col min="4361" max="4361" width="13.26953125" style="2" customWidth="1"/>
    <col min="4362" max="4362" width="8.7265625" style="2"/>
    <col min="4363" max="4363" width="11.453125" style="2" customWidth="1"/>
    <col min="4364" max="4364" width="22.7265625" style="2" customWidth="1"/>
    <col min="4365" max="4600" width="8.7265625" style="2"/>
    <col min="4601" max="4601" width="28.26953125" style="2" customWidth="1"/>
    <col min="4602" max="4602" width="44.26953125" style="2" customWidth="1"/>
    <col min="4603" max="4603" width="21.54296875" style="2" customWidth="1"/>
    <col min="4604" max="4604" width="21.81640625" style="2" customWidth="1"/>
    <col min="4605" max="4609" width="0" style="2" hidden="1" customWidth="1"/>
    <col min="4610" max="4610" width="9.81640625" style="2" customWidth="1"/>
    <col min="4611" max="4611" width="9" style="2" customWidth="1"/>
    <col min="4612" max="4612" width="8.7265625" style="2" customWidth="1"/>
    <col min="4613" max="4613" width="14.54296875" style="2" customWidth="1"/>
    <col min="4614" max="4614" width="8.81640625" style="2" customWidth="1"/>
    <col min="4615" max="4615" width="12" style="2" customWidth="1"/>
    <col min="4616" max="4616" width="11.81640625" style="2" customWidth="1"/>
    <col min="4617" max="4617" width="13.26953125" style="2" customWidth="1"/>
    <col min="4618" max="4618" width="8.7265625" style="2"/>
    <col min="4619" max="4619" width="11.453125" style="2" customWidth="1"/>
    <col min="4620" max="4620" width="22.7265625" style="2" customWidth="1"/>
    <col min="4621" max="4856" width="8.7265625" style="2"/>
    <col min="4857" max="4857" width="28.26953125" style="2" customWidth="1"/>
    <col min="4858" max="4858" width="44.26953125" style="2" customWidth="1"/>
    <col min="4859" max="4859" width="21.54296875" style="2" customWidth="1"/>
    <col min="4860" max="4860" width="21.81640625" style="2" customWidth="1"/>
    <col min="4861" max="4865" width="0" style="2" hidden="1" customWidth="1"/>
    <col min="4866" max="4866" width="9.81640625" style="2" customWidth="1"/>
    <col min="4867" max="4867" width="9" style="2" customWidth="1"/>
    <col min="4868" max="4868" width="8.7265625" style="2" customWidth="1"/>
    <col min="4869" max="4869" width="14.54296875" style="2" customWidth="1"/>
    <col min="4870" max="4870" width="8.81640625" style="2" customWidth="1"/>
    <col min="4871" max="4871" width="12" style="2" customWidth="1"/>
    <col min="4872" max="4872" width="11.81640625" style="2" customWidth="1"/>
    <col min="4873" max="4873" width="13.26953125" style="2" customWidth="1"/>
    <col min="4874" max="4874" width="8.7265625" style="2"/>
    <col min="4875" max="4875" width="11.453125" style="2" customWidth="1"/>
    <col min="4876" max="4876" width="22.7265625" style="2" customWidth="1"/>
    <col min="4877" max="5112" width="8.7265625" style="2"/>
    <col min="5113" max="5113" width="28.26953125" style="2" customWidth="1"/>
    <col min="5114" max="5114" width="44.26953125" style="2" customWidth="1"/>
    <col min="5115" max="5115" width="21.54296875" style="2" customWidth="1"/>
    <col min="5116" max="5116" width="21.81640625" style="2" customWidth="1"/>
    <col min="5117" max="5121" width="0" style="2" hidden="1" customWidth="1"/>
    <col min="5122" max="5122" width="9.81640625" style="2" customWidth="1"/>
    <col min="5123" max="5123" width="9" style="2" customWidth="1"/>
    <col min="5124" max="5124" width="8.7265625" style="2" customWidth="1"/>
    <col min="5125" max="5125" width="14.54296875" style="2" customWidth="1"/>
    <col min="5126" max="5126" width="8.81640625" style="2" customWidth="1"/>
    <col min="5127" max="5127" width="12" style="2" customWidth="1"/>
    <col min="5128" max="5128" width="11.81640625" style="2" customWidth="1"/>
    <col min="5129" max="5129" width="13.26953125" style="2" customWidth="1"/>
    <col min="5130" max="5130" width="8.7265625" style="2"/>
    <col min="5131" max="5131" width="11.453125" style="2" customWidth="1"/>
    <col min="5132" max="5132" width="22.7265625" style="2" customWidth="1"/>
    <col min="5133" max="5368" width="8.7265625" style="2"/>
    <col min="5369" max="5369" width="28.26953125" style="2" customWidth="1"/>
    <col min="5370" max="5370" width="44.26953125" style="2" customWidth="1"/>
    <col min="5371" max="5371" width="21.54296875" style="2" customWidth="1"/>
    <col min="5372" max="5372" width="21.81640625" style="2" customWidth="1"/>
    <col min="5373" max="5377" width="0" style="2" hidden="1" customWidth="1"/>
    <col min="5378" max="5378" width="9.81640625" style="2" customWidth="1"/>
    <col min="5379" max="5379" width="9" style="2" customWidth="1"/>
    <col min="5380" max="5380" width="8.7265625" style="2" customWidth="1"/>
    <col min="5381" max="5381" width="14.54296875" style="2" customWidth="1"/>
    <col min="5382" max="5382" width="8.81640625" style="2" customWidth="1"/>
    <col min="5383" max="5383" width="12" style="2" customWidth="1"/>
    <col min="5384" max="5384" width="11.81640625" style="2" customWidth="1"/>
    <col min="5385" max="5385" width="13.26953125" style="2" customWidth="1"/>
    <col min="5386" max="5386" width="8.7265625" style="2"/>
    <col min="5387" max="5387" width="11.453125" style="2" customWidth="1"/>
    <col min="5388" max="5388" width="22.7265625" style="2" customWidth="1"/>
    <col min="5389" max="5624" width="8.7265625" style="2"/>
    <col min="5625" max="5625" width="28.26953125" style="2" customWidth="1"/>
    <col min="5626" max="5626" width="44.26953125" style="2" customWidth="1"/>
    <col min="5627" max="5627" width="21.54296875" style="2" customWidth="1"/>
    <col min="5628" max="5628" width="21.81640625" style="2" customWidth="1"/>
    <col min="5629" max="5633" width="0" style="2" hidden="1" customWidth="1"/>
    <col min="5634" max="5634" width="9.81640625" style="2" customWidth="1"/>
    <col min="5635" max="5635" width="9" style="2" customWidth="1"/>
    <col min="5636" max="5636" width="8.7265625" style="2" customWidth="1"/>
    <col min="5637" max="5637" width="14.54296875" style="2" customWidth="1"/>
    <col min="5638" max="5638" width="8.81640625" style="2" customWidth="1"/>
    <col min="5639" max="5639" width="12" style="2" customWidth="1"/>
    <col min="5640" max="5640" width="11.81640625" style="2" customWidth="1"/>
    <col min="5641" max="5641" width="13.26953125" style="2" customWidth="1"/>
    <col min="5642" max="5642" width="8.7265625" style="2"/>
    <col min="5643" max="5643" width="11.453125" style="2" customWidth="1"/>
    <col min="5644" max="5644" width="22.7265625" style="2" customWidth="1"/>
    <col min="5645" max="5880" width="8.7265625" style="2"/>
    <col min="5881" max="5881" width="28.26953125" style="2" customWidth="1"/>
    <col min="5882" max="5882" width="44.26953125" style="2" customWidth="1"/>
    <col min="5883" max="5883" width="21.54296875" style="2" customWidth="1"/>
    <col min="5884" max="5884" width="21.81640625" style="2" customWidth="1"/>
    <col min="5885" max="5889" width="0" style="2" hidden="1" customWidth="1"/>
    <col min="5890" max="5890" width="9.81640625" style="2" customWidth="1"/>
    <col min="5891" max="5891" width="9" style="2" customWidth="1"/>
    <col min="5892" max="5892" width="8.7265625" style="2" customWidth="1"/>
    <col min="5893" max="5893" width="14.54296875" style="2" customWidth="1"/>
    <col min="5894" max="5894" width="8.81640625" style="2" customWidth="1"/>
    <col min="5895" max="5895" width="12" style="2" customWidth="1"/>
    <col min="5896" max="5896" width="11.81640625" style="2" customWidth="1"/>
    <col min="5897" max="5897" width="13.26953125" style="2" customWidth="1"/>
    <col min="5898" max="5898" width="8.7265625" style="2"/>
    <col min="5899" max="5899" width="11.453125" style="2" customWidth="1"/>
    <col min="5900" max="5900" width="22.7265625" style="2" customWidth="1"/>
    <col min="5901" max="6136" width="8.7265625" style="2"/>
    <col min="6137" max="6137" width="28.26953125" style="2" customWidth="1"/>
    <col min="6138" max="6138" width="44.26953125" style="2" customWidth="1"/>
    <col min="6139" max="6139" width="21.54296875" style="2" customWidth="1"/>
    <col min="6140" max="6140" width="21.81640625" style="2" customWidth="1"/>
    <col min="6141" max="6145" width="0" style="2" hidden="1" customWidth="1"/>
    <col min="6146" max="6146" width="9.81640625" style="2" customWidth="1"/>
    <col min="6147" max="6147" width="9" style="2" customWidth="1"/>
    <col min="6148" max="6148" width="8.7265625" style="2" customWidth="1"/>
    <col min="6149" max="6149" width="14.54296875" style="2" customWidth="1"/>
    <col min="6150" max="6150" width="8.81640625" style="2" customWidth="1"/>
    <col min="6151" max="6151" width="12" style="2" customWidth="1"/>
    <col min="6152" max="6152" width="11.81640625" style="2" customWidth="1"/>
    <col min="6153" max="6153" width="13.26953125" style="2" customWidth="1"/>
    <col min="6154" max="6154" width="8.7265625" style="2"/>
    <col min="6155" max="6155" width="11.453125" style="2" customWidth="1"/>
    <col min="6156" max="6156" width="22.7265625" style="2" customWidth="1"/>
    <col min="6157" max="6392" width="8.7265625" style="2"/>
    <col min="6393" max="6393" width="28.26953125" style="2" customWidth="1"/>
    <col min="6394" max="6394" width="44.26953125" style="2" customWidth="1"/>
    <col min="6395" max="6395" width="21.54296875" style="2" customWidth="1"/>
    <col min="6396" max="6396" width="21.81640625" style="2" customWidth="1"/>
    <col min="6397" max="6401" width="0" style="2" hidden="1" customWidth="1"/>
    <col min="6402" max="6402" width="9.81640625" style="2" customWidth="1"/>
    <col min="6403" max="6403" width="9" style="2" customWidth="1"/>
    <col min="6404" max="6404" width="8.7265625" style="2" customWidth="1"/>
    <col min="6405" max="6405" width="14.54296875" style="2" customWidth="1"/>
    <col min="6406" max="6406" width="8.81640625" style="2" customWidth="1"/>
    <col min="6407" max="6407" width="12" style="2" customWidth="1"/>
    <col min="6408" max="6408" width="11.81640625" style="2" customWidth="1"/>
    <col min="6409" max="6409" width="13.26953125" style="2" customWidth="1"/>
    <col min="6410" max="6410" width="8.7265625" style="2"/>
    <col min="6411" max="6411" width="11.453125" style="2" customWidth="1"/>
    <col min="6412" max="6412" width="22.7265625" style="2" customWidth="1"/>
    <col min="6413" max="6648" width="8.7265625" style="2"/>
    <col min="6649" max="6649" width="28.26953125" style="2" customWidth="1"/>
    <col min="6650" max="6650" width="44.26953125" style="2" customWidth="1"/>
    <col min="6651" max="6651" width="21.54296875" style="2" customWidth="1"/>
    <col min="6652" max="6652" width="21.81640625" style="2" customWidth="1"/>
    <col min="6653" max="6657" width="0" style="2" hidden="1" customWidth="1"/>
    <col min="6658" max="6658" width="9.81640625" style="2" customWidth="1"/>
    <col min="6659" max="6659" width="9" style="2" customWidth="1"/>
    <col min="6660" max="6660" width="8.7265625" style="2" customWidth="1"/>
    <col min="6661" max="6661" width="14.54296875" style="2" customWidth="1"/>
    <col min="6662" max="6662" width="8.81640625" style="2" customWidth="1"/>
    <col min="6663" max="6663" width="12" style="2" customWidth="1"/>
    <col min="6664" max="6664" width="11.81640625" style="2" customWidth="1"/>
    <col min="6665" max="6665" width="13.26953125" style="2" customWidth="1"/>
    <col min="6666" max="6666" width="8.7265625" style="2"/>
    <col min="6667" max="6667" width="11.453125" style="2" customWidth="1"/>
    <col min="6668" max="6668" width="22.7265625" style="2" customWidth="1"/>
    <col min="6669" max="6904" width="8.7265625" style="2"/>
    <col min="6905" max="6905" width="28.26953125" style="2" customWidth="1"/>
    <col min="6906" max="6906" width="44.26953125" style="2" customWidth="1"/>
    <col min="6907" max="6907" width="21.54296875" style="2" customWidth="1"/>
    <col min="6908" max="6908" width="21.81640625" style="2" customWidth="1"/>
    <col min="6909" max="6913" width="0" style="2" hidden="1" customWidth="1"/>
    <col min="6914" max="6914" width="9.81640625" style="2" customWidth="1"/>
    <col min="6915" max="6915" width="9" style="2" customWidth="1"/>
    <col min="6916" max="6916" width="8.7265625" style="2" customWidth="1"/>
    <col min="6917" max="6917" width="14.54296875" style="2" customWidth="1"/>
    <col min="6918" max="6918" width="8.81640625" style="2" customWidth="1"/>
    <col min="6919" max="6919" width="12" style="2" customWidth="1"/>
    <col min="6920" max="6920" width="11.81640625" style="2" customWidth="1"/>
    <col min="6921" max="6921" width="13.26953125" style="2" customWidth="1"/>
    <col min="6922" max="6922" width="8.7265625" style="2"/>
    <col min="6923" max="6923" width="11.453125" style="2" customWidth="1"/>
    <col min="6924" max="6924" width="22.7265625" style="2" customWidth="1"/>
    <col min="6925" max="7160" width="8.7265625" style="2"/>
    <col min="7161" max="7161" width="28.26953125" style="2" customWidth="1"/>
    <col min="7162" max="7162" width="44.26953125" style="2" customWidth="1"/>
    <col min="7163" max="7163" width="21.54296875" style="2" customWidth="1"/>
    <col min="7164" max="7164" width="21.81640625" style="2" customWidth="1"/>
    <col min="7165" max="7169" width="0" style="2" hidden="1" customWidth="1"/>
    <col min="7170" max="7170" width="9.81640625" style="2" customWidth="1"/>
    <col min="7171" max="7171" width="9" style="2" customWidth="1"/>
    <col min="7172" max="7172" width="8.7265625" style="2" customWidth="1"/>
    <col min="7173" max="7173" width="14.54296875" style="2" customWidth="1"/>
    <col min="7174" max="7174" width="8.81640625" style="2" customWidth="1"/>
    <col min="7175" max="7175" width="12" style="2" customWidth="1"/>
    <col min="7176" max="7176" width="11.81640625" style="2" customWidth="1"/>
    <col min="7177" max="7177" width="13.26953125" style="2" customWidth="1"/>
    <col min="7178" max="7178" width="8.7265625" style="2"/>
    <col min="7179" max="7179" width="11.453125" style="2" customWidth="1"/>
    <col min="7180" max="7180" width="22.7265625" style="2" customWidth="1"/>
    <col min="7181" max="7416" width="8.7265625" style="2"/>
    <col min="7417" max="7417" width="28.26953125" style="2" customWidth="1"/>
    <col min="7418" max="7418" width="44.26953125" style="2" customWidth="1"/>
    <col min="7419" max="7419" width="21.54296875" style="2" customWidth="1"/>
    <col min="7420" max="7420" width="21.81640625" style="2" customWidth="1"/>
    <col min="7421" max="7425" width="0" style="2" hidden="1" customWidth="1"/>
    <col min="7426" max="7426" width="9.81640625" style="2" customWidth="1"/>
    <col min="7427" max="7427" width="9" style="2" customWidth="1"/>
    <col min="7428" max="7428" width="8.7265625" style="2" customWidth="1"/>
    <col min="7429" max="7429" width="14.54296875" style="2" customWidth="1"/>
    <col min="7430" max="7430" width="8.81640625" style="2" customWidth="1"/>
    <col min="7431" max="7431" width="12" style="2" customWidth="1"/>
    <col min="7432" max="7432" width="11.81640625" style="2" customWidth="1"/>
    <col min="7433" max="7433" width="13.26953125" style="2" customWidth="1"/>
    <col min="7434" max="7434" width="8.7265625" style="2"/>
    <col min="7435" max="7435" width="11.453125" style="2" customWidth="1"/>
    <col min="7436" max="7436" width="22.7265625" style="2" customWidth="1"/>
    <col min="7437" max="7672" width="8.7265625" style="2"/>
    <col min="7673" max="7673" width="28.26953125" style="2" customWidth="1"/>
    <col min="7674" max="7674" width="44.26953125" style="2" customWidth="1"/>
    <col min="7675" max="7675" width="21.54296875" style="2" customWidth="1"/>
    <col min="7676" max="7676" width="21.81640625" style="2" customWidth="1"/>
    <col min="7677" max="7681" width="0" style="2" hidden="1" customWidth="1"/>
    <col min="7682" max="7682" width="9.81640625" style="2" customWidth="1"/>
    <col min="7683" max="7683" width="9" style="2" customWidth="1"/>
    <col min="7684" max="7684" width="8.7265625" style="2" customWidth="1"/>
    <col min="7685" max="7685" width="14.54296875" style="2" customWidth="1"/>
    <col min="7686" max="7686" width="8.81640625" style="2" customWidth="1"/>
    <col min="7687" max="7687" width="12" style="2" customWidth="1"/>
    <col min="7688" max="7688" width="11.81640625" style="2" customWidth="1"/>
    <col min="7689" max="7689" width="13.26953125" style="2" customWidth="1"/>
    <col min="7690" max="7690" width="8.7265625" style="2"/>
    <col min="7691" max="7691" width="11.453125" style="2" customWidth="1"/>
    <col min="7692" max="7692" width="22.7265625" style="2" customWidth="1"/>
    <col min="7693" max="7928" width="8.7265625" style="2"/>
    <col min="7929" max="7929" width="28.26953125" style="2" customWidth="1"/>
    <col min="7930" max="7930" width="44.26953125" style="2" customWidth="1"/>
    <col min="7931" max="7931" width="21.54296875" style="2" customWidth="1"/>
    <col min="7932" max="7932" width="21.81640625" style="2" customWidth="1"/>
    <col min="7933" max="7937" width="0" style="2" hidden="1" customWidth="1"/>
    <col min="7938" max="7938" width="9.81640625" style="2" customWidth="1"/>
    <col min="7939" max="7939" width="9" style="2" customWidth="1"/>
    <col min="7940" max="7940" width="8.7265625" style="2" customWidth="1"/>
    <col min="7941" max="7941" width="14.54296875" style="2" customWidth="1"/>
    <col min="7942" max="7942" width="8.81640625" style="2" customWidth="1"/>
    <col min="7943" max="7943" width="12" style="2" customWidth="1"/>
    <col min="7944" max="7944" width="11.81640625" style="2" customWidth="1"/>
    <col min="7945" max="7945" width="13.26953125" style="2" customWidth="1"/>
    <col min="7946" max="7946" width="8.7265625" style="2"/>
    <col min="7947" max="7947" width="11.453125" style="2" customWidth="1"/>
    <col min="7948" max="7948" width="22.7265625" style="2" customWidth="1"/>
    <col min="7949" max="8184" width="8.7265625" style="2"/>
    <col min="8185" max="8185" width="28.26953125" style="2" customWidth="1"/>
    <col min="8186" max="8186" width="44.26953125" style="2" customWidth="1"/>
    <col min="8187" max="8187" width="21.54296875" style="2" customWidth="1"/>
    <col min="8188" max="8188" width="21.81640625" style="2" customWidth="1"/>
    <col min="8189" max="8193" width="0" style="2" hidden="1" customWidth="1"/>
    <col min="8194" max="8194" width="9.81640625" style="2" customWidth="1"/>
    <col min="8195" max="8195" width="9" style="2" customWidth="1"/>
    <col min="8196" max="8196" width="8.7265625" style="2" customWidth="1"/>
    <col min="8197" max="8197" width="14.54296875" style="2" customWidth="1"/>
    <col min="8198" max="8198" width="8.81640625" style="2" customWidth="1"/>
    <col min="8199" max="8199" width="12" style="2" customWidth="1"/>
    <col min="8200" max="8200" width="11.81640625" style="2" customWidth="1"/>
    <col min="8201" max="8201" width="13.26953125" style="2" customWidth="1"/>
    <col min="8202" max="8202" width="8.7265625" style="2"/>
    <col min="8203" max="8203" width="11.453125" style="2" customWidth="1"/>
    <col min="8204" max="8204" width="22.7265625" style="2" customWidth="1"/>
    <col min="8205" max="8440" width="8.7265625" style="2"/>
    <col min="8441" max="8441" width="28.26953125" style="2" customWidth="1"/>
    <col min="8442" max="8442" width="44.26953125" style="2" customWidth="1"/>
    <col min="8443" max="8443" width="21.54296875" style="2" customWidth="1"/>
    <col min="8444" max="8444" width="21.81640625" style="2" customWidth="1"/>
    <col min="8445" max="8449" width="0" style="2" hidden="1" customWidth="1"/>
    <col min="8450" max="8450" width="9.81640625" style="2" customWidth="1"/>
    <col min="8451" max="8451" width="9" style="2" customWidth="1"/>
    <col min="8452" max="8452" width="8.7265625" style="2" customWidth="1"/>
    <col min="8453" max="8453" width="14.54296875" style="2" customWidth="1"/>
    <col min="8454" max="8454" width="8.81640625" style="2" customWidth="1"/>
    <col min="8455" max="8455" width="12" style="2" customWidth="1"/>
    <col min="8456" max="8456" width="11.81640625" style="2" customWidth="1"/>
    <col min="8457" max="8457" width="13.26953125" style="2" customWidth="1"/>
    <col min="8458" max="8458" width="8.7265625" style="2"/>
    <col min="8459" max="8459" width="11.453125" style="2" customWidth="1"/>
    <col min="8460" max="8460" width="22.7265625" style="2" customWidth="1"/>
    <col min="8461" max="8696" width="8.7265625" style="2"/>
    <col min="8697" max="8697" width="28.26953125" style="2" customWidth="1"/>
    <col min="8698" max="8698" width="44.26953125" style="2" customWidth="1"/>
    <col min="8699" max="8699" width="21.54296875" style="2" customWidth="1"/>
    <col min="8700" max="8700" width="21.81640625" style="2" customWidth="1"/>
    <col min="8701" max="8705" width="0" style="2" hidden="1" customWidth="1"/>
    <col min="8706" max="8706" width="9.81640625" style="2" customWidth="1"/>
    <col min="8707" max="8707" width="9" style="2" customWidth="1"/>
    <col min="8708" max="8708" width="8.7265625" style="2" customWidth="1"/>
    <col min="8709" max="8709" width="14.54296875" style="2" customWidth="1"/>
    <col min="8710" max="8710" width="8.81640625" style="2" customWidth="1"/>
    <col min="8711" max="8711" width="12" style="2" customWidth="1"/>
    <col min="8712" max="8712" width="11.81640625" style="2" customWidth="1"/>
    <col min="8713" max="8713" width="13.26953125" style="2" customWidth="1"/>
    <col min="8714" max="8714" width="8.7265625" style="2"/>
    <col min="8715" max="8715" width="11.453125" style="2" customWidth="1"/>
    <col min="8716" max="8716" width="22.7265625" style="2" customWidth="1"/>
    <col min="8717" max="8952" width="8.7265625" style="2"/>
    <col min="8953" max="8953" width="28.26953125" style="2" customWidth="1"/>
    <col min="8954" max="8954" width="44.26953125" style="2" customWidth="1"/>
    <col min="8955" max="8955" width="21.54296875" style="2" customWidth="1"/>
    <col min="8956" max="8956" width="21.81640625" style="2" customWidth="1"/>
    <col min="8957" max="8961" width="0" style="2" hidden="1" customWidth="1"/>
    <col min="8962" max="8962" width="9.81640625" style="2" customWidth="1"/>
    <col min="8963" max="8963" width="9" style="2" customWidth="1"/>
    <col min="8964" max="8964" width="8.7265625" style="2" customWidth="1"/>
    <col min="8965" max="8965" width="14.54296875" style="2" customWidth="1"/>
    <col min="8966" max="8966" width="8.81640625" style="2" customWidth="1"/>
    <col min="8967" max="8967" width="12" style="2" customWidth="1"/>
    <col min="8968" max="8968" width="11.81640625" style="2" customWidth="1"/>
    <col min="8969" max="8969" width="13.26953125" style="2" customWidth="1"/>
    <col min="8970" max="8970" width="8.7265625" style="2"/>
    <col min="8971" max="8971" width="11.453125" style="2" customWidth="1"/>
    <col min="8972" max="8972" width="22.7265625" style="2" customWidth="1"/>
    <col min="8973" max="9208" width="8.7265625" style="2"/>
    <col min="9209" max="9209" width="28.26953125" style="2" customWidth="1"/>
    <col min="9210" max="9210" width="44.26953125" style="2" customWidth="1"/>
    <col min="9211" max="9211" width="21.54296875" style="2" customWidth="1"/>
    <col min="9212" max="9212" width="21.81640625" style="2" customWidth="1"/>
    <col min="9213" max="9217" width="0" style="2" hidden="1" customWidth="1"/>
    <col min="9218" max="9218" width="9.81640625" style="2" customWidth="1"/>
    <col min="9219" max="9219" width="9" style="2" customWidth="1"/>
    <col min="9220" max="9220" width="8.7265625" style="2" customWidth="1"/>
    <col min="9221" max="9221" width="14.54296875" style="2" customWidth="1"/>
    <col min="9222" max="9222" width="8.81640625" style="2" customWidth="1"/>
    <col min="9223" max="9223" width="12" style="2" customWidth="1"/>
    <col min="9224" max="9224" width="11.81640625" style="2" customWidth="1"/>
    <col min="9225" max="9225" width="13.26953125" style="2" customWidth="1"/>
    <col min="9226" max="9226" width="8.7265625" style="2"/>
    <col min="9227" max="9227" width="11.453125" style="2" customWidth="1"/>
    <col min="9228" max="9228" width="22.7265625" style="2" customWidth="1"/>
    <col min="9229" max="9464" width="8.7265625" style="2"/>
    <col min="9465" max="9465" width="28.26953125" style="2" customWidth="1"/>
    <col min="9466" max="9466" width="44.26953125" style="2" customWidth="1"/>
    <col min="9467" max="9467" width="21.54296875" style="2" customWidth="1"/>
    <col min="9468" max="9468" width="21.81640625" style="2" customWidth="1"/>
    <col min="9469" max="9473" width="0" style="2" hidden="1" customWidth="1"/>
    <col min="9474" max="9474" width="9.81640625" style="2" customWidth="1"/>
    <col min="9475" max="9475" width="9" style="2" customWidth="1"/>
    <col min="9476" max="9476" width="8.7265625" style="2" customWidth="1"/>
    <col min="9477" max="9477" width="14.54296875" style="2" customWidth="1"/>
    <col min="9478" max="9478" width="8.81640625" style="2" customWidth="1"/>
    <col min="9479" max="9479" width="12" style="2" customWidth="1"/>
    <col min="9480" max="9480" width="11.81640625" style="2" customWidth="1"/>
    <col min="9481" max="9481" width="13.26953125" style="2" customWidth="1"/>
    <col min="9482" max="9482" width="8.7265625" style="2"/>
    <col min="9483" max="9483" width="11.453125" style="2" customWidth="1"/>
    <col min="9484" max="9484" width="22.7265625" style="2" customWidth="1"/>
    <col min="9485" max="9720" width="8.7265625" style="2"/>
    <col min="9721" max="9721" width="28.26953125" style="2" customWidth="1"/>
    <col min="9722" max="9722" width="44.26953125" style="2" customWidth="1"/>
    <col min="9723" max="9723" width="21.54296875" style="2" customWidth="1"/>
    <col min="9724" max="9724" width="21.81640625" style="2" customWidth="1"/>
    <col min="9725" max="9729" width="0" style="2" hidden="1" customWidth="1"/>
    <col min="9730" max="9730" width="9.81640625" style="2" customWidth="1"/>
    <col min="9731" max="9731" width="9" style="2" customWidth="1"/>
    <col min="9732" max="9732" width="8.7265625" style="2" customWidth="1"/>
    <col min="9733" max="9733" width="14.54296875" style="2" customWidth="1"/>
    <col min="9734" max="9734" width="8.81640625" style="2" customWidth="1"/>
    <col min="9735" max="9735" width="12" style="2" customWidth="1"/>
    <col min="9736" max="9736" width="11.81640625" style="2" customWidth="1"/>
    <col min="9737" max="9737" width="13.26953125" style="2" customWidth="1"/>
    <col min="9738" max="9738" width="8.7265625" style="2"/>
    <col min="9739" max="9739" width="11.453125" style="2" customWidth="1"/>
    <col min="9740" max="9740" width="22.7265625" style="2" customWidth="1"/>
    <col min="9741" max="9976" width="8.7265625" style="2"/>
    <col min="9977" max="9977" width="28.26953125" style="2" customWidth="1"/>
    <col min="9978" max="9978" width="44.26953125" style="2" customWidth="1"/>
    <col min="9979" max="9979" width="21.54296875" style="2" customWidth="1"/>
    <col min="9980" max="9980" width="21.81640625" style="2" customWidth="1"/>
    <col min="9981" max="9985" width="0" style="2" hidden="1" customWidth="1"/>
    <col min="9986" max="9986" width="9.81640625" style="2" customWidth="1"/>
    <col min="9987" max="9987" width="9" style="2" customWidth="1"/>
    <col min="9988" max="9988" width="8.7265625" style="2" customWidth="1"/>
    <col min="9989" max="9989" width="14.54296875" style="2" customWidth="1"/>
    <col min="9990" max="9990" width="8.81640625" style="2" customWidth="1"/>
    <col min="9991" max="9991" width="12" style="2" customWidth="1"/>
    <col min="9992" max="9992" width="11.81640625" style="2" customWidth="1"/>
    <col min="9993" max="9993" width="13.26953125" style="2" customWidth="1"/>
    <col min="9994" max="9994" width="8.7265625" style="2"/>
    <col min="9995" max="9995" width="11.453125" style="2" customWidth="1"/>
    <col min="9996" max="9996" width="22.7265625" style="2" customWidth="1"/>
    <col min="9997" max="10232" width="8.7265625" style="2"/>
    <col min="10233" max="10233" width="28.26953125" style="2" customWidth="1"/>
    <col min="10234" max="10234" width="44.26953125" style="2" customWidth="1"/>
    <col min="10235" max="10235" width="21.54296875" style="2" customWidth="1"/>
    <col min="10236" max="10236" width="21.81640625" style="2" customWidth="1"/>
    <col min="10237" max="10241" width="0" style="2" hidden="1" customWidth="1"/>
    <col min="10242" max="10242" width="9.81640625" style="2" customWidth="1"/>
    <col min="10243" max="10243" width="9" style="2" customWidth="1"/>
    <col min="10244" max="10244" width="8.7265625" style="2" customWidth="1"/>
    <col min="10245" max="10245" width="14.54296875" style="2" customWidth="1"/>
    <col min="10246" max="10246" width="8.81640625" style="2" customWidth="1"/>
    <col min="10247" max="10247" width="12" style="2" customWidth="1"/>
    <col min="10248" max="10248" width="11.81640625" style="2" customWidth="1"/>
    <col min="10249" max="10249" width="13.26953125" style="2" customWidth="1"/>
    <col min="10250" max="10250" width="8.7265625" style="2"/>
    <col min="10251" max="10251" width="11.453125" style="2" customWidth="1"/>
    <col min="10252" max="10252" width="22.7265625" style="2" customWidth="1"/>
    <col min="10253" max="10488" width="8.7265625" style="2"/>
    <col min="10489" max="10489" width="28.26953125" style="2" customWidth="1"/>
    <col min="10490" max="10490" width="44.26953125" style="2" customWidth="1"/>
    <col min="10491" max="10491" width="21.54296875" style="2" customWidth="1"/>
    <col min="10492" max="10492" width="21.81640625" style="2" customWidth="1"/>
    <col min="10493" max="10497" width="0" style="2" hidden="1" customWidth="1"/>
    <col min="10498" max="10498" width="9.81640625" style="2" customWidth="1"/>
    <col min="10499" max="10499" width="9" style="2" customWidth="1"/>
    <col min="10500" max="10500" width="8.7265625" style="2" customWidth="1"/>
    <col min="10501" max="10501" width="14.54296875" style="2" customWidth="1"/>
    <col min="10502" max="10502" width="8.81640625" style="2" customWidth="1"/>
    <col min="10503" max="10503" width="12" style="2" customWidth="1"/>
    <col min="10504" max="10504" width="11.81640625" style="2" customWidth="1"/>
    <col min="10505" max="10505" width="13.26953125" style="2" customWidth="1"/>
    <col min="10506" max="10506" width="8.7265625" style="2"/>
    <col min="10507" max="10507" width="11.453125" style="2" customWidth="1"/>
    <col min="10508" max="10508" width="22.7265625" style="2" customWidth="1"/>
    <col min="10509" max="10744" width="8.7265625" style="2"/>
    <col min="10745" max="10745" width="28.26953125" style="2" customWidth="1"/>
    <col min="10746" max="10746" width="44.26953125" style="2" customWidth="1"/>
    <col min="10747" max="10747" width="21.54296875" style="2" customWidth="1"/>
    <col min="10748" max="10748" width="21.81640625" style="2" customWidth="1"/>
    <col min="10749" max="10753" width="0" style="2" hidden="1" customWidth="1"/>
    <col min="10754" max="10754" width="9.81640625" style="2" customWidth="1"/>
    <col min="10755" max="10755" width="9" style="2" customWidth="1"/>
    <col min="10756" max="10756" width="8.7265625" style="2" customWidth="1"/>
    <col min="10757" max="10757" width="14.54296875" style="2" customWidth="1"/>
    <col min="10758" max="10758" width="8.81640625" style="2" customWidth="1"/>
    <col min="10759" max="10759" width="12" style="2" customWidth="1"/>
    <col min="10760" max="10760" width="11.81640625" style="2" customWidth="1"/>
    <col min="10761" max="10761" width="13.26953125" style="2" customWidth="1"/>
    <col min="10762" max="10762" width="8.7265625" style="2"/>
    <col min="10763" max="10763" width="11.453125" style="2" customWidth="1"/>
    <col min="10764" max="10764" width="22.7265625" style="2" customWidth="1"/>
    <col min="10765" max="11000" width="8.7265625" style="2"/>
    <col min="11001" max="11001" width="28.26953125" style="2" customWidth="1"/>
    <col min="11002" max="11002" width="44.26953125" style="2" customWidth="1"/>
    <col min="11003" max="11003" width="21.54296875" style="2" customWidth="1"/>
    <col min="11004" max="11004" width="21.81640625" style="2" customWidth="1"/>
    <col min="11005" max="11009" width="0" style="2" hidden="1" customWidth="1"/>
    <col min="11010" max="11010" width="9.81640625" style="2" customWidth="1"/>
    <col min="11011" max="11011" width="9" style="2" customWidth="1"/>
    <col min="11012" max="11012" width="8.7265625" style="2" customWidth="1"/>
    <col min="11013" max="11013" width="14.54296875" style="2" customWidth="1"/>
    <col min="11014" max="11014" width="8.81640625" style="2" customWidth="1"/>
    <col min="11015" max="11015" width="12" style="2" customWidth="1"/>
    <col min="11016" max="11016" width="11.81640625" style="2" customWidth="1"/>
    <col min="11017" max="11017" width="13.26953125" style="2" customWidth="1"/>
    <col min="11018" max="11018" width="8.7265625" style="2"/>
    <col min="11019" max="11019" width="11.453125" style="2" customWidth="1"/>
    <col min="11020" max="11020" width="22.7265625" style="2" customWidth="1"/>
    <col min="11021" max="11256" width="8.7265625" style="2"/>
    <col min="11257" max="11257" width="28.26953125" style="2" customWidth="1"/>
    <col min="11258" max="11258" width="44.26953125" style="2" customWidth="1"/>
    <col min="11259" max="11259" width="21.54296875" style="2" customWidth="1"/>
    <col min="11260" max="11260" width="21.81640625" style="2" customWidth="1"/>
    <col min="11261" max="11265" width="0" style="2" hidden="1" customWidth="1"/>
    <col min="11266" max="11266" width="9.81640625" style="2" customWidth="1"/>
    <col min="11267" max="11267" width="9" style="2" customWidth="1"/>
    <col min="11268" max="11268" width="8.7265625" style="2" customWidth="1"/>
    <col min="11269" max="11269" width="14.54296875" style="2" customWidth="1"/>
    <col min="11270" max="11270" width="8.81640625" style="2" customWidth="1"/>
    <col min="11271" max="11271" width="12" style="2" customWidth="1"/>
    <col min="11272" max="11272" width="11.81640625" style="2" customWidth="1"/>
    <col min="11273" max="11273" width="13.26953125" style="2" customWidth="1"/>
    <col min="11274" max="11274" width="8.7265625" style="2"/>
    <col min="11275" max="11275" width="11.453125" style="2" customWidth="1"/>
    <col min="11276" max="11276" width="22.7265625" style="2" customWidth="1"/>
    <col min="11277" max="11512" width="8.7265625" style="2"/>
    <col min="11513" max="11513" width="28.26953125" style="2" customWidth="1"/>
    <col min="11514" max="11514" width="44.26953125" style="2" customWidth="1"/>
    <col min="11515" max="11515" width="21.54296875" style="2" customWidth="1"/>
    <col min="11516" max="11516" width="21.81640625" style="2" customWidth="1"/>
    <col min="11517" max="11521" width="0" style="2" hidden="1" customWidth="1"/>
    <col min="11522" max="11522" width="9.81640625" style="2" customWidth="1"/>
    <col min="11523" max="11523" width="9" style="2" customWidth="1"/>
    <col min="11524" max="11524" width="8.7265625" style="2" customWidth="1"/>
    <col min="11525" max="11525" width="14.54296875" style="2" customWidth="1"/>
    <col min="11526" max="11526" width="8.81640625" style="2" customWidth="1"/>
    <col min="11527" max="11527" width="12" style="2" customWidth="1"/>
    <col min="11528" max="11528" width="11.81640625" style="2" customWidth="1"/>
    <col min="11529" max="11529" width="13.26953125" style="2" customWidth="1"/>
    <col min="11530" max="11530" width="8.7265625" style="2"/>
    <col min="11531" max="11531" width="11.453125" style="2" customWidth="1"/>
    <col min="11532" max="11532" width="22.7265625" style="2" customWidth="1"/>
    <col min="11533" max="11768" width="8.7265625" style="2"/>
    <col min="11769" max="11769" width="28.26953125" style="2" customWidth="1"/>
    <col min="11770" max="11770" width="44.26953125" style="2" customWidth="1"/>
    <col min="11771" max="11771" width="21.54296875" style="2" customWidth="1"/>
    <col min="11772" max="11772" width="21.81640625" style="2" customWidth="1"/>
    <col min="11773" max="11777" width="0" style="2" hidden="1" customWidth="1"/>
    <col min="11778" max="11778" width="9.81640625" style="2" customWidth="1"/>
    <col min="11779" max="11779" width="9" style="2" customWidth="1"/>
    <col min="11780" max="11780" width="8.7265625" style="2" customWidth="1"/>
    <col min="11781" max="11781" width="14.54296875" style="2" customWidth="1"/>
    <col min="11782" max="11782" width="8.81640625" style="2" customWidth="1"/>
    <col min="11783" max="11783" width="12" style="2" customWidth="1"/>
    <col min="11784" max="11784" width="11.81640625" style="2" customWidth="1"/>
    <col min="11785" max="11785" width="13.26953125" style="2" customWidth="1"/>
    <col min="11786" max="11786" width="8.7265625" style="2"/>
    <col min="11787" max="11787" width="11.453125" style="2" customWidth="1"/>
    <col min="11788" max="11788" width="22.7265625" style="2" customWidth="1"/>
    <col min="11789" max="12024" width="8.7265625" style="2"/>
    <col min="12025" max="12025" width="28.26953125" style="2" customWidth="1"/>
    <col min="12026" max="12026" width="44.26953125" style="2" customWidth="1"/>
    <col min="12027" max="12027" width="21.54296875" style="2" customWidth="1"/>
    <col min="12028" max="12028" width="21.81640625" style="2" customWidth="1"/>
    <col min="12029" max="12033" width="0" style="2" hidden="1" customWidth="1"/>
    <col min="12034" max="12034" width="9.81640625" style="2" customWidth="1"/>
    <col min="12035" max="12035" width="9" style="2" customWidth="1"/>
    <col min="12036" max="12036" width="8.7265625" style="2" customWidth="1"/>
    <col min="12037" max="12037" width="14.54296875" style="2" customWidth="1"/>
    <col min="12038" max="12038" width="8.81640625" style="2" customWidth="1"/>
    <col min="12039" max="12039" width="12" style="2" customWidth="1"/>
    <col min="12040" max="12040" width="11.81640625" style="2" customWidth="1"/>
    <col min="12041" max="12041" width="13.26953125" style="2" customWidth="1"/>
    <col min="12042" max="12042" width="8.7265625" style="2"/>
    <col min="12043" max="12043" width="11.453125" style="2" customWidth="1"/>
    <col min="12044" max="12044" width="22.7265625" style="2" customWidth="1"/>
    <col min="12045" max="12280" width="8.7265625" style="2"/>
    <col min="12281" max="12281" width="28.26953125" style="2" customWidth="1"/>
    <col min="12282" max="12282" width="44.26953125" style="2" customWidth="1"/>
    <col min="12283" max="12283" width="21.54296875" style="2" customWidth="1"/>
    <col min="12284" max="12284" width="21.81640625" style="2" customWidth="1"/>
    <col min="12285" max="12289" width="0" style="2" hidden="1" customWidth="1"/>
    <col min="12290" max="12290" width="9.81640625" style="2" customWidth="1"/>
    <col min="12291" max="12291" width="9" style="2" customWidth="1"/>
    <col min="12292" max="12292" width="8.7265625" style="2" customWidth="1"/>
    <col min="12293" max="12293" width="14.54296875" style="2" customWidth="1"/>
    <col min="12294" max="12294" width="8.81640625" style="2" customWidth="1"/>
    <col min="12295" max="12295" width="12" style="2" customWidth="1"/>
    <col min="12296" max="12296" width="11.81640625" style="2" customWidth="1"/>
    <col min="12297" max="12297" width="13.26953125" style="2" customWidth="1"/>
    <col min="12298" max="12298" width="8.7265625" style="2"/>
    <col min="12299" max="12299" width="11.453125" style="2" customWidth="1"/>
    <col min="12300" max="12300" width="22.7265625" style="2" customWidth="1"/>
    <col min="12301" max="12536" width="8.7265625" style="2"/>
    <col min="12537" max="12537" width="28.26953125" style="2" customWidth="1"/>
    <col min="12538" max="12538" width="44.26953125" style="2" customWidth="1"/>
    <col min="12539" max="12539" width="21.54296875" style="2" customWidth="1"/>
    <col min="12540" max="12540" width="21.81640625" style="2" customWidth="1"/>
    <col min="12541" max="12545" width="0" style="2" hidden="1" customWidth="1"/>
    <col min="12546" max="12546" width="9.81640625" style="2" customWidth="1"/>
    <col min="12547" max="12547" width="9" style="2" customWidth="1"/>
    <col min="12548" max="12548" width="8.7265625" style="2" customWidth="1"/>
    <col min="12549" max="12549" width="14.54296875" style="2" customWidth="1"/>
    <col min="12550" max="12550" width="8.81640625" style="2" customWidth="1"/>
    <col min="12551" max="12551" width="12" style="2" customWidth="1"/>
    <col min="12552" max="12552" width="11.81640625" style="2" customWidth="1"/>
    <col min="12553" max="12553" width="13.26953125" style="2" customWidth="1"/>
    <col min="12554" max="12554" width="8.7265625" style="2"/>
    <col min="12555" max="12555" width="11.453125" style="2" customWidth="1"/>
    <col min="12556" max="12556" width="22.7265625" style="2" customWidth="1"/>
    <col min="12557" max="12792" width="8.7265625" style="2"/>
    <col min="12793" max="12793" width="28.26953125" style="2" customWidth="1"/>
    <col min="12794" max="12794" width="44.26953125" style="2" customWidth="1"/>
    <col min="12795" max="12795" width="21.54296875" style="2" customWidth="1"/>
    <col min="12796" max="12796" width="21.81640625" style="2" customWidth="1"/>
    <col min="12797" max="12801" width="0" style="2" hidden="1" customWidth="1"/>
    <col min="12802" max="12802" width="9.81640625" style="2" customWidth="1"/>
    <col min="12803" max="12803" width="9" style="2" customWidth="1"/>
    <col min="12804" max="12804" width="8.7265625" style="2" customWidth="1"/>
    <col min="12805" max="12805" width="14.54296875" style="2" customWidth="1"/>
    <col min="12806" max="12806" width="8.81640625" style="2" customWidth="1"/>
    <col min="12807" max="12807" width="12" style="2" customWidth="1"/>
    <col min="12808" max="12808" width="11.81640625" style="2" customWidth="1"/>
    <col min="12809" max="12809" width="13.26953125" style="2" customWidth="1"/>
    <col min="12810" max="12810" width="8.7265625" style="2"/>
    <col min="12811" max="12811" width="11.453125" style="2" customWidth="1"/>
    <col min="12812" max="12812" width="22.7265625" style="2" customWidth="1"/>
    <col min="12813" max="13048" width="8.7265625" style="2"/>
    <col min="13049" max="13049" width="28.26953125" style="2" customWidth="1"/>
    <col min="13050" max="13050" width="44.26953125" style="2" customWidth="1"/>
    <col min="13051" max="13051" width="21.54296875" style="2" customWidth="1"/>
    <col min="13052" max="13052" width="21.81640625" style="2" customWidth="1"/>
    <col min="13053" max="13057" width="0" style="2" hidden="1" customWidth="1"/>
    <col min="13058" max="13058" width="9.81640625" style="2" customWidth="1"/>
    <col min="13059" max="13059" width="9" style="2" customWidth="1"/>
    <col min="13060" max="13060" width="8.7265625" style="2" customWidth="1"/>
    <col min="13061" max="13061" width="14.54296875" style="2" customWidth="1"/>
    <col min="13062" max="13062" width="8.81640625" style="2" customWidth="1"/>
    <col min="13063" max="13063" width="12" style="2" customWidth="1"/>
    <col min="13064" max="13064" width="11.81640625" style="2" customWidth="1"/>
    <col min="13065" max="13065" width="13.26953125" style="2" customWidth="1"/>
    <col min="13066" max="13066" width="8.7265625" style="2"/>
    <col min="13067" max="13067" width="11.453125" style="2" customWidth="1"/>
    <col min="13068" max="13068" width="22.7265625" style="2" customWidth="1"/>
    <col min="13069" max="13304" width="8.7265625" style="2"/>
    <col min="13305" max="13305" width="28.26953125" style="2" customWidth="1"/>
    <col min="13306" max="13306" width="44.26953125" style="2" customWidth="1"/>
    <col min="13307" max="13307" width="21.54296875" style="2" customWidth="1"/>
    <col min="13308" max="13308" width="21.81640625" style="2" customWidth="1"/>
    <col min="13309" max="13313" width="0" style="2" hidden="1" customWidth="1"/>
    <col min="13314" max="13314" width="9.81640625" style="2" customWidth="1"/>
    <col min="13315" max="13315" width="9" style="2" customWidth="1"/>
    <col min="13316" max="13316" width="8.7265625" style="2" customWidth="1"/>
    <col min="13317" max="13317" width="14.54296875" style="2" customWidth="1"/>
    <col min="13318" max="13318" width="8.81640625" style="2" customWidth="1"/>
    <col min="13319" max="13319" width="12" style="2" customWidth="1"/>
    <col min="13320" max="13320" width="11.81640625" style="2" customWidth="1"/>
    <col min="13321" max="13321" width="13.26953125" style="2" customWidth="1"/>
    <col min="13322" max="13322" width="8.7265625" style="2"/>
    <col min="13323" max="13323" width="11.453125" style="2" customWidth="1"/>
    <col min="13324" max="13324" width="22.7265625" style="2" customWidth="1"/>
    <col min="13325" max="13560" width="8.7265625" style="2"/>
    <col min="13561" max="13561" width="28.26953125" style="2" customWidth="1"/>
    <col min="13562" max="13562" width="44.26953125" style="2" customWidth="1"/>
    <col min="13563" max="13563" width="21.54296875" style="2" customWidth="1"/>
    <col min="13564" max="13564" width="21.81640625" style="2" customWidth="1"/>
    <col min="13565" max="13569" width="0" style="2" hidden="1" customWidth="1"/>
    <col min="13570" max="13570" width="9.81640625" style="2" customWidth="1"/>
    <col min="13571" max="13571" width="9" style="2" customWidth="1"/>
    <col min="13572" max="13572" width="8.7265625" style="2" customWidth="1"/>
    <col min="13573" max="13573" width="14.54296875" style="2" customWidth="1"/>
    <col min="13574" max="13574" width="8.81640625" style="2" customWidth="1"/>
    <col min="13575" max="13575" width="12" style="2" customWidth="1"/>
    <col min="13576" max="13576" width="11.81640625" style="2" customWidth="1"/>
    <col min="13577" max="13577" width="13.26953125" style="2" customWidth="1"/>
    <col min="13578" max="13578" width="8.7265625" style="2"/>
    <col min="13579" max="13579" width="11.453125" style="2" customWidth="1"/>
    <col min="13580" max="13580" width="22.7265625" style="2" customWidth="1"/>
    <col min="13581" max="13816" width="8.7265625" style="2"/>
    <col min="13817" max="13817" width="28.26953125" style="2" customWidth="1"/>
    <col min="13818" max="13818" width="44.26953125" style="2" customWidth="1"/>
    <col min="13819" max="13819" width="21.54296875" style="2" customWidth="1"/>
    <col min="13820" max="13820" width="21.81640625" style="2" customWidth="1"/>
    <col min="13821" max="13825" width="0" style="2" hidden="1" customWidth="1"/>
    <col min="13826" max="13826" width="9.81640625" style="2" customWidth="1"/>
    <col min="13827" max="13827" width="9" style="2" customWidth="1"/>
    <col min="13828" max="13828" width="8.7265625" style="2" customWidth="1"/>
    <col min="13829" max="13829" width="14.54296875" style="2" customWidth="1"/>
    <col min="13830" max="13830" width="8.81640625" style="2" customWidth="1"/>
    <col min="13831" max="13831" width="12" style="2" customWidth="1"/>
    <col min="13832" max="13832" width="11.81640625" style="2" customWidth="1"/>
    <col min="13833" max="13833" width="13.26953125" style="2" customWidth="1"/>
    <col min="13834" max="13834" width="8.7265625" style="2"/>
    <col min="13835" max="13835" width="11.453125" style="2" customWidth="1"/>
    <col min="13836" max="13836" width="22.7265625" style="2" customWidth="1"/>
    <col min="13837" max="14072" width="8.7265625" style="2"/>
    <col min="14073" max="14073" width="28.26953125" style="2" customWidth="1"/>
    <col min="14074" max="14074" width="44.26953125" style="2" customWidth="1"/>
    <col min="14075" max="14075" width="21.54296875" style="2" customWidth="1"/>
    <col min="14076" max="14076" width="21.81640625" style="2" customWidth="1"/>
    <col min="14077" max="14081" width="0" style="2" hidden="1" customWidth="1"/>
    <col min="14082" max="14082" width="9.81640625" style="2" customWidth="1"/>
    <col min="14083" max="14083" width="9" style="2" customWidth="1"/>
    <col min="14084" max="14084" width="8.7265625" style="2" customWidth="1"/>
    <col min="14085" max="14085" width="14.54296875" style="2" customWidth="1"/>
    <col min="14086" max="14086" width="8.81640625" style="2" customWidth="1"/>
    <col min="14087" max="14087" width="12" style="2" customWidth="1"/>
    <col min="14088" max="14088" width="11.81640625" style="2" customWidth="1"/>
    <col min="14089" max="14089" width="13.26953125" style="2" customWidth="1"/>
    <col min="14090" max="14090" width="8.7265625" style="2"/>
    <col min="14091" max="14091" width="11.453125" style="2" customWidth="1"/>
    <col min="14092" max="14092" width="22.7265625" style="2" customWidth="1"/>
    <col min="14093" max="14328" width="8.7265625" style="2"/>
    <col min="14329" max="14329" width="28.26953125" style="2" customWidth="1"/>
    <col min="14330" max="14330" width="44.26953125" style="2" customWidth="1"/>
    <col min="14331" max="14331" width="21.54296875" style="2" customWidth="1"/>
    <col min="14332" max="14332" width="21.81640625" style="2" customWidth="1"/>
    <col min="14333" max="14337" width="0" style="2" hidden="1" customWidth="1"/>
    <col min="14338" max="14338" width="9.81640625" style="2" customWidth="1"/>
    <col min="14339" max="14339" width="9" style="2" customWidth="1"/>
    <col min="14340" max="14340" width="8.7265625" style="2" customWidth="1"/>
    <col min="14341" max="14341" width="14.54296875" style="2" customWidth="1"/>
    <col min="14342" max="14342" width="8.81640625" style="2" customWidth="1"/>
    <col min="14343" max="14343" width="12" style="2" customWidth="1"/>
    <col min="14344" max="14344" width="11.81640625" style="2" customWidth="1"/>
    <col min="14345" max="14345" width="13.26953125" style="2" customWidth="1"/>
    <col min="14346" max="14346" width="8.7265625" style="2"/>
    <col min="14347" max="14347" width="11.453125" style="2" customWidth="1"/>
    <col min="14348" max="14348" width="22.7265625" style="2" customWidth="1"/>
    <col min="14349" max="14584" width="8.7265625" style="2"/>
    <col min="14585" max="14585" width="28.26953125" style="2" customWidth="1"/>
    <col min="14586" max="14586" width="44.26953125" style="2" customWidth="1"/>
    <col min="14587" max="14587" width="21.54296875" style="2" customWidth="1"/>
    <col min="14588" max="14588" width="21.81640625" style="2" customWidth="1"/>
    <col min="14589" max="14593" width="0" style="2" hidden="1" customWidth="1"/>
    <col min="14594" max="14594" width="9.81640625" style="2" customWidth="1"/>
    <col min="14595" max="14595" width="9" style="2" customWidth="1"/>
    <col min="14596" max="14596" width="8.7265625" style="2" customWidth="1"/>
    <col min="14597" max="14597" width="14.54296875" style="2" customWidth="1"/>
    <col min="14598" max="14598" width="8.81640625" style="2" customWidth="1"/>
    <col min="14599" max="14599" width="12" style="2" customWidth="1"/>
    <col min="14600" max="14600" width="11.81640625" style="2" customWidth="1"/>
    <col min="14601" max="14601" width="13.26953125" style="2" customWidth="1"/>
    <col min="14602" max="14602" width="8.7265625" style="2"/>
    <col min="14603" max="14603" width="11.453125" style="2" customWidth="1"/>
    <col min="14604" max="14604" width="22.7265625" style="2" customWidth="1"/>
    <col min="14605" max="14840" width="8.7265625" style="2"/>
    <col min="14841" max="14841" width="28.26953125" style="2" customWidth="1"/>
    <col min="14842" max="14842" width="44.26953125" style="2" customWidth="1"/>
    <col min="14843" max="14843" width="21.54296875" style="2" customWidth="1"/>
    <col min="14844" max="14844" width="21.81640625" style="2" customWidth="1"/>
    <col min="14845" max="14849" width="0" style="2" hidden="1" customWidth="1"/>
    <col min="14850" max="14850" width="9.81640625" style="2" customWidth="1"/>
    <col min="14851" max="14851" width="9" style="2" customWidth="1"/>
    <col min="14852" max="14852" width="8.7265625" style="2" customWidth="1"/>
    <col min="14853" max="14853" width="14.54296875" style="2" customWidth="1"/>
    <col min="14854" max="14854" width="8.81640625" style="2" customWidth="1"/>
    <col min="14855" max="14855" width="12" style="2" customWidth="1"/>
    <col min="14856" max="14856" width="11.81640625" style="2" customWidth="1"/>
    <col min="14857" max="14857" width="13.26953125" style="2" customWidth="1"/>
    <col min="14858" max="14858" width="8.7265625" style="2"/>
    <col min="14859" max="14859" width="11.453125" style="2" customWidth="1"/>
    <col min="14860" max="14860" width="22.7265625" style="2" customWidth="1"/>
    <col min="14861" max="15096" width="8.7265625" style="2"/>
    <col min="15097" max="15097" width="28.26953125" style="2" customWidth="1"/>
    <col min="15098" max="15098" width="44.26953125" style="2" customWidth="1"/>
    <col min="15099" max="15099" width="21.54296875" style="2" customWidth="1"/>
    <col min="15100" max="15100" width="21.81640625" style="2" customWidth="1"/>
    <col min="15101" max="15105" width="0" style="2" hidden="1" customWidth="1"/>
    <col min="15106" max="15106" width="9.81640625" style="2" customWidth="1"/>
    <col min="15107" max="15107" width="9" style="2" customWidth="1"/>
    <col min="15108" max="15108" width="8.7265625" style="2" customWidth="1"/>
    <col min="15109" max="15109" width="14.54296875" style="2" customWidth="1"/>
    <col min="15110" max="15110" width="8.81640625" style="2" customWidth="1"/>
    <col min="15111" max="15111" width="12" style="2" customWidth="1"/>
    <col min="15112" max="15112" width="11.81640625" style="2" customWidth="1"/>
    <col min="15113" max="15113" width="13.26953125" style="2" customWidth="1"/>
    <col min="15114" max="15114" width="8.7265625" style="2"/>
    <col min="15115" max="15115" width="11.453125" style="2" customWidth="1"/>
    <col min="15116" max="15116" width="22.7265625" style="2" customWidth="1"/>
    <col min="15117" max="15352" width="8.7265625" style="2"/>
    <col min="15353" max="15353" width="28.26953125" style="2" customWidth="1"/>
    <col min="15354" max="15354" width="44.26953125" style="2" customWidth="1"/>
    <col min="15355" max="15355" width="21.54296875" style="2" customWidth="1"/>
    <col min="15356" max="15356" width="21.81640625" style="2" customWidth="1"/>
    <col min="15357" max="15361" width="0" style="2" hidden="1" customWidth="1"/>
    <col min="15362" max="15362" width="9.81640625" style="2" customWidth="1"/>
    <col min="15363" max="15363" width="9" style="2" customWidth="1"/>
    <col min="15364" max="15364" width="8.7265625" style="2" customWidth="1"/>
    <col min="15365" max="15365" width="14.54296875" style="2" customWidth="1"/>
    <col min="15366" max="15366" width="8.81640625" style="2" customWidth="1"/>
    <col min="15367" max="15367" width="12" style="2" customWidth="1"/>
    <col min="15368" max="15368" width="11.81640625" style="2" customWidth="1"/>
    <col min="15369" max="15369" width="13.26953125" style="2" customWidth="1"/>
    <col min="15370" max="15370" width="8.7265625" style="2"/>
    <col min="15371" max="15371" width="11.453125" style="2" customWidth="1"/>
    <col min="15372" max="15372" width="22.7265625" style="2" customWidth="1"/>
    <col min="15373" max="15608" width="8.7265625" style="2"/>
    <col min="15609" max="15609" width="28.26953125" style="2" customWidth="1"/>
    <col min="15610" max="15610" width="44.26953125" style="2" customWidth="1"/>
    <col min="15611" max="15611" width="21.54296875" style="2" customWidth="1"/>
    <col min="15612" max="15612" width="21.81640625" style="2" customWidth="1"/>
    <col min="15613" max="15617" width="0" style="2" hidden="1" customWidth="1"/>
    <col min="15618" max="15618" width="9.81640625" style="2" customWidth="1"/>
    <col min="15619" max="15619" width="9" style="2" customWidth="1"/>
    <col min="15620" max="15620" width="8.7265625" style="2" customWidth="1"/>
    <col min="15621" max="15621" width="14.54296875" style="2" customWidth="1"/>
    <col min="15622" max="15622" width="8.81640625" style="2" customWidth="1"/>
    <col min="15623" max="15623" width="12" style="2" customWidth="1"/>
    <col min="15624" max="15624" width="11.81640625" style="2" customWidth="1"/>
    <col min="15625" max="15625" width="13.26953125" style="2" customWidth="1"/>
    <col min="15626" max="15626" width="8.7265625" style="2"/>
    <col min="15627" max="15627" width="11.453125" style="2" customWidth="1"/>
    <col min="15628" max="15628" width="22.7265625" style="2" customWidth="1"/>
    <col min="15629" max="15864" width="8.7265625" style="2"/>
    <col min="15865" max="15865" width="28.26953125" style="2" customWidth="1"/>
    <col min="15866" max="15866" width="44.26953125" style="2" customWidth="1"/>
    <col min="15867" max="15867" width="21.54296875" style="2" customWidth="1"/>
    <col min="15868" max="15868" width="21.81640625" style="2" customWidth="1"/>
    <col min="15869" max="15873" width="0" style="2" hidden="1" customWidth="1"/>
    <col min="15874" max="15874" width="9.81640625" style="2" customWidth="1"/>
    <col min="15875" max="15875" width="9" style="2" customWidth="1"/>
    <col min="15876" max="15876" width="8.7265625" style="2" customWidth="1"/>
    <col min="15877" max="15877" width="14.54296875" style="2" customWidth="1"/>
    <col min="15878" max="15878" width="8.81640625" style="2" customWidth="1"/>
    <col min="15879" max="15879" width="12" style="2" customWidth="1"/>
    <col min="15880" max="15880" width="11.81640625" style="2" customWidth="1"/>
    <col min="15881" max="15881" width="13.26953125" style="2" customWidth="1"/>
    <col min="15882" max="15882" width="8.7265625" style="2"/>
    <col min="15883" max="15883" width="11.453125" style="2" customWidth="1"/>
    <col min="15884" max="15884" width="22.7265625" style="2" customWidth="1"/>
    <col min="15885" max="16120" width="8.7265625" style="2"/>
    <col min="16121" max="16121" width="28.26953125" style="2" customWidth="1"/>
    <col min="16122" max="16122" width="44.26953125" style="2" customWidth="1"/>
    <col min="16123" max="16123" width="21.54296875" style="2" customWidth="1"/>
    <col min="16124" max="16124" width="21.81640625" style="2" customWidth="1"/>
    <col min="16125" max="16129" width="0" style="2" hidden="1" customWidth="1"/>
    <col min="16130" max="16130" width="9.81640625" style="2" customWidth="1"/>
    <col min="16131" max="16131" width="9" style="2" customWidth="1"/>
    <col min="16132" max="16132" width="8.7265625" style="2" customWidth="1"/>
    <col min="16133" max="16133" width="14.54296875" style="2" customWidth="1"/>
    <col min="16134" max="16134" width="8.81640625" style="2" customWidth="1"/>
    <col min="16135" max="16135" width="12" style="2" customWidth="1"/>
    <col min="16136" max="16136" width="11.81640625" style="2" customWidth="1"/>
    <col min="16137" max="16137" width="13.26953125" style="2" customWidth="1"/>
    <col min="16138" max="16138" width="8.7265625" style="2"/>
    <col min="16139" max="16139" width="11.453125" style="2" customWidth="1"/>
    <col min="16140" max="16140" width="22.7265625" style="2" customWidth="1"/>
    <col min="16141" max="16384" width="8.7265625" style="2"/>
  </cols>
  <sheetData>
    <row r="1" spans="1:45" s="13" customFormat="1" x14ac:dyDescent="0.25"/>
    <row r="2" spans="1:45" s="13" customFormat="1" x14ac:dyDescent="0.25"/>
    <row r="4" spans="1:45" ht="26.5" customHeight="1" x14ac:dyDescent="0.35">
      <c r="A4" s="32" t="s">
        <v>23</v>
      </c>
      <c r="B4" s="1"/>
      <c r="C4" s="1"/>
    </row>
    <row r="5" spans="1:45" ht="13.5" customHeight="1" x14ac:dyDescent="0.25">
      <c r="A5" s="141" t="s">
        <v>202</v>
      </c>
      <c r="B5" s="141"/>
      <c r="C5" s="141"/>
      <c r="D5" s="141"/>
      <c r="E5" s="141"/>
      <c r="F5" s="141"/>
      <c r="G5" s="141"/>
      <c r="H5" s="141"/>
      <c r="I5" s="141"/>
      <c r="J5" s="141"/>
      <c r="K5" s="141"/>
      <c r="L5" s="141"/>
      <c r="M5" s="141"/>
      <c r="N5" s="25"/>
      <c r="O5" s="25"/>
      <c r="P5" s="25"/>
      <c r="Q5" s="25"/>
      <c r="R5" s="25"/>
      <c r="S5" s="25"/>
      <c r="T5" s="29"/>
      <c r="U5" s="29"/>
      <c r="V5" s="29"/>
      <c r="W5" s="29"/>
      <c r="X5" s="29"/>
      <c r="Y5" s="29"/>
      <c r="Z5" s="29"/>
      <c r="AA5" s="29"/>
      <c r="AB5" s="29"/>
      <c r="AC5" s="29"/>
      <c r="AD5" s="29"/>
      <c r="AE5" s="29"/>
      <c r="AF5" s="29"/>
      <c r="AG5" s="29"/>
      <c r="AH5" s="29"/>
      <c r="AI5" s="29"/>
      <c r="AJ5" s="29"/>
      <c r="AK5" s="26"/>
      <c r="AL5" s="3"/>
    </row>
    <row r="6" spans="1:45" s="13" customFormat="1" ht="13.5" customHeight="1" x14ac:dyDescent="0.25">
      <c r="A6" s="29"/>
      <c r="B6" s="29"/>
      <c r="C6" s="29"/>
      <c r="D6" s="29"/>
      <c r="E6" s="29"/>
      <c r="F6" s="29"/>
      <c r="G6" s="29"/>
      <c r="H6" s="29"/>
      <c r="I6" s="29"/>
      <c r="J6" s="29"/>
      <c r="K6" s="29"/>
      <c r="L6" s="29"/>
      <c r="M6" s="29"/>
      <c r="N6" s="25"/>
      <c r="O6" s="25"/>
      <c r="P6" s="25"/>
      <c r="Q6" s="25"/>
      <c r="R6" s="25"/>
      <c r="S6" s="25"/>
      <c r="T6" s="29"/>
      <c r="U6" s="29"/>
      <c r="V6" s="29"/>
      <c r="W6" s="29"/>
      <c r="X6" s="29"/>
      <c r="Y6" s="29"/>
      <c r="Z6" s="29"/>
      <c r="AA6" s="29"/>
      <c r="AB6" s="29"/>
      <c r="AC6" s="29"/>
      <c r="AD6" s="29"/>
      <c r="AE6" s="29"/>
      <c r="AF6" s="29"/>
      <c r="AG6" s="29"/>
      <c r="AH6" s="29"/>
      <c r="AI6" s="29"/>
      <c r="AJ6" s="29"/>
      <c r="AK6" s="26"/>
      <c r="AL6" s="3"/>
    </row>
    <row r="7" spans="1:45" ht="46.5" x14ac:dyDescent="0.3">
      <c r="A7" s="4" t="s">
        <v>1</v>
      </c>
      <c r="B7" s="4" t="s">
        <v>0</v>
      </c>
      <c r="C7" s="5" t="s">
        <v>2</v>
      </c>
      <c r="D7" s="5" t="s">
        <v>3</v>
      </c>
      <c r="E7" s="6" t="s">
        <v>4</v>
      </c>
      <c r="F7" s="6" t="s">
        <v>5</v>
      </c>
      <c r="G7" s="6" t="s">
        <v>6</v>
      </c>
      <c r="H7" s="6" t="s">
        <v>7</v>
      </c>
      <c r="I7" s="5" t="s">
        <v>8</v>
      </c>
      <c r="J7" s="5" t="s">
        <v>9</v>
      </c>
      <c r="K7" s="5" t="s">
        <v>10</v>
      </c>
      <c r="L7" s="5" t="s">
        <v>18</v>
      </c>
      <c r="M7" s="5" t="s">
        <v>19</v>
      </c>
      <c r="N7" s="5" t="s">
        <v>20</v>
      </c>
      <c r="O7" s="5" t="s">
        <v>21</v>
      </c>
      <c r="P7" s="112" t="s">
        <v>41</v>
      </c>
      <c r="Q7" s="112" t="s">
        <v>45</v>
      </c>
      <c r="R7" s="112" t="s">
        <v>22</v>
      </c>
      <c r="S7" s="112" t="s">
        <v>42</v>
      </c>
      <c r="T7" s="112" t="s">
        <v>63</v>
      </c>
      <c r="U7" s="112" t="s">
        <v>43</v>
      </c>
      <c r="V7" s="112" t="s">
        <v>44</v>
      </c>
      <c r="W7" s="5" t="s">
        <v>17</v>
      </c>
      <c r="X7" s="7" t="s">
        <v>11</v>
      </c>
      <c r="Y7" s="7" t="s">
        <v>12</v>
      </c>
      <c r="Z7" s="7" t="s">
        <v>13</v>
      </c>
      <c r="AA7" s="7" t="s">
        <v>14</v>
      </c>
      <c r="AB7" s="7" t="s">
        <v>198</v>
      </c>
      <c r="AC7" s="7" t="s">
        <v>15</v>
      </c>
      <c r="AD7" s="7" t="s">
        <v>199</v>
      </c>
      <c r="AE7" s="2"/>
      <c r="AF7" s="2"/>
      <c r="AG7" s="2"/>
      <c r="AH7" s="2"/>
      <c r="AI7" s="2"/>
      <c r="AJ7" s="2"/>
      <c r="AK7" s="2"/>
      <c r="AO7" s="100" t="s">
        <v>14</v>
      </c>
      <c r="AP7" s="100" t="s">
        <v>124</v>
      </c>
      <c r="AQ7" s="100" t="s">
        <v>15</v>
      </c>
      <c r="AR7" s="100" t="s">
        <v>16</v>
      </c>
    </row>
    <row r="8" spans="1:45" s="13" customFormat="1" ht="13" x14ac:dyDescent="0.3">
      <c r="A8" s="8" t="s">
        <v>25</v>
      </c>
      <c r="B8" s="14"/>
      <c r="C8" s="9"/>
      <c r="D8" s="9"/>
      <c r="E8" s="9"/>
      <c r="F8" s="10"/>
      <c r="G8" s="10"/>
      <c r="H8" s="10"/>
      <c r="I8" s="11"/>
      <c r="J8" s="11"/>
      <c r="K8" s="9"/>
      <c r="L8" s="9"/>
      <c r="M8" s="9"/>
      <c r="N8" s="9"/>
      <c r="O8" s="9"/>
      <c r="P8" s="9"/>
      <c r="Q8" s="9"/>
      <c r="R8" s="9"/>
      <c r="S8" s="9"/>
      <c r="T8" s="9"/>
      <c r="U8" s="9"/>
      <c r="V8" s="9"/>
      <c r="W8" s="9"/>
      <c r="X8" s="12"/>
      <c r="Y8" s="15"/>
      <c r="Z8" s="15"/>
      <c r="AA8" s="15"/>
      <c r="AB8" s="15"/>
      <c r="AC8" s="15"/>
      <c r="AD8" s="15"/>
      <c r="AE8" s="46"/>
      <c r="AF8" s="46"/>
      <c r="AG8" s="46"/>
      <c r="AH8" s="46"/>
      <c r="AI8" s="46"/>
      <c r="AJ8" s="46"/>
      <c r="AK8" s="87"/>
      <c r="AL8" s="87"/>
      <c r="AM8" s="87"/>
      <c r="AN8" s="87"/>
      <c r="AO8" s="101"/>
      <c r="AP8" s="101"/>
      <c r="AQ8" s="101"/>
      <c r="AR8" s="101"/>
      <c r="AS8" s="87"/>
    </row>
    <row r="9" spans="1:45" s="13" customFormat="1" ht="54.75" customHeight="1" x14ac:dyDescent="0.3">
      <c r="A9" s="8"/>
      <c r="B9" s="17" t="s">
        <v>28</v>
      </c>
      <c r="C9" s="135">
        <v>74100</v>
      </c>
      <c r="D9" s="30">
        <v>64558</v>
      </c>
      <c r="E9" s="31">
        <f>D9-MIN($D$9:$D$11)</f>
        <v>2759.3799999999974</v>
      </c>
      <c r="F9" s="31">
        <f>E9/74100</f>
        <v>3.7238596491228036E-2</v>
      </c>
      <c r="G9" s="31">
        <f>F9*1/1.5</f>
        <v>2.4825730994152025E-2</v>
      </c>
      <c r="H9" s="31">
        <f>1-G9</f>
        <v>0.97517426900584803</v>
      </c>
      <c r="I9" s="19">
        <f>48*H9</f>
        <v>46.808364912280709</v>
      </c>
      <c r="J9" s="19">
        <v>5</v>
      </c>
      <c r="K9" s="19">
        <v>6</v>
      </c>
      <c r="L9" s="27" t="s">
        <v>35</v>
      </c>
      <c r="M9" s="19">
        <f>ROUND(1*((12*4)/(12*4)),2)</f>
        <v>1</v>
      </c>
      <c r="N9" s="28">
        <v>12</v>
      </c>
      <c r="O9" s="33">
        <f>ROUND(((1/$N$10)*(N9)),2)</f>
        <v>0.18</v>
      </c>
      <c r="P9" s="33" t="s">
        <v>135</v>
      </c>
      <c r="Q9" s="33">
        <f>'LOT_1_2_3 ALTRES CALCULS'!G3</f>
        <v>1.26</v>
      </c>
      <c r="R9" s="36" t="s">
        <v>137</v>
      </c>
      <c r="S9" s="33">
        <f>'LOT_1_2_3 ALTRES CALCULS'!L3</f>
        <v>0.5</v>
      </c>
      <c r="T9" s="37" t="str">
        <f>'LOT_1_2_3 ALTRES CALCULS'!N3</f>
        <v>Paràmetre de mesura addicionals: Pressió de la artèria pulmonar(AP), Pressió aòrtica (Ao), Pressió arterial umbilical (PAU), PAB Pressió de la artèria braquial, PAF Pressió de la artèria femoral, PPC Pressió de perfusió cerebral, PVC Pressió venosa central, PRAI Pressió de la aurícula esquerra, PAD Pressió de la aurícula dreta, PIC Pressió intracranial, PVU Pressió venosa umbilical, VI Pressió del ventricular esquerra.
Total de 12 paràmetres de mesura addicionals</v>
      </c>
      <c r="U9" s="33">
        <f>'LOT_1_2_3 ALTRES CALCULS'!M3</f>
        <v>12</v>
      </c>
      <c r="V9" s="33">
        <f>'LOT_1_2_3 ALTRES CALCULS'!O3</f>
        <v>1.5</v>
      </c>
      <c r="W9" s="19">
        <v>31.5</v>
      </c>
      <c r="X9" s="44">
        <f>(I9+K9+M9+O9+Q9+S9+V9+W9)</f>
        <v>88.748364912280707</v>
      </c>
      <c r="Y9" s="142">
        <f>AVERAGE($D$9:$D$11)</f>
        <v>62918.873333333329</v>
      </c>
      <c r="Z9" s="22">
        <f>-(1-(D9/$Y$9))*100</f>
        <v>2.6051430673001086</v>
      </c>
      <c r="AE9" s="66"/>
      <c r="AF9" s="66"/>
      <c r="AG9" s="66"/>
      <c r="AH9" s="66"/>
      <c r="AI9" s="66"/>
      <c r="AJ9" s="66"/>
      <c r="AK9" s="87"/>
      <c r="AL9" s="87"/>
      <c r="AM9" s="87"/>
      <c r="AN9" s="87"/>
      <c r="AO9" s="143">
        <f>AVERAGE(W9:W11)</f>
        <v>29.633333333333336</v>
      </c>
      <c r="AP9" s="102">
        <f>_xlfn.STDEV.S(W9,$AO$9)</f>
        <v>1.3199326582148865</v>
      </c>
      <c r="AQ9" s="144">
        <f>AVERAGE(AP9:AP11)</f>
        <v>0.8799551054765935</v>
      </c>
      <c r="AR9" s="143">
        <f>AO9+AQ9</f>
        <v>30.51328843880993</v>
      </c>
      <c r="AS9" s="87"/>
    </row>
    <row r="10" spans="1:45" s="13" customFormat="1" ht="88" customHeight="1" x14ac:dyDescent="0.3">
      <c r="A10" s="8"/>
      <c r="B10" s="17" t="s">
        <v>29</v>
      </c>
      <c r="C10" s="135"/>
      <c r="D10" s="30">
        <v>61798.62</v>
      </c>
      <c r="E10" s="31">
        <f>D10-MIN($D$9:$D$11)</f>
        <v>0</v>
      </c>
      <c r="F10" s="31">
        <f t="shared" ref="F10:F11" si="0">E10/74100</f>
        <v>0</v>
      </c>
      <c r="G10" s="31">
        <f t="shared" ref="G10:G11" si="1">F10*1/1.5</f>
        <v>0</v>
      </c>
      <c r="H10" s="31">
        <f t="shared" ref="H10:H11" si="2">1-G10</f>
        <v>1</v>
      </c>
      <c r="I10" s="19">
        <f t="shared" ref="I10:I11" si="3">48*H10</f>
        <v>48</v>
      </c>
      <c r="J10" s="19">
        <v>4</v>
      </c>
      <c r="K10" s="19">
        <v>4</v>
      </c>
      <c r="L10" s="27" t="s">
        <v>36</v>
      </c>
      <c r="M10" s="19">
        <f>ROUND(1*(((1*4)+(37*2)+(27*1))/(65*4)),2)</f>
        <v>0.4</v>
      </c>
      <c r="N10" s="28">
        <v>65</v>
      </c>
      <c r="O10" s="19">
        <v>1</v>
      </c>
      <c r="P10" s="36" t="s">
        <v>71</v>
      </c>
      <c r="Q10" s="33">
        <v>0</v>
      </c>
      <c r="R10" s="36" t="s">
        <v>126</v>
      </c>
      <c r="S10" s="33">
        <v>0</v>
      </c>
      <c r="T10" s="37" t="str">
        <f>'LOT_1_2_3 ALTRES CALCULS'!N4</f>
        <v>ST/STE Map, Análisis de QT i ECG de12 derivaciones derivadas Hexad</v>
      </c>
      <c r="U10" s="33">
        <f>'LOT_1_2_3 ALTRES CALCULS'!M4</f>
        <v>3</v>
      </c>
      <c r="V10" s="33">
        <f>'LOT_1_2_3 ALTRES CALCULS'!O4</f>
        <v>0.38</v>
      </c>
      <c r="W10" s="19">
        <v>28.7</v>
      </c>
      <c r="X10" s="44">
        <f>(I10+K10+M10+O10+Q10+S10+V10+W10)</f>
        <v>82.48</v>
      </c>
      <c r="Y10" s="142"/>
      <c r="Z10" s="22">
        <f>-(1-(D10/$Y$9))*100</f>
        <v>-1.7804726530915693</v>
      </c>
      <c r="AE10" s="66"/>
      <c r="AF10" s="66"/>
      <c r="AG10" s="66"/>
      <c r="AH10" s="66"/>
      <c r="AI10" s="66"/>
      <c r="AJ10" s="66"/>
      <c r="AK10" s="87"/>
      <c r="AL10" s="87"/>
      <c r="AM10" s="87"/>
      <c r="AN10" s="87"/>
      <c r="AO10" s="143"/>
      <c r="AP10" s="102">
        <f>_xlfn.STDEV.S(W10,$AO$9)</f>
        <v>0.65996632910744701</v>
      </c>
      <c r="AQ10" s="144"/>
      <c r="AR10" s="143"/>
      <c r="AS10" s="87"/>
    </row>
    <row r="11" spans="1:45" s="13" customFormat="1" ht="88" customHeight="1" x14ac:dyDescent="0.35">
      <c r="A11" s="8"/>
      <c r="B11" s="17" t="s">
        <v>30</v>
      </c>
      <c r="C11" s="135"/>
      <c r="D11" s="30">
        <v>62400</v>
      </c>
      <c r="E11" s="31">
        <f>D11-MIN($D$9:$D$11)</f>
        <v>601.37999999999738</v>
      </c>
      <c r="F11" s="31">
        <f t="shared" si="0"/>
        <v>8.1157894736841752E-3</v>
      </c>
      <c r="G11" s="31">
        <f t="shared" si="1"/>
        <v>5.4105263157894498E-3</v>
      </c>
      <c r="H11" s="31">
        <f t="shared" si="2"/>
        <v>0.99458947368421058</v>
      </c>
      <c r="I11" s="19">
        <f t="shared" si="3"/>
        <v>47.74029473684211</v>
      </c>
      <c r="J11" s="19">
        <v>5</v>
      </c>
      <c r="K11" s="19">
        <v>6</v>
      </c>
      <c r="L11" s="27" t="s">
        <v>37</v>
      </c>
      <c r="M11" s="19">
        <f>ROUND(1*(((8*4)+(4*2)+(2*1))/(14*4)),2)</f>
        <v>0.75</v>
      </c>
      <c r="N11" s="28">
        <v>14</v>
      </c>
      <c r="O11" s="33">
        <f>ROUND(((1/$N$10)*(N11)),2)</f>
        <v>0.22</v>
      </c>
      <c r="P11" s="33" t="s">
        <v>70</v>
      </c>
      <c r="Q11" s="33">
        <f>'LOT_1_2_3 ALTRES CALCULS'!G5</f>
        <v>2.2999999999999998</v>
      </c>
      <c r="R11" s="36" t="s">
        <v>140</v>
      </c>
      <c r="S11" s="33">
        <f>'LOT_1_2_3 ALTRES CALCULS'!L5</f>
        <v>0.15</v>
      </c>
      <c r="T11" s="48" t="str">
        <f>'LOT_1_2_3 ALTRES CALCULS'!N5</f>
        <v>Paràmetres addicionals sense cost: Segment ST/STE, Interval QT/QTc, Perfusió (Perf), Temperatura arterial, Temperatura interna, Temperatura esofàgica, Temperatura rectal, Temperatura cutània, Temperatura venosa, Temperatura nasofaríngia, Temperatura ambiental, Temperatura vesical, Temperatura cerebral, Temperatura de Foley, Temperatura vesicular, Pressió aòrtica, Pressió venosa central, Pressió intracranial, Pressió auricular esquerra, Pressió arteriopulmonar, Pressió auricular dreta, Pressió arterial umbilical, Pressió venosa umbilical, Pressió arterial braquial, Pressió arterial femoral, Pressió intraabdominal, Pressió arterial femoral dreta, Pressió arterial femoral esquerra, Pressió medul·lar, Pressió vesical, Pressió anterior, Pressió posterior</v>
      </c>
      <c r="U11" s="33">
        <f>'LOT_1_2_3 ALTRES CALCULS'!M5</f>
        <v>32</v>
      </c>
      <c r="V11" s="33">
        <f>'LOT_1_2_3 ALTRES CALCULS'!O5</f>
        <v>4</v>
      </c>
      <c r="W11" s="19">
        <v>28.7</v>
      </c>
      <c r="X11" s="44">
        <f>(I11+K11+M11+O11+Q11+S11+V11+W11)</f>
        <v>89.860294736842107</v>
      </c>
      <c r="Y11" s="142"/>
      <c r="Z11" s="22">
        <f>-(1-(D11/$Y$9))*100</f>
        <v>-0.82467041420851706</v>
      </c>
      <c r="AE11" s="66"/>
      <c r="AF11" s="66"/>
      <c r="AG11" s="66"/>
      <c r="AH11" s="66"/>
      <c r="AI11" s="66"/>
      <c r="AJ11" s="66"/>
      <c r="AK11" s="87"/>
      <c r="AL11" s="87"/>
      <c r="AM11" s="87"/>
      <c r="AN11" s="87"/>
      <c r="AO11" s="143"/>
      <c r="AP11" s="102">
        <f>_xlfn.STDEV.S(W11,$AO$9)</f>
        <v>0.65996632910744701</v>
      </c>
      <c r="AQ11" s="144"/>
      <c r="AR11" s="143"/>
      <c r="AS11" s="87"/>
    </row>
    <row r="12" spans="1:45" s="13" customFormat="1" x14ac:dyDescent="0.25">
      <c r="A12" s="14"/>
      <c r="B12" s="14"/>
      <c r="C12" s="14"/>
      <c r="D12" s="14"/>
      <c r="E12" s="14"/>
      <c r="F12" s="14"/>
      <c r="G12" s="14"/>
      <c r="H12" s="14"/>
      <c r="I12" s="14"/>
      <c r="J12" s="14"/>
      <c r="K12" s="14"/>
      <c r="L12" s="14"/>
      <c r="M12" s="14"/>
      <c r="N12" s="14"/>
      <c r="O12" s="14"/>
      <c r="P12" s="34"/>
      <c r="Q12" s="34"/>
      <c r="R12" s="34"/>
      <c r="S12" s="34"/>
      <c r="T12" s="34"/>
      <c r="U12" s="14"/>
      <c r="V12" s="14"/>
      <c r="W12" s="56"/>
      <c r="X12" s="56"/>
      <c r="Y12" s="56"/>
      <c r="Z12" s="56"/>
      <c r="AA12" s="56"/>
      <c r="AB12" s="56"/>
      <c r="AC12" s="56"/>
      <c r="AD12" s="56"/>
      <c r="AE12" s="56"/>
      <c r="AF12" s="56"/>
      <c r="AG12" s="56"/>
      <c r="AH12" s="56"/>
      <c r="AI12" s="56"/>
      <c r="AJ12" s="56"/>
      <c r="AK12" s="14"/>
      <c r="AL12" s="12"/>
    </row>
    <row r="13" spans="1:45" s="13" customFormat="1" ht="13" x14ac:dyDescent="0.3">
      <c r="A13" s="8" t="s">
        <v>24</v>
      </c>
      <c r="B13" s="14"/>
      <c r="C13" s="9"/>
      <c r="D13" s="9"/>
      <c r="E13" s="9"/>
      <c r="F13" s="10"/>
      <c r="G13" s="10"/>
      <c r="H13" s="10"/>
      <c r="I13" s="11"/>
      <c r="J13" s="11"/>
      <c r="K13" s="9"/>
      <c r="L13" s="9"/>
      <c r="M13" s="9"/>
      <c r="N13" s="9"/>
      <c r="O13" s="9"/>
      <c r="P13" s="35"/>
      <c r="Q13" s="35"/>
      <c r="R13" s="35"/>
      <c r="S13" s="35"/>
      <c r="T13" s="35"/>
      <c r="U13" s="9"/>
      <c r="V13" s="9"/>
      <c r="W13" s="9"/>
      <c r="X13" s="9"/>
      <c r="Y13" s="9"/>
      <c r="Z13" s="9"/>
      <c r="AA13" s="9"/>
      <c r="AB13" s="9"/>
      <c r="AC13" s="9"/>
      <c r="AD13" s="9"/>
      <c r="AE13" s="9"/>
      <c r="AF13" s="9"/>
      <c r="AG13" s="9"/>
      <c r="AH13" s="9"/>
      <c r="AI13" s="9"/>
      <c r="AJ13" s="9"/>
      <c r="AK13" s="9"/>
      <c r="AL13" s="12"/>
      <c r="AM13" s="15"/>
      <c r="AN13" s="15"/>
      <c r="AO13" s="15"/>
      <c r="AP13" s="15"/>
      <c r="AQ13" s="15"/>
      <c r="AR13" s="15"/>
    </row>
    <row r="14" spans="1:45" s="13" customFormat="1" ht="109.5" customHeight="1" x14ac:dyDescent="0.3">
      <c r="A14" s="8"/>
      <c r="B14" s="17" t="s">
        <v>28</v>
      </c>
      <c r="C14" s="135">
        <v>45000</v>
      </c>
      <c r="D14" s="18">
        <v>37730</v>
      </c>
      <c r="E14" s="21">
        <f>D14-MIN($D$14:$D$17)</f>
        <v>0</v>
      </c>
      <c r="F14" s="21">
        <f>E14/45000</f>
        <v>0</v>
      </c>
      <c r="G14" s="21">
        <f>F14*1/1.5</f>
        <v>0</v>
      </c>
      <c r="H14" s="21">
        <f>1-G14</f>
        <v>1</v>
      </c>
      <c r="I14" s="19">
        <f>48*H14</f>
        <v>48</v>
      </c>
      <c r="J14" s="19">
        <v>5</v>
      </c>
      <c r="K14" s="19">
        <v>6</v>
      </c>
      <c r="L14" s="27" t="s">
        <v>35</v>
      </c>
      <c r="M14" s="19">
        <f>ROUND(1*((12*4)/(12*4)),2)</f>
        <v>1</v>
      </c>
      <c r="N14" s="28">
        <v>12</v>
      </c>
      <c r="O14" s="19">
        <f>ROUND(((1/$N$16)*(N14)),2)</f>
        <v>0.03</v>
      </c>
      <c r="P14" s="36" t="s">
        <v>190</v>
      </c>
      <c r="Q14" s="33">
        <v>0</v>
      </c>
      <c r="R14" s="36" t="s">
        <v>191</v>
      </c>
      <c r="S14" s="42">
        <f>'LOT_1_2_3 ALTRES CALCULS'!L9</f>
        <v>0.4</v>
      </c>
      <c r="T14" s="41" t="str">
        <f>'LOT_1_2_3 ALTRES CALCULS'!N9</f>
        <v>Paràmetres de mesura addicionals:
Volum corrent CO₂ (EtCO₂),
Fracció del CO₂ expirat (FiCO₂),
freqüència respiratòria de les vies aèries (FRVa),
pressió de l’artèria pulmonar (AP),
pressió aòrtica (Ao),
pressió arterial umbilical (PAU),
PAB pressió de l’artèria braquial,
PAF pressió de l’artèria femoral,
PPC pressió de perfusió cerebral,
PVC pressió venosa central,
PRAI pressió de l’aurícula esquerra,
PAD pressió de l’aurícula dreta,
PIC pressió intracranial,
PVU pressió venosa umbilical,
VI pressió del ventricle esquerre,
C.O (Cardiac Output),
TI (Injectate Temperature),
TB (Blood Temperature)
ΔT (Delta T)</v>
      </c>
      <c r="U14" s="42">
        <f>'LOT_1_2_3 ALTRES CALCULS'!M9</f>
        <v>19</v>
      </c>
      <c r="V14" s="42">
        <f>'LOT_1_2_3 ALTRES CALCULS'!O9</f>
        <v>2.38</v>
      </c>
      <c r="W14" s="19">
        <v>28.05</v>
      </c>
      <c r="X14" s="44">
        <f>(I14+K14+M14+O14+Q14+S14+V14++W14)</f>
        <v>85.86</v>
      </c>
      <c r="Y14" s="142">
        <f>AVERAGE($D$14:$D$17)</f>
        <v>40306.152499999997</v>
      </c>
      <c r="Z14" s="22">
        <f>-(1-(D14/$Y$14))*100</f>
        <v>-6.3914621967452678</v>
      </c>
      <c r="AB14" s="104"/>
      <c r="AC14" s="104"/>
      <c r="AD14" s="104"/>
      <c r="AE14" s="104"/>
      <c r="AF14" s="104"/>
      <c r="AG14" s="104"/>
      <c r="AH14" s="104"/>
      <c r="AI14" s="104"/>
      <c r="AJ14" s="104"/>
      <c r="AK14" s="87"/>
      <c r="AO14" s="133">
        <f>AVERAGE(W14:W17)</f>
        <v>27.912499999999998</v>
      </c>
      <c r="AP14" s="16">
        <f>_xlfn.STDEV.S(W14,$AO$14)</f>
        <v>9.7227182413152285E-2</v>
      </c>
      <c r="AQ14" s="137">
        <f>AVERAGE(AP14:AP17)</f>
        <v>1.670539770553219</v>
      </c>
      <c r="AR14" s="133">
        <f>AO14+AQ14</f>
        <v>29.583039770553217</v>
      </c>
    </row>
    <row r="15" spans="1:45" s="13" customFormat="1" ht="89.5" customHeight="1" x14ac:dyDescent="0.3">
      <c r="A15" s="8"/>
      <c r="B15" s="17" t="s">
        <v>31</v>
      </c>
      <c r="C15" s="135"/>
      <c r="D15" s="30">
        <v>41994.61</v>
      </c>
      <c r="E15" s="31">
        <f>D15-MIN($D$14:$D$17)</f>
        <v>4264.6100000000006</v>
      </c>
      <c r="F15" s="31">
        <f t="shared" ref="F15:F17" si="4">E15/45000</f>
        <v>9.4769111111111123E-2</v>
      </c>
      <c r="G15" s="31">
        <f>F15*1/1.5</f>
        <v>6.317940740740742E-2</v>
      </c>
      <c r="H15" s="31">
        <f t="shared" ref="H15:H17" si="5">1-G15</f>
        <v>0.93682059259259254</v>
      </c>
      <c r="I15" s="19">
        <f t="shared" ref="I15:I17" si="6">48*H15</f>
        <v>44.967388444444438</v>
      </c>
      <c r="J15" s="19">
        <v>2</v>
      </c>
      <c r="K15" s="19">
        <v>0</v>
      </c>
      <c r="L15" s="27" t="s">
        <v>38</v>
      </c>
      <c r="M15" s="19">
        <f>ROUND(1*((9*1)/(9*4)),2)</f>
        <v>0.25</v>
      </c>
      <c r="N15" s="28">
        <v>9</v>
      </c>
      <c r="O15" s="19">
        <f>ROUND(((1/$N$16)*(N15)),2)</f>
        <v>0.02</v>
      </c>
      <c r="P15" s="33" t="s">
        <v>111</v>
      </c>
      <c r="Q15" s="42">
        <f>'LOT_1_2_3 ALTRES CALCULS'!G10</f>
        <v>1.26</v>
      </c>
      <c r="R15" s="36" t="s">
        <v>193</v>
      </c>
      <c r="S15" s="42">
        <f>'LOT_1_2_3 ALTRES CALCULS'!L10</f>
        <v>0.27</v>
      </c>
      <c r="T15" s="41" t="s">
        <v>72</v>
      </c>
      <c r="U15" s="42">
        <f>'LOT_1_2_3 ALTRES CALCULS'!M10</f>
        <v>7</v>
      </c>
      <c r="V15" s="42">
        <f>'LOT_1_2_3 ALTRES CALCULS'!O10</f>
        <v>0.88</v>
      </c>
      <c r="W15" s="19">
        <v>32.5</v>
      </c>
      <c r="X15" s="44">
        <f>(I15+K15+M15+O15+Q15+S15+V15++W15)</f>
        <v>80.147388444444445</v>
      </c>
      <c r="Y15" s="142"/>
      <c r="Z15" s="22">
        <f>-(1-(D15/$Y$14))*100</f>
        <v>4.1890813071280064</v>
      </c>
      <c r="AA15" s="46"/>
      <c r="AB15" s="104"/>
      <c r="AC15" s="104"/>
      <c r="AD15" s="104"/>
      <c r="AE15" s="104"/>
      <c r="AF15" s="104"/>
      <c r="AG15" s="104"/>
      <c r="AH15" s="104"/>
      <c r="AI15" s="104"/>
      <c r="AJ15" s="104"/>
      <c r="AK15" s="87"/>
      <c r="AO15" s="133"/>
      <c r="AP15" s="16">
        <f>_xlfn.STDEV.S(W15,$AO$14)</f>
        <v>3.2438523586932884</v>
      </c>
      <c r="AQ15" s="137"/>
      <c r="AR15" s="133"/>
    </row>
    <row r="16" spans="1:45" s="13" customFormat="1" ht="36" x14ac:dyDescent="0.3">
      <c r="A16" s="8"/>
      <c r="B16" s="17" t="s">
        <v>32</v>
      </c>
      <c r="C16" s="135"/>
      <c r="D16" s="23">
        <v>39000</v>
      </c>
      <c r="E16" s="24">
        <f>D16-MIN($D$14:$D$17)</f>
        <v>1270</v>
      </c>
      <c r="F16" s="31">
        <f t="shared" si="4"/>
        <v>2.8222222222222221E-2</v>
      </c>
      <c r="G16" s="24">
        <f t="shared" ref="G16:G17" si="7">F16*1/1.5</f>
        <v>1.8814814814814815E-2</v>
      </c>
      <c r="H16" s="31">
        <f t="shared" si="5"/>
        <v>0.98118518518518516</v>
      </c>
      <c r="I16" s="19">
        <f t="shared" si="6"/>
        <v>47.096888888888884</v>
      </c>
      <c r="J16" s="19">
        <v>3.1</v>
      </c>
      <c r="K16" s="19">
        <v>2</v>
      </c>
      <c r="L16" s="27" t="s">
        <v>39</v>
      </c>
      <c r="M16" s="19">
        <f>ROUND(1*(((181*4)+(40*2)+(227*1))/(448*4)),2)</f>
        <v>0.57999999999999996</v>
      </c>
      <c r="N16" s="28">
        <v>448</v>
      </c>
      <c r="O16" s="19">
        <v>1</v>
      </c>
      <c r="P16" s="33" t="s">
        <v>73</v>
      </c>
      <c r="Q16" s="42">
        <f>'LOT_1_2_3 ALTRES CALCULS'!G11</f>
        <v>1.19</v>
      </c>
      <c r="R16" s="36" t="s">
        <v>157</v>
      </c>
      <c r="S16" s="42">
        <f>'LOT_1_2_3 ALTRES CALCULS'!L11</f>
        <v>0.31</v>
      </c>
      <c r="T16" s="43" t="s">
        <v>116</v>
      </c>
      <c r="U16" s="42">
        <f>'LOT_1_2_3 ALTRES CALCULS'!M11</f>
        <v>0</v>
      </c>
      <c r="V16" s="42">
        <f>'LOT_1_2_3 ALTRES CALCULS'!O11</f>
        <v>0</v>
      </c>
      <c r="W16" s="19">
        <v>27.4</v>
      </c>
      <c r="X16" s="20">
        <f>(I16+K16+M16+O16+Q16+S16+V16++W16)</f>
        <v>79.576888888888874</v>
      </c>
      <c r="Y16" s="142"/>
      <c r="Z16" s="22">
        <f>-(1-(D16/$Y$14))*100</f>
        <v>-3.2405784699990781</v>
      </c>
      <c r="AA16" s="66"/>
      <c r="AB16" s="104"/>
      <c r="AC16" s="104"/>
      <c r="AD16" s="104"/>
      <c r="AE16" s="104"/>
      <c r="AF16" s="104"/>
      <c r="AG16" s="104"/>
      <c r="AH16" s="104"/>
      <c r="AI16" s="104"/>
      <c r="AJ16" s="104"/>
      <c r="AK16" s="87"/>
      <c r="AO16" s="133"/>
      <c r="AP16" s="16">
        <f>_xlfn.STDEV.S(W16,$AO$14)</f>
        <v>0.36239222535810511</v>
      </c>
      <c r="AQ16" s="137"/>
      <c r="AR16" s="133"/>
    </row>
    <row r="17" spans="1:44" s="13" customFormat="1" ht="58" customHeight="1" x14ac:dyDescent="0.3">
      <c r="A17" s="8"/>
      <c r="B17" s="17" t="s">
        <v>30</v>
      </c>
      <c r="C17" s="135"/>
      <c r="D17" s="18">
        <v>42500</v>
      </c>
      <c r="E17" s="24">
        <f>D17-MIN($D$14:$D$17)</f>
        <v>4770</v>
      </c>
      <c r="F17" s="31">
        <f t="shared" si="4"/>
        <v>0.106</v>
      </c>
      <c r="G17" s="24">
        <f t="shared" si="7"/>
        <v>7.0666666666666669E-2</v>
      </c>
      <c r="H17" s="31">
        <f t="shared" si="5"/>
        <v>0.92933333333333334</v>
      </c>
      <c r="I17" s="19">
        <f t="shared" si="6"/>
        <v>44.608000000000004</v>
      </c>
      <c r="J17" s="19">
        <v>5</v>
      </c>
      <c r="K17" s="19">
        <v>6</v>
      </c>
      <c r="L17" s="27" t="s">
        <v>37</v>
      </c>
      <c r="M17" s="19">
        <f>ROUND(1*(((8*4)+(4*2)+(2*1))/(14*4)),2)</f>
        <v>0.75</v>
      </c>
      <c r="N17" s="28">
        <v>14</v>
      </c>
      <c r="O17" s="19">
        <f>ROUND(((1/$N$16)*(N17)),2)</f>
        <v>0.03</v>
      </c>
      <c r="P17" s="33" t="s">
        <v>74</v>
      </c>
      <c r="Q17" s="42">
        <f>'LOT_1_2_3 ALTRES CALCULS'!G12</f>
        <v>2.3199999999999998</v>
      </c>
      <c r="R17" s="36" t="s">
        <v>140</v>
      </c>
      <c r="S17" s="42">
        <f>'LOT_1_2_3 ALTRES CALCULS'!L12</f>
        <v>0.15</v>
      </c>
      <c r="T17" s="41" t="str">
        <f>'LOT_1_2_3 ALTRES CALCULS'!E12</f>
        <v>Mòdul de pressió invasiva, Mòdul SpO₂ FAST, Mòdul SpO₂ Masimo Rainbow, Mòdul SpO₂ Masimo SET, Mòdul SpO₂ Nellcor, Mòdul de cabal cardíac, Mòdul de cabal cardíac PiCCO, Mòdul de temperatura, Mòdul EEG, Mòdul BIS, Mòdul BIS Bilateral, Mòdul G7m, Mòdul NMT, Mòdul Masimo O3, Mòdul Masimo CO₂, Mòdul Masimo Sedline, Mòdul EC10, Mòdul FloTrac, Mòdul d’extensió hemodinàmica, Mòdul d’extensió de capnografia, Mòdul d’extensió Microstream</v>
      </c>
      <c r="U17" s="42">
        <f>'LOT_1_2_3 ALTRES CALCULS'!M12</f>
        <v>32</v>
      </c>
      <c r="V17" s="42">
        <f>'LOT_1_2_3 ALTRES CALCULS'!O12</f>
        <v>4</v>
      </c>
      <c r="W17" s="19">
        <v>23.7</v>
      </c>
      <c r="X17" s="44">
        <f>(I17+K17+M17+O17+Q17+S17+V17++W17)</f>
        <v>81.558000000000007</v>
      </c>
      <c r="Y17" s="142"/>
      <c r="Z17" s="22">
        <f>-(1-(D17/$Y$14))*100</f>
        <v>5.4429593596163839</v>
      </c>
      <c r="AA17" s="66"/>
      <c r="AB17" s="104"/>
      <c r="AC17" s="104"/>
      <c r="AD17" s="104"/>
      <c r="AE17" s="104"/>
      <c r="AF17" s="104"/>
      <c r="AG17" s="104"/>
      <c r="AH17" s="104"/>
      <c r="AI17" s="104"/>
      <c r="AJ17" s="104"/>
      <c r="AK17" s="87"/>
      <c r="AO17" s="133"/>
      <c r="AP17" s="16">
        <f>_xlfn.STDEV.S(W17,$AO$14)</f>
        <v>2.9786873157483305</v>
      </c>
      <c r="AQ17" s="137"/>
      <c r="AR17" s="133"/>
    </row>
    <row r="18" spans="1:44" s="13" customFormat="1" x14ac:dyDescent="0.25">
      <c r="A18" s="14"/>
      <c r="B18" s="14"/>
      <c r="C18" s="14"/>
      <c r="D18" s="14"/>
      <c r="E18" s="14"/>
      <c r="F18" s="14"/>
      <c r="G18" s="14"/>
      <c r="H18" s="14"/>
      <c r="I18" s="14"/>
      <c r="J18" s="14"/>
      <c r="K18" s="14"/>
      <c r="L18" s="14"/>
      <c r="M18" s="14"/>
      <c r="N18" s="14"/>
      <c r="O18" s="14"/>
      <c r="P18" s="34"/>
      <c r="Q18" s="34"/>
      <c r="R18" s="34"/>
      <c r="S18" s="34"/>
      <c r="T18" s="34"/>
      <c r="U18" s="14"/>
      <c r="V18" s="14"/>
      <c r="W18" s="56"/>
      <c r="X18" s="56"/>
      <c r="Y18" s="56"/>
      <c r="Z18" s="106"/>
      <c r="AA18" s="66"/>
      <c r="AB18" s="80"/>
      <c r="AC18" s="80"/>
      <c r="AD18" s="80"/>
      <c r="AE18" s="80"/>
      <c r="AF18" s="80"/>
      <c r="AG18" s="80"/>
      <c r="AH18" s="80"/>
      <c r="AI18" s="80"/>
      <c r="AJ18" s="80"/>
      <c r="AK18" s="80"/>
      <c r="AL18" s="12"/>
    </row>
    <row r="19" spans="1:44" s="13" customFormat="1" ht="13" x14ac:dyDescent="0.3">
      <c r="A19" s="8" t="s">
        <v>26</v>
      </c>
      <c r="B19" s="14"/>
      <c r="C19" s="9"/>
      <c r="D19" s="9"/>
      <c r="E19" s="9"/>
      <c r="F19" s="10"/>
      <c r="G19" s="10"/>
      <c r="H19" s="10"/>
      <c r="I19" s="11"/>
      <c r="J19" s="11"/>
      <c r="K19" s="9"/>
      <c r="L19" s="9"/>
      <c r="M19" s="9"/>
      <c r="N19" s="9"/>
      <c r="O19" s="9"/>
      <c r="P19" s="35"/>
      <c r="Q19" s="35"/>
      <c r="R19" s="35"/>
      <c r="S19" s="35"/>
      <c r="T19" s="35"/>
      <c r="U19" s="9"/>
      <c r="V19" s="9"/>
      <c r="W19" s="9"/>
      <c r="X19" s="9"/>
      <c r="Y19" s="9"/>
      <c r="Z19" s="7"/>
      <c r="AB19" s="105"/>
      <c r="AC19" s="105"/>
      <c r="AD19" s="105"/>
      <c r="AE19" s="105"/>
      <c r="AF19" s="105"/>
      <c r="AG19" s="105"/>
      <c r="AH19" s="105"/>
      <c r="AI19" s="105"/>
      <c r="AJ19" s="105"/>
      <c r="AK19" s="105"/>
      <c r="AL19" s="12"/>
      <c r="AM19" s="15"/>
      <c r="AN19" s="15"/>
      <c r="AO19" s="15"/>
      <c r="AP19" s="15"/>
      <c r="AQ19" s="15"/>
      <c r="AR19" s="15"/>
    </row>
    <row r="20" spans="1:44" s="13" customFormat="1" ht="13" x14ac:dyDescent="0.3">
      <c r="A20" s="8"/>
      <c r="B20" s="17" t="s">
        <v>28</v>
      </c>
      <c r="C20" s="135">
        <v>65000</v>
      </c>
      <c r="D20" s="30">
        <v>41010</v>
      </c>
      <c r="E20" s="31">
        <f t="shared" ref="E20:E26" si="8">D20-MIN($D$20:$D$26)</f>
        <v>0</v>
      </c>
      <c r="F20" s="31">
        <f>E20/65000</f>
        <v>0</v>
      </c>
      <c r="G20" s="31">
        <f>F20*1/1.5</f>
        <v>0</v>
      </c>
      <c r="H20" s="31">
        <f>1-G20</f>
        <v>1</v>
      </c>
      <c r="I20" s="19">
        <f>48*H20</f>
        <v>48</v>
      </c>
      <c r="J20" s="19">
        <v>5</v>
      </c>
      <c r="K20" s="19">
        <v>6</v>
      </c>
      <c r="L20" s="27" t="s">
        <v>35</v>
      </c>
      <c r="M20" s="19">
        <f>ROUND(1*((12*4)/(12*4)),2)</f>
        <v>1</v>
      </c>
      <c r="N20" s="28">
        <v>12</v>
      </c>
      <c r="O20" s="19">
        <f>ROUND(((1/$N$24)*(N20)),2)</f>
        <v>0.03</v>
      </c>
      <c r="P20" s="33" t="s">
        <v>108</v>
      </c>
      <c r="Q20" s="33">
        <f>'LOT_1_2_3 ALTRES CALCULS'!G16</f>
        <v>1.25</v>
      </c>
      <c r="R20" s="36" t="s">
        <v>147</v>
      </c>
      <c r="S20" s="33">
        <f>'LOT_1_2_3 ALTRES CALCULS'!L16</f>
        <v>0.5</v>
      </c>
      <c r="T20" s="33" t="s">
        <v>117</v>
      </c>
      <c r="U20" s="33">
        <f>'LOT_1_2_3 ALTRES CALCULS'!M16</f>
        <v>12</v>
      </c>
      <c r="V20" s="33">
        <f>ROUND((4*U20/$U$26),2)</f>
        <v>1.5</v>
      </c>
      <c r="W20" s="19">
        <v>26.1</v>
      </c>
      <c r="X20" s="44">
        <f t="shared" ref="X20:X26" si="9">(I20+K20+M20+O20+Q20+S20+V20+W20)</f>
        <v>84.38</v>
      </c>
      <c r="Y20" s="136">
        <f>AVERAGE($D$20:$D$26)</f>
        <v>50820.671428571419</v>
      </c>
      <c r="Z20" s="128">
        <f t="shared" ref="Z20:Z26" si="10">-(1-(D20/$Y$20))*100</f>
        <v>-19.304489989590834</v>
      </c>
      <c r="AA20" s="136">
        <f>AVERAGE(W20:W26)</f>
        <v>25.857142857142858</v>
      </c>
      <c r="AB20" s="126">
        <f t="shared" ref="AB20:AB26" si="11">_xlfn.STDEV.S(W20,$AA$20)</f>
        <v>0.17172593257387647</v>
      </c>
      <c r="AC20" s="136">
        <f>AVERAGE(AB20:AB22)</f>
        <v>0.77950104687945687</v>
      </c>
      <c r="AD20" s="127">
        <f>AA20+AC20</f>
        <v>26.636643904022314</v>
      </c>
      <c r="AE20" s="66"/>
      <c r="AF20" s="66"/>
      <c r="AG20" s="66"/>
      <c r="AH20" s="66"/>
      <c r="AI20" s="66"/>
      <c r="AJ20" s="66"/>
      <c r="AK20" s="87"/>
      <c r="AO20" s="133">
        <f>AVERAGE(W20:W26)</f>
        <v>25.857142857142858</v>
      </c>
      <c r="AP20" s="16">
        <f t="shared" ref="AP20:AP26" si="12">_xlfn.STDEV.S(W20,$AO$20)</f>
        <v>0.17172593257387647</v>
      </c>
      <c r="AQ20" s="137">
        <f>AVERAGE(AP20:AP26)</f>
        <v>0.92501111579709627</v>
      </c>
      <c r="AR20" s="133">
        <f>AO20+AQ20</f>
        <v>26.782153972939955</v>
      </c>
    </row>
    <row r="21" spans="1:44" s="13" customFormat="1" ht="36" x14ac:dyDescent="0.3">
      <c r="A21" s="8"/>
      <c r="B21" s="17" t="s">
        <v>33</v>
      </c>
      <c r="C21" s="135"/>
      <c r="D21" s="30">
        <v>48750</v>
      </c>
      <c r="E21" s="31">
        <f t="shared" si="8"/>
        <v>7740</v>
      </c>
      <c r="F21" s="31">
        <f t="shared" ref="F21:F26" si="13">E21/65000</f>
        <v>0.11907692307692308</v>
      </c>
      <c r="G21" s="31">
        <f t="shared" ref="G21:G26" si="14">F21*1/1.5</f>
        <v>7.9384615384615387E-2</v>
      </c>
      <c r="H21" s="31">
        <f t="shared" ref="H21:H26" si="15">1-G21</f>
        <v>0.92061538461538461</v>
      </c>
      <c r="I21" s="19">
        <f t="shared" ref="I21:I26" si="16">48*H21</f>
        <v>44.189538461538461</v>
      </c>
      <c r="J21" s="19">
        <v>5</v>
      </c>
      <c r="K21" s="19">
        <v>6</v>
      </c>
      <c r="L21" s="27" t="s">
        <v>194</v>
      </c>
      <c r="M21" s="19">
        <f>ROUND(1*(((1*4)+(43*2)+(26*1))/(70*4)),2)</f>
        <v>0.41</v>
      </c>
      <c r="N21" s="28">
        <v>70</v>
      </c>
      <c r="O21" s="19">
        <f t="shared" ref="O21:O26" si="17">ROUND(((1/$N$24)*(N21)),2)</f>
        <v>0.16</v>
      </c>
      <c r="P21" s="33" t="s">
        <v>109</v>
      </c>
      <c r="Q21" s="33">
        <f>'LOT_1_2_3 ALTRES CALCULS'!G17</f>
        <v>1.36</v>
      </c>
      <c r="R21" s="76" t="s">
        <v>153</v>
      </c>
      <c r="S21" s="33">
        <f>'LOT_1_2_3 ALTRES CALCULS'!L17</f>
        <v>0.26</v>
      </c>
      <c r="T21" s="33" t="s">
        <v>120</v>
      </c>
      <c r="U21" s="33">
        <f>'LOT_1_2_3 ALTRES CALCULS'!M17</f>
        <v>1</v>
      </c>
      <c r="V21" s="33">
        <f>ROUND((4*U21/$U$26),2)</f>
        <v>0.13</v>
      </c>
      <c r="W21" s="19">
        <v>22.95</v>
      </c>
      <c r="X21" s="20">
        <f t="shared" si="9"/>
        <v>75.459538461538457</v>
      </c>
      <c r="Y21" s="136"/>
      <c r="Z21" s="22">
        <f t="shared" si="10"/>
        <v>-4.0744668859437505</v>
      </c>
      <c r="AA21" s="136"/>
      <c r="AB21" s="126">
        <f t="shared" si="11"/>
        <v>2.0556604281637498</v>
      </c>
      <c r="AC21" s="136"/>
      <c r="AD21" s="127">
        <f t="shared" ref="AD21:AD26" si="18">AB21+AC21</f>
        <v>2.0556604281637498</v>
      </c>
      <c r="AE21" s="66"/>
      <c r="AF21" s="66"/>
      <c r="AG21" s="66"/>
      <c r="AH21" s="66"/>
      <c r="AI21" s="66"/>
      <c r="AJ21" s="66"/>
      <c r="AK21" s="87"/>
      <c r="AO21" s="133"/>
      <c r="AP21" s="16">
        <f t="shared" si="12"/>
        <v>2.0556604281637498</v>
      </c>
      <c r="AQ21" s="137"/>
      <c r="AR21" s="133"/>
    </row>
    <row r="22" spans="1:44" s="13" customFormat="1" ht="36" x14ac:dyDescent="0.3">
      <c r="A22" s="8"/>
      <c r="B22" s="17" t="s">
        <v>29</v>
      </c>
      <c r="C22" s="135"/>
      <c r="D22" s="30">
        <v>54034</v>
      </c>
      <c r="E22" s="31">
        <f t="shared" si="8"/>
        <v>13024</v>
      </c>
      <c r="F22" s="31">
        <f t="shared" si="13"/>
        <v>0.20036923076923077</v>
      </c>
      <c r="G22" s="31">
        <f t="shared" si="14"/>
        <v>0.13357948717948717</v>
      </c>
      <c r="H22" s="31">
        <f t="shared" si="15"/>
        <v>0.8664205128205128</v>
      </c>
      <c r="I22" s="19">
        <f t="shared" si="16"/>
        <v>41.588184615384613</v>
      </c>
      <c r="J22" s="19">
        <v>4</v>
      </c>
      <c r="K22" s="19">
        <v>4</v>
      </c>
      <c r="L22" s="27" t="s">
        <v>36</v>
      </c>
      <c r="M22" s="19">
        <f>ROUND(1*(((1*4)+(37*2)+(27*1))/(65*4)),2)</f>
        <v>0.4</v>
      </c>
      <c r="N22" s="28">
        <v>65</v>
      </c>
      <c r="O22" s="19">
        <f t="shared" si="17"/>
        <v>0.15</v>
      </c>
      <c r="P22" s="36" t="s">
        <v>195</v>
      </c>
      <c r="Q22" s="33">
        <f>'LOT_1_2_3 ALTRES CALCULS'!G18</f>
        <v>0</v>
      </c>
      <c r="R22" s="76" t="s">
        <v>113</v>
      </c>
      <c r="S22" s="33">
        <f>'LOT_1_2_3 ALTRES CALCULS'!L18</f>
        <v>0.02</v>
      </c>
      <c r="T22" s="33" t="s">
        <v>116</v>
      </c>
      <c r="U22" s="33">
        <f>'LOT_1_2_3 ALTRES CALCULS'!M18</f>
        <v>0</v>
      </c>
      <c r="V22" s="33">
        <v>0</v>
      </c>
      <c r="W22" s="19">
        <v>25.7</v>
      </c>
      <c r="X22" s="20">
        <f t="shared" si="9"/>
        <v>71.858184615384616</v>
      </c>
      <c r="Y22" s="136"/>
      <c r="Z22" s="22">
        <f t="shared" si="10"/>
        <v>6.3228770519982547</v>
      </c>
      <c r="AA22" s="136"/>
      <c r="AB22" s="126">
        <f t="shared" si="11"/>
        <v>0.11111677990074405</v>
      </c>
      <c r="AC22" s="136"/>
      <c r="AD22" s="127">
        <f t="shared" si="18"/>
        <v>0.11111677990074405</v>
      </c>
      <c r="AE22" s="66"/>
      <c r="AF22" s="66"/>
      <c r="AG22" s="66"/>
      <c r="AH22" s="66"/>
      <c r="AI22" s="66"/>
      <c r="AJ22" s="66"/>
      <c r="AK22" s="87"/>
      <c r="AO22" s="133"/>
      <c r="AP22" s="16">
        <f t="shared" si="12"/>
        <v>0.11111677990074405</v>
      </c>
      <c r="AQ22" s="137"/>
      <c r="AR22" s="133"/>
    </row>
    <row r="23" spans="1:44" s="13" customFormat="1" ht="72" x14ac:dyDescent="0.3">
      <c r="A23" s="8"/>
      <c r="B23" s="17" t="s">
        <v>31</v>
      </c>
      <c r="C23" s="135"/>
      <c r="D23" s="30">
        <v>58852.11</v>
      </c>
      <c r="E23" s="31">
        <f t="shared" si="8"/>
        <v>17842.11</v>
      </c>
      <c r="F23" s="31">
        <f t="shared" si="13"/>
        <v>0.27449400000000002</v>
      </c>
      <c r="G23" s="31">
        <f t="shared" si="14"/>
        <v>0.18299600000000002</v>
      </c>
      <c r="H23" s="31">
        <f t="shared" si="15"/>
        <v>0.81700399999999995</v>
      </c>
      <c r="I23" s="19">
        <f t="shared" si="16"/>
        <v>39.216191999999999</v>
      </c>
      <c r="J23" s="19">
        <v>5</v>
      </c>
      <c r="K23" s="19">
        <v>6</v>
      </c>
      <c r="L23" s="27" t="s">
        <v>38</v>
      </c>
      <c r="M23" s="19">
        <f>ROUND(1*((9*1)/(9*4)),2)</f>
        <v>0.25</v>
      </c>
      <c r="N23" s="28">
        <v>9</v>
      </c>
      <c r="O23" s="19">
        <f t="shared" si="17"/>
        <v>0.02</v>
      </c>
      <c r="P23" s="33" t="s">
        <v>111</v>
      </c>
      <c r="Q23" s="33">
        <f>'LOT_1_2_3 ALTRES CALCULS'!G19</f>
        <v>0.91</v>
      </c>
      <c r="R23" s="36" t="s">
        <v>154</v>
      </c>
      <c r="S23" s="33">
        <f>'LOT_1_2_3 ALTRES CALCULS'!L19</f>
        <v>0.25</v>
      </c>
      <c r="T23" s="41" t="s">
        <v>118</v>
      </c>
      <c r="U23" s="33">
        <f>'LOT_1_2_3 ALTRES CALCULS'!M19</f>
        <v>7</v>
      </c>
      <c r="V23" s="33">
        <f t="shared" ref="V23:V26" si="19">ROUND((4*U23/$U$26),2)</f>
        <v>0.88</v>
      </c>
      <c r="W23" s="19">
        <v>29.75</v>
      </c>
      <c r="X23" s="44">
        <f t="shared" si="9"/>
        <v>77.276192000000009</v>
      </c>
      <c r="Y23" s="136"/>
      <c r="Z23" s="22">
        <f t="shared" si="10"/>
        <v>15.803487725888843</v>
      </c>
      <c r="AA23" s="136"/>
      <c r="AB23" s="126">
        <f t="shared" si="11"/>
        <v>2.7526656839047741</v>
      </c>
      <c r="AC23" s="136"/>
      <c r="AD23" s="127">
        <f t="shared" si="18"/>
        <v>2.7526656839047741</v>
      </c>
      <c r="AE23" s="66"/>
      <c r="AF23" s="66"/>
      <c r="AG23" s="66"/>
      <c r="AH23" s="66"/>
      <c r="AI23" s="66"/>
      <c r="AJ23" s="66"/>
      <c r="AK23" s="87"/>
      <c r="AO23" s="133"/>
      <c r="AP23" s="16">
        <f t="shared" si="12"/>
        <v>2.7526656839047741</v>
      </c>
      <c r="AQ23" s="137"/>
      <c r="AR23" s="133"/>
    </row>
    <row r="24" spans="1:44" s="13" customFormat="1" ht="36" x14ac:dyDescent="0.3">
      <c r="A24" s="8"/>
      <c r="B24" s="17" t="s">
        <v>32</v>
      </c>
      <c r="C24" s="135"/>
      <c r="D24" s="30">
        <v>50000</v>
      </c>
      <c r="E24" s="31">
        <f t="shared" si="8"/>
        <v>8990</v>
      </c>
      <c r="F24" s="31">
        <f t="shared" si="13"/>
        <v>0.1383076923076923</v>
      </c>
      <c r="G24" s="31">
        <f t="shared" si="14"/>
        <v>9.2205128205128203E-2</v>
      </c>
      <c r="H24" s="31">
        <f t="shared" si="15"/>
        <v>0.90779487179487184</v>
      </c>
      <c r="I24" s="19">
        <f t="shared" si="16"/>
        <v>43.574153846153848</v>
      </c>
      <c r="J24" s="19">
        <v>3.1</v>
      </c>
      <c r="K24" s="19">
        <v>2</v>
      </c>
      <c r="L24" s="27" t="s">
        <v>39</v>
      </c>
      <c r="M24" s="19">
        <f>ROUND(1*(((181*4)+(40*2)+(227*1))/(448*4)),2)</f>
        <v>0.57999999999999996</v>
      </c>
      <c r="N24" s="28">
        <v>448</v>
      </c>
      <c r="O24" s="19">
        <v>1</v>
      </c>
      <c r="P24" s="33" t="s">
        <v>110</v>
      </c>
      <c r="Q24" s="33">
        <f>'LOT_1_2_3 ALTRES CALCULS'!G20</f>
        <v>0.95</v>
      </c>
      <c r="R24" s="76" t="s">
        <v>158</v>
      </c>
      <c r="S24" s="33">
        <f>'LOT_1_2_3 ALTRES CALCULS'!L20</f>
        <v>0.28999999999999998</v>
      </c>
      <c r="T24" s="43" t="s">
        <v>116</v>
      </c>
      <c r="U24" s="33">
        <f>'LOT_1_2_3 ALTRES CALCULS'!M20</f>
        <v>0</v>
      </c>
      <c r="V24" s="33">
        <f t="shared" si="19"/>
        <v>0</v>
      </c>
      <c r="W24" s="19">
        <v>26.3</v>
      </c>
      <c r="X24" s="20">
        <f t="shared" si="9"/>
        <v>74.694153846153853</v>
      </c>
      <c r="Y24" s="136"/>
      <c r="Z24" s="22">
        <f t="shared" si="10"/>
        <v>-1.6148378317371814</v>
      </c>
      <c r="AA24" s="136"/>
      <c r="AB24" s="126">
        <f t="shared" si="11"/>
        <v>0.31314728881118548</v>
      </c>
      <c r="AC24" s="136"/>
      <c r="AD24" s="127">
        <f t="shared" si="18"/>
        <v>0.31314728881118548</v>
      </c>
      <c r="AE24" s="66"/>
      <c r="AF24" s="66"/>
      <c r="AG24" s="66"/>
      <c r="AH24" s="66"/>
      <c r="AI24" s="66"/>
      <c r="AJ24" s="66"/>
      <c r="AK24" s="87"/>
      <c r="AO24" s="133"/>
      <c r="AP24" s="16">
        <f t="shared" si="12"/>
        <v>0.31314728881118548</v>
      </c>
      <c r="AQ24" s="137"/>
      <c r="AR24" s="133"/>
    </row>
    <row r="25" spans="1:44" s="13" customFormat="1" ht="23" x14ac:dyDescent="0.3">
      <c r="A25" s="8"/>
      <c r="B25" s="17" t="s">
        <v>34</v>
      </c>
      <c r="C25" s="135"/>
      <c r="D25" s="30">
        <v>48298.59</v>
      </c>
      <c r="E25" s="31">
        <f t="shared" si="8"/>
        <v>7288.5899999999965</v>
      </c>
      <c r="F25" s="31">
        <f t="shared" si="13"/>
        <v>0.1121321538461538</v>
      </c>
      <c r="G25" s="31">
        <f t="shared" si="14"/>
        <v>7.4754769230769194E-2</v>
      </c>
      <c r="H25" s="31">
        <f t="shared" si="15"/>
        <v>0.92524523076923082</v>
      </c>
      <c r="I25" s="19">
        <f t="shared" si="16"/>
        <v>44.411771076923081</v>
      </c>
      <c r="J25" s="19">
        <v>3.5</v>
      </c>
      <c r="K25" s="19">
        <v>3</v>
      </c>
      <c r="L25" s="27" t="s">
        <v>40</v>
      </c>
      <c r="M25" s="19">
        <f>ROUND(1*((10*2)/(10*4)),2)</f>
        <v>0.5</v>
      </c>
      <c r="N25" s="28">
        <v>10</v>
      </c>
      <c r="O25" s="19">
        <f t="shared" si="17"/>
        <v>0.02</v>
      </c>
      <c r="P25" s="33" t="s">
        <v>112</v>
      </c>
      <c r="Q25" s="33">
        <f>'LOT_1_2_3 ALTRES CALCULS'!G21</f>
        <v>1</v>
      </c>
      <c r="R25" s="76" t="s">
        <v>161</v>
      </c>
      <c r="S25" s="33">
        <f>'LOT_1_2_3 ALTRES CALCULS'!L21</f>
        <v>0.22</v>
      </c>
      <c r="T25" s="33" t="s">
        <v>119</v>
      </c>
      <c r="U25" s="33">
        <f>'LOT_1_2_3 ALTRES CALCULS'!M21</f>
        <v>2</v>
      </c>
      <c r="V25" s="33">
        <f t="shared" si="19"/>
        <v>0.25</v>
      </c>
      <c r="W25" s="19">
        <v>24.5</v>
      </c>
      <c r="X25" s="20">
        <f t="shared" si="9"/>
        <v>73.901771076923083</v>
      </c>
      <c r="Y25" s="136"/>
      <c r="Z25" s="22">
        <f t="shared" si="10"/>
        <v>-4.9627078070312631</v>
      </c>
      <c r="AA25" s="136"/>
      <c r="AB25" s="126">
        <f t="shared" si="11"/>
        <v>0.95964491732460055</v>
      </c>
      <c r="AC25" s="136"/>
      <c r="AD25" s="127">
        <f t="shared" si="18"/>
        <v>0.95964491732460055</v>
      </c>
      <c r="AE25" s="66"/>
      <c r="AF25" s="66"/>
      <c r="AG25" s="66"/>
      <c r="AH25" s="66"/>
      <c r="AI25" s="66"/>
      <c r="AJ25" s="66"/>
      <c r="AK25" s="87"/>
      <c r="AO25" s="133"/>
      <c r="AP25" s="16">
        <f t="shared" si="12"/>
        <v>0.95964491732460055</v>
      </c>
      <c r="AQ25" s="137"/>
      <c r="AR25" s="133"/>
    </row>
    <row r="26" spans="1:44" s="13" customFormat="1" ht="36" x14ac:dyDescent="0.3">
      <c r="A26" s="8"/>
      <c r="B26" s="17" t="s">
        <v>30</v>
      </c>
      <c r="C26" s="135"/>
      <c r="D26" s="30">
        <v>54800</v>
      </c>
      <c r="E26" s="31">
        <f t="shared" si="8"/>
        <v>13790</v>
      </c>
      <c r="F26" s="31">
        <f t="shared" si="13"/>
        <v>0.21215384615384617</v>
      </c>
      <c r="G26" s="31">
        <f t="shared" si="14"/>
        <v>0.14143589743589743</v>
      </c>
      <c r="H26" s="31">
        <f t="shared" si="15"/>
        <v>0.85856410256410254</v>
      </c>
      <c r="I26" s="19">
        <f t="shared" si="16"/>
        <v>41.211076923076924</v>
      </c>
      <c r="J26" s="19">
        <v>5</v>
      </c>
      <c r="K26" s="19">
        <v>6</v>
      </c>
      <c r="L26" s="27" t="s">
        <v>37</v>
      </c>
      <c r="M26" s="19">
        <f>ROUND(1*(((8*4)+(4*2)+(2*1))/(14*4)),2)</f>
        <v>0.75</v>
      </c>
      <c r="N26" s="28">
        <v>14</v>
      </c>
      <c r="O26" s="19">
        <f t="shared" si="17"/>
        <v>0.03</v>
      </c>
      <c r="P26" s="33" t="s">
        <v>74</v>
      </c>
      <c r="Q26" s="33">
        <f>'LOT_1_2_3 ALTRES CALCULS'!G22</f>
        <v>2.09</v>
      </c>
      <c r="R26" s="76" t="s">
        <v>196</v>
      </c>
      <c r="S26" s="33">
        <f>'LOT_1_2_3 ALTRES CALCULS'!L22</f>
        <v>0.17</v>
      </c>
      <c r="T26" s="33" t="s">
        <v>121</v>
      </c>
      <c r="U26" s="33">
        <f>'LOT_1_2_3 ALTRES CALCULS'!M22</f>
        <v>32</v>
      </c>
      <c r="V26" s="33">
        <f t="shared" si="19"/>
        <v>4</v>
      </c>
      <c r="W26" s="19">
        <v>25.7</v>
      </c>
      <c r="X26" s="44">
        <f t="shared" si="9"/>
        <v>79.951076923076926</v>
      </c>
      <c r="Y26" s="136"/>
      <c r="Z26" s="22">
        <f t="shared" si="10"/>
        <v>7.830137736416054</v>
      </c>
      <c r="AA26" s="136"/>
      <c r="AB26" s="126">
        <f t="shared" si="11"/>
        <v>0.11111677990074405</v>
      </c>
      <c r="AC26" s="136"/>
      <c r="AD26" s="127">
        <f t="shared" si="18"/>
        <v>0.11111677990074405</v>
      </c>
      <c r="AE26" s="66"/>
      <c r="AF26" s="66"/>
      <c r="AG26" s="66"/>
      <c r="AH26" s="66"/>
      <c r="AI26" s="66"/>
      <c r="AJ26" s="66"/>
      <c r="AK26" s="87"/>
      <c r="AO26" s="133"/>
      <c r="AP26" s="16">
        <f t="shared" si="12"/>
        <v>0.11111677990074405</v>
      </c>
      <c r="AQ26" s="137"/>
      <c r="AR26" s="133"/>
    </row>
    <row r="27" spans="1:44" s="13" customFormat="1" x14ac:dyDescent="0.25">
      <c r="A27" s="14"/>
      <c r="B27" s="14"/>
      <c r="C27" s="14"/>
      <c r="D27" s="14"/>
      <c r="E27" s="14"/>
      <c r="F27" s="14"/>
      <c r="G27" s="14"/>
      <c r="H27" s="14"/>
      <c r="I27" s="14"/>
      <c r="J27" s="14"/>
      <c r="K27" s="14"/>
      <c r="L27" s="14"/>
      <c r="M27" s="14"/>
      <c r="N27" s="14"/>
      <c r="O27" s="14"/>
      <c r="P27" s="14"/>
      <c r="Q27" s="14"/>
      <c r="R27" s="14"/>
      <c r="S27" s="14"/>
      <c r="T27" s="14"/>
      <c r="U27" s="14"/>
      <c r="V27" s="14"/>
      <c r="W27" s="56"/>
      <c r="X27" s="56"/>
      <c r="Y27" s="56"/>
      <c r="Z27" s="56"/>
      <c r="AA27" s="56"/>
      <c r="AB27" s="56"/>
      <c r="AC27" s="56"/>
      <c r="AD27" s="56"/>
      <c r="AE27" s="56"/>
      <c r="AF27" s="56"/>
      <c r="AG27" s="56"/>
      <c r="AH27" s="56"/>
      <c r="AI27" s="56"/>
      <c r="AJ27" s="56"/>
      <c r="AK27" s="14"/>
      <c r="AL27" s="12"/>
    </row>
    <row r="28" spans="1:44" s="13" customFormat="1"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12"/>
    </row>
    <row r="29" spans="1:44" s="13" customFormat="1" ht="53" x14ac:dyDescent="0.3">
      <c r="A29" s="4" t="s">
        <v>1</v>
      </c>
      <c r="B29" s="4" t="s">
        <v>0</v>
      </c>
      <c r="C29" s="5" t="s">
        <v>2</v>
      </c>
      <c r="D29" s="111" t="s">
        <v>3</v>
      </c>
      <c r="E29" s="6" t="s">
        <v>4</v>
      </c>
      <c r="F29" s="6" t="s">
        <v>5</v>
      </c>
      <c r="G29" s="6" t="s">
        <v>6</v>
      </c>
      <c r="H29" s="6" t="s">
        <v>7</v>
      </c>
      <c r="I29" s="111" t="s">
        <v>188</v>
      </c>
      <c r="J29" s="5" t="s">
        <v>9</v>
      </c>
      <c r="K29" s="5" t="s">
        <v>10</v>
      </c>
      <c r="L29" s="5" t="s">
        <v>18</v>
      </c>
      <c r="M29" s="5" t="s">
        <v>19</v>
      </c>
      <c r="N29" s="5" t="s">
        <v>20</v>
      </c>
      <c r="O29" s="5" t="s">
        <v>21</v>
      </c>
      <c r="P29" s="110" t="s">
        <v>41</v>
      </c>
      <c r="Q29" s="110" t="s">
        <v>45</v>
      </c>
      <c r="R29" s="110" t="s">
        <v>22</v>
      </c>
      <c r="S29" s="110" t="s">
        <v>42</v>
      </c>
      <c r="T29" s="110" t="s">
        <v>63</v>
      </c>
      <c r="U29" s="110" t="s">
        <v>43</v>
      </c>
      <c r="V29" s="110" t="s">
        <v>44</v>
      </c>
      <c r="W29" s="110" t="s">
        <v>46</v>
      </c>
      <c r="X29" s="110" t="s">
        <v>47</v>
      </c>
      <c r="Y29" s="110" t="s">
        <v>48</v>
      </c>
      <c r="Z29" s="110" t="s">
        <v>49</v>
      </c>
      <c r="AA29" s="110" t="s">
        <v>50</v>
      </c>
      <c r="AB29" s="110" t="s">
        <v>51</v>
      </c>
      <c r="AC29" s="110" t="s">
        <v>52</v>
      </c>
      <c r="AD29" s="110" t="s">
        <v>53</v>
      </c>
      <c r="AE29" s="110" t="s">
        <v>54</v>
      </c>
      <c r="AF29" s="110" t="s">
        <v>55</v>
      </c>
      <c r="AG29" s="110" t="s">
        <v>56</v>
      </c>
      <c r="AH29" s="110" t="s">
        <v>57</v>
      </c>
      <c r="AI29" s="5" t="s">
        <v>186</v>
      </c>
      <c r="AJ29" s="5" t="s">
        <v>187</v>
      </c>
      <c r="AK29" s="5" t="s">
        <v>17</v>
      </c>
      <c r="AL29" s="7" t="s">
        <v>11</v>
      </c>
      <c r="AM29" s="7" t="s">
        <v>12</v>
      </c>
      <c r="AN29" s="7" t="s">
        <v>13</v>
      </c>
      <c r="AO29" s="7" t="s">
        <v>14</v>
      </c>
      <c r="AP29" s="7" t="s">
        <v>124</v>
      </c>
      <c r="AQ29" s="7" t="s">
        <v>15</v>
      </c>
      <c r="AR29" s="7" t="s">
        <v>16</v>
      </c>
    </row>
    <row r="30" spans="1:44" s="13" customFormat="1" ht="13" x14ac:dyDescent="0.3">
      <c r="A30" s="8" t="s">
        <v>27</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12"/>
    </row>
    <row r="31" spans="1:44" s="13" customFormat="1" ht="24" x14ac:dyDescent="0.3">
      <c r="A31" s="56"/>
      <c r="B31" s="17" t="s">
        <v>28</v>
      </c>
      <c r="C31" s="138">
        <v>4536560</v>
      </c>
      <c r="D31" s="107">
        <f>' LOT 4_CALCUL PREU PONDERAT'!F18</f>
        <v>3470488</v>
      </c>
      <c r="E31" s="115"/>
      <c r="F31" s="115"/>
      <c r="G31" s="115"/>
      <c r="H31" s="115"/>
      <c r="I31" s="109">
        <f>' LOT 4_CALCUL PREU PONDERAT'!M18</f>
        <v>31.760169255533903</v>
      </c>
      <c r="J31" s="109">
        <v>5</v>
      </c>
      <c r="K31" s="109">
        <v>6</v>
      </c>
      <c r="L31" s="27" t="s">
        <v>35</v>
      </c>
      <c r="M31" s="116">
        <f>ROUND(1*((12*4)/(12*4)),2)</f>
        <v>1</v>
      </c>
      <c r="N31" s="108">
        <v>12</v>
      </c>
      <c r="O31" s="116">
        <f>ROUND(((1/$N$33)*(N31)),2)</f>
        <v>0.03</v>
      </c>
      <c r="P31" s="117" t="s">
        <v>164</v>
      </c>
      <c r="Q31" s="120">
        <f>'LOT 4_ALTRES CALCULS'!G3+'LOT 4_ALTRES CALCULS'!G4+'LOT 4_ALTRES CALCULS'!G5+'LOT 4_ALTRES CALCULS'!G6</f>
        <v>6.4</v>
      </c>
      <c r="R31" s="119" t="s">
        <v>174</v>
      </c>
      <c r="S31" s="120">
        <f>'LOT 4_ALTRES CALCULS'!L3+'LOT 4_ALTRES CALCULS'!L4+'LOT 4_ALTRES CALCULS'!L5+'LOT 4_ALTRES CALCULS'!L6</f>
        <v>1.4</v>
      </c>
      <c r="T31" s="118" t="str">
        <f>'LOT 4_ALTRES CALCULS'!M3</f>
        <v>MVe (Expiratory Minute Volume), MVi (Inspiratory Minute Volume), TVe (Expiratory Tidal Volume), TVi (Inspiratory Tidal Volume), awRR (Airway Respiratory Rate), RR (Respiratory Rate), PEEP (Positive End-Expiratory Pressure), Pmedia (Mean Airway Pressure), PIP (Peak Inspiratory Pressure), Pplat (Plateau Pressure), PIF (Peak Inspiratory Flow), PEF (Peak Expiratory Flow), I:E (Inspiratory:Expiratory Ratio), FEV1.0 (Forced Expiratory Volume in 1 second), Compl (Compliance), RSBI (Rapid Shallow Breathing Index), NIF (Negative Inspiratory Force), WOB (Work of Breathing), RAW (Airway Resistance), CCO (Continuous Cardiac Output), C.O. (Cardiac Output), CCI / C.I. (Cardiac Index), SV (Stroke Volume), SVI (Stroke Volume Index), SVR (Systemic Vascular Resistance), SVRI (Systemic Vascular Resistance Index), RVEF (Right Ventricular Ejection Fraction), EDV (End Diastolic Volume), EDVI (End Diastolic Volume Index), ESV (End Systolic Volume), ESVI (End Systolic Volume Index), TB (Thoracic Bioimpedance), SaO₂ (Arterial O2 Saturation), VO₂ (Oxygen Consumption), O₂EI (O₂ Extraction Index), DO₂ (Oxygen Delivery), ScvO₂ (Central Venous O2 Saturation), SvO₂ (Mixed Venous O2 Saturation), SQI (Signal Quality Index), GEF (Global Ejection Fraction), CFI (Cardiac Function Index), GEDV (Global End-Diastolic Volume), ITBV (Intrathoracic Blood Volume), ITBI (Intrathoracic Blood Volume Index), EVLW (Extravascular Lung Water), EVWI (EVLW Index), PVPI (Pulmonary Vascular Permeability Index), Presión de la arteria pulmonar (AP), Presión aórtica (Ao), Presión arterial umbilical (PAU), PAB Presión de la arteria braquial, PAF Presión de la arteria femoral, PPC Presión de perfusión cerebral, PVC Presión venosa central, PRAI Presión de la aurícula izquierda, PAD Presión de la aurícula derecha, PIC Presión intracraneal, PVU Presión venosa umbilical, VI Presión del ventrículo izquierdo</v>
      </c>
      <c r="U31" s="132" t="s">
        <v>181</v>
      </c>
      <c r="V31" s="120">
        <f>'LOT 4_ALTRES CALCULS'!O3+'LOT 4_ALTRES CALCULS'!O4+'LOT 4_ALTRES CALCULS'!O5+'LOT 4_ALTRES CALCULS'!O6</f>
        <v>18.679999999999996</v>
      </c>
      <c r="W31" s="118" t="str">
        <f>'LOT 4_ALTRES CALCULS'!P3</f>
        <v>SI</v>
      </c>
      <c r="X31" s="118">
        <f>'LOT 4_ALTRES CALCULS'!Q3+'LOT 4_ALTRES CALCULS'!Q4+'LOT 4_ALTRES CALCULS'!Q5+'LOT 4_ALTRES CALCULS'!Q6</f>
        <v>8</v>
      </c>
      <c r="Y31" s="121" t="str">
        <f>'LOT 4_ALTRES CALCULS'!S17</f>
        <v>SÍ</v>
      </c>
      <c r="Z31" s="121">
        <f>'LOT 4_ALTRES CALCULS'!T17</f>
        <v>6</v>
      </c>
      <c r="AA31" s="122">
        <f>'LOT 4_ALTRES CALCULS'!U17</f>
        <v>0</v>
      </c>
      <c r="AB31" s="120">
        <f>'LOT 4_ALTRES CALCULS'!V17</f>
        <v>12</v>
      </c>
      <c r="AC31" s="118" t="str">
        <f>'LOT 4_ALTRES CALCULS'!W17</f>
        <v xml:space="preserve">Si, 5 elements mòbils. </v>
      </c>
      <c r="AD31" s="118">
        <f>'LOT 4_ALTRES CALCULS'!X17</f>
        <v>1.25</v>
      </c>
      <c r="AE31" s="118" t="str">
        <f>'LOT 4_ALTRES CALCULS'!Y17</f>
        <v>SÍ</v>
      </c>
      <c r="AF31" s="121">
        <f>'LOT 4_ALTRES CALCULS'!Z17</f>
        <v>4</v>
      </c>
      <c r="AG31" s="118" t="str">
        <f>'LOT 4_ALTRES CALCULS'!AA17</f>
        <v>SÍ</v>
      </c>
      <c r="AH31" s="120">
        <f>'LOT 4_ALTRES CALCULS'!AB17</f>
        <v>3</v>
      </c>
      <c r="AI31" s="121">
        <f>AH31+AF31+AD31+AB31+Z31+X31+V31+S31+Q31</f>
        <v>60.72999999999999</v>
      </c>
      <c r="AJ31" s="120">
        <f>'LOT 4_ALTRES CALCULS'!AE18</f>
        <v>13.417999999999999</v>
      </c>
      <c r="AK31" s="118">
        <v>34.64</v>
      </c>
      <c r="AL31" s="123">
        <f>AJ31+AK31+I31+K31+M31+O31</f>
        <v>86.848169255533904</v>
      </c>
      <c r="AM31" s="139">
        <f>AVERAGE(D31:D34)</f>
        <v>3981587.0824999996</v>
      </c>
      <c r="AN31" s="125">
        <f>-(1-(D31/$AM$31))*100</f>
        <v>-12.83656672351583</v>
      </c>
    </row>
    <row r="32" spans="1:44" s="13" customFormat="1" ht="36" x14ac:dyDescent="0.3">
      <c r="A32" s="56"/>
      <c r="B32" s="17" t="s">
        <v>29</v>
      </c>
      <c r="C32" s="138"/>
      <c r="D32" s="107">
        <f>' LOT 4_CALCUL PREU PONDERAT'!F35</f>
        <v>4056135.3299999991</v>
      </c>
      <c r="E32" s="115"/>
      <c r="F32" s="115"/>
      <c r="G32" s="115"/>
      <c r="H32" s="115"/>
      <c r="I32" s="109">
        <f>' LOT 4_CALCUL PREU PONDERAT'!M35</f>
        <v>29.537107477121214</v>
      </c>
      <c r="J32" s="109">
        <v>4</v>
      </c>
      <c r="K32" s="109">
        <v>4</v>
      </c>
      <c r="L32" s="27" t="s">
        <v>36</v>
      </c>
      <c r="M32" s="116">
        <f>ROUND(1*(((1*4)+(37*2)+(27*1))/(65*4)),2)</f>
        <v>0.4</v>
      </c>
      <c r="N32" s="108">
        <v>65</v>
      </c>
      <c r="O32" s="116">
        <f>ROUND(((1/$N$33)*(N32)),2)</f>
        <v>0.15</v>
      </c>
      <c r="P32" s="117" t="s">
        <v>165</v>
      </c>
      <c r="Q32" s="120">
        <f>'LOT 4_ALTRES CALCULS'!G20+'LOT 4_ALTRES CALCULS'!G21+'LOT 4_ALTRES CALCULS'!G22+'LOT 4_ALTRES CALCULS'!G23</f>
        <v>4.16</v>
      </c>
      <c r="R32" s="119" t="s">
        <v>175</v>
      </c>
      <c r="S32" s="120">
        <f>'LOT 4_ALTRES CALCULS'!L20+'LOT 4_ALTRES CALCULS'!L21+'LOT 4_ALTRES CALCULS'!L22+'LOT 4_ALTRES CALCULS'!L23</f>
        <v>0.16</v>
      </c>
      <c r="T32" s="118"/>
      <c r="U32" s="120">
        <f>'LOT 4_ALTRES CALCULS'!N20</f>
        <v>0</v>
      </c>
      <c r="V32" s="120">
        <f>'LOT 4_ALTRES CALCULS'!O20+'LOT 4_ALTRES CALCULS'!O21+'LOT 4_ALTRES CALCULS'!O22+'LOT 4_ALTRES CALCULS'!O23</f>
        <v>0</v>
      </c>
      <c r="W32" s="118" t="s">
        <v>61</v>
      </c>
      <c r="X32" s="118">
        <f>'LOT 4_ALTRES CALCULS'!Q20+'LOT 4_ALTRES CALCULS'!Q21+'LOT 4_ALTRES CALCULS'!Q22+'LOT 4_ALTRES CALCULS'!Q23</f>
        <v>0</v>
      </c>
      <c r="Y32" s="121" t="str">
        <f>'LOT 4_ALTRES CALCULS'!S34</f>
        <v>SÍ</v>
      </c>
      <c r="Z32" s="121">
        <f>'LOT 4_ALTRES CALCULS'!T34</f>
        <v>6</v>
      </c>
      <c r="AA32" s="122">
        <f>'LOT 4_ALTRES CALCULS'!U34</f>
        <v>972</v>
      </c>
      <c r="AB32" s="120">
        <f>'LOT 4_ALTRES CALCULS'!V34</f>
        <v>0</v>
      </c>
      <c r="AC32" s="121" t="str">
        <f>'LOT 4_ALTRES CALCULS'!W34</f>
        <v xml:space="preserve">Si, 16 elements mòbils. </v>
      </c>
      <c r="AD32" s="121">
        <f>'LOT 4_ALTRES CALCULS'!X34</f>
        <v>4</v>
      </c>
      <c r="AE32" s="121" t="str">
        <f>'LOT 4_ALTRES CALCULS'!Y34</f>
        <v>SÍ</v>
      </c>
      <c r="AF32" s="121">
        <f>'LOT 4_ALTRES CALCULS'!Z34</f>
        <v>4</v>
      </c>
      <c r="AG32" s="121" t="str">
        <f>'LOT 4_ALTRES CALCULS'!AA34</f>
        <v>SÍ</v>
      </c>
      <c r="AH32" s="120">
        <f>'LOT 4_ALTRES CALCULS'!AB34</f>
        <v>3</v>
      </c>
      <c r="AI32" s="121">
        <f>AH32+AF32+AD32+AB32+Z32+X32+V32+S32+Q32</f>
        <v>21.32</v>
      </c>
      <c r="AJ32" s="120">
        <f>'LOT 4_ALTRES CALCULS'!AE35</f>
        <v>3.0608000000000004</v>
      </c>
      <c r="AK32" s="118">
        <v>32.590000000000003</v>
      </c>
      <c r="AL32" s="124">
        <f>AJ32+AK32+I32+K32+M32+O32</f>
        <v>69.737907477121226</v>
      </c>
      <c r="AM32" s="140"/>
      <c r="AN32" s="125">
        <f>-(1-(D32/$AM$31))*100</f>
        <v>1.8723249286109134</v>
      </c>
    </row>
    <row r="33" spans="1:40" s="13" customFormat="1" ht="36" x14ac:dyDescent="0.3">
      <c r="A33" s="56"/>
      <c r="B33" s="17" t="s">
        <v>32</v>
      </c>
      <c r="C33" s="138"/>
      <c r="D33" s="107">
        <f>' LOT 4_CALCUL PREU PONDERAT'!F52</f>
        <v>4366035</v>
      </c>
      <c r="E33" s="115"/>
      <c r="F33" s="115"/>
      <c r="G33" s="115"/>
      <c r="H33" s="115"/>
      <c r="I33" s="109">
        <f>' LOT 4_CALCUL PREU PONDERAT'!M52</f>
        <v>27.820540101624438</v>
      </c>
      <c r="J33" s="109">
        <v>3.1</v>
      </c>
      <c r="K33" s="109">
        <v>2</v>
      </c>
      <c r="L33" s="27" t="s">
        <v>39</v>
      </c>
      <c r="M33" s="116">
        <f>ROUND(1*(((181*4)+(40*2)+(227*1))/(448*4)),2)</f>
        <v>0.57999999999999996</v>
      </c>
      <c r="N33" s="108">
        <v>448</v>
      </c>
      <c r="O33" s="116">
        <f>ROUND(((1/$N$33)*(N33)),2)</f>
        <v>1</v>
      </c>
      <c r="P33" s="117" t="s">
        <v>173</v>
      </c>
      <c r="Q33" s="120">
        <f>'LOT 4_ALTRES CALCULS'!G37+'LOT 4_ALTRES CALCULS'!G38+'LOT 4_ALTRES CALCULS'!G39+'LOT 4_ALTRES CALCULS'!G40</f>
        <v>8.9600000000000009</v>
      </c>
      <c r="R33" s="119" t="s">
        <v>176</v>
      </c>
      <c r="S33" s="120">
        <f>'LOT 4_ALTRES CALCULS'!L37+'LOT 4_ALTRES CALCULS'!L38+'LOT 4_ALTRES CALCULS'!L39+'LOT 4_ALTRES CALCULS'!L40</f>
        <v>0.8</v>
      </c>
      <c r="T33" s="118"/>
      <c r="U33" s="120">
        <f>'LOT 4_ALTRES CALCULS'!N37</f>
        <v>9</v>
      </c>
      <c r="V33" s="120">
        <f>'LOT 4_ALTRES CALCULS'!O37+'LOT 4_ALTRES CALCULS'!O38+'LOT 4_ALTRES CALCULS'!O39+'LOT 4_ALTRES CALCULS'!O40</f>
        <v>4.7200000000000006</v>
      </c>
      <c r="W33" s="118" t="str">
        <f>'LOT 4_ALTRES CALCULS'!P37</f>
        <v>SI</v>
      </c>
      <c r="X33" s="118">
        <f>'LOT 4_ALTRES CALCULS'!Q37+'LOT 4_ALTRES CALCULS'!Q38+'LOT 4_ALTRES CALCULS'!Q39+'LOT 4_ALTRES CALCULS'!Q40</f>
        <v>8</v>
      </c>
      <c r="Y33" s="121" t="str">
        <f>'LOT 4_ALTRES CALCULS'!S51</f>
        <v>NO</v>
      </c>
      <c r="Z33" s="121">
        <f>'LOT 4_ALTRES CALCULS'!T51</f>
        <v>0</v>
      </c>
      <c r="AA33" s="122">
        <f>'LOT 4_ALTRES CALCULS'!U51</f>
        <v>390</v>
      </c>
      <c r="AB33" s="120">
        <f>'LOT 4_ALTRES CALCULS'!V51</f>
        <v>0</v>
      </c>
      <c r="AC33" s="121" t="str">
        <f>'LOT 4_ALTRES CALCULS'!W51</f>
        <v>No inclou dispositius mòbils</v>
      </c>
      <c r="AD33" s="121">
        <f>'LOT 4_ALTRES CALCULS'!X51</f>
        <v>0</v>
      </c>
      <c r="AE33" s="121" t="str">
        <f>'LOT 4_ALTRES CALCULS'!Y51</f>
        <v>NO</v>
      </c>
      <c r="AF33" s="121">
        <f>'LOT 4_ALTRES CALCULS'!Z51</f>
        <v>0</v>
      </c>
      <c r="AG33" s="121" t="str">
        <f>'LOT 4_ALTRES CALCULS'!AA51</f>
        <v>NO</v>
      </c>
      <c r="AH33" s="120">
        <f>'LOT 4_ALTRES CALCULS'!AB51</f>
        <v>0</v>
      </c>
      <c r="AI33" s="121">
        <f>AH33+AF33+AD33+AB33+Z33+X33+V33+S33+Q33</f>
        <v>22.480000000000004</v>
      </c>
      <c r="AJ33" s="120">
        <f>'LOT 4_ALTRES CALCULS'!AE52</f>
        <v>7.168000000000001</v>
      </c>
      <c r="AK33" s="118">
        <v>40.369999999999997</v>
      </c>
      <c r="AL33" s="123">
        <f>AJ33+AK33+I33+K33+M33+O33</f>
        <v>78.93854010162444</v>
      </c>
      <c r="AM33" s="140"/>
      <c r="AN33" s="125">
        <f>-(1-(D33/$AM$31))*100</f>
        <v>9.6556450865972199</v>
      </c>
    </row>
    <row r="34" spans="1:40" s="13" customFormat="1" ht="36" x14ac:dyDescent="0.3">
      <c r="A34" s="56"/>
      <c r="B34" s="17" t="s">
        <v>30</v>
      </c>
      <c r="C34" s="138"/>
      <c r="D34" s="107">
        <f>' LOT 4_CALCUL PREU PONDERAT'!F69</f>
        <v>4033690</v>
      </c>
      <c r="E34" s="115"/>
      <c r="F34" s="115"/>
      <c r="G34" s="115"/>
      <c r="H34" s="115"/>
      <c r="I34" s="109">
        <f>' LOT 4_CALCUL PREU PONDERAT'!M69</f>
        <v>29.519388527798885</v>
      </c>
      <c r="J34" s="109">
        <v>5</v>
      </c>
      <c r="K34" s="109">
        <v>6</v>
      </c>
      <c r="L34" s="27" t="s">
        <v>37</v>
      </c>
      <c r="M34" s="116">
        <f>ROUND(1*(((8*4)+(4*2)+(2*1))/(14*4)),2)</f>
        <v>0.75</v>
      </c>
      <c r="N34" s="108">
        <v>14</v>
      </c>
      <c r="O34" s="116">
        <f>ROUND(((1/$N$33)*(N34)),2)</f>
        <v>0.03</v>
      </c>
      <c r="P34" s="117" t="s">
        <v>74</v>
      </c>
      <c r="Q34" s="120">
        <f>'LOT 4_ALTRES CALCULS'!G54+'LOT 4_ALTRES CALCULS'!G55+'LOT 4_ALTRES CALCULS'!G56+'LOT 4_ALTRES CALCULS'!G57</f>
        <v>6.92</v>
      </c>
      <c r="R34" s="119" t="s">
        <v>140</v>
      </c>
      <c r="S34" s="120">
        <f>'LOT 4_ALTRES CALCULS'!L54+'LOT 4_ALTRES CALCULS'!L55+'LOT 4_ALTRES CALCULS'!L56+'LOT 4_ALTRES CALCULS'!L57</f>
        <v>0.44</v>
      </c>
      <c r="T34" s="118"/>
      <c r="U34" s="132" t="s">
        <v>182</v>
      </c>
      <c r="V34" s="120">
        <f>'LOT 4_ALTRES CALCULS'!O54+'LOT 4_ALTRES CALCULS'!O55+'LOT 4_ALTRES CALCULS'!O56+'LOT 4_ALTRES CALCULS'!O57</f>
        <v>18.14</v>
      </c>
      <c r="W34" s="118" t="str">
        <f>'LOT 4_ALTRES CALCULS'!P54</f>
        <v>NO</v>
      </c>
      <c r="X34" s="118">
        <f>'LOT 4_ALTRES CALCULS'!Q54+'LOT 4_ALTRES CALCULS'!Q55+'LOT 4_ALTRES CALCULS'!Q56+'LOT 4_ALTRES CALCULS'!Q57</f>
        <v>0</v>
      </c>
      <c r="Y34" s="121" t="str">
        <f>'LOT 4_ALTRES CALCULS'!S68</f>
        <v>SÍ</v>
      </c>
      <c r="Z34" s="121">
        <f>'LOT 4_ALTRES CALCULS'!T68</f>
        <v>6</v>
      </c>
      <c r="AA34" s="122">
        <f>'LOT 4_ALTRES CALCULS'!U68</f>
        <v>700</v>
      </c>
      <c r="AB34" s="120">
        <f>'LOT 4_ALTRES CALCULS'!V68</f>
        <v>0</v>
      </c>
      <c r="AC34" s="121" t="str">
        <f>'LOT 4_ALTRES CALCULS'!W68</f>
        <v>No inclou dispositius mòbils</v>
      </c>
      <c r="AD34" s="121">
        <f>'LOT 4_ALTRES CALCULS'!X68</f>
        <v>0</v>
      </c>
      <c r="AE34" s="121" t="str">
        <f>'LOT 4_ALTRES CALCULS'!Y68</f>
        <v>SÍ</v>
      </c>
      <c r="AF34" s="121">
        <f>'LOT 4_ALTRES CALCULS'!Z68</f>
        <v>4</v>
      </c>
      <c r="AG34" s="121" t="str">
        <f>'LOT 4_ALTRES CALCULS'!AA68</f>
        <v>SÍ</v>
      </c>
      <c r="AH34" s="120">
        <f>'LOT 4_ALTRES CALCULS'!AB68</f>
        <v>3</v>
      </c>
      <c r="AI34" s="121">
        <f>AH34+AF34+AD34+AB34+Z34+X34+V34+S34+Q34</f>
        <v>38.5</v>
      </c>
      <c r="AJ34" s="120">
        <f>'LOT 4_ALTRES CALCULS'!AE69</f>
        <v>9.6208000000000009</v>
      </c>
      <c r="AK34" s="118">
        <v>32.590000000000003</v>
      </c>
      <c r="AL34" s="123">
        <f>AJ34+AK34+I34+K34+M34+O34</f>
        <v>78.510188527798888</v>
      </c>
      <c r="AM34" s="140"/>
      <c r="AN34" s="125">
        <f>-(1-(D34/$AM$31))*100</f>
        <v>1.3085967083077188</v>
      </c>
    </row>
    <row r="35" spans="1:40" s="13" customFormat="1" x14ac:dyDescent="0.25">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12"/>
    </row>
    <row r="38" spans="1:40" ht="69" customHeight="1" x14ac:dyDescent="0.25">
      <c r="A38" s="134" t="s">
        <v>62</v>
      </c>
      <c r="B38" s="134"/>
      <c r="C38" s="134"/>
      <c r="D38" s="134"/>
      <c r="K38" s="64"/>
    </row>
    <row r="40" spans="1:40" s="13" customFormat="1" ht="14.5" x14ac:dyDescent="0.35">
      <c r="A40" s="2" t="s">
        <v>183</v>
      </c>
      <c r="B40"/>
    </row>
    <row r="41" spans="1:40" s="13" customFormat="1" ht="14.5" x14ac:dyDescent="0.35">
      <c r="B41" s="40"/>
    </row>
    <row r="42" spans="1:40" x14ac:dyDescent="0.25">
      <c r="A42" s="2" t="s">
        <v>189</v>
      </c>
    </row>
  </sheetData>
  <mergeCells count="21">
    <mergeCell ref="AR14:AR17"/>
    <mergeCell ref="A5:M5"/>
    <mergeCell ref="C14:C17"/>
    <mergeCell ref="Y14:Y17"/>
    <mergeCell ref="AO14:AO17"/>
    <mergeCell ref="AQ14:AQ17"/>
    <mergeCell ref="C9:C11"/>
    <mergeCell ref="Y9:Y11"/>
    <mergeCell ref="AO9:AO11"/>
    <mergeCell ref="AQ9:AQ11"/>
    <mergeCell ref="AR9:AR11"/>
    <mergeCell ref="AR20:AR26"/>
    <mergeCell ref="A38:D38"/>
    <mergeCell ref="C20:C26"/>
    <mergeCell ref="Y20:Y26"/>
    <mergeCell ref="AO20:AO26"/>
    <mergeCell ref="AQ20:AQ26"/>
    <mergeCell ref="C31:C34"/>
    <mergeCell ref="AM31:AM34"/>
    <mergeCell ref="AA20:AA26"/>
    <mergeCell ref="AC20:AC26"/>
  </mergeCells>
  <pageMargins left="0.25" right="0.25" top="0.75" bottom="0.75" header="0.3" footer="0.3"/>
  <pageSetup paperSize="8" scale="65" fitToHeight="0" orientation="landscape"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29"/>
  <sheetViews>
    <sheetView topLeftCell="C1" workbookViewId="0">
      <selection activeCell="F1" sqref="F1"/>
    </sheetView>
  </sheetViews>
  <sheetFormatPr defaultColWidth="9.1796875" defaultRowHeight="14.5" x14ac:dyDescent="0.35"/>
  <cols>
    <col min="1" max="1" width="19" customWidth="1"/>
    <col min="2" max="2" width="32.81640625" customWidth="1"/>
    <col min="3" max="3" width="14.26953125" customWidth="1"/>
    <col min="4" max="4" width="13.54296875" customWidth="1"/>
    <col min="5" max="6" width="23.7265625" style="40" customWidth="1"/>
    <col min="7" max="7" width="15.81640625" customWidth="1"/>
    <col min="8" max="8" width="20.54296875" style="40" customWidth="1"/>
    <col min="9" max="9" width="34.453125" customWidth="1"/>
    <col min="10" max="10" width="9.453125" style="47" customWidth="1"/>
    <col min="11" max="11" width="16.81640625" style="40" customWidth="1"/>
    <col min="12" max="12" width="16.81640625" customWidth="1"/>
    <col min="13" max="13" width="17.453125" customWidth="1"/>
    <col min="14" max="14" width="26.54296875" customWidth="1"/>
  </cols>
  <sheetData>
    <row r="1" spans="1:15" x14ac:dyDescent="0.35">
      <c r="A1" t="s">
        <v>1</v>
      </c>
      <c r="B1" t="s">
        <v>0</v>
      </c>
      <c r="C1" t="s">
        <v>64</v>
      </c>
      <c r="D1" t="s">
        <v>65</v>
      </c>
      <c r="E1" s="40" t="s">
        <v>146</v>
      </c>
      <c r="F1" s="40" t="s">
        <v>200</v>
      </c>
      <c r="G1" t="s">
        <v>45</v>
      </c>
      <c r="H1" s="40" t="s">
        <v>136</v>
      </c>
      <c r="I1" t="s">
        <v>66</v>
      </c>
      <c r="J1" s="47" t="s">
        <v>67</v>
      </c>
      <c r="K1" s="40" t="s">
        <v>200</v>
      </c>
      <c r="L1" t="s">
        <v>42</v>
      </c>
      <c r="M1" t="s">
        <v>129</v>
      </c>
      <c r="N1" t="s">
        <v>128</v>
      </c>
      <c r="O1" t="s">
        <v>184</v>
      </c>
    </row>
    <row r="2" spans="1:15" x14ac:dyDescent="0.35">
      <c r="A2" t="s">
        <v>25</v>
      </c>
    </row>
    <row r="3" spans="1:15" ht="68.5" customHeight="1" x14ac:dyDescent="0.35">
      <c r="B3" s="52" t="s">
        <v>28</v>
      </c>
      <c r="C3" s="94">
        <v>11259</v>
      </c>
      <c r="D3" s="47">
        <v>8</v>
      </c>
      <c r="E3" s="93" t="s">
        <v>134</v>
      </c>
      <c r="F3" s="130">
        <f>C3/D3</f>
        <v>1407.375</v>
      </c>
      <c r="G3" s="49">
        <f>ROUND((2*(D3/$D$5))+(0.5*(($F$3)/(C3/D3))),2)</f>
        <v>1.26</v>
      </c>
      <c r="H3" s="48" t="s">
        <v>138</v>
      </c>
      <c r="I3" s="38">
        <v>13979</v>
      </c>
      <c r="J3" s="47">
        <v>162</v>
      </c>
      <c r="K3" s="38">
        <f>I3/J3</f>
        <v>86.290123456790127</v>
      </c>
      <c r="L3" s="49">
        <f>ROUND((0.25*(J3/$J$3))+(0.25*(($K$3)/(I3/J3))),2)</f>
        <v>0.5</v>
      </c>
      <c r="M3">
        <v>12</v>
      </c>
      <c r="N3" s="48" t="s">
        <v>125</v>
      </c>
      <c r="O3" s="66">
        <f>ROUND((4*(M3/$M$5)),2)</f>
        <v>1.5</v>
      </c>
    </row>
    <row r="4" spans="1:15" ht="42" customHeight="1" x14ac:dyDescent="0.35">
      <c r="B4" s="52" t="s">
        <v>29</v>
      </c>
      <c r="C4" s="47" t="s">
        <v>132</v>
      </c>
      <c r="D4" s="47" t="s">
        <v>68</v>
      </c>
      <c r="E4" s="47" t="s">
        <v>68</v>
      </c>
      <c r="F4" s="47" t="s">
        <v>201</v>
      </c>
      <c r="G4" s="129">
        <v>0</v>
      </c>
      <c r="H4" s="39"/>
      <c r="I4" s="91" t="s">
        <v>68</v>
      </c>
      <c r="J4" s="47" t="s">
        <v>68</v>
      </c>
      <c r="K4" s="49" t="s">
        <v>132</v>
      </c>
      <c r="L4" s="49">
        <v>0</v>
      </c>
      <c r="M4">
        <v>3</v>
      </c>
      <c r="N4" s="96" t="s">
        <v>130</v>
      </c>
      <c r="O4" s="66">
        <f>ROUND((4*(M4/$M$5)),2)</f>
        <v>0.38</v>
      </c>
    </row>
    <row r="5" spans="1:15" ht="68.5" customHeight="1" x14ac:dyDescent="0.35">
      <c r="B5" s="52" t="s">
        <v>30</v>
      </c>
      <c r="C5" s="94">
        <v>49804.9</v>
      </c>
      <c r="D5" s="47">
        <v>21</v>
      </c>
      <c r="E5" s="93" t="s">
        <v>133</v>
      </c>
      <c r="F5" s="130">
        <f>C5/D5</f>
        <v>2371.6619047619047</v>
      </c>
      <c r="G5" s="49">
        <f>ROUND((2*(D5/$D$5))+(0.5*(($F$3)/(C5/D5))),2)</f>
        <v>2.2999999999999998</v>
      </c>
      <c r="H5" s="48" t="s">
        <v>139</v>
      </c>
      <c r="I5" s="89">
        <v>20500.05</v>
      </c>
      <c r="J5" s="47">
        <v>56</v>
      </c>
      <c r="K5" s="38">
        <f>I5/J5</f>
        <v>366.0723214285714</v>
      </c>
      <c r="L5" s="49">
        <f>ROUND((0.25*(J5/$J$3))+(0.25*(($K$3)/(I5/J5))),2)</f>
        <v>0.15</v>
      </c>
      <c r="M5">
        <v>32</v>
      </c>
      <c r="N5" s="48" t="s">
        <v>131</v>
      </c>
      <c r="O5" s="66">
        <f>ROUND((4*(M5/$M$5)),2)</f>
        <v>4</v>
      </c>
    </row>
    <row r="6" spans="1:15" x14ac:dyDescent="0.35">
      <c r="B6" s="52"/>
      <c r="I6" s="88"/>
      <c r="K6" s="49"/>
      <c r="L6" s="49"/>
      <c r="O6" s="52"/>
    </row>
    <row r="7" spans="1:15" x14ac:dyDescent="0.35">
      <c r="B7" s="52"/>
      <c r="C7" s="38"/>
      <c r="I7" s="79"/>
      <c r="K7" s="49"/>
      <c r="L7" s="49"/>
      <c r="O7" s="52"/>
    </row>
    <row r="8" spans="1:15" ht="24.5" x14ac:dyDescent="0.35">
      <c r="A8" s="8" t="s">
        <v>24</v>
      </c>
      <c r="B8" s="80"/>
      <c r="C8" s="38"/>
      <c r="I8" s="79"/>
      <c r="K8" s="49"/>
      <c r="L8" s="49"/>
      <c r="O8" s="52"/>
    </row>
    <row r="9" spans="1:15" ht="38.25" customHeight="1" x14ac:dyDescent="0.35">
      <c r="A9" s="8"/>
      <c r="B9" s="51" t="s">
        <v>28</v>
      </c>
      <c r="C9" s="39" t="s">
        <v>68</v>
      </c>
      <c r="D9">
        <v>3</v>
      </c>
      <c r="E9" s="40" t="s">
        <v>69</v>
      </c>
      <c r="F9" s="40" t="s">
        <v>132</v>
      </c>
      <c r="G9" s="129">
        <v>0</v>
      </c>
      <c r="H9" s="40" t="s">
        <v>141</v>
      </c>
      <c r="I9" s="89">
        <v>4962</v>
      </c>
      <c r="J9" s="47">
        <v>76</v>
      </c>
      <c r="K9" s="38">
        <f>I9/J9</f>
        <v>65.28947368421052</v>
      </c>
      <c r="L9" s="49">
        <f>ROUND((0.25*(J9/$J$11))+(0.25*(($K$9)/(I9/J9))),2)</f>
        <v>0.4</v>
      </c>
      <c r="M9">
        <v>19</v>
      </c>
      <c r="N9" s="113" t="s">
        <v>192</v>
      </c>
      <c r="O9" s="66">
        <f>ROUND((4*(M9/$M$12)),2)</f>
        <v>2.38</v>
      </c>
    </row>
    <row r="10" spans="1:15" x14ac:dyDescent="0.35">
      <c r="A10" s="8"/>
      <c r="B10" s="51" t="s">
        <v>31</v>
      </c>
      <c r="C10" s="38">
        <v>12045.09</v>
      </c>
      <c r="D10">
        <v>8</v>
      </c>
      <c r="E10" t="s">
        <v>142</v>
      </c>
      <c r="F10" s="130">
        <f>C10/D10</f>
        <v>1505.63625</v>
      </c>
      <c r="G10" s="49">
        <f>ROUND((2*(D10/$D$12))+(0.5*(($F$10)/(C10/D10))),2)</f>
        <v>1.26</v>
      </c>
      <c r="H10" s="90" t="s">
        <v>156</v>
      </c>
      <c r="I10" s="89">
        <v>29194.13</v>
      </c>
      <c r="J10" s="99">
        <v>106</v>
      </c>
      <c r="K10" s="38">
        <f>I10/J10</f>
        <v>275.41632075471699</v>
      </c>
      <c r="L10" s="49">
        <f>ROUND((0.25*(J10/$J$11))+(0.25*(($K$9)/(I10/J10))),2)</f>
        <v>0.27</v>
      </c>
      <c r="M10">
        <v>7</v>
      </c>
      <c r="N10" s="92" t="s">
        <v>143</v>
      </c>
      <c r="O10" s="66">
        <f>ROUND((4*(M10/$M$12)),2)</f>
        <v>0.88</v>
      </c>
    </row>
    <row r="11" spans="1:15" ht="24" x14ac:dyDescent="0.35">
      <c r="A11" s="8"/>
      <c r="B11" s="51" t="s">
        <v>32</v>
      </c>
      <c r="C11" s="38">
        <v>20265</v>
      </c>
      <c r="D11">
        <v>9</v>
      </c>
      <c r="E11" s="40" t="s">
        <v>145</v>
      </c>
      <c r="F11" s="130">
        <f>C11/D11</f>
        <v>2251.6666666666665</v>
      </c>
      <c r="G11" s="49">
        <f>ROUND((2*(D11/$D$12))+(0.5*(($F$10)/(C11/D11))),2)</f>
        <v>1.19</v>
      </c>
      <c r="H11" s="40" t="s">
        <v>144</v>
      </c>
      <c r="I11" s="89">
        <v>34413.279999999999</v>
      </c>
      <c r="J11" s="47">
        <v>128</v>
      </c>
      <c r="K11" s="38">
        <f>I11/J11</f>
        <v>268.85374999999999</v>
      </c>
      <c r="L11" s="49">
        <f>ROUND((0.25*(J11/$J$11))+(0.25*(($K$9)/(I11/J11))),2)</f>
        <v>0.31</v>
      </c>
      <c r="M11">
        <v>0</v>
      </c>
      <c r="N11" s="92" t="s">
        <v>116</v>
      </c>
      <c r="O11" s="66">
        <f>ROUND((4*(M11/$M$12)),2)</f>
        <v>0</v>
      </c>
    </row>
    <row r="12" spans="1:15" x14ac:dyDescent="0.35">
      <c r="A12" s="8"/>
      <c r="B12" s="51" t="s">
        <v>30</v>
      </c>
      <c r="C12" s="38">
        <v>49804.9</v>
      </c>
      <c r="D12">
        <v>21</v>
      </c>
      <c r="E12" s="47" t="s">
        <v>133</v>
      </c>
      <c r="F12" s="130">
        <f>C12/D12</f>
        <v>2371.6619047619047</v>
      </c>
      <c r="G12" s="49">
        <f>ROUND((2*(D12/$D$12))+(0.5*(($F$10)/(C12/D12))),2)</f>
        <v>2.3199999999999998</v>
      </c>
      <c r="H12" s="92" t="s">
        <v>139</v>
      </c>
      <c r="I12" s="95">
        <v>20500.05</v>
      </c>
      <c r="J12" s="93">
        <v>56</v>
      </c>
      <c r="K12" s="38">
        <f>I12/J12</f>
        <v>366.0723214285714</v>
      </c>
      <c r="L12" s="49">
        <f>ROUND((0.25*(J12/$J$11))+(0.25*(($K$9)/(I12/J12))),2)</f>
        <v>0.15</v>
      </c>
      <c r="M12">
        <v>32</v>
      </c>
      <c r="N12" s="92" t="s">
        <v>131</v>
      </c>
      <c r="O12" s="66">
        <f>ROUND((4*(M12/$M$12)),2)</f>
        <v>4</v>
      </c>
    </row>
    <row r="13" spans="1:15" x14ac:dyDescent="0.35">
      <c r="B13" s="52"/>
      <c r="K13" s="49"/>
      <c r="L13" s="49"/>
      <c r="O13" s="52"/>
    </row>
    <row r="14" spans="1:15" x14ac:dyDescent="0.35">
      <c r="B14" s="52"/>
      <c r="K14" s="49"/>
      <c r="L14" s="49"/>
    </row>
    <row r="15" spans="1:15" ht="24.5" x14ac:dyDescent="0.35">
      <c r="A15" s="8" t="s">
        <v>26</v>
      </c>
      <c r="B15" s="80"/>
      <c r="K15" s="49"/>
      <c r="L15" s="49"/>
    </row>
    <row r="16" spans="1:15" x14ac:dyDescent="0.35">
      <c r="A16" s="8"/>
      <c r="B16" s="51" t="s">
        <v>28</v>
      </c>
      <c r="C16" s="38">
        <v>25499</v>
      </c>
      <c r="D16">
        <v>12</v>
      </c>
      <c r="E16" s="40" t="s">
        <v>155</v>
      </c>
      <c r="F16" s="130">
        <f>C16/D16</f>
        <v>2124.9166666666665</v>
      </c>
      <c r="G16" s="49">
        <f>ROUND((2*(D16/$D$22))+(0.5*(($F$17)/(C16/D16))),2)</f>
        <v>1.25</v>
      </c>
      <c r="H16" s="40" t="s">
        <v>148</v>
      </c>
      <c r="I16" s="38">
        <v>18195</v>
      </c>
      <c r="J16" s="47">
        <v>171</v>
      </c>
      <c r="K16" s="38">
        <f t="shared" ref="K16:K22" si="0">I16/J16</f>
        <v>106.40350877192982</v>
      </c>
      <c r="L16" s="49">
        <f t="shared" ref="L16:L22" si="1">ROUND((0.25*(J16/$J$16))+(0.25*(($K$16)/(I16/J16))),2)</f>
        <v>0.5</v>
      </c>
      <c r="M16">
        <v>12</v>
      </c>
      <c r="N16" s="92" t="s">
        <v>125</v>
      </c>
      <c r="O16" s="66">
        <f>ROUND((4*(M16/$M$22)),2)</f>
        <v>1.5</v>
      </c>
    </row>
    <row r="17" spans="1:15" x14ac:dyDescent="0.35">
      <c r="A17" s="8"/>
      <c r="B17" s="51" t="s">
        <v>33</v>
      </c>
      <c r="C17" s="38">
        <v>3929.5</v>
      </c>
      <c r="D17">
        <v>9</v>
      </c>
      <c r="E17" s="40" t="s">
        <v>150</v>
      </c>
      <c r="F17" s="130">
        <f>C17/D17</f>
        <v>436.61111111111109</v>
      </c>
      <c r="G17" s="49">
        <f>ROUND((2*(D17/$D$22))+(0.5*(($F$17)/(C17/D17))),2)</f>
        <v>1.36</v>
      </c>
      <c r="H17" t="s">
        <v>149</v>
      </c>
      <c r="I17" s="38">
        <v>1441.75</v>
      </c>
      <c r="J17" s="47">
        <v>13</v>
      </c>
      <c r="K17" s="38">
        <f t="shared" si="0"/>
        <v>110.90384615384616</v>
      </c>
      <c r="L17" s="49">
        <f t="shared" si="1"/>
        <v>0.26</v>
      </c>
      <c r="M17">
        <v>1</v>
      </c>
      <c r="N17" s="92" t="s">
        <v>120</v>
      </c>
      <c r="O17" s="66">
        <f t="shared" ref="O17:O22" si="2">ROUND((4*(M17/$M$22)),2)</f>
        <v>0.13</v>
      </c>
    </row>
    <row r="18" spans="1:15" x14ac:dyDescent="0.35">
      <c r="A18" s="8"/>
      <c r="B18" s="97" t="s">
        <v>29</v>
      </c>
      <c r="C18" s="98" t="s">
        <v>68</v>
      </c>
      <c r="D18" s="98" t="s">
        <v>68</v>
      </c>
      <c r="E18" s="98" t="s">
        <v>132</v>
      </c>
      <c r="F18" s="98" t="s">
        <v>132</v>
      </c>
      <c r="G18" s="131">
        <v>0</v>
      </c>
      <c r="H18" s="90" t="s">
        <v>152</v>
      </c>
      <c r="I18" s="89">
        <v>4261</v>
      </c>
      <c r="J18" s="99">
        <v>2</v>
      </c>
      <c r="K18" s="38">
        <f t="shared" si="0"/>
        <v>2130.5</v>
      </c>
      <c r="L18" s="49">
        <f t="shared" si="1"/>
        <v>0.02</v>
      </c>
      <c r="M18">
        <v>0</v>
      </c>
      <c r="N18" t="s">
        <v>151</v>
      </c>
      <c r="O18" s="66">
        <f t="shared" si="2"/>
        <v>0</v>
      </c>
    </row>
    <row r="19" spans="1:15" x14ac:dyDescent="0.35">
      <c r="A19" s="8"/>
      <c r="B19" s="97" t="s">
        <v>31</v>
      </c>
      <c r="C19" s="89">
        <v>12045.09</v>
      </c>
      <c r="D19" s="90">
        <v>8</v>
      </c>
      <c r="E19" s="40" t="s">
        <v>142</v>
      </c>
      <c r="F19" s="130">
        <f>C19/D19</f>
        <v>1505.63625</v>
      </c>
      <c r="G19" s="49">
        <f>ROUND((2*(D19/$D$22))+(0.5*(($F$17)/(C19/D19))),2)</f>
        <v>0.91</v>
      </c>
      <c r="H19" s="90" t="s">
        <v>156</v>
      </c>
      <c r="I19" s="89">
        <v>32189.56</v>
      </c>
      <c r="J19" s="99">
        <v>111</v>
      </c>
      <c r="K19" s="38">
        <f t="shared" si="0"/>
        <v>289.99603603603606</v>
      </c>
      <c r="L19" s="49">
        <f t="shared" si="1"/>
        <v>0.25</v>
      </c>
      <c r="M19" s="40">
        <v>7</v>
      </c>
      <c r="N19" s="92" t="s">
        <v>143</v>
      </c>
      <c r="O19" s="66">
        <f t="shared" si="2"/>
        <v>0.88</v>
      </c>
    </row>
    <row r="20" spans="1:15" ht="24" x14ac:dyDescent="0.35">
      <c r="A20" s="8"/>
      <c r="B20" s="97" t="s">
        <v>32</v>
      </c>
      <c r="C20" s="89">
        <v>20265</v>
      </c>
      <c r="D20" s="90">
        <v>9</v>
      </c>
      <c r="E20" s="40" t="s">
        <v>145</v>
      </c>
      <c r="F20" s="130">
        <f>C20/D20</f>
        <v>2251.6666666666665</v>
      </c>
      <c r="G20" s="49">
        <f>ROUND((2*(D20/$D$22))+(0.5*(($F$17)/(C20/D20))),2)</f>
        <v>0.95</v>
      </c>
      <c r="H20" s="90" t="s">
        <v>159</v>
      </c>
      <c r="I20" s="89">
        <v>33971.730000000003</v>
      </c>
      <c r="J20" s="99">
        <v>127</v>
      </c>
      <c r="K20" s="38">
        <f t="shared" si="0"/>
        <v>267.49393700787402</v>
      </c>
      <c r="L20" s="49">
        <f t="shared" si="1"/>
        <v>0.28999999999999998</v>
      </c>
      <c r="M20" s="40">
        <v>0</v>
      </c>
      <c r="N20" s="40" t="s">
        <v>151</v>
      </c>
      <c r="O20" s="66">
        <f t="shared" si="2"/>
        <v>0</v>
      </c>
    </row>
    <row r="21" spans="1:15" x14ac:dyDescent="0.35">
      <c r="A21" s="8"/>
      <c r="B21" s="97" t="s">
        <v>34</v>
      </c>
      <c r="C21" s="89">
        <v>4644.2299999999996</v>
      </c>
      <c r="D21" s="90">
        <v>7</v>
      </c>
      <c r="E21" t="s">
        <v>160</v>
      </c>
      <c r="F21" s="130">
        <f>C21/D21</f>
        <v>663.46142857142854</v>
      </c>
      <c r="G21" s="49">
        <f>ROUND((2*(D21/$D$22))+(0.5*(($F$17)/(C21/D21))),2)</f>
        <v>1</v>
      </c>
      <c r="H21" s="90" t="s">
        <v>162</v>
      </c>
      <c r="I21" s="89">
        <v>32926.18</v>
      </c>
      <c r="J21" s="99">
        <v>98</v>
      </c>
      <c r="K21" s="38">
        <f t="shared" si="0"/>
        <v>335.98142857142858</v>
      </c>
      <c r="L21" s="49">
        <f t="shared" si="1"/>
        <v>0.22</v>
      </c>
      <c r="M21">
        <v>2</v>
      </c>
      <c r="N21" s="40" t="s">
        <v>119</v>
      </c>
      <c r="O21" s="66">
        <f t="shared" si="2"/>
        <v>0.25</v>
      </c>
    </row>
    <row r="22" spans="1:15" x14ac:dyDescent="0.35">
      <c r="A22" s="8"/>
      <c r="B22" s="97" t="s">
        <v>30</v>
      </c>
      <c r="C22" s="89">
        <v>49804.9</v>
      </c>
      <c r="D22" s="90">
        <v>21</v>
      </c>
      <c r="E22" s="47" t="s">
        <v>133</v>
      </c>
      <c r="F22" s="130">
        <f>C22/D22</f>
        <v>2371.6619047619047</v>
      </c>
      <c r="G22" s="49">
        <f>ROUND((2*(D22/$D$22))+(0.5*(($F$17)/(C22/D22))),2)</f>
        <v>2.09</v>
      </c>
      <c r="H22" s="92" t="s">
        <v>163</v>
      </c>
      <c r="I22" s="95">
        <v>27119.08</v>
      </c>
      <c r="J22" s="93">
        <v>69</v>
      </c>
      <c r="K22" s="38">
        <f t="shared" si="0"/>
        <v>393.03014492753624</v>
      </c>
      <c r="L22" s="49">
        <f t="shared" si="1"/>
        <v>0.17</v>
      </c>
      <c r="M22" s="40">
        <v>32</v>
      </c>
      <c r="N22" s="92" t="s">
        <v>131</v>
      </c>
      <c r="O22" s="66">
        <f t="shared" si="2"/>
        <v>4</v>
      </c>
    </row>
    <row r="23" spans="1:15" x14ac:dyDescent="0.35">
      <c r="B23" s="52"/>
    </row>
    <row r="24" spans="1:15" x14ac:dyDescent="0.35">
      <c r="B24" s="52"/>
    </row>
    <row r="25" spans="1:15" x14ac:dyDescent="0.35">
      <c r="A25" s="8"/>
      <c r="B25" s="80"/>
    </row>
    <row r="26" spans="1:15" x14ac:dyDescent="0.35">
      <c r="A26" s="8"/>
      <c r="B26" s="51"/>
      <c r="C26" s="38"/>
      <c r="I26" s="38"/>
    </row>
    <row r="27" spans="1:15" x14ac:dyDescent="0.35">
      <c r="A27" s="8"/>
      <c r="B27" s="51"/>
      <c r="I27" s="38"/>
    </row>
    <row r="28" spans="1:15" x14ac:dyDescent="0.35">
      <c r="A28" s="8"/>
      <c r="B28" s="51"/>
    </row>
    <row r="29" spans="1:15" x14ac:dyDescent="0.35">
      <c r="A29" s="8"/>
      <c r="B29" s="51"/>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69"/>
  <sheetViews>
    <sheetView zoomScale="110" zoomScaleNormal="110" workbookViewId="0">
      <selection activeCell="F1" sqref="F1:K1048576"/>
    </sheetView>
  </sheetViews>
  <sheetFormatPr defaultColWidth="9.1796875" defaultRowHeight="14.5" x14ac:dyDescent="0.35"/>
  <cols>
    <col min="1" max="1" width="17.1796875" customWidth="1"/>
    <col min="2" max="2" width="50.1796875" customWidth="1"/>
    <col min="3" max="3" width="13.26953125" style="40" customWidth="1"/>
    <col min="4" max="4" width="17" style="47" customWidth="1"/>
    <col min="5" max="5" width="21.453125" style="40" customWidth="1"/>
    <col min="6" max="9" width="18.54296875" style="47" customWidth="1"/>
    <col min="10" max="10" width="10.1796875" style="47" customWidth="1"/>
    <col min="11" max="11" width="8.7265625" customWidth="1"/>
    <col min="12" max="12" width="13.54296875" customWidth="1"/>
    <col min="13" max="13" width="13.54296875" style="40" customWidth="1"/>
    <col min="14" max="15" width="16.81640625" style="13" customWidth="1"/>
  </cols>
  <sheetData>
    <row r="1" spans="1:15" ht="28.5" x14ac:dyDescent="0.35">
      <c r="A1" s="8" t="s">
        <v>27</v>
      </c>
      <c r="C1" s="75" t="s">
        <v>96</v>
      </c>
      <c r="D1" s="75" t="s">
        <v>97</v>
      </c>
      <c r="E1" s="75" t="s">
        <v>123</v>
      </c>
      <c r="F1" s="75" t="s">
        <v>122</v>
      </c>
      <c r="G1" s="75" t="s">
        <v>4</v>
      </c>
      <c r="H1" s="75" t="s">
        <v>5</v>
      </c>
      <c r="I1" s="75" t="s">
        <v>6</v>
      </c>
      <c r="J1" s="75" t="s">
        <v>7</v>
      </c>
      <c r="K1" s="75" t="s">
        <v>8</v>
      </c>
      <c r="L1" s="75" t="s">
        <v>94</v>
      </c>
      <c r="M1" s="75" t="s">
        <v>95</v>
      </c>
      <c r="N1" s="75" t="s">
        <v>12</v>
      </c>
      <c r="O1" s="75" t="s">
        <v>13</v>
      </c>
    </row>
    <row r="2" spans="1:15" s="40" customFormat="1" x14ac:dyDescent="0.35">
      <c r="A2" s="8"/>
      <c r="B2" s="51" t="s">
        <v>28</v>
      </c>
      <c r="C2" s="51"/>
      <c r="D2" s="51"/>
      <c r="E2" s="51"/>
      <c r="F2" s="53"/>
      <c r="G2" s="53"/>
      <c r="H2" s="53"/>
      <c r="I2" s="53"/>
      <c r="J2" s="53"/>
      <c r="K2" s="46"/>
      <c r="L2" s="46"/>
      <c r="M2" s="46"/>
    </row>
    <row r="3" spans="1:15" ht="14.5" customHeight="1" x14ac:dyDescent="0.35">
      <c r="A3" s="40">
        <v>1310311110</v>
      </c>
      <c r="B3" s="52" t="s">
        <v>75</v>
      </c>
      <c r="C3" s="58">
        <v>23</v>
      </c>
      <c r="D3" s="50">
        <v>17200</v>
      </c>
      <c r="E3" s="50">
        <f>C3*D3</f>
        <v>395600</v>
      </c>
      <c r="F3" s="55">
        <v>300610</v>
      </c>
      <c r="G3" s="45">
        <f>F3-MIN($F$3,$F20,$F$37,$F$54)</f>
        <v>0</v>
      </c>
      <c r="H3" s="59">
        <f t="shared" ref="H3:H17" si="0">G3/E3</f>
        <v>0</v>
      </c>
      <c r="I3" s="61">
        <f>H3/1.5</f>
        <v>0</v>
      </c>
      <c r="J3" s="61">
        <f>1-I3</f>
        <v>1</v>
      </c>
      <c r="K3" s="49">
        <f>J3*32</f>
        <v>32</v>
      </c>
      <c r="L3" s="49">
        <v>0.1</v>
      </c>
      <c r="M3" s="49">
        <f>K3*L3</f>
        <v>3.2</v>
      </c>
      <c r="N3" s="145">
        <f>AVERAGE($F$18,$F$35,$F52,$F$69)</f>
        <v>3981587.0824999996</v>
      </c>
      <c r="O3" s="146">
        <f>(1-(F18/$N$3))*100</f>
        <v>12.83656672351583</v>
      </c>
    </row>
    <row r="4" spans="1:15" ht="14.5" customHeight="1" x14ac:dyDescent="0.35">
      <c r="A4" s="40">
        <v>1310310100</v>
      </c>
      <c r="B4" s="52" t="s">
        <v>90</v>
      </c>
      <c r="C4" s="58">
        <v>69</v>
      </c>
      <c r="D4" s="50">
        <v>9500</v>
      </c>
      <c r="E4" s="50">
        <f t="shared" ref="E4:E17" si="1">C4*D4</f>
        <v>655500</v>
      </c>
      <c r="F4" s="55">
        <v>578151</v>
      </c>
      <c r="G4" s="45">
        <f>F4-MIN($F$4,$F21,$F$38,$F$55)</f>
        <v>16452.359999999986</v>
      </c>
      <c r="H4" s="59">
        <f t="shared" si="0"/>
        <v>2.509894736842103E-2</v>
      </c>
      <c r="I4" s="61">
        <f t="shared" ref="I4:I17" si="2">H4/1.5</f>
        <v>1.6732631578947353E-2</v>
      </c>
      <c r="J4" s="61">
        <f t="shared" ref="J4:J17" si="3">1-I4</f>
        <v>0.98326736842105267</v>
      </c>
      <c r="K4" s="49">
        <f t="shared" ref="K4:K17" si="4">J4*32</f>
        <v>31.464555789473685</v>
      </c>
      <c r="L4" s="49">
        <v>0.16</v>
      </c>
      <c r="M4" s="49">
        <f t="shared" ref="M4:M17" si="5">K4*L4</f>
        <v>5.0343289263157898</v>
      </c>
      <c r="N4" s="145"/>
      <c r="O4" s="146"/>
    </row>
    <row r="5" spans="1:15" ht="14.5" customHeight="1" x14ac:dyDescent="0.35">
      <c r="A5" s="40">
        <v>1310310300</v>
      </c>
      <c r="B5" s="52" t="s">
        <v>91</v>
      </c>
      <c r="C5" s="58">
        <v>72</v>
      </c>
      <c r="D5" s="50">
        <v>11500</v>
      </c>
      <c r="E5" s="50">
        <f t="shared" si="1"/>
        <v>828000</v>
      </c>
      <c r="F5" s="55">
        <v>632160</v>
      </c>
      <c r="G5" s="45">
        <f>F5-MIN($F$5,$F22,$F$39,$F$56)</f>
        <v>0</v>
      </c>
      <c r="H5" s="59">
        <f t="shared" si="0"/>
        <v>0</v>
      </c>
      <c r="I5" s="61">
        <f t="shared" si="2"/>
        <v>0</v>
      </c>
      <c r="J5" s="61">
        <f t="shared" si="3"/>
        <v>1</v>
      </c>
      <c r="K5" s="49">
        <f t="shared" si="4"/>
        <v>32</v>
      </c>
      <c r="L5" s="49">
        <v>0.19</v>
      </c>
      <c r="M5" s="49">
        <f t="shared" si="5"/>
        <v>6.08</v>
      </c>
      <c r="N5" s="145"/>
      <c r="O5" s="146"/>
    </row>
    <row r="6" spans="1:15" ht="14.5" customHeight="1" x14ac:dyDescent="0.35">
      <c r="A6" s="40">
        <v>1310310400</v>
      </c>
      <c r="B6" s="52" t="s">
        <v>92</v>
      </c>
      <c r="C6" s="58">
        <v>106</v>
      </c>
      <c r="D6" s="50">
        <v>13500</v>
      </c>
      <c r="E6" s="50">
        <f t="shared" si="1"/>
        <v>1431000</v>
      </c>
      <c r="F6" s="55">
        <v>1190592</v>
      </c>
      <c r="G6" s="45">
        <f>F6-MIN($F$6,$F23,$F$40,$F$57)</f>
        <v>0</v>
      </c>
      <c r="H6" s="59">
        <f t="shared" si="0"/>
        <v>0</v>
      </c>
      <c r="I6" s="61">
        <f t="shared" si="2"/>
        <v>0</v>
      </c>
      <c r="J6" s="61">
        <f t="shared" si="3"/>
        <v>1</v>
      </c>
      <c r="K6" s="49">
        <f t="shared" si="4"/>
        <v>32</v>
      </c>
      <c r="L6" s="49">
        <v>0.34</v>
      </c>
      <c r="M6" s="49">
        <f t="shared" si="5"/>
        <v>10.88</v>
      </c>
      <c r="N6" s="145"/>
      <c r="O6" s="146"/>
    </row>
    <row r="7" spans="1:15" ht="14.5" customHeight="1" x14ac:dyDescent="0.35">
      <c r="A7" s="40">
        <v>1311010111</v>
      </c>
      <c r="B7" s="52" t="s">
        <v>79</v>
      </c>
      <c r="C7" s="58">
        <v>106</v>
      </c>
      <c r="D7" s="50">
        <v>700</v>
      </c>
      <c r="E7" s="50">
        <f t="shared" si="1"/>
        <v>74200</v>
      </c>
      <c r="F7" s="55">
        <v>30634</v>
      </c>
      <c r="G7" s="45">
        <f>F7-MIN($F$7,$F24,$F$41,$F$58)</f>
        <v>0</v>
      </c>
      <c r="H7" s="59">
        <f t="shared" si="0"/>
        <v>0</v>
      </c>
      <c r="I7" s="61">
        <f t="shared" si="2"/>
        <v>0</v>
      </c>
      <c r="J7" s="61">
        <f t="shared" si="3"/>
        <v>1</v>
      </c>
      <c r="K7" s="49">
        <f t="shared" si="4"/>
        <v>32</v>
      </c>
      <c r="L7" s="49">
        <v>0.01</v>
      </c>
      <c r="M7" s="49">
        <f t="shared" si="5"/>
        <v>0.32</v>
      </c>
      <c r="N7" s="145"/>
      <c r="O7" s="146"/>
    </row>
    <row r="8" spans="1:15" ht="14.5" customHeight="1" x14ac:dyDescent="0.35">
      <c r="A8" s="40">
        <v>1311010123</v>
      </c>
      <c r="B8" s="52" t="s">
        <v>80</v>
      </c>
      <c r="C8" s="58">
        <v>52</v>
      </c>
      <c r="D8" s="50">
        <v>1500</v>
      </c>
      <c r="E8" s="50">
        <f t="shared" si="1"/>
        <v>78000</v>
      </c>
      <c r="F8" s="55">
        <v>51376</v>
      </c>
      <c r="G8" s="45">
        <f>F8-MIN($F$8,$F25,$F$42,$F$59)</f>
        <v>0</v>
      </c>
      <c r="H8" s="59">
        <f t="shared" si="0"/>
        <v>0</v>
      </c>
      <c r="I8" s="61">
        <f t="shared" si="2"/>
        <v>0</v>
      </c>
      <c r="J8" s="61">
        <f t="shared" si="3"/>
        <v>1</v>
      </c>
      <c r="K8" s="49">
        <f t="shared" si="4"/>
        <v>32</v>
      </c>
      <c r="L8" s="49">
        <v>0.01</v>
      </c>
      <c r="M8" s="49">
        <f t="shared" si="5"/>
        <v>0.32</v>
      </c>
      <c r="N8" s="145"/>
      <c r="O8" s="146"/>
    </row>
    <row r="9" spans="1:15" ht="14.5" customHeight="1" x14ac:dyDescent="0.35">
      <c r="A9" s="40">
        <v>1311010124</v>
      </c>
      <c r="B9" s="52" t="s">
        <v>81</v>
      </c>
      <c r="C9" s="58">
        <v>21</v>
      </c>
      <c r="D9" s="50">
        <v>3700</v>
      </c>
      <c r="E9" s="50">
        <f t="shared" si="1"/>
        <v>77700</v>
      </c>
      <c r="F9" s="55">
        <v>36393</v>
      </c>
      <c r="G9" s="45">
        <f>F9-MIN($F$9,$F26,$F$43,$F$60)</f>
        <v>0</v>
      </c>
      <c r="H9" s="59">
        <f t="shared" si="0"/>
        <v>0</v>
      </c>
      <c r="I9" s="61">
        <f t="shared" si="2"/>
        <v>0</v>
      </c>
      <c r="J9" s="61">
        <f t="shared" si="3"/>
        <v>1</v>
      </c>
      <c r="K9" s="49">
        <f t="shared" si="4"/>
        <v>32</v>
      </c>
      <c r="L9" s="49">
        <v>0.01</v>
      </c>
      <c r="M9" s="49">
        <f t="shared" si="5"/>
        <v>0.32</v>
      </c>
      <c r="N9" s="145"/>
      <c r="O9" s="146"/>
    </row>
    <row r="10" spans="1:15" ht="14.5" customHeight="1" x14ac:dyDescent="0.35">
      <c r="A10" s="40">
        <v>1311010105</v>
      </c>
      <c r="B10" s="52" t="s">
        <v>82</v>
      </c>
      <c r="C10" s="58">
        <v>72</v>
      </c>
      <c r="D10" s="50">
        <v>2700</v>
      </c>
      <c r="E10" s="50">
        <f t="shared" si="1"/>
        <v>194400</v>
      </c>
      <c r="F10" s="55">
        <v>106632</v>
      </c>
      <c r="G10" s="45">
        <f>F10-MIN($F$9,$F27,$F$43,$F$61)</f>
        <v>70239</v>
      </c>
      <c r="H10" s="59">
        <f t="shared" si="0"/>
        <v>0.3613117283950617</v>
      </c>
      <c r="I10" s="61">
        <f t="shared" si="2"/>
        <v>0.24087448559670779</v>
      </c>
      <c r="J10" s="61">
        <f t="shared" si="3"/>
        <v>0.75912551440329223</v>
      </c>
      <c r="K10" s="49">
        <f t="shared" si="4"/>
        <v>24.292016460905351</v>
      </c>
      <c r="L10" s="49">
        <v>0.02</v>
      </c>
      <c r="M10" s="49">
        <f t="shared" si="5"/>
        <v>0.48584032921810705</v>
      </c>
      <c r="N10" s="145"/>
      <c r="O10" s="146"/>
    </row>
    <row r="11" spans="1:15" ht="14.5" customHeight="1" x14ac:dyDescent="0.35">
      <c r="A11" s="40">
        <v>1311010114</v>
      </c>
      <c r="B11" s="52" t="s">
        <v>83</v>
      </c>
      <c r="C11" s="58">
        <v>36</v>
      </c>
      <c r="D11" s="50">
        <v>500</v>
      </c>
      <c r="E11" s="50">
        <f t="shared" si="1"/>
        <v>18000</v>
      </c>
      <c r="F11" s="55">
        <v>8424</v>
      </c>
      <c r="G11" s="45">
        <f>F11-MIN($F$11,$F28,$F$45,$F$62)</f>
        <v>0</v>
      </c>
      <c r="H11" s="59">
        <f t="shared" si="0"/>
        <v>0</v>
      </c>
      <c r="I11" s="61">
        <f t="shared" si="2"/>
        <v>0</v>
      </c>
      <c r="J11" s="61">
        <f t="shared" si="3"/>
        <v>1</v>
      </c>
      <c r="K11" s="49">
        <f t="shared" si="4"/>
        <v>32</v>
      </c>
      <c r="L11" s="49">
        <v>0.01</v>
      </c>
      <c r="M11" s="49">
        <f t="shared" si="5"/>
        <v>0.32</v>
      </c>
      <c r="N11" s="145"/>
      <c r="O11" s="146"/>
    </row>
    <row r="12" spans="1:15" ht="14.5" customHeight="1" x14ac:dyDescent="0.35">
      <c r="A12" s="40">
        <v>1311010130</v>
      </c>
      <c r="B12" s="52" t="s">
        <v>84</v>
      </c>
      <c r="C12" s="58">
        <v>30</v>
      </c>
      <c r="D12" s="50">
        <v>6700</v>
      </c>
      <c r="E12" s="50">
        <f t="shared" si="1"/>
        <v>201000</v>
      </c>
      <c r="F12" s="55">
        <v>126270</v>
      </c>
      <c r="G12" s="45">
        <f>F12-MIN($F$12,$F29,$F$46,$F$63)</f>
        <v>0</v>
      </c>
      <c r="H12" s="59">
        <f t="shared" si="0"/>
        <v>0</v>
      </c>
      <c r="I12" s="61">
        <f t="shared" si="2"/>
        <v>0</v>
      </c>
      <c r="J12" s="61">
        <f t="shared" si="3"/>
        <v>1</v>
      </c>
      <c r="K12" s="49">
        <f t="shared" si="4"/>
        <v>32</v>
      </c>
      <c r="L12" s="49">
        <v>0.02</v>
      </c>
      <c r="M12" s="49">
        <f t="shared" si="5"/>
        <v>0.64</v>
      </c>
      <c r="N12" s="145"/>
      <c r="O12" s="146"/>
    </row>
    <row r="13" spans="1:15" x14ac:dyDescent="0.35">
      <c r="A13">
        <v>1311010125</v>
      </c>
      <c r="B13" s="51" t="s">
        <v>85</v>
      </c>
      <c r="C13" s="51">
        <v>30</v>
      </c>
      <c r="D13" s="50">
        <v>2000</v>
      </c>
      <c r="E13" s="50">
        <f t="shared" si="1"/>
        <v>60000</v>
      </c>
      <c r="F13" s="55">
        <v>30240</v>
      </c>
      <c r="G13" s="45">
        <f>F13-MIN($F$13,$F30,$F$47,$F$64)</f>
        <v>0</v>
      </c>
      <c r="H13" s="59">
        <f t="shared" si="0"/>
        <v>0</v>
      </c>
      <c r="I13" s="61">
        <f t="shared" si="2"/>
        <v>0</v>
      </c>
      <c r="J13" s="61">
        <f t="shared" si="3"/>
        <v>1</v>
      </c>
      <c r="K13" s="49">
        <f t="shared" si="4"/>
        <v>32</v>
      </c>
      <c r="L13" s="49">
        <v>0.01</v>
      </c>
      <c r="M13" s="49">
        <f t="shared" si="5"/>
        <v>0.32</v>
      </c>
      <c r="N13" s="145"/>
      <c r="O13" s="146"/>
    </row>
    <row r="14" spans="1:15" x14ac:dyDescent="0.35">
      <c r="A14">
        <v>1311010102</v>
      </c>
      <c r="B14" s="52" t="s">
        <v>86</v>
      </c>
      <c r="C14" s="58">
        <v>33</v>
      </c>
      <c r="D14" s="50">
        <v>1660</v>
      </c>
      <c r="E14" s="50">
        <f t="shared" si="1"/>
        <v>54780</v>
      </c>
      <c r="F14" s="55">
        <v>32208</v>
      </c>
      <c r="G14" s="45">
        <f>F14-MIN($F$14,$F31,$F$48,$F$635)</f>
        <v>0</v>
      </c>
      <c r="H14" s="59">
        <f t="shared" si="0"/>
        <v>0</v>
      </c>
      <c r="I14" s="61">
        <f t="shared" si="2"/>
        <v>0</v>
      </c>
      <c r="J14" s="61">
        <f t="shared" si="3"/>
        <v>1</v>
      </c>
      <c r="K14" s="49">
        <f t="shared" si="4"/>
        <v>32</v>
      </c>
      <c r="L14" s="49">
        <v>0.01</v>
      </c>
      <c r="M14" s="49">
        <f t="shared" si="5"/>
        <v>0.32</v>
      </c>
      <c r="N14" s="145"/>
      <c r="O14" s="146"/>
    </row>
    <row r="15" spans="1:15" x14ac:dyDescent="0.35">
      <c r="A15">
        <v>1311010126</v>
      </c>
      <c r="B15" s="52" t="s">
        <v>93</v>
      </c>
      <c r="C15" s="58">
        <v>48</v>
      </c>
      <c r="D15" s="50">
        <v>385</v>
      </c>
      <c r="E15" s="50">
        <f t="shared" si="1"/>
        <v>18480</v>
      </c>
      <c r="F15" s="55">
        <v>11520</v>
      </c>
      <c r="G15" s="45">
        <f>F15-MIN($F$15,$F32,$F$49,$F$66)</f>
        <v>0</v>
      </c>
      <c r="H15" s="59">
        <f t="shared" si="0"/>
        <v>0</v>
      </c>
      <c r="I15" s="61">
        <f t="shared" si="2"/>
        <v>0</v>
      </c>
      <c r="J15" s="61">
        <f t="shared" si="3"/>
        <v>1</v>
      </c>
      <c r="K15" s="49">
        <f t="shared" si="4"/>
        <v>32</v>
      </c>
      <c r="L15" s="49">
        <v>0.01</v>
      </c>
      <c r="M15" s="49">
        <f t="shared" si="5"/>
        <v>0.32</v>
      </c>
      <c r="N15" s="145"/>
      <c r="O15" s="146"/>
    </row>
    <row r="16" spans="1:15" x14ac:dyDescent="0.35">
      <c r="A16">
        <v>1311010104</v>
      </c>
      <c r="B16" s="52" t="s">
        <v>87</v>
      </c>
      <c r="C16" s="58">
        <v>45</v>
      </c>
      <c r="D16" s="50">
        <v>2820</v>
      </c>
      <c r="E16" s="50">
        <f t="shared" si="1"/>
        <v>126900</v>
      </c>
      <c r="F16" s="55">
        <v>78255</v>
      </c>
      <c r="G16" s="45">
        <f>F16-MIN($F$16,$F33,$F$50,$F$67)</f>
        <v>0</v>
      </c>
      <c r="H16" s="59">
        <f t="shared" si="0"/>
        <v>0</v>
      </c>
      <c r="I16" s="61">
        <f t="shared" si="2"/>
        <v>0</v>
      </c>
      <c r="J16" s="61">
        <f t="shared" si="3"/>
        <v>1</v>
      </c>
      <c r="K16" s="49">
        <f t="shared" si="4"/>
        <v>32</v>
      </c>
      <c r="L16" s="49">
        <v>0.05</v>
      </c>
      <c r="M16" s="49">
        <f t="shared" si="5"/>
        <v>1.6</v>
      </c>
      <c r="N16" s="145"/>
      <c r="O16" s="146"/>
    </row>
    <row r="17" spans="1:15" x14ac:dyDescent="0.35">
      <c r="A17">
        <v>1311030100</v>
      </c>
      <c r="B17" s="52" t="s">
        <v>88</v>
      </c>
      <c r="C17" s="58">
        <v>17</v>
      </c>
      <c r="D17" s="50">
        <v>19000</v>
      </c>
      <c r="E17" s="50">
        <f t="shared" si="1"/>
        <v>323000</v>
      </c>
      <c r="F17" s="55">
        <v>257023</v>
      </c>
      <c r="G17" s="45">
        <f>F17-MIN($F$17,$F34,$F$51,$F$68)</f>
        <v>0</v>
      </c>
      <c r="H17" s="59">
        <f t="shared" si="0"/>
        <v>0</v>
      </c>
      <c r="I17" s="61">
        <f t="shared" si="2"/>
        <v>0</v>
      </c>
      <c r="J17" s="61">
        <f t="shared" si="3"/>
        <v>1</v>
      </c>
      <c r="K17" s="49">
        <f t="shared" si="4"/>
        <v>32</v>
      </c>
      <c r="L17" s="49">
        <v>0.05</v>
      </c>
      <c r="M17" s="49">
        <f t="shared" si="5"/>
        <v>1.6</v>
      </c>
      <c r="N17" s="145"/>
      <c r="O17" s="147"/>
    </row>
    <row r="18" spans="1:15" x14ac:dyDescent="0.35">
      <c r="A18" s="40"/>
      <c r="B18" s="51"/>
      <c r="C18" s="51"/>
      <c r="D18" s="51"/>
      <c r="E18" s="81">
        <f>SUM(E3:E17)</f>
        <v>4536560</v>
      </c>
      <c r="F18" s="81">
        <f>SUM(F3:F17)</f>
        <v>3470488</v>
      </c>
      <c r="H18" s="60"/>
      <c r="M18" s="62">
        <f>SUM(M3:M17)</f>
        <v>31.760169255533903</v>
      </c>
      <c r="N18" s="82"/>
    </row>
    <row r="19" spans="1:15" s="40" customFormat="1" x14ac:dyDescent="0.35">
      <c r="B19" s="51" t="s">
        <v>29</v>
      </c>
      <c r="C19" s="51"/>
      <c r="D19" s="51"/>
      <c r="E19" s="81"/>
      <c r="F19" s="81"/>
      <c r="G19" s="47"/>
      <c r="H19" s="60"/>
      <c r="I19" s="47"/>
      <c r="J19" s="47"/>
      <c r="M19" s="62"/>
      <c r="N19" s="82"/>
      <c r="O19" s="13"/>
    </row>
    <row r="20" spans="1:15" x14ac:dyDescent="0.35">
      <c r="A20" s="40">
        <v>1310311110</v>
      </c>
      <c r="B20" s="52" t="s">
        <v>75</v>
      </c>
      <c r="C20" s="58">
        <v>23</v>
      </c>
      <c r="D20" s="50">
        <v>17200</v>
      </c>
      <c r="E20" s="50">
        <f>C20*D20</f>
        <v>395600</v>
      </c>
      <c r="F20" s="54">
        <v>356601.89</v>
      </c>
      <c r="G20" s="45">
        <f>F20-MIN($F$3,$F20,$F$37,$F$54)</f>
        <v>55991.890000000014</v>
      </c>
      <c r="H20" s="59">
        <f t="shared" ref="H20:H34" si="6">G20/E20</f>
        <v>0.14153662790697677</v>
      </c>
      <c r="I20" s="61">
        <f>H20/1.5</f>
        <v>9.4357751937984513E-2</v>
      </c>
      <c r="J20" s="61">
        <f>1-I20</f>
        <v>0.90564224806201543</v>
      </c>
      <c r="K20" s="49">
        <f>J20*32</f>
        <v>28.980551937984494</v>
      </c>
      <c r="L20" s="49">
        <v>0.1</v>
      </c>
      <c r="M20" s="49">
        <f>K20*L20</f>
        <v>2.8980551937984496</v>
      </c>
      <c r="N20" s="145">
        <f>AVERAGE($F$18,$F$35,$F$52,$F$69)</f>
        <v>3981587.0824999996</v>
      </c>
      <c r="O20" s="146">
        <f>(1-(F35/$N$3))*100</f>
        <v>-1.8723249286109134</v>
      </c>
    </row>
    <row r="21" spans="1:15" x14ac:dyDescent="0.35">
      <c r="A21" s="40">
        <v>1310310100</v>
      </c>
      <c r="B21" s="52" t="s">
        <v>76</v>
      </c>
      <c r="C21" s="58">
        <v>69</v>
      </c>
      <c r="D21" s="50">
        <v>9500</v>
      </c>
      <c r="E21" s="50">
        <f t="shared" ref="E21:E34" si="7">C21*D21</f>
        <v>655500</v>
      </c>
      <c r="F21" s="54">
        <v>561698.64</v>
      </c>
      <c r="G21" s="45">
        <f>F21-MIN($F$4,$F21,$F$38,$F$55)</f>
        <v>0</v>
      </c>
      <c r="H21" s="59">
        <f t="shared" si="6"/>
        <v>0</v>
      </c>
      <c r="I21" s="61">
        <f t="shared" ref="I21:I34" si="8">H21/1.5</f>
        <v>0</v>
      </c>
      <c r="J21" s="61">
        <f t="shared" ref="J21:J34" si="9">1-I21</f>
        <v>1</v>
      </c>
      <c r="K21" s="49">
        <f t="shared" ref="K21:K34" si="10">J21*32</f>
        <v>32</v>
      </c>
      <c r="L21" s="49">
        <v>0.16</v>
      </c>
      <c r="M21" s="49">
        <f t="shared" ref="M21:M34" si="11">K21*L21</f>
        <v>5.12</v>
      </c>
      <c r="N21" s="145"/>
      <c r="O21" s="146"/>
    </row>
    <row r="22" spans="1:15" x14ac:dyDescent="0.35">
      <c r="A22" s="40">
        <v>1310310300</v>
      </c>
      <c r="B22" s="52" t="s">
        <v>77</v>
      </c>
      <c r="C22" s="58">
        <v>72</v>
      </c>
      <c r="D22" s="50">
        <v>11500</v>
      </c>
      <c r="E22" s="50">
        <f t="shared" si="7"/>
        <v>828000</v>
      </c>
      <c r="F22" s="54">
        <v>678454.55999999994</v>
      </c>
      <c r="G22" s="45">
        <f>F22-MIN($F$5,$F22,$F$39,$F$56)</f>
        <v>46294.559999999939</v>
      </c>
      <c r="H22" s="59">
        <f t="shared" si="6"/>
        <v>5.5911304347826013E-2</v>
      </c>
      <c r="I22" s="61">
        <f t="shared" si="8"/>
        <v>3.7274202898550678E-2</v>
      </c>
      <c r="J22" s="61">
        <f t="shared" si="9"/>
        <v>0.96272579710144934</v>
      </c>
      <c r="K22" s="49">
        <f t="shared" si="10"/>
        <v>30.807225507246379</v>
      </c>
      <c r="L22" s="49">
        <v>0.19</v>
      </c>
      <c r="M22" s="49">
        <f t="shared" si="11"/>
        <v>5.8533728463768124</v>
      </c>
      <c r="N22" s="145"/>
      <c r="O22" s="146"/>
    </row>
    <row r="23" spans="1:15" x14ac:dyDescent="0.35">
      <c r="A23" s="40">
        <v>1310310400</v>
      </c>
      <c r="B23" s="40" t="s">
        <v>78</v>
      </c>
      <c r="C23" s="58">
        <v>106</v>
      </c>
      <c r="D23" s="50">
        <v>13500</v>
      </c>
      <c r="E23" s="50">
        <f t="shared" si="7"/>
        <v>1431000</v>
      </c>
      <c r="F23" s="54">
        <v>1372700</v>
      </c>
      <c r="G23" s="45">
        <f>F23-MIN($F$6,$F23,$F$40,$F$57)</f>
        <v>182108</v>
      </c>
      <c r="H23" s="59">
        <f t="shared" si="6"/>
        <v>0.12725925925925927</v>
      </c>
      <c r="I23" s="61">
        <f t="shared" si="8"/>
        <v>8.4839506172839516E-2</v>
      </c>
      <c r="J23" s="61">
        <f t="shared" si="9"/>
        <v>0.91516049382716047</v>
      </c>
      <c r="K23" s="49">
        <f t="shared" si="10"/>
        <v>29.285135802469135</v>
      </c>
      <c r="L23" s="49">
        <v>0.34</v>
      </c>
      <c r="M23" s="49">
        <f t="shared" si="11"/>
        <v>9.9569461728395066</v>
      </c>
      <c r="N23" s="145"/>
      <c r="O23" s="146"/>
    </row>
    <row r="24" spans="1:15" x14ac:dyDescent="0.35">
      <c r="A24" s="40">
        <v>1311010111</v>
      </c>
      <c r="B24" s="40" t="s">
        <v>79</v>
      </c>
      <c r="C24" s="58">
        <v>106</v>
      </c>
      <c r="D24" s="50">
        <v>700</v>
      </c>
      <c r="E24" s="50">
        <f t="shared" si="7"/>
        <v>74200</v>
      </c>
      <c r="F24" s="54">
        <v>55120</v>
      </c>
      <c r="G24" s="45">
        <f>F24-MIN($F$7,$F24,$F$41,$F$58)</f>
        <v>24486</v>
      </c>
      <c r="H24" s="59">
        <f t="shared" si="6"/>
        <v>0.33</v>
      </c>
      <c r="I24" s="61">
        <f t="shared" si="8"/>
        <v>0.22</v>
      </c>
      <c r="J24" s="61">
        <f t="shared" si="9"/>
        <v>0.78</v>
      </c>
      <c r="K24" s="49">
        <f t="shared" si="10"/>
        <v>24.96</v>
      </c>
      <c r="L24" s="49">
        <v>0.01</v>
      </c>
      <c r="M24" s="49">
        <f t="shared" si="11"/>
        <v>0.24960000000000002</v>
      </c>
      <c r="N24" s="145"/>
      <c r="O24" s="146"/>
    </row>
    <row r="25" spans="1:15" x14ac:dyDescent="0.35">
      <c r="A25" s="40">
        <v>1311010123</v>
      </c>
      <c r="B25" s="40" t="s">
        <v>80</v>
      </c>
      <c r="C25" s="58">
        <v>52</v>
      </c>
      <c r="D25" s="50">
        <v>1500</v>
      </c>
      <c r="E25" s="50">
        <f t="shared" si="7"/>
        <v>78000</v>
      </c>
      <c r="F25" s="54">
        <v>145195.96</v>
      </c>
      <c r="G25" s="45">
        <f>F25-MIN($F$8,$F25,$F$42,$F$59)</f>
        <v>93819.959999999992</v>
      </c>
      <c r="H25" s="59">
        <f t="shared" si="6"/>
        <v>1.20282</v>
      </c>
      <c r="I25" s="61">
        <f t="shared" si="8"/>
        <v>0.80188000000000004</v>
      </c>
      <c r="J25" s="61">
        <f t="shared" si="9"/>
        <v>0.19811999999999996</v>
      </c>
      <c r="K25" s="49">
        <f t="shared" si="10"/>
        <v>6.3398399999999988</v>
      </c>
      <c r="L25" s="49">
        <v>0.01</v>
      </c>
      <c r="M25" s="49">
        <f t="shared" si="11"/>
        <v>6.3398399999999994E-2</v>
      </c>
      <c r="N25" s="145"/>
      <c r="O25" s="146"/>
    </row>
    <row r="26" spans="1:15" x14ac:dyDescent="0.35">
      <c r="A26" s="40">
        <v>1311010124</v>
      </c>
      <c r="B26" s="40" t="s">
        <v>81</v>
      </c>
      <c r="C26" s="58">
        <v>21</v>
      </c>
      <c r="D26" s="50">
        <v>3700</v>
      </c>
      <c r="E26" s="50">
        <f t="shared" si="7"/>
        <v>77700</v>
      </c>
      <c r="F26" s="54">
        <v>57750</v>
      </c>
      <c r="G26" s="45">
        <f>F26-MIN($F$9,$F26,$F$43,$F$60)</f>
        <v>21357</v>
      </c>
      <c r="H26" s="59">
        <f t="shared" si="6"/>
        <v>0.27486486486486489</v>
      </c>
      <c r="I26" s="61">
        <f t="shared" si="8"/>
        <v>0.18324324324324326</v>
      </c>
      <c r="J26" s="61">
        <f t="shared" si="9"/>
        <v>0.81675675675675674</v>
      </c>
      <c r="K26" s="49">
        <f t="shared" si="10"/>
        <v>26.136216216216216</v>
      </c>
      <c r="L26" s="49">
        <v>0.01</v>
      </c>
      <c r="M26" s="49">
        <f t="shared" si="11"/>
        <v>0.26136216216216218</v>
      </c>
      <c r="N26" s="145"/>
      <c r="O26" s="146"/>
    </row>
    <row r="27" spans="1:15" x14ac:dyDescent="0.35">
      <c r="A27" s="40">
        <v>1311010105</v>
      </c>
      <c r="B27" s="40" t="s">
        <v>82</v>
      </c>
      <c r="C27" s="58">
        <v>72</v>
      </c>
      <c r="D27" s="50">
        <v>2700</v>
      </c>
      <c r="E27" s="50">
        <f t="shared" si="7"/>
        <v>194400</v>
      </c>
      <c r="F27" s="54">
        <v>139505.76</v>
      </c>
      <c r="G27" s="45">
        <f>F27-MIN($F$10,$F27,$F$44,$F$61)</f>
        <v>32873.760000000009</v>
      </c>
      <c r="H27" s="59">
        <f t="shared" si="6"/>
        <v>0.16910370370370376</v>
      </c>
      <c r="I27" s="61">
        <f t="shared" si="8"/>
        <v>0.11273580246913584</v>
      </c>
      <c r="J27" s="61">
        <f t="shared" si="9"/>
        <v>0.88726419753086416</v>
      </c>
      <c r="K27" s="49">
        <f t="shared" si="10"/>
        <v>28.392454320987653</v>
      </c>
      <c r="L27" s="49">
        <v>0.02</v>
      </c>
      <c r="M27" s="49">
        <f t="shared" si="11"/>
        <v>0.56784908641975307</v>
      </c>
      <c r="N27" s="145"/>
      <c r="O27" s="146"/>
    </row>
    <row r="28" spans="1:15" x14ac:dyDescent="0.35">
      <c r="A28" s="40">
        <v>1311010114</v>
      </c>
      <c r="B28" s="40" t="s">
        <v>83</v>
      </c>
      <c r="C28" s="58">
        <v>36</v>
      </c>
      <c r="D28" s="50">
        <v>500</v>
      </c>
      <c r="E28" s="50">
        <f t="shared" si="7"/>
        <v>18000</v>
      </c>
      <c r="F28" s="54">
        <v>13316.039999999999</v>
      </c>
      <c r="G28" s="45">
        <f>F28-MIN($F$11,$F28,$F$45,$F$62)</f>
        <v>4892.0399999999991</v>
      </c>
      <c r="H28" s="59">
        <f t="shared" si="6"/>
        <v>0.27177999999999997</v>
      </c>
      <c r="I28" s="61">
        <f t="shared" si="8"/>
        <v>0.18118666666666663</v>
      </c>
      <c r="J28" s="61">
        <f t="shared" si="9"/>
        <v>0.81881333333333339</v>
      </c>
      <c r="K28" s="49">
        <f t="shared" si="10"/>
        <v>26.202026666666669</v>
      </c>
      <c r="L28" s="49">
        <v>0.01</v>
      </c>
      <c r="M28" s="49">
        <f t="shared" si="11"/>
        <v>0.26202026666666667</v>
      </c>
      <c r="N28" s="145"/>
      <c r="O28" s="146"/>
    </row>
    <row r="29" spans="1:15" x14ac:dyDescent="0.35">
      <c r="A29" s="40">
        <v>1311010130</v>
      </c>
      <c r="B29" s="40" t="s">
        <v>84</v>
      </c>
      <c r="C29" s="58">
        <v>30</v>
      </c>
      <c r="D29" s="50">
        <v>6700</v>
      </c>
      <c r="E29" s="50">
        <f t="shared" si="7"/>
        <v>201000</v>
      </c>
      <c r="F29" s="54">
        <v>162346.80000000002</v>
      </c>
      <c r="G29" s="45">
        <f>F29-MIN($F$12,$F29,$F$46,$F$63)</f>
        <v>36076.800000000017</v>
      </c>
      <c r="H29" s="59">
        <f t="shared" si="6"/>
        <v>0.17948656716417918</v>
      </c>
      <c r="I29" s="61">
        <f t="shared" si="8"/>
        <v>0.11965771144278613</v>
      </c>
      <c r="J29" s="61">
        <f t="shared" si="9"/>
        <v>0.88034228855721386</v>
      </c>
      <c r="K29" s="49">
        <f t="shared" si="10"/>
        <v>28.170953233830843</v>
      </c>
      <c r="L29" s="49">
        <v>0.02</v>
      </c>
      <c r="M29" s="49">
        <f t="shared" si="11"/>
        <v>0.56341906467661684</v>
      </c>
      <c r="N29" s="145"/>
      <c r="O29" s="146"/>
    </row>
    <row r="30" spans="1:15" x14ac:dyDescent="0.35">
      <c r="A30" s="40">
        <v>1311010125</v>
      </c>
      <c r="B30" s="40" t="s">
        <v>85</v>
      </c>
      <c r="C30" s="51">
        <v>30</v>
      </c>
      <c r="D30" s="50">
        <v>2000</v>
      </c>
      <c r="E30" s="50">
        <f t="shared" si="7"/>
        <v>60000</v>
      </c>
      <c r="F30" s="54">
        <v>52569.599999999999</v>
      </c>
      <c r="G30" s="45">
        <f>F30-MIN($F$13,$F30,$F$47,$F$64)</f>
        <v>22329.599999999999</v>
      </c>
      <c r="H30" s="59">
        <f t="shared" si="6"/>
        <v>0.37215999999999999</v>
      </c>
      <c r="I30" s="61">
        <f t="shared" si="8"/>
        <v>0.24810666666666667</v>
      </c>
      <c r="J30" s="61">
        <f t="shared" si="9"/>
        <v>0.7518933333333333</v>
      </c>
      <c r="K30" s="49">
        <f t="shared" si="10"/>
        <v>24.060586666666666</v>
      </c>
      <c r="L30" s="49">
        <v>0.01</v>
      </c>
      <c r="M30" s="49">
        <f t="shared" si="11"/>
        <v>0.24060586666666667</v>
      </c>
      <c r="N30" s="145"/>
      <c r="O30" s="146"/>
    </row>
    <row r="31" spans="1:15" x14ac:dyDescent="0.35">
      <c r="A31" s="40">
        <v>1311010102</v>
      </c>
      <c r="B31" s="40" t="s">
        <v>86</v>
      </c>
      <c r="C31" s="58">
        <v>33</v>
      </c>
      <c r="D31" s="50">
        <v>1660</v>
      </c>
      <c r="E31" s="50">
        <f t="shared" si="7"/>
        <v>54780</v>
      </c>
      <c r="F31" s="54">
        <v>41250</v>
      </c>
      <c r="G31" s="45">
        <f>F31-MIN($F$14,$F31,$F$48,$F$65)</f>
        <v>9042</v>
      </c>
      <c r="H31" s="59">
        <f t="shared" si="6"/>
        <v>0.16506024096385541</v>
      </c>
      <c r="I31" s="61">
        <f t="shared" si="8"/>
        <v>0.11004016064257027</v>
      </c>
      <c r="J31" s="61">
        <f t="shared" si="9"/>
        <v>0.88995983935742973</v>
      </c>
      <c r="K31" s="49">
        <f t="shared" si="10"/>
        <v>28.478714859437751</v>
      </c>
      <c r="L31" s="49">
        <v>0.01</v>
      </c>
      <c r="M31" s="49">
        <f t="shared" si="11"/>
        <v>0.28478714859437754</v>
      </c>
      <c r="N31" s="145"/>
      <c r="O31" s="146"/>
    </row>
    <row r="32" spans="1:15" x14ac:dyDescent="0.35">
      <c r="A32" s="40">
        <v>1311010126</v>
      </c>
      <c r="B32" s="40" t="s">
        <v>89</v>
      </c>
      <c r="C32" s="58">
        <v>48</v>
      </c>
      <c r="D32" s="50">
        <v>385</v>
      </c>
      <c r="E32" s="50">
        <f t="shared" si="7"/>
        <v>18480</v>
      </c>
      <c r="F32" s="54">
        <v>17945.28</v>
      </c>
      <c r="G32" s="45">
        <f>F32-MIN($F$15,$F32,$F$49,$F$66)</f>
        <v>6425.2799999999988</v>
      </c>
      <c r="H32" s="59">
        <f t="shared" si="6"/>
        <v>0.3476883116883116</v>
      </c>
      <c r="I32" s="61">
        <f t="shared" si="8"/>
        <v>0.23179220779220774</v>
      </c>
      <c r="J32" s="61">
        <f t="shared" si="9"/>
        <v>0.76820779220779223</v>
      </c>
      <c r="K32" s="49">
        <f t="shared" si="10"/>
        <v>24.582649350649351</v>
      </c>
      <c r="L32" s="49">
        <v>0.01</v>
      </c>
      <c r="M32" s="49">
        <f t="shared" si="11"/>
        <v>0.24582649350649352</v>
      </c>
      <c r="N32" s="145"/>
      <c r="O32" s="146"/>
    </row>
    <row r="33" spans="1:15" x14ac:dyDescent="0.35">
      <c r="A33" s="40">
        <v>1311010104</v>
      </c>
      <c r="B33" s="40" t="s">
        <v>87</v>
      </c>
      <c r="C33" s="58">
        <v>45</v>
      </c>
      <c r="D33" s="50">
        <v>2820</v>
      </c>
      <c r="E33" s="50">
        <f t="shared" si="7"/>
        <v>126900</v>
      </c>
      <c r="F33" s="54">
        <v>80380.800000000003</v>
      </c>
      <c r="G33" s="45">
        <f>F33-MIN($F$16,$F33,$F$50,$F$67)</f>
        <v>2125.8000000000029</v>
      </c>
      <c r="H33" s="59">
        <f t="shared" si="6"/>
        <v>1.6751773049645414E-2</v>
      </c>
      <c r="I33" s="61">
        <f t="shared" si="8"/>
        <v>1.1167848699763609E-2</v>
      </c>
      <c r="J33" s="61">
        <f t="shared" si="9"/>
        <v>0.98883215130023638</v>
      </c>
      <c r="K33" s="49">
        <f t="shared" si="10"/>
        <v>31.642628841607564</v>
      </c>
      <c r="L33" s="49">
        <v>0.05</v>
      </c>
      <c r="M33" s="49">
        <f t="shared" si="11"/>
        <v>1.5821314420803783</v>
      </c>
      <c r="N33" s="145"/>
      <c r="O33" s="146"/>
    </row>
    <row r="34" spans="1:15" x14ac:dyDescent="0.35">
      <c r="A34" s="40">
        <v>1311030100</v>
      </c>
      <c r="B34" s="40" t="s">
        <v>88</v>
      </c>
      <c r="C34" s="58">
        <v>17</v>
      </c>
      <c r="D34" s="50">
        <v>19000</v>
      </c>
      <c r="E34" s="50">
        <f t="shared" si="7"/>
        <v>323000</v>
      </c>
      <c r="F34" s="54">
        <v>321300</v>
      </c>
      <c r="G34" s="45">
        <f>F34-MIN($F$17,$F34,$F$51,$F$68)</f>
        <v>64277</v>
      </c>
      <c r="H34" s="59">
        <f t="shared" si="6"/>
        <v>0.19900000000000001</v>
      </c>
      <c r="I34" s="61">
        <f t="shared" si="8"/>
        <v>0.13266666666666668</v>
      </c>
      <c r="J34" s="61">
        <f t="shared" si="9"/>
        <v>0.86733333333333329</v>
      </c>
      <c r="K34" s="49">
        <f t="shared" si="10"/>
        <v>27.754666666666665</v>
      </c>
      <c r="L34" s="49">
        <v>0.05</v>
      </c>
      <c r="M34" s="49">
        <f t="shared" si="11"/>
        <v>1.3877333333333333</v>
      </c>
      <c r="N34" s="145"/>
      <c r="O34" s="147"/>
    </row>
    <row r="35" spans="1:15" s="40" customFormat="1" x14ac:dyDescent="0.35">
      <c r="B35" s="17"/>
      <c r="C35" s="51"/>
      <c r="D35" s="51"/>
      <c r="E35" s="81">
        <f>SUM(E20:E34)</f>
        <v>4536560</v>
      </c>
      <c r="F35" s="81">
        <f>SUM(F20:F34)</f>
        <v>4056135.3299999991</v>
      </c>
      <c r="G35" s="47"/>
      <c r="H35" s="47"/>
      <c r="I35" s="47"/>
      <c r="J35" s="47"/>
      <c r="M35" s="63">
        <f>SUM(M20:M34)</f>
        <v>29.537107477121214</v>
      </c>
      <c r="N35" s="82"/>
      <c r="O35" s="13"/>
    </row>
    <row r="36" spans="1:15" s="40" customFormat="1" x14ac:dyDescent="0.35">
      <c r="B36" s="17" t="s">
        <v>32</v>
      </c>
      <c r="C36" s="51"/>
      <c r="D36" s="51"/>
      <c r="E36" s="81"/>
      <c r="F36" s="81"/>
      <c r="G36" s="47"/>
      <c r="H36" s="47"/>
      <c r="I36" s="47"/>
      <c r="J36" s="47"/>
      <c r="M36" s="63"/>
      <c r="N36" s="82"/>
      <c r="O36" s="13"/>
    </row>
    <row r="37" spans="1:15" s="40" customFormat="1" x14ac:dyDescent="0.35">
      <c r="A37" s="40">
        <v>1310311110</v>
      </c>
      <c r="B37" s="40" t="s">
        <v>75</v>
      </c>
      <c r="C37" s="58">
        <v>23</v>
      </c>
      <c r="D37" s="50">
        <v>17200</v>
      </c>
      <c r="E37" s="50">
        <f>C37*D37</f>
        <v>395600</v>
      </c>
      <c r="F37" s="54">
        <v>375820</v>
      </c>
      <c r="G37" s="45">
        <f>F37-MIN($F$3,$F20,$F$37,$F$54)</f>
        <v>75210</v>
      </c>
      <c r="H37" s="59">
        <f t="shared" ref="H37:H51" si="12">G37/E37</f>
        <v>0.19011627906976744</v>
      </c>
      <c r="I37" s="61">
        <f>H37/1.5</f>
        <v>0.12674418604651164</v>
      </c>
      <c r="J37" s="61">
        <f>1-I37</f>
        <v>0.87325581395348839</v>
      </c>
      <c r="K37" s="49">
        <f>J37*32</f>
        <v>27.944186046511629</v>
      </c>
      <c r="L37" s="49">
        <v>0.1</v>
      </c>
      <c r="M37" s="49">
        <f>K37*L37</f>
        <v>2.7944186046511632</v>
      </c>
      <c r="N37" s="145">
        <f>AVERAGE($F$18,$F$35,$F$52,$F$69)</f>
        <v>3981587.0824999996</v>
      </c>
      <c r="O37" s="146">
        <f>(1-(F52/$N$3))*100</f>
        <v>-9.6556450865972199</v>
      </c>
    </row>
    <row r="38" spans="1:15" s="40" customFormat="1" x14ac:dyDescent="0.35">
      <c r="A38" s="40">
        <v>1310310100</v>
      </c>
      <c r="B38" s="40" t="s">
        <v>76</v>
      </c>
      <c r="C38" s="58">
        <v>69</v>
      </c>
      <c r="D38" s="50">
        <v>9500</v>
      </c>
      <c r="E38" s="50">
        <f t="shared" ref="E38:E51" si="13">C38*D38</f>
        <v>655500</v>
      </c>
      <c r="F38" s="54">
        <v>653775</v>
      </c>
      <c r="G38" s="45">
        <f>F38-MIN($F$4,$F21,$F$38,$F$55)</f>
        <v>92076.359999999986</v>
      </c>
      <c r="H38" s="59">
        <f t="shared" si="12"/>
        <v>0.14046736842105262</v>
      </c>
      <c r="I38" s="61">
        <f t="shared" ref="I38:I51" si="14">H38/1.5</f>
        <v>9.364491228070175E-2</v>
      </c>
      <c r="J38" s="61">
        <f t="shared" ref="J38:J51" si="15">1-I38</f>
        <v>0.90635508771929829</v>
      </c>
      <c r="K38" s="49">
        <f t="shared" ref="K38:K51" si="16">J38*32</f>
        <v>29.003362807017545</v>
      </c>
      <c r="L38" s="49">
        <v>0.16</v>
      </c>
      <c r="M38" s="49">
        <f t="shared" ref="M38:M51" si="17">K38*L38</f>
        <v>4.6405380491228074</v>
      </c>
      <c r="N38" s="145"/>
      <c r="O38" s="146"/>
    </row>
    <row r="39" spans="1:15" s="40" customFormat="1" x14ac:dyDescent="0.35">
      <c r="A39" s="40">
        <v>1310310300</v>
      </c>
      <c r="B39" s="40" t="s">
        <v>77</v>
      </c>
      <c r="C39" s="58">
        <v>72</v>
      </c>
      <c r="D39" s="50">
        <v>11500</v>
      </c>
      <c r="E39" s="50">
        <f t="shared" si="13"/>
        <v>828000</v>
      </c>
      <c r="F39" s="54">
        <v>810000</v>
      </c>
      <c r="G39" s="45">
        <f>F39-MIN($F$5,$F22,$F$39,$F$56)</f>
        <v>177840</v>
      </c>
      <c r="H39" s="59">
        <f t="shared" si="12"/>
        <v>0.21478260869565216</v>
      </c>
      <c r="I39" s="61">
        <f t="shared" si="14"/>
        <v>0.14318840579710143</v>
      </c>
      <c r="J39" s="61">
        <f t="shared" si="15"/>
        <v>0.85681159420289854</v>
      </c>
      <c r="K39" s="49">
        <f t="shared" si="16"/>
        <v>27.417971014492753</v>
      </c>
      <c r="L39" s="49">
        <v>0.19</v>
      </c>
      <c r="M39" s="49">
        <f t="shared" si="17"/>
        <v>5.2094144927536234</v>
      </c>
      <c r="N39" s="145"/>
      <c r="O39" s="146"/>
    </row>
    <row r="40" spans="1:15" s="40" customFormat="1" x14ac:dyDescent="0.35">
      <c r="A40" s="40">
        <v>1310310400</v>
      </c>
      <c r="B40" s="40" t="s">
        <v>78</v>
      </c>
      <c r="C40" s="58">
        <v>106</v>
      </c>
      <c r="D40" s="50">
        <v>13500</v>
      </c>
      <c r="E40" s="50">
        <f t="shared" si="13"/>
        <v>1431000</v>
      </c>
      <c r="F40" s="54">
        <v>1425700</v>
      </c>
      <c r="G40" s="45">
        <f>F40-MIN($F$6,$F23,$F$40,$F$57)</f>
        <v>235108</v>
      </c>
      <c r="H40" s="59">
        <f t="shared" si="12"/>
        <v>0.1642962962962963</v>
      </c>
      <c r="I40" s="61">
        <f t="shared" si="14"/>
        <v>0.10953086419753087</v>
      </c>
      <c r="J40" s="61">
        <f t="shared" si="15"/>
        <v>0.89046913580246911</v>
      </c>
      <c r="K40" s="49">
        <f t="shared" si="16"/>
        <v>28.495012345679012</v>
      </c>
      <c r="L40" s="49">
        <v>0.34</v>
      </c>
      <c r="M40" s="49">
        <f t="shared" si="17"/>
        <v>9.688304197530865</v>
      </c>
      <c r="N40" s="145"/>
      <c r="O40" s="146"/>
    </row>
    <row r="41" spans="1:15" s="40" customFormat="1" x14ac:dyDescent="0.35">
      <c r="A41" s="40">
        <v>1311010111</v>
      </c>
      <c r="B41" s="40" t="s">
        <v>79</v>
      </c>
      <c r="C41" s="58">
        <v>106</v>
      </c>
      <c r="D41" s="50">
        <v>700</v>
      </c>
      <c r="E41" s="50">
        <f t="shared" si="13"/>
        <v>74200</v>
      </c>
      <c r="F41" s="54">
        <v>68900</v>
      </c>
      <c r="G41" s="45">
        <f>F41-MIN($F$7,$F24,$F$41,$F$58)</f>
        <v>38266</v>
      </c>
      <c r="H41" s="59">
        <f t="shared" si="12"/>
        <v>0.51571428571428568</v>
      </c>
      <c r="I41" s="61">
        <f t="shared" si="14"/>
        <v>0.34380952380952379</v>
      </c>
      <c r="J41" s="61">
        <f t="shared" si="15"/>
        <v>0.65619047619047621</v>
      </c>
      <c r="K41" s="49">
        <f t="shared" si="16"/>
        <v>20.998095238095239</v>
      </c>
      <c r="L41" s="49">
        <v>0.01</v>
      </c>
      <c r="M41" s="49">
        <f t="shared" si="17"/>
        <v>0.20998095238095238</v>
      </c>
      <c r="N41" s="145"/>
      <c r="O41" s="146"/>
    </row>
    <row r="42" spans="1:15" s="40" customFormat="1" x14ac:dyDescent="0.35">
      <c r="A42" s="40">
        <v>1311010123</v>
      </c>
      <c r="B42" s="40" t="s">
        <v>80</v>
      </c>
      <c r="C42" s="58">
        <v>52</v>
      </c>
      <c r="D42" s="50">
        <v>1500</v>
      </c>
      <c r="E42" s="50">
        <f t="shared" si="13"/>
        <v>78000</v>
      </c>
      <c r="F42" s="54">
        <v>65000</v>
      </c>
      <c r="G42" s="45">
        <f>F42-MIN($F$8,$F25,$F$42,$F$59)</f>
        <v>13624</v>
      </c>
      <c r="H42" s="59">
        <f t="shared" si="12"/>
        <v>0.17466666666666666</v>
      </c>
      <c r="I42" s="61">
        <f t="shared" si="14"/>
        <v>0.11644444444444445</v>
      </c>
      <c r="J42" s="61">
        <f t="shared" si="15"/>
        <v>0.88355555555555554</v>
      </c>
      <c r="K42" s="49">
        <f t="shared" si="16"/>
        <v>28.273777777777777</v>
      </c>
      <c r="L42" s="49">
        <v>0.01</v>
      </c>
      <c r="M42" s="49">
        <f t="shared" si="17"/>
        <v>0.28273777777777775</v>
      </c>
      <c r="N42" s="145"/>
      <c r="O42" s="146"/>
    </row>
    <row r="43" spans="1:15" s="40" customFormat="1" x14ac:dyDescent="0.35">
      <c r="A43" s="40">
        <v>1311010124</v>
      </c>
      <c r="B43" s="40" t="s">
        <v>81</v>
      </c>
      <c r="C43" s="58">
        <v>21</v>
      </c>
      <c r="D43" s="50">
        <v>3700</v>
      </c>
      <c r="E43" s="50">
        <f t="shared" si="13"/>
        <v>77700</v>
      </c>
      <c r="F43" s="54">
        <v>77490</v>
      </c>
      <c r="G43" s="45">
        <f>F43-MIN($F$9,$F26,$F$43,$F$60)</f>
        <v>41097</v>
      </c>
      <c r="H43" s="59">
        <f t="shared" si="12"/>
        <v>0.52891891891891896</v>
      </c>
      <c r="I43" s="61">
        <f t="shared" si="14"/>
        <v>0.35261261261261262</v>
      </c>
      <c r="J43" s="61">
        <f t="shared" si="15"/>
        <v>0.64738738738738744</v>
      </c>
      <c r="K43" s="49">
        <f t="shared" si="16"/>
        <v>20.716396396396398</v>
      </c>
      <c r="L43" s="49">
        <v>0.01</v>
      </c>
      <c r="M43" s="49">
        <f t="shared" si="17"/>
        <v>0.20716396396396397</v>
      </c>
      <c r="N43" s="145"/>
      <c r="O43" s="146"/>
    </row>
    <row r="44" spans="1:15" s="40" customFormat="1" x14ac:dyDescent="0.35">
      <c r="A44" s="40">
        <v>1311010105</v>
      </c>
      <c r="B44" s="40" t="s">
        <v>82</v>
      </c>
      <c r="C44" s="58">
        <v>72</v>
      </c>
      <c r="D44" s="50">
        <v>2700</v>
      </c>
      <c r="E44" s="50">
        <f t="shared" si="13"/>
        <v>194400</v>
      </c>
      <c r="F44" s="54">
        <v>169200</v>
      </c>
      <c r="G44" s="45">
        <f>F44-MIN($F$10,$F27,$F$44,$F$61)</f>
        <v>62568</v>
      </c>
      <c r="H44" s="59">
        <f t="shared" si="12"/>
        <v>0.32185185185185183</v>
      </c>
      <c r="I44" s="61">
        <f t="shared" si="14"/>
        <v>0.2145679012345679</v>
      </c>
      <c r="J44" s="61">
        <f t="shared" si="15"/>
        <v>0.78543209876543207</v>
      </c>
      <c r="K44" s="49">
        <f t="shared" si="16"/>
        <v>25.133827160493826</v>
      </c>
      <c r="L44" s="49">
        <v>0.02</v>
      </c>
      <c r="M44" s="49">
        <f t="shared" si="17"/>
        <v>0.50267654320987654</v>
      </c>
      <c r="N44" s="145"/>
      <c r="O44" s="146"/>
    </row>
    <row r="45" spans="1:15" s="40" customFormat="1" x14ac:dyDescent="0.35">
      <c r="A45" s="40">
        <v>1311010114</v>
      </c>
      <c r="B45" s="40" t="s">
        <v>83</v>
      </c>
      <c r="C45" s="58">
        <v>36</v>
      </c>
      <c r="D45" s="50">
        <v>500</v>
      </c>
      <c r="E45" s="50">
        <f t="shared" si="13"/>
        <v>18000</v>
      </c>
      <c r="F45" s="54">
        <v>16200</v>
      </c>
      <c r="G45" s="45">
        <f>F45-MIN($F$11,$F28,$F$45,$F$62)</f>
        <v>7776</v>
      </c>
      <c r="H45" s="59">
        <f t="shared" si="12"/>
        <v>0.432</v>
      </c>
      <c r="I45" s="61">
        <f t="shared" si="14"/>
        <v>0.28799999999999998</v>
      </c>
      <c r="J45" s="61">
        <f t="shared" si="15"/>
        <v>0.71199999999999997</v>
      </c>
      <c r="K45" s="49">
        <f t="shared" si="16"/>
        <v>22.783999999999999</v>
      </c>
      <c r="L45" s="49">
        <v>0.01</v>
      </c>
      <c r="M45" s="49">
        <f t="shared" si="17"/>
        <v>0.22783999999999999</v>
      </c>
      <c r="N45" s="145"/>
      <c r="O45" s="146"/>
    </row>
    <row r="46" spans="1:15" s="40" customFormat="1" x14ac:dyDescent="0.35">
      <c r="A46" s="40">
        <v>1311010130</v>
      </c>
      <c r="B46" s="40" t="s">
        <v>84</v>
      </c>
      <c r="C46" s="58">
        <v>30</v>
      </c>
      <c r="D46" s="50">
        <v>6700</v>
      </c>
      <c r="E46" s="50">
        <f t="shared" si="13"/>
        <v>201000</v>
      </c>
      <c r="F46" s="54">
        <v>150000</v>
      </c>
      <c r="G46" s="45">
        <f>F46-MIN($F$12,$F29,$F$46,$F$63)</f>
        <v>23730</v>
      </c>
      <c r="H46" s="59">
        <f t="shared" si="12"/>
        <v>0.11805970149253732</v>
      </c>
      <c r="I46" s="61">
        <f t="shared" si="14"/>
        <v>7.8706467661691551E-2</v>
      </c>
      <c r="J46" s="61">
        <f t="shared" si="15"/>
        <v>0.92129353233830846</v>
      </c>
      <c r="K46" s="49">
        <f t="shared" si="16"/>
        <v>29.481393034825871</v>
      </c>
      <c r="L46" s="49">
        <v>0.02</v>
      </c>
      <c r="M46" s="49">
        <f t="shared" si="17"/>
        <v>0.5896278606965174</v>
      </c>
      <c r="N46" s="145"/>
      <c r="O46" s="146"/>
    </row>
    <row r="47" spans="1:15" s="40" customFormat="1" x14ac:dyDescent="0.35">
      <c r="A47" s="40">
        <v>1311010125</v>
      </c>
      <c r="B47" s="40" t="s">
        <v>85</v>
      </c>
      <c r="C47" s="51">
        <v>30</v>
      </c>
      <c r="D47" s="50">
        <v>2000</v>
      </c>
      <c r="E47" s="50">
        <f t="shared" si="13"/>
        <v>60000</v>
      </c>
      <c r="F47" s="54">
        <v>55500</v>
      </c>
      <c r="G47" s="45">
        <f>F47-MIN($F$13,$F30,$F$47,$F$64)</f>
        <v>25260</v>
      </c>
      <c r="H47" s="59">
        <f t="shared" si="12"/>
        <v>0.42099999999999999</v>
      </c>
      <c r="I47" s="61">
        <f t="shared" si="14"/>
        <v>0.28066666666666668</v>
      </c>
      <c r="J47" s="61">
        <f t="shared" si="15"/>
        <v>0.71933333333333338</v>
      </c>
      <c r="K47" s="49">
        <f t="shared" si="16"/>
        <v>23.018666666666668</v>
      </c>
      <c r="L47" s="49">
        <v>0.01</v>
      </c>
      <c r="M47" s="49">
        <f t="shared" si="17"/>
        <v>0.23018666666666668</v>
      </c>
      <c r="N47" s="145"/>
      <c r="O47" s="146"/>
    </row>
    <row r="48" spans="1:15" s="40" customFormat="1" x14ac:dyDescent="0.35">
      <c r="A48" s="40">
        <v>1311010102</v>
      </c>
      <c r="B48" s="40" t="s">
        <v>86</v>
      </c>
      <c r="C48" s="58">
        <v>33</v>
      </c>
      <c r="D48" s="50">
        <v>1660</v>
      </c>
      <c r="E48" s="50">
        <f t="shared" si="13"/>
        <v>54780</v>
      </c>
      <c r="F48" s="54">
        <v>51975</v>
      </c>
      <c r="G48" s="45">
        <f>F48-MIN($F$14,$F31,$F$48,$F$65)</f>
        <v>19767</v>
      </c>
      <c r="H48" s="59">
        <f t="shared" si="12"/>
        <v>0.36084337349397588</v>
      </c>
      <c r="I48" s="61">
        <f t="shared" si="14"/>
        <v>0.24056224899598391</v>
      </c>
      <c r="J48" s="61">
        <f t="shared" si="15"/>
        <v>0.75943775100401611</v>
      </c>
      <c r="K48" s="49">
        <f t="shared" si="16"/>
        <v>24.302008032128516</v>
      </c>
      <c r="L48" s="49">
        <v>0.01</v>
      </c>
      <c r="M48" s="49">
        <f t="shared" si="17"/>
        <v>0.24302008032128516</v>
      </c>
      <c r="N48" s="145"/>
      <c r="O48" s="146"/>
    </row>
    <row r="49" spans="1:15" s="40" customFormat="1" x14ac:dyDescent="0.35">
      <c r="A49" s="40">
        <v>1311010126</v>
      </c>
      <c r="B49" s="40" t="s">
        <v>89</v>
      </c>
      <c r="C49" s="58">
        <v>48</v>
      </c>
      <c r="D49" s="50">
        <v>385</v>
      </c>
      <c r="E49" s="50">
        <f t="shared" si="13"/>
        <v>18480</v>
      </c>
      <c r="F49" s="54">
        <v>14400</v>
      </c>
      <c r="G49" s="45">
        <f>F49-MIN($F$15,$F32,$F$49,$F$66)</f>
        <v>2880</v>
      </c>
      <c r="H49" s="59">
        <f t="shared" si="12"/>
        <v>0.15584415584415584</v>
      </c>
      <c r="I49" s="61">
        <f t="shared" si="14"/>
        <v>0.10389610389610389</v>
      </c>
      <c r="J49" s="61">
        <f t="shared" si="15"/>
        <v>0.89610389610389607</v>
      </c>
      <c r="K49" s="49">
        <f t="shared" si="16"/>
        <v>28.675324675324674</v>
      </c>
      <c r="L49" s="49">
        <v>0.01</v>
      </c>
      <c r="M49" s="49">
        <f t="shared" si="17"/>
        <v>0.28675324675324676</v>
      </c>
      <c r="N49" s="145"/>
      <c r="O49" s="146"/>
    </row>
    <row r="50" spans="1:15" s="40" customFormat="1" x14ac:dyDescent="0.35">
      <c r="A50" s="40">
        <v>1311010104</v>
      </c>
      <c r="B50" s="40" t="s">
        <v>87</v>
      </c>
      <c r="C50" s="58">
        <v>45</v>
      </c>
      <c r="D50" s="50">
        <v>2820</v>
      </c>
      <c r="E50" s="50">
        <f t="shared" si="13"/>
        <v>126900</v>
      </c>
      <c r="F50" s="54">
        <v>112050</v>
      </c>
      <c r="G50" s="45">
        <f>F50-MIN($F$16,$F33,$F$50,$F$67)</f>
        <v>33795</v>
      </c>
      <c r="H50" s="59">
        <f t="shared" si="12"/>
        <v>0.26631205673758868</v>
      </c>
      <c r="I50" s="61">
        <f t="shared" si="14"/>
        <v>0.17754137115839244</v>
      </c>
      <c r="J50" s="61">
        <f t="shared" si="15"/>
        <v>0.82245862884160759</v>
      </c>
      <c r="K50" s="49">
        <f t="shared" si="16"/>
        <v>26.318676122931443</v>
      </c>
      <c r="L50" s="49">
        <v>0.05</v>
      </c>
      <c r="M50" s="49">
        <f t="shared" si="17"/>
        <v>1.3159338061465722</v>
      </c>
      <c r="N50" s="145"/>
      <c r="O50" s="146"/>
    </row>
    <row r="51" spans="1:15" s="40" customFormat="1" x14ac:dyDescent="0.35">
      <c r="A51" s="40">
        <v>1311030100</v>
      </c>
      <c r="B51" s="40" t="s">
        <v>88</v>
      </c>
      <c r="C51" s="58">
        <v>17</v>
      </c>
      <c r="D51" s="50">
        <v>19000</v>
      </c>
      <c r="E51" s="50">
        <f t="shared" si="13"/>
        <v>323000</v>
      </c>
      <c r="F51" s="54">
        <v>320025</v>
      </c>
      <c r="G51" s="83">
        <f>F51-MIN($F$17,$F37,$F$51,$F$68)</f>
        <v>63002</v>
      </c>
      <c r="H51" s="59">
        <f t="shared" si="12"/>
        <v>0.19505263157894737</v>
      </c>
      <c r="I51" s="61">
        <f t="shared" si="14"/>
        <v>0.13003508771929825</v>
      </c>
      <c r="J51" s="61">
        <f t="shared" si="15"/>
        <v>0.86996491228070172</v>
      </c>
      <c r="K51" s="49">
        <f t="shared" si="16"/>
        <v>27.838877192982455</v>
      </c>
      <c r="L51" s="49">
        <v>0.05</v>
      </c>
      <c r="M51" s="49">
        <f t="shared" si="17"/>
        <v>1.3919438596491229</v>
      </c>
      <c r="N51" s="145"/>
      <c r="O51" s="148"/>
    </row>
    <row r="52" spans="1:15" s="40" customFormat="1" x14ac:dyDescent="0.35">
      <c r="B52" s="51"/>
      <c r="C52" s="51"/>
      <c r="D52" s="51"/>
      <c r="E52" s="85">
        <f>SUM(E37:E51)</f>
        <v>4536560</v>
      </c>
      <c r="F52" s="85">
        <f>SUM(F37:F51)</f>
        <v>4366035</v>
      </c>
      <c r="G52" s="58"/>
      <c r="H52" s="58"/>
      <c r="I52" s="58"/>
      <c r="J52" s="58"/>
      <c r="K52" s="52"/>
      <c r="L52" s="52"/>
      <c r="M52" s="86">
        <f>SUM(M37:M51)</f>
        <v>27.820540101624438</v>
      </c>
      <c r="N52" s="82"/>
      <c r="O52" s="87"/>
    </row>
    <row r="53" spans="1:15" s="40" customFormat="1" x14ac:dyDescent="0.35">
      <c r="B53" s="51" t="s">
        <v>30</v>
      </c>
      <c r="C53" s="51"/>
      <c r="D53" s="51"/>
      <c r="E53" s="85"/>
      <c r="F53" s="85"/>
      <c r="G53" s="58"/>
      <c r="H53" s="58"/>
      <c r="I53" s="58"/>
      <c r="J53" s="58"/>
      <c r="K53" s="52"/>
      <c r="L53" s="52"/>
      <c r="M53" s="86"/>
      <c r="N53" s="82"/>
      <c r="O53" s="87"/>
    </row>
    <row r="54" spans="1:15" s="40" customFormat="1" x14ac:dyDescent="0.35">
      <c r="A54" s="40">
        <v>1310311110</v>
      </c>
      <c r="B54" s="40" t="s">
        <v>75</v>
      </c>
      <c r="C54" s="58">
        <v>23</v>
      </c>
      <c r="D54" s="50">
        <v>17200</v>
      </c>
      <c r="E54" s="50">
        <f>C54*D54</f>
        <v>395600</v>
      </c>
      <c r="F54" s="57">
        <v>342700</v>
      </c>
      <c r="G54" s="84">
        <f>F54-MIN($F$3,$F20,$F$37,$F$54)</f>
        <v>42090</v>
      </c>
      <c r="H54" s="59">
        <f t="shared" ref="H54:H68" si="18">G54/E54</f>
        <v>0.1063953488372093</v>
      </c>
      <c r="I54" s="61">
        <f>H54/1.5</f>
        <v>7.093023255813953E-2</v>
      </c>
      <c r="J54" s="61">
        <f>1-I54</f>
        <v>0.92906976744186043</v>
      </c>
      <c r="K54" s="49">
        <f>J54*32</f>
        <v>29.730232558139534</v>
      </c>
      <c r="L54" s="49">
        <v>0.1</v>
      </c>
      <c r="M54" s="49">
        <f>K54*L54</f>
        <v>2.9730232558139535</v>
      </c>
      <c r="N54" s="145">
        <f>AVERAGE($F$18,$F$35,$F$52,$F$69)</f>
        <v>3981587.0824999996</v>
      </c>
      <c r="O54" s="146">
        <f>(1-(F69/$N$3))*100</f>
        <v>-1.3085967083077188</v>
      </c>
    </row>
    <row r="55" spans="1:15" s="40" customFormat="1" x14ac:dyDescent="0.35">
      <c r="A55" s="40">
        <v>1310310100</v>
      </c>
      <c r="B55" s="40" t="s">
        <v>76</v>
      </c>
      <c r="C55" s="58">
        <v>69</v>
      </c>
      <c r="D55" s="50">
        <v>9500</v>
      </c>
      <c r="E55" s="50">
        <f t="shared" ref="E55:E68" si="19">C55*D55</f>
        <v>655500</v>
      </c>
      <c r="F55" s="57">
        <v>576840</v>
      </c>
      <c r="G55" s="45">
        <f>F55-MIN($F$4,$F21,$F$38,$F$55)</f>
        <v>15141.359999999986</v>
      </c>
      <c r="H55" s="59">
        <f t="shared" si="18"/>
        <v>2.3098947368421031E-2</v>
      </c>
      <c r="I55" s="61">
        <f t="shared" ref="I55:I68" si="20">H55/1.5</f>
        <v>1.5399298245614021E-2</v>
      </c>
      <c r="J55" s="61">
        <f t="shared" ref="J55:J68" si="21">1-I55</f>
        <v>0.98460070175438597</v>
      </c>
      <c r="K55" s="49">
        <f t="shared" ref="K55:K68" si="22">J55*32</f>
        <v>31.507222456140351</v>
      </c>
      <c r="L55" s="49">
        <v>0.16</v>
      </c>
      <c r="M55" s="49">
        <f t="shared" ref="M55:M68" si="23">K55*L55</f>
        <v>5.0411555929824559</v>
      </c>
      <c r="N55" s="145"/>
      <c r="O55" s="146"/>
    </row>
    <row r="56" spans="1:15" s="40" customFormat="1" x14ac:dyDescent="0.35">
      <c r="A56" s="40">
        <v>1310310300</v>
      </c>
      <c r="B56" s="40" t="s">
        <v>77</v>
      </c>
      <c r="C56" s="58">
        <v>72</v>
      </c>
      <c r="D56" s="50">
        <v>11500</v>
      </c>
      <c r="E56" s="50">
        <f t="shared" si="19"/>
        <v>828000</v>
      </c>
      <c r="F56" s="57">
        <v>689400</v>
      </c>
      <c r="G56" s="45">
        <f>F56-MIN($F$5,$F22,$F$39,$F$56)</f>
        <v>57240</v>
      </c>
      <c r="H56" s="59">
        <f t="shared" si="18"/>
        <v>6.9130434782608691E-2</v>
      </c>
      <c r="I56" s="61">
        <f t="shared" si="20"/>
        <v>4.6086956521739129E-2</v>
      </c>
      <c r="J56" s="61">
        <f t="shared" si="21"/>
        <v>0.95391304347826089</v>
      </c>
      <c r="K56" s="49">
        <f t="shared" si="22"/>
        <v>30.525217391304349</v>
      </c>
      <c r="L56" s="49">
        <v>0.19</v>
      </c>
      <c r="M56" s="49">
        <f t="shared" si="23"/>
        <v>5.799791304347826</v>
      </c>
      <c r="N56" s="145"/>
      <c r="O56" s="146"/>
    </row>
    <row r="57" spans="1:15" s="40" customFormat="1" x14ac:dyDescent="0.35">
      <c r="A57" s="40">
        <v>1310310400</v>
      </c>
      <c r="B57" s="40" t="s">
        <v>78</v>
      </c>
      <c r="C57" s="58">
        <v>106</v>
      </c>
      <c r="D57" s="50">
        <v>13500</v>
      </c>
      <c r="E57" s="50">
        <f t="shared" si="19"/>
        <v>1431000</v>
      </c>
      <c r="F57" s="57">
        <v>1378000</v>
      </c>
      <c r="G57" s="45">
        <f>F57-MIN($F$6,$F23,$F$40,$F$57)</f>
        <v>187408</v>
      </c>
      <c r="H57" s="59">
        <f t="shared" si="18"/>
        <v>0.13096296296296298</v>
      </c>
      <c r="I57" s="61">
        <f t="shared" si="20"/>
        <v>8.7308641975308646E-2</v>
      </c>
      <c r="J57" s="61">
        <f t="shared" si="21"/>
        <v>0.91269135802469137</v>
      </c>
      <c r="K57" s="49">
        <f t="shared" si="22"/>
        <v>29.206123456790124</v>
      </c>
      <c r="L57" s="49">
        <v>0.34</v>
      </c>
      <c r="M57" s="49">
        <f t="shared" si="23"/>
        <v>9.9300819753086422</v>
      </c>
      <c r="N57" s="145"/>
      <c r="O57" s="146"/>
    </row>
    <row r="58" spans="1:15" s="40" customFormat="1" x14ac:dyDescent="0.35">
      <c r="A58" s="40">
        <v>1311010111</v>
      </c>
      <c r="B58" s="40" t="s">
        <v>79</v>
      </c>
      <c r="C58" s="58">
        <v>106</v>
      </c>
      <c r="D58" s="50">
        <v>700</v>
      </c>
      <c r="E58" s="50">
        <f t="shared" si="19"/>
        <v>74200</v>
      </c>
      <c r="F58" s="57">
        <v>63600</v>
      </c>
      <c r="G58" s="45">
        <f>F58-MIN($F$7,$F24,$F$41,$F$58)</f>
        <v>32966</v>
      </c>
      <c r="H58" s="59">
        <f t="shared" si="18"/>
        <v>0.44428571428571428</v>
      </c>
      <c r="I58" s="61">
        <f t="shared" si="20"/>
        <v>0.29619047619047617</v>
      </c>
      <c r="J58" s="61">
        <f t="shared" si="21"/>
        <v>0.70380952380952388</v>
      </c>
      <c r="K58" s="49">
        <f t="shared" si="22"/>
        <v>22.521904761904764</v>
      </c>
      <c r="L58" s="49">
        <v>0.01</v>
      </c>
      <c r="M58" s="49">
        <f t="shared" si="23"/>
        <v>0.22521904761904765</v>
      </c>
      <c r="N58" s="145"/>
      <c r="O58" s="146"/>
    </row>
    <row r="59" spans="1:15" s="40" customFormat="1" x14ac:dyDescent="0.35">
      <c r="A59" s="40">
        <v>1311010123</v>
      </c>
      <c r="B59" s="40" t="s">
        <v>80</v>
      </c>
      <c r="C59" s="58">
        <v>52</v>
      </c>
      <c r="D59" s="50">
        <v>1500</v>
      </c>
      <c r="E59" s="50">
        <f t="shared" si="19"/>
        <v>78000</v>
      </c>
      <c r="F59" s="57">
        <v>77480</v>
      </c>
      <c r="G59" s="45">
        <f>F59-MIN($F$8,$F25,$F$42,$F$59)</f>
        <v>26104</v>
      </c>
      <c r="H59" s="59">
        <f t="shared" si="18"/>
        <v>0.33466666666666667</v>
      </c>
      <c r="I59" s="61">
        <f t="shared" si="20"/>
        <v>0.22311111111111112</v>
      </c>
      <c r="J59" s="61">
        <f t="shared" si="21"/>
        <v>0.77688888888888885</v>
      </c>
      <c r="K59" s="49">
        <f t="shared" si="22"/>
        <v>24.860444444444443</v>
      </c>
      <c r="L59" s="49">
        <v>0.01</v>
      </c>
      <c r="M59" s="49">
        <f t="shared" si="23"/>
        <v>0.24860444444444443</v>
      </c>
      <c r="N59" s="145"/>
      <c r="O59" s="146"/>
    </row>
    <row r="60" spans="1:15" s="40" customFormat="1" x14ac:dyDescent="0.35">
      <c r="A60" s="40">
        <v>1311010124</v>
      </c>
      <c r="B60" s="40" t="s">
        <v>81</v>
      </c>
      <c r="C60" s="58">
        <v>21</v>
      </c>
      <c r="D60" s="50">
        <v>3700</v>
      </c>
      <c r="E60" s="50">
        <f t="shared" si="19"/>
        <v>77700</v>
      </c>
      <c r="F60" s="57">
        <v>58800</v>
      </c>
      <c r="G60" s="45">
        <f>F60-MIN($F$9,$F26,$F$43,$F$60)</f>
        <v>22407</v>
      </c>
      <c r="H60" s="59">
        <f t="shared" si="18"/>
        <v>0.28837837837837837</v>
      </c>
      <c r="I60" s="61">
        <f t="shared" si="20"/>
        <v>0.19225225225225226</v>
      </c>
      <c r="J60" s="61">
        <f t="shared" si="21"/>
        <v>0.80774774774774771</v>
      </c>
      <c r="K60" s="49">
        <f t="shared" si="22"/>
        <v>25.847927927927927</v>
      </c>
      <c r="L60" s="49">
        <v>0.01</v>
      </c>
      <c r="M60" s="49">
        <f t="shared" si="23"/>
        <v>0.25847927927927927</v>
      </c>
      <c r="N60" s="145"/>
      <c r="O60" s="146"/>
    </row>
    <row r="61" spans="1:15" s="40" customFormat="1" x14ac:dyDescent="0.35">
      <c r="A61" s="40">
        <v>1311010105</v>
      </c>
      <c r="B61" s="40" t="s">
        <v>82</v>
      </c>
      <c r="C61" s="58">
        <v>72</v>
      </c>
      <c r="D61" s="50">
        <v>2700</v>
      </c>
      <c r="E61" s="50">
        <f t="shared" si="19"/>
        <v>194400</v>
      </c>
      <c r="F61" s="57">
        <v>144000</v>
      </c>
      <c r="G61" s="45">
        <f>F61-MIN($F$10,$F27,$F$44,$F$61)</f>
        <v>37368</v>
      </c>
      <c r="H61" s="59">
        <f t="shared" si="18"/>
        <v>0.19222222222222221</v>
      </c>
      <c r="I61" s="61">
        <f t="shared" si="20"/>
        <v>0.12814814814814815</v>
      </c>
      <c r="J61" s="61">
        <f t="shared" si="21"/>
        <v>0.87185185185185188</v>
      </c>
      <c r="K61" s="49">
        <f t="shared" si="22"/>
        <v>27.89925925925926</v>
      </c>
      <c r="L61" s="49">
        <v>0.02</v>
      </c>
      <c r="M61" s="49">
        <f t="shared" si="23"/>
        <v>0.55798518518518525</v>
      </c>
      <c r="N61" s="145"/>
      <c r="O61" s="146"/>
    </row>
    <row r="62" spans="1:15" s="40" customFormat="1" x14ac:dyDescent="0.35">
      <c r="A62" s="40">
        <v>1311010114</v>
      </c>
      <c r="B62" s="40" t="s">
        <v>83</v>
      </c>
      <c r="C62" s="58">
        <v>36</v>
      </c>
      <c r="D62" s="50">
        <v>500</v>
      </c>
      <c r="E62" s="50">
        <f t="shared" si="19"/>
        <v>18000</v>
      </c>
      <c r="F62" s="57">
        <v>14400</v>
      </c>
      <c r="G62" s="45">
        <f>F62-MIN($F$11,$F28,$F$45,$F$62)</f>
        <v>5976</v>
      </c>
      <c r="H62" s="59">
        <f t="shared" si="18"/>
        <v>0.33200000000000002</v>
      </c>
      <c r="I62" s="61">
        <f t="shared" si="20"/>
        <v>0.22133333333333335</v>
      </c>
      <c r="J62" s="61">
        <f t="shared" si="21"/>
        <v>0.77866666666666662</v>
      </c>
      <c r="K62" s="49">
        <f t="shared" si="22"/>
        <v>24.917333333333332</v>
      </c>
      <c r="L62" s="49">
        <v>0.01</v>
      </c>
      <c r="M62" s="49">
        <f t="shared" si="23"/>
        <v>0.24917333333333333</v>
      </c>
      <c r="N62" s="145"/>
      <c r="O62" s="146"/>
    </row>
    <row r="63" spans="1:15" s="40" customFormat="1" x14ac:dyDescent="0.35">
      <c r="A63" s="40">
        <v>1311010130</v>
      </c>
      <c r="B63" s="40" t="s">
        <v>84</v>
      </c>
      <c r="C63" s="58">
        <v>30</v>
      </c>
      <c r="D63" s="50">
        <v>6700</v>
      </c>
      <c r="E63" s="50">
        <f t="shared" si="19"/>
        <v>201000</v>
      </c>
      <c r="F63" s="57">
        <v>165000</v>
      </c>
      <c r="G63" s="45">
        <f>F63-MIN($F$12,$F29,$F$46,$F$63)</f>
        <v>38730</v>
      </c>
      <c r="H63" s="59">
        <f t="shared" si="18"/>
        <v>0.19268656716417912</v>
      </c>
      <c r="I63" s="61">
        <f t="shared" si="20"/>
        <v>0.12845771144278609</v>
      </c>
      <c r="J63" s="61">
        <f t="shared" si="21"/>
        <v>0.87154228855721394</v>
      </c>
      <c r="K63" s="49">
        <f t="shared" si="22"/>
        <v>27.889353233830846</v>
      </c>
      <c r="L63" s="49">
        <v>0.02</v>
      </c>
      <c r="M63" s="49">
        <f t="shared" si="23"/>
        <v>0.55778706467661698</v>
      </c>
      <c r="N63" s="145"/>
      <c r="O63" s="146"/>
    </row>
    <row r="64" spans="1:15" s="40" customFormat="1" x14ac:dyDescent="0.35">
      <c r="A64" s="40">
        <v>1311010125</v>
      </c>
      <c r="B64" s="40" t="s">
        <v>85</v>
      </c>
      <c r="C64" s="51">
        <v>30</v>
      </c>
      <c r="D64" s="50">
        <v>2000</v>
      </c>
      <c r="E64" s="50">
        <f t="shared" si="19"/>
        <v>60000</v>
      </c>
      <c r="F64" s="57">
        <v>54000</v>
      </c>
      <c r="G64" s="45">
        <f>F64-MIN($F$13,$F30,$F$47,$F$64)</f>
        <v>23760</v>
      </c>
      <c r="H64" s="59">
        <f t="shared" si="18"/>
        <v>0.39600000000000002</v>
      </c>
      <c r="I64" s="61">
        <f t="shared" si="20"/>
        <v>0.26400000000000001</v>
      </c>
      <c r="J64" s="61">
        <f t="shared" si="21"/>
        <v>0.73599999999999999</v>
      </c>
      <c r="K64" s="49">
        <f t="shared" si="22"/>
        <v>23.552</v>
      </c>
      <c r="L64" s="49">
        <v>0.01</v>
      </c>
      <c r="M64" s="49">
        <f t="shared" si="23"/>
        <v>0.23552000000000001</v>
      </c>
      <c r="N64" s="145"/>
      <c r="O64" s="146"/>
    </row>
    <row r="65" spans="1:15" s="40" customFormat="1" x14ac:dyDescent="0.35">
      <c r="A65" s="40">
        <v>1311010102</v>
      </c>
      <c r="B65" s="40" t="s">
        <v>86</v>
      </c>
      <c r="C65" s="58">
        <v>33</v>
      </c>
      <c r="D65" s="50">
        <v>1660</v>
      </c>
      <c r="E65" s="50">
        <f t="shared" si="19"/>
        <v>54780</v>
      </c>
      <c r="F65" s="57">
        <v>42900</v>
      </c>
      <c r="G65" s="45">
        <f>F65-MIN($F$14,$F31,$F$48,$F$65)</f>
        <v>10692</v>
      </c>
      <c r="H65" s="59">
        <f t="shared" si="18"/>
        <v>0.19518072289156627</v>
      </c>
      <c r="I65" s="61">
        <f t="shared" si="20"/>
        <v>0.13012048192771083</v>
      </c>
      <c r="J65" s="61">
        <f t="shared" si="21"/>
        <v>0.86987951807228914</v>
      </c>
      <c r="K65" s="49">
        <f t="shared" si="22"/>
        <v>27.836144578313252</v>
      </c>
      <c r="L65" s="49">
        <v>0.01</v>
      </c>
      <c r="M65" s="49">
        <f t="shared" si="23"/>
        <v>0.27836144578313254</v>
      </c>
      <c r="N65" s="145"/>
      <c r="O65" s="146"/>
    </row>
    <row r="66" spans="1:15" s="40" customFormat="1" x14ac:dyDescent="0.35">
      <c r="A66" s="40">
        <v>1311010126</v>
      </c>
      <c r="B66" s="40" t="s">
        <v>89</v>
      </c>
      <c r="C66" s="58">
        <v>48</v>
      </c>
      <c r="D66" s="50">
        <v>385</v>
      </c>
      <c r="E66" s="50">
        <f t="shared" si="19"/>
        <v>18480</v>
      </c>
      <c r="F66" s="57">
        <v>18240</v>
      </c>
      <c r="G66" s="45">
        <f>F66-MIN($F$15,$F32,$F$49,$F$66)</f>
        <v>6720</v>
      </c>
      <c r="H66" s="59">
        <f t="shared" si="18"/>
        <v>0.36363636363636365</v>
      </c>
      <c r="I66" s="61">
        <f t="shared" si="20"/>
        <v>0.24242424242424243</v>
      </c>
      <c r="J66" s="61">
        <f t="shared" si="21"/>
        <v>0.75757575757575757</v>
      </c>
      <c r="K66" s="49">
        <f t="shared" si="22"/>
        <v>24.242424242424242</v>
      </c>
      <c r="L66" s="49">
        <v>0.01</v>
      </c>
      <c r="M66" s="49">
        <f t="shared" si="23"/>
        <v>0.24242424242424243</v>
      </c>
      <c r="N66" s="145"/>
      <c r="O66" s="146"/>
    </row>
    <row r="67" spans="1:15" s="40" customFormat="1" x14ac:dyDescent="0.35">
      <c r="A67" s="40">
        <v>1311010104</v>
      </c>
      <c r="B67" s="40" t="s">
        <v>87</v>
      </c>
      <c r="C67" s="58">
        <v>45</v>
      </c>
      <c r="D67" s="50">
        <v>2820</v>
      </c>
      <c r="E67" s="50">
        <f t="shared" si="19"/>
        <v>126900</v>
      </c>
      <c r="F67" s="57">
        <v>85500</v>
      </c>
      <c r="G67" s="45">
        <f>F67-MIN($F$16,$F33,$F$50,$F$67)</f>
        <v>7245</v>
      </c>
      <c r="H67" s="59">
        <f t="shared" si="18"/>
        <v>5.7092198581560283E-2</v>
      </c>
      <c r="I67" s="61">
        <f t="shared" si="20"/>
        <v>3.8061465721040189E-2</v>
      </c>
      <c r="J67" s="61">
        <f t="shared" si="21"/>
        <v>0.96193853427895981</v>
      </c>
      <c r="K67" s="49">
        <f t="shared" si="22"/>
        <v>30.782033096926714</v>
      </c>
      <c r="L67" s="49">
        <v>0.05</v>
      </c>
      <c r="M67" s="49">
        <f t="shared" si="23"/>
        <v>1.5391016548463359</v>
      </c>
      <c r="N67" s="145"/>
      <c r="O67" s="146"/>
    </row>
    <row r="68" spans="1:15" s="40" customFormat="1" x14ac:dyDescent="0.35">
      <c r="A68" s="40">
        <v>1311030100</v>
      </c>
      <c r="B68" s="40" t="s">
        <v>88</v>
      </c>
      <c r="C68" s="58">
        <v>17</v>
      </c>
      <c r="D68" s="50">
        <v>19000</v>
      </c>
      <c r="E68" s="50">
        <f t="shared" si="19"/>
        <v>323000</v>
      </c>
      <c r="F68" s="57">
        <v>322830</v>
      </c>
      <c r="G68" s="45">
        <f>F68-MIN($F$17,$F34,$F$51,$F$68)</f>
        <v>65807</v>
      </c>
      <c r="H68" s="59">
        <f t="shared" si="18"/>
        <v>0.20373684210526316</v>
      </c>
      <c r="I68" s="61">
        <f t="shared" si="20"/>
        <v>0.13582456140350876</v>
      </c>
      <c r="J68" s="61">
        <f t="shared" si="21"/>
        <v>0.86417543859649126</v>
      </c>
      <c r="K68" s="49">
        <f t="shared" si="22"/>
        <v>27.65361403508772</v>
      </c>
      <c r="L68" s="49">
        <v>0.05</v>
      </c>
      <c r="M68" s="49">
        <f t="shared" si="23"/>
        <v>1.3826807017543861</v>
      </c>
      <c r="N68" s="145"/>
      <c r="O68" s="147"/>
    </row>
    <row r="69" spans="1:15" x14ac:dyDescent="0.35">
      <c r="E69" s="81">
        <f>SUM(E54:E68)</f>
        <v>4536560</v>
      </c>
      <c r="F69" s="81">
        <f>SUM(F54:F68)</f>
        <v>4033690</v>
      </c>
      <c r="K69" s="40"/>
      <c r="L69" s="40"/>
      <c r="M69" s="63">
        <f>SUM(M54:M68)</f>
        <v>29.519388527798885</v>
      </c>
    </row>
  </sheetData>
  <mergeCells count="8">
    <mergeCell ref="N54:N68"/>
    <mergeCell ref="O3:O17"/>
    <mergeCell ref="O20:O34"/>
    <mergeCell ref="O37:O51"/>
    <mergeCell ref="O54:O68"/>
    <mergeCell ref="N3:N17"/>
    <mergeCell ref="N20:N34"/>
    <mergeCell ref="N37:N51"/>
  </mergeCells>
  <dataValidations count="1">
    <dataValidation type="decimal" operator="greaterThanOrEqual" allowBlank="1" showErrorMessage="1" errorTitle="Termini de garantia" error="Heu d'introduir un valor numèric (permet un decimal)" sqref="F54:F68">
      <formula1>0</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72"/>
  <sheetViews>
    <sheetView topLeftCell="A40" workbookViewId="0">
      <selection activeCell="L54" sqref="L54"/>
    </sheetView>
  </sheetViews>
  <sheetFormatPr defaultColWidth="8.7265625" defaultRowHeight="14.5" x14ac:dyDescent="0.35"/>
  <cols>
    <col min="1" max="1" width="17.1796875" style="40" customWidth="1"/>
    <col min="2" max="2" width="53.81640625" style="40" customWidth="1"/>
    <col min="3" max="3" width="19.81640625" style="40" customWidth="1"/>
    <col min="4" max="5" width="13.26953125" style="40" customWidth="1"/>
    <col min="6" max="6" width="10.453125" style="40" customWidth="1"/>
    <col min="7" max="8" width="14.1796875" style="40" customWidth="1"/>
    <col min="9" max="9" width="14.453125" style="40" customWidth="1"/>
    <col min="10" max="11" width="10.453125" style="40" customWidth="1"/>
    <col min="12" max="12" width="13.7265625" style="40" customWidth="1"/>
    <col min="13" max="13" width="36.453125" style="40" customWidth="1"/>
    <col min="14" max="14" width="13.453125" style="40" customWidth="1"/>
    <col min="15" max="15" width="13.7265625" style="40" customWidth="1"/>
    <col min="16" max="16" width="20.54296875" style="40" customWidth="1"/>
    <col min="17" max="17" width="11.26953125" style="40" customWidth="1"/>
    <col min="18" max="18" width="9.7265625" style="49" customWidth="1"/>
    <col min="19" max="21" width="8.7265625" style="40" customWidth="1"/>
    <col min="22" max="22" width="12.1796875" style="40" customWidth="1"/>
    <col min="23" max="23" width="13.1796875" style="40" customWidth="1"/>
    <col min="24" max="24" width="8.7265625" style="40" customWidth="1"/>
    <col min="25" max="25" width="13.54296875" style="40" customWidth="1"/>
    <col min="26" max="30" width="8.7265625" style="40" customWidth="1"/>
    <col min="31" max="31" width="8.7265625" style="49" customWidth="1"/>
    <col min="32" max="33" width="8.7265625" style="40" customWidth="1"/>
    <col min="34" max="16384" width="8.7265625" style="40"/>
  </cols>
  <sheetData>
    <row r="1" spans="1:34" ht="85" x14ac:dyDescent="0.35">
      <c r="A1" s="8" t="s">
        <v>27</v>
      </c>
      <c r="C1" s="40" t="s">
        <v>167</v>
      </c>
      <c r="D1" s="5" t="s">
        <v>100</v>
      </c>
      <c r="E1" s="5" t="s">
        <v>101</v>
      </c>
      <c r="F1" s="5" t="s">
        <v>200</v>
      </c>
      <c r="G1" s="5" t="s">
        <v>45</v>
      </c>
      <c r="H1" s="5" t="s">
        <v>136</v>
      </c>
      <c r="I1" s="5" t="s">
        <v>102</v>
      </c>
      <c r="J1" s="5" t="s">
        <v>103</v>
      </c>
      <c r="K1" s="5" t="s">
        <v>200</v>
      </c>
      <c r="L1" s="5" t="s">
        <v>42</v>
      </c>
      <c r="M1" s="5" t="s">
        <v>43</v>
      </c>
      <c r="N1" s="5" t="s">
        <v>115</v>
      </c>
      <c r="O1" s="5" t="s">
        <v>114</v>
      </c>
      <c r="P1" s="5" t="s">
        <v>46</v>
      </c>
      <c r="Q1" s="5" t="s">
        <v>47</v>
      </c>
      <c r="R1" s="73" t="s">
        <v>106</v>
      </c>
      <c r="S1" s="5" t="s">
        <v>48</v>
      </c>
      <c r="T1" s="5" t="s">
        <v>49</v>
      </c>
      <c r="U1" s="5" t="s">
        <v>50</v>
      </c>
      <c r="V1" s="5" t="s">
        <v>51</v>
      </c>
      <c r="W1" s="5" t="s">
        <v>52</v>
      </c>
      <c r="X1" s="5" t="s">
        <v>53</v>
      </c>
      <c r="Y1" s="5" t="s">
        <v>54</v>
      </c>
      <c r="Z1" s="5" t="s">
        <v>55</v>
      </c>
      <c r="AA1" s="5" t="s">
        <v>56</v>
      </c>
      <c r="AB1" s="5" t="s">
        <v>57</v>
      </c>
      <c r="AC1" s="5" t="s">
        <v>105</v>
      </c>
      <c r="AD1" s="5" t="s">
        <v>98</v>
      </c>
      <c r="AE1" s="73" t="s">
        <v>99</v>
      </c>
      <c r="AF1" s="5"/>
      <c r="AG1" s="5"/>
      <c r="AH1" s="46"/>
    </row>
    <row r="2" spans="1:34" x14ac:dyDescent="0.35">
      <c r="A2" s="8"/>
      <c r="B2" s="51" t="s">
        <v>28</v>
      </c>
      <c r="C2" s="51"/>
      <c r="D2" s="46"/>
      <c r="E2" s="46"/>
      <c r="F2" s="46"/>
      <c r="G2" s="46"/>
      <c r="H2" s="46"/>
      <c r="I2" s="46"/>
      <c r="J2" s="46"/>
      <c r="K2" s="46"/>
      <c r="L2" s="46"/>
      <c r="M2" s="46"/>
      <c r="N2" s="46"/>
      <c r="O2" s="46"/>
      <c r="P2" s="46"/>
      <c r="Q2" s="46"/>
      <c r="R2" s="74"/>
      <c r="S2" s="46"/>
      <c r="T2" s="46"/>
      <c r="U2" s="46"/>
      <c r="V2" s="46"/>
      <c r="W2" s="46"/>
      <c r="X2" s="46"/>
      <c r="Y2" s="46"/>
      <c r="AD2" s="46"/>
      <c r="AE2" s="74"/>
      <c r="AF2" s="46"/>
      <c r="AG2" s="46"/>
    </row>
    <row r="3" spans="1:34" ht="118.5" customHeight="1" x14ac:dyDescent="0.35">
      <c r="A3" s="40">
        <v>1310311110</v>
      </c>
      <c r="B3" s="52" t="s">
        <v>75</v>
      </c>
      <c r="C3" s="52" t="s">
        <v>168</v>
      </c>
      <c r="D3" s="38">
        <v>64848</v>
      </c>
      <c r="E3" s="40">
        <v>22</v>
      </c>
      <c r="F3" s="38">
        <f>D3/E3</f>
        <v>2947.6363636363635</v>
      </c>
      <c r="G3" s="49">
        <f>ROUND((1.5*(E3/$E$37))+(0.85*(($F$54)/(D3/E3))),2)</f>
        <v>1.6</v>
      </c>
      <c r="H3" s="48" t="s">
        <v>166</v>
      </c>
      <c r="I3" s="38">
        <v>18225</v>
      </c>
      <c r="J3" s="40">
        <v>173</v>
      </c>
      <c r="K3" s="38">
        <f>I3/J3</f>
        <v>105.34682080924856</v>
      </c>
      <c r="L3" s="40">
        <f>ROUND(((0.25*(J3/$J$3))+(0.1*(($K$3)/(I3/J3)))),2)</f>
        <v>0.35</v>
      </c>
      <c r="M3" s="48" t="s">
        <v>169</v>
      </c>
      <c r="N3" s="40">
        <v>59</v>
      </c>
      <c r="O3" s="40">
        <f>ROUND(5*(N3/$N$3),2)</f>
        <v>5</v>
      </c>
      <c r="P3" s="40" t="s">
        <v>104</v>
      </c>
      <c r="Q3" s="40">
        <v>2</v>
      </c>
      <c r="R3" s="49">
        <f t="shared" ref="R3:R17" si="0">G3+L3+O3+Q3</f>
        <v>8.9499999999999993</v>
      </c>
      <c r="AC3" s="66"/>
      <c r="AD3" s="77">
        <v>0.16</v>
      </c>
      <c r="AE3" s="49">
        <f>R3*AD3</f>
        <v>1.4319999999999999</v>
      </c>
    </row>
    <row r="4" spans="1:34" ht="83.5" customHeight="1" x14ac:dyDescent="0.35">
      <c r="A4" s="40">
        <v>1310310100</v>
      </c>
      <c r="B4" s="52" t="s">
        <v>90</v>
      </c>
      <c r="C4" s="52" t="s">
        <v>168</v>
      </c>
      <c r="D4" s="38">
        <v>64848</v>
      </c>
      <c r="E4" s="40">
        <v>22</v>
      </c>
      <c r="F4" s="38">
        <f>D4/E4</f>
        <v>2947.6363636363635</v>
      </c>
      <c r="G4" s="49">
        <f>ROUND((1.5*(E4/$E$37))+(0.85*(($F$54)/(D4/E4))),2)</f>
        <v>1.6</v>
      </c>
      <c r="H4" s="48" t="s">
        <v>166</v>
      </c>
      <c r="I4" s="38">
        <v>18225</v>
      </c>
      <c r="J4" s="40">
        <v>173</v>
      </c>
      <c r="K4" s="38">
        <f>I4/J4</f>
        <v>105.34682080924856</v>
      </c>
      <c r="L4" s="40">
        <f>ROUND(((0.25*(J4/$J$3))+(0.1*(($K$3)/(I4/J4)))),2)</f>
        <v>0.35</v>
      </c>
      <c r="M4" s="48" t="s">
        <v>169</v>
      </c>
      <c r="N4" s="78">
        <v>31</v>
      </c>
      <c r="O4" s="49">
        <f>ROUND(5*(N4/$N$55),2)</f>
        <v>4.5599999999999996</v>
      </c>
      <c r="P4" s="40" t="s">
        <v>104</v>
      </c>
      <c r="Q4" s="40">
        <v>2</v>
      </c>
      <c r="R4" s="49">
        <f t="shared" si="0"/>
        <v>8.51</v>
      </c>
      <c r="AD4" s="72">
        <v>0.25</v>
      </c>
      <c r="AE4" s="49">
        <f t="shared" ref="AE4:AE16" si="1">R4*AD4</f>
        <v>2.1274999999999999</v>
      </c>
    </row>
    <row r="5" spans="1:34" ht="14.5" customHeight="1" x14ac:dyDescent="0.35">
      <c r="A5" s="40">
        <v>1310310300</v>
      </c>
      <c r="B5" s="52" t="s">
        <v>91</v>
      </c>
      <c r="C5" s="52" t="s">
        <v>168</v>
      </c>
      <c r="D5" s="38">
        <v>64848</v>
      </c>
      <c r="E5" s="40">
        <v>22</v>
      </c>
      <c r="F5" s="38">
        <f>D5/E5</f>
        <v>2947.6363636363635</v>
      </c>
      <c r="G5" s="49">
        <f>ROUND((1.5*(E5/$E$37))+(0.85*(($F$54)/(D5/E5))),2)</f>
        <v>1.6</v>
      </c>
      <c r="H5" s="48" t="s">
        <v>166</v>
      </c>
      <c r="I5" s="38">
        <v>18225</v>
      </c>
      <c r="J5" s="40">
        <v>173</v>
      </c>
      <c r="K5" s="38">
        <f>I5/J5</f>
        <v>105.34682080924856</v>
      </c>
      <c r="L5" s="40">
        <f>ROUND(((0.25*(J5/$J$3))+(0.1*(($K$3)/(I5/J5)))),2)</f>
        <v>0.35</v>
      </c>
      <c r="M5" s="48" t="s">
        <v>169</v>
      </c>
      <c r="N5" s="78">
        <v>31</v>
      </c>
      <c r="O5" s="49">
        <f>ROUND(5*(N5/$N$56),2)</f>
        <v>4.5599999999999996</v>
      </c>
      <c r="P5" s="40" t="s">
        <v>104</v>
      </c>
      <c r="Q5" s="40">
        <v>2</v>
      </c>
      <c r="R5" s="49">
        <f t="shared" si="0"/>
        <v>8.51</v>
      </c>
      <c r="AD5" s="72">
        <v>0.31</v>
      </c>
      <c r="AE5" s="49">
        <f t="shared" si="1"/>
        <v>2.6381000000000001</v>
      </c>
    </row>
    <row r="6" spans="1:34" ht="14.5" customHeight="1" x14ac:dyDescent="0.35">
      <c r="A6" s="40">
        <v>1310310400</v>
      </c>
      <c r="B6" s="52" t="s">
        <v>92</v>
      </c>
      <c r="C6" s="52" t="s">
        <v>168</v>
      </c>
      <c r="D6" s="38">
        <v>64848</v>
      </c>
      <c r="E6" s="40">
        <v>22</v>
      </c>
      <c r="F6" s="38">
        <f>D6/E6</f>
        <v>2947.6363636363635</v>
      </c>
      <c r="G6" s="49">
        <f>ROUND((1.5*(E6/$E$37))+(0.85*(($F$54)/(D6/E6))),2)</f>
        <v>1.6</v>
      </c>
      <c r="H6" s="48" t="s">
        <v>166</v>
      </c>
      <c r="I6" s="38">
        <v>18225</v>
      </c>
      <c r="J6" s="40">
        <v>173</v>
      </c>
      <c r="K6" s="38">
        <f>I6/J6</f>
        <v>105.34682080924856</v>
      </c>
      <c r="L6" s="40">
        <f>ROUND(((0.25*(J6/$J$3))+(0.1*(($K$3)/(I6/J6)))),2)</f>
        <v>0.35</v>
      </c>
      <c r="M6" s="48" t="s">
        <v>169</v>
      </c>
      <c r="N6" s="78">
        <v>31</v>
      </c>
      <c r="O6" s="49">
        <f>ROUND(5*(N6/$N$57),2)</f>
        <v>4.5599999999999996</v>
      </c>
      <c r="P6" s="40" t="s">
        <v>104</v>
      </c>
      <c r="Q6" s="40">
        <v>2</v>
      </c>
      <c r="R6" s="49">
        <f t="shared" si="0"/>
        <v>8.51</v>
      </c>
      <c r="AD6" s="72">
        <v>0.54</v>
      </c>
      <c r="AE6" s="49">
        <f t="shared" si="1"/>
        <v>4.5954000000000006</v>
      </c>
    </row>
    <row r="7" spans="1:34" ht="14.5" customHeight="1" x14ac:dyDescent="0.35">
      <c r="A7" s="40">
        <v>1311010111</v>
      </c>
      <c r="B7" s="52" t="s">
        <v>79</v>
      </c>
      <c r="C7" s="52"/>
      <c r="R7" s="49">
        <f t="shared" si="0"/>
        <v>0</v>
      </c>
      <c r="AD7" s="65">
        <v>0</v>
      </c>
      <c r="AE7" s="49">
        <f t="shared" si="1"/>
        <v>0</v>
      </c>
    </row>
    <row r="8" spans="1:34" ht="14.5" customHeight="1" x14ac:dyDescent="0.35">
      <c r="A8" s="40">
        <v>1311010123</v>
      </c>
      <c r="B8" s="52" t="s">
        <v>80</v>
      </c>
      <c r="C8" s="52"/>
      <c r="R8" s="49">
        <f t="shared" si="0"/>
        <v>0</v>
      </c>
      <c r="AD8" s="65">
        <v>0</v>
      </c>
      <c r="AE8" s="49">
        <f t="shared" si="1"/>
        <v>0</v>
      </c>
    </row>
    <row r="9" spans="1:34" ht="14.5" customHeight="1" x14ac:dyDescent="0.35">
      <c r="A9" s="40">
        <v>1311010124</v>
      </c>
      <c r="B9" s="52" t="s">
        <v>81</v>
      </c>
      <c r="C9" s="52"/>
      <c r="R9" s="49">
        <f t="shared" si="0"/>
        <v>0</v>
      </c>
      <c r="AD9" s="65">
        <v>0</v>
      </c>
      <c r="AE9" s="49">
        <f t="shared" si="1"/>
        <v>0</v>
      </c>
    </row>
    <row r="10" spans="1:34" ht="14.5" customHeight="1" x14ac:dyDescent="0.35">
      <c r="A10" s="40">
        <v>1311010105</v>
      </c>
      <c r="B10" s="52" t="s">
        <v>82</v>
      </c>
      <c r="C10" s="52"/>
      <c r="R10" s="49">
        <f t="shared" si="0"/>
        <v>0</v>
      </c>
      <c r="AD10" s="65">
        <v>0</v>
      </c>
      <c r="AE10" s="49">
        <f t="shared" si="1"/>
        <v>0</v>
      </c>
    </row>
    <row r="11" spans="1:34" ht="14.5" customHeight="1" x14ac:dyDescent="0.35">
      <c r="A11" s="40">
        <v>1311010114</v>
      </c>
      <c r="B11" s="52" t="s">
        <v>83</v>
      </c>
      <c r="C11" s="52"/>
      <c r="R11" s="49">
        <f t="shared" si="0"/>
        <v>0</v>
      </c>
      <c r="AD11" s="65">
        <v>0</v>
      </c>
      <c r="AE11" s="49">
        <f t="shared" si="1"/>
        <v>0</v>
      </c>
    </row>
    <row r="12" spans="1:34" ht="14.5" customHeight="1" x14ac:dyDescent="0.35">
      <c r="A12" s="40">
        <v>1311010130</v>
      </c>
      <c r="B12" s="52" t="s">
        <v>84</v>
      </c>
      <c r="C12" s="52"/>
      <c r="R12" s="49">
        <f t="shared" si="0"/>
        <v>0</v>
      </c>
      <c r="AD12" s="65">
        <v>0</v>
      </c>
      <c r="AE12" s="49">
        <f t="shared" si="1"/>
        <v>0</v>
      </c>
    </row>
    <row r="13" spans="1:34" x14ac:dyDescent="0.35">
      <c r="A13" s="40">
        <v>1311010125</v>
      </c>
      <c r="B13" s="51" t="s">
        <v>85</v>
      </c>
      <c r="C13" s="51"/>
      <c r="R13" s="49">
        <f t="shared" si="0"/>
        <v>0</v>
      </c>
      <c r="AD13" s="65">
        <v>0</v>
      </c>
      <c r="AE13" s="49">
        <f t="shared" si="1"/>
        <v>0</v>
      </c>
    </row>
    <row r="14" spans="1:34" x14ac:dyDescent="0.35">
      <c r="A14" s="40">
        <v>1311010102</v>
      </c>
      <c r="B14" s="52" t="s">
        <v>86</v>
      </c>
      <c r="C14" s="52"/>
      <c r="I14" s="38"/>
      <c r="R14" s="49">
        <f t="shared" si="0"/>
        <v>0</v>
      </c>
      <c r="AD14" s="65">
        <v>0</v>
      </c>
      <c r="AE14" s="49">
        <f t="shared" si="1"/>
        <v>0</v>
      </c>
    </row>
    <row r="15" spans="1:34" x14ac:dyDescent="0.35">
      <c r="A15" s="40">
        <v>1311010126</v>
      </c>
      <c r="B15" s="52" t="s">
        <v>93</v>
      </c>
      <c r="C15" s="52"/>
      <c r="R15" s="49">
        <f t="shared" si="0"/>
        <v>0</v>
      </c>
      <c r="AD15" s="65">
        <v>0</v>
      </c>
      <c r="AE15" s="49">
        <f t="shared" si="1"/>
        <v>0</v>
      </c>
    </row>
    <row r="16" spans="1:34" x14ac:dyDescent="0.35">
      <c r="A16" s="40">
        <v>1311010104</v>
      </c>
      <c r="B16" s="52" t="s">
        <v>87</v>
      </c>
      <c r="C16" s="52"/>
      <c r="R16" s="49">
        <f t="shared" si="0"/>
        <v>0</v>
      </c>
      <c r="AD16" s="65">
        <v>0</v>
      </c>
      <c r="AE16" s="49">
        <f t="shared" si="1"/>
        <v>0</v>
      </c>
    </row>
    <row r="17" spans="1:31" ht="24.5" x14ac:dyDescent="0.35">
      <c r="A17" s="40">
        <v>1311030100</v>
      </c>
      <c r="B17" s="52" t="s">
        <v>88</v>
      </c>
      <c r="C17" s="52"/>
      <c r="R17" s="49">
        <f t="shared" si="0"/>
        <v>0</v>
      </c>
      <c r="S17" s="68" t="s">
        <v>58</v>
      </c>
      <c r="T17" s="68">
        <v>6</v>
      </c>
      <c r="U17" s="69">
        <v>0</v>
      </c>
      <c r="V17" s="68">
        <f>12*(0.01/0.01)</f>
        <v>12</v>
      </c>
      <c r="W17" s="70" t="s">
        <v>59</v>
      </c>
      <c r="X17" s="68">
        <f>ROUND((4*(5/16)),2)</f>
        <v>1.25</v>
      </c>
      <c r="Y17" s="68" t="s">
        <v>58</v>
      </c>
      <c r="Z17" s="68">
        <v>4</v>
      </c>
      <c r="AA17" s="68" t="s">
        <v>58</v>
      </c>
      <c r="AB17" s="68">
        <v>3</v>
      </c>
      <c r="AC17" s="71">
        <f>AB17+Z17+X17+V17+T17</f>
        <v>26.25</v>
      </c>
      <c r="AD17" s="65">
        <v>0.1</v>
      </c>
      <c r="AE17" s="49">
        <f>AC17*AD17</f>
        <v>2.625</v>
      </c>
    </row>
    <row r="18" spans="1:31" x14ac:dyDescent="0.35">
      <c r="AE18" s="62">
        <f>SUM(AE3:AE17)</f>
        <v>13.417999999999999</v>
      </c>
    </row>
    <row r="19" spans="1:31" x14ac:dyDescent="0.35">
      <c r="B19" s="51" t="s">
        <v>29</v>
      </c>
      <c r="C19" s="51"/>
      <c r="AE19" s="62"/>
    </row>
    <row r="20" spans="1:31" ht="101.5" x14ac:dyDescent="0.35">
      <c r="A20" s="40">
        <v>1310311110</v>
      </c>
      <c r="B20" s="52" t="s">
        <v>75</v>
      </c>
      <c r="C20" s="103" t="s">
        <v>170</v>
      </c>
      <c r="D20" s="38">
        <v>27142.91</v>
      </c>
      <c r="E20" s="40">
        <v>9</v>
      </c>
      <c r="F20" s="38">
        <f>D20/E20</f>
        <v>3015.8788888888889</v>
      </c>
      <c r="G20" s="49">
        <f>ROUND((1.5*(E20/$E$37))+(0.85*(($F$54)/(D20/E20))),2)</f>
        <v>1.04</v>
      </c>
      <c r="H20" s="40" t="s">
        <v>171</v>
      </c>
      <c r="I20" s="38">
        <v>269.35000000000002</v>
      </c>
      <c r="J20" s="48">
        <v>1</v>
      </c>
      <c r="K20" s="38">
        <f>I20/J20</f>
        <v>269.35000000000002</v>
      </c>
      <c r="L20" s="40">
        <f>ROUND(((0.25*(J20/$J$3))+(0.1*(($K$3)/(I20/J20)))),2)</f>
        <v>0.04</v>
      </c>
      <c r="M20" s="48" t="s">
        <v>107</v>
      </c>
      <c r="N20" s="48">
        <v>0</v>
      </c>
      <c r="O20" s="40">
        <v>0</v>
      </c>
      <c r="P20" s="114" t="s">
        <v>197</v>
      </c>
      <c r="Q20" s="40">
        <v>0</v>
      </c>
      <c r="R20" s="49">
        <f t="shared" ref="R20:R34" si="2">G20+L20+O20+Q20</f>
        <v>1.08</v>
      </c>
      <c r="AD20" s="72">
        <v>0.16</v>
      </c>
      <c r="AE20" s="49">
        <f>R20*AD20</f>
        <v>0.17280000000000001</v>
      </c>
    </row>
    <row r="21" spans="1:31" ht="16.5" customHeight="1" x14ac:dyDescent="0.35">
      <c r="A21" s="40">
        <v>1310310100</v>
      </c>
      <c r="B21" s="52" t="s">
        <v>76</v>
      </c>
      <c r="C21" s="103" t="s">
        <v>170</v>
      </c>
      <c r="D21" s="38">
        <v>27142.91</v>
      </c>
      <c r="E21" s="40">
        <v>9</v>
      </c>
      <c r="F21" s="38">
        <f>D21/E21</f>
        <v>3015.8788888888889</v>
      </c>
      <c r="G21" s="49">
        <f>ROUND((1.5*(E21/$E$37))+(0.85*(($F$54)/(D21/E21))),2)</f>
        <v>1.04</v>
      </c>
      <c r="H21" s="40" t="s">
        <v>171</v>
      </c>
      <c r="I21" s="38">
        <v>269.35000000000002</v>
      </c>
      <c r="J21" s="48">
        <v>1</v>
      </c>
      <c r="K21" s="38">
        <f>I21/J21</f>
        <v>269.35000000000002</v>
      </c>
      <c r="L21" s="40">
        <f>ROUND(((0.25*(J21/$J$3))+(0.1*(($K$3)/(I21/J21)))),2)</f>
        <v>0.04</v>
      </c>
      <c r="M21" s="48" t="s">
        <v>107</v>
      </c>
      <c r="N21" s="48">
        <v>0</v>
      </c>
      <c r="O21" s="40">
        <v>0</v>
      </c>
      <c r="P21" s="114" t="s">
        <v>197</v>
      </c>
      <c r="Q21" s="40">
        <v>0</v>
      </c>
      <c r="R21" s="49">
        <f t="shared" si="2"/>
        <v>1.08</v>
      </c>
      <c r="AD21" s="72">
        <v>0.25</v>
      </c>
      <c r="AE21" s="49">
        <f t="shared" ref="AE21:AE33" si="3">R21*AD21</f>
        <v>0.27</v>
      </c>
    </row>
    <row r="22" spans="1:31" ht="52" customHeight="1" x14ac:dyDescent="0.35">
      <c r="A22" s="40">
        <v>1310310300</v>
      </c>
      <c r="B22" s="52" t="s">
        <v>77</v>
      </c>
      <c r="C22" s="103" t="s">
        <v>170</v>
      </c>
      <c r="D22" s="38">
        <v>27142.91</v>
      </c>
      <c r="E22" s="40">
        <v>9</v>
      </c>
      <c r="F22" s="38">
        <f>D22/E22</f>
        <v>3015.8788888888889</v>
      </c>
      <c r="G22" s="49">
        <f>ROUND((1.5*(E22/$E$37))+(0.85*(($F$54)/(D22/E22))),2)</f>
        <v>1.04</v>
      </c>
      <c r="H22" s="40" t="s">
        <v>171</v>
      </c>
      <c r="I22" s="38">
        <v>269.35000000000002</v>
      </c>
      <c r="J22" s="48">
        <v>1</v>
      </c>
      <c r="K22" s="38">
        <f>I22/J22</f>
        <v>269.35000000000002</v>
      </c>
      <c r="L22" s="40">
        <f>ROUND(((0.25*(J22/$J$3))+(0.1*(($K$3)/(I22/J22)))),2)</f>
        <v>0.04</v>
      </c>
      <c r="M22" s="48" t="s">
        <v>107</v>
      </c>
      <c r="N22" s="48">
        <v>0</v>
      </c>
      <c r="O22" s="40">
        <v>0</v>
      </c>
      <c r="P22" s="114" t="s">
        <v>197</v>
      </c>
      <c r="Q22" s="40">
        <v>0</v>
      </c>
      <c r="R22" s="49">
        <f t="shared" si="2"/>
        <v>1.08</v>
      </c>
      <c r="AD22" s="72">
        <v>0.31</v>
      </c>
      <c r="AE22" s="49">
        <f t="shared" si="3"/>
        <v>0.33480000000000004</v>
      </c>
    </row>
    <row r="23" spans="1:31" ht="40.5" customHeight="1" x14ac:dyDescent="0.35">
      <c r="A23" s="40">
        <v>1310310400</v>
      </c>
      <c r="B23" s="40" t="s">
        <v>78</v>
      </c>
      <c r="C23" s="103" t="s">
        <v>170</v>
      </c>
      <c r="D23" s="38">
        <v>27142.91</v>
      </c>
      <c r="E23" s="40">
        <v>9</v>
      </c>
      <c r="F23" s="38">
        <f>D23/E23</f>
        <v>3015.8788888888889</v>
      </c>
      <c r="G23" s="49">
        <f>ROUND((1.5*(E23/$E$37))+(0.85*(($F$54)/(D23/E23))),2)</f>
        <v>1.04</v>
      </c>
      <c r="H23" s="40" t="s">
        <v>171</v>
      </c>
      <c r="I23" s="38">
        <v>269.35000000000002</v>
      </c>
      <c r="J23" s="48">
        <v>1</v>
      </c>
      <c r="K23" s="38">
        <f>I23/J23</f>
        <v>269.35000000000002</v>
      </c>
      <c r="L23" s="40">
        <f>ROUND(((0.25*(J23/$J$3))+(0.1*(($K$3)/(I23/J23)))),2)</f>
        <v>0.04</v>
      </c>
      <c r="M23" s="48" t="s">
        <v>107</v>
      </c>
      <c r="N23" s="48">
        <v>0</v>
      </c>
      <c r="O23" s="40">
        <v>0</v>
      </c>
      <c r="P23" s="114" t="s">
        <v>197</v>
      </c>
      <c r="Q23" s="40">
        <v>0</v>
      </c>
      <c r="R23" s="49">
        <f t="shared" si="2"/>
        <v>1.08</v>
      </c>
      <c r="AD23" s="72">
        <v>0.54</v>
      </c>
      <c r="AE23" s="49">
        <f t="shared" si="3"/>
        <v>0.58320000000000005</v>
      </c>
    </row>
    <row r="24" spans="1:31" x14ac:dyDescent="0.35">
      <c r="A24" s="40">
        <v>1311010111</v>
      </c>
      <c r="B24" s="40" t="s">
        <v>79</v>
      </c>
      <c r="R24" s="49">
        <f t="shared" si="2"/>
        <v>0</v>
      </c>
      <c r="AD24" s="65">
        <v>0</v>
      </c>
      <c r="AE24" s="49">
        <f t="shared" si="3"/>
        <v>0</v>
      </c>
    </row>
    <row r="25" spans="1:31" x14ac:dyDescent="0.35">
      <c r="A25" s="40">
        <v>1311010123</v>
      </c>
      <c r="B25" s="40" t="s">
        <v>80</v>
      </c>
      <c r="R25" s="49">
        <f t="shared" si="2"/>
        <v>0</v>
      </c>
      <c r="AD25" s="65">
        <v>0</v>
      </c>
      <c r="AE25" s="49">
        <f t="shared" si="3"/>
        <v>0</v>
      </c>
    </row>
    <row r="26" spans="1:31" x14ac:dyDescent="0.35">
      <c r="A26" s="40">
        <v>1311010124</v>
      </c>
      <c r="B26" s="40" t="s">
        <v>81</v>
      </c>
      <c r="R26" s="49">
        <f t="shared" si="2"/>
        <v>0</v>
      </c>
      <c r="AD26" s="65">
        <v>0</v>
      </c>
      <c r="AE26" s="49">
        <f t="shared" si="3"/>
        <v>0</v>
      </c>
    </row>
    <row r="27" spans="1:31" x14ac:dyDescent="0.35">
      <c r="A27" s="40">
        <v>1311010105</v>
      </c>
      <c r="B27" s="40" t="s">
        <v>82</v>
      </c>
      <c r="R27" s="49">
        <f t="shared" si="2"/>
        <v>0</v>
      </c>
      <c r="AD27" s="65">
        <v>0</v>
      </c>
      <c r="AE27" s="49">
        <f t="shared" si="3"/>
        <v>0</v>
      </c>
    </row>
    <row r="28" spans="1:31" x14ac:dyDescent="0.35">
      <c r="A28" s="40">
        <v>1311010114</v>
      </c>
      <c r="B28" s="40" t="s">
        <v>83</v>
      </c>
      <c r="R28" s="49">
        <f t="shared" si="2"/>
        <v>0</v>
      </c>
      <c r="AD28" s="65">
        <v>0</v>
      </c>
      <c r="AE28" s="49">
        <f t="shared" si="3"/>
        <v>0</v>
      </c>
    </row>
    <row r="29" spans="1:31" x14ac:dyDescent="0.35">
      <c r="A29" s="40">
        <v>1311010130</v>
      </c>
      <c r="B29" s="40" t="s">
        <v>84</v>
      </c>
      <c r="R29" s="49">
        <f t="shared" si="2"/>
        <v>0</v>
      </c>
      <c r="AD29" s="65">
        <v>0</v>
      </c>
      <c r="AE29" s="49">
        <f t="shared" si="3"/>
        <v>0</v>
      </c>
    </row>
    <row r="30" spans="1:31" x14ac:dyDescent="0.35">
      <c r="A30" s="40">
        <v>1311010125</v>
      </c>
      <c r="B30" s="40" t="s">
        <v>85</v>
      </c>
      <c r="R30" s="49">
        <f t="shared" si="2"/>
        <v>0</v>
      </c>
      <c r="AD30" s="65">
        <v>0</v>
      </c>
      <c r="AE30" s="49">
        <f t="shared" si="3"/>
        <v>0</v>
      </c>
    </row>
    <row r="31" spans="1:31" x14ac:dyDescent="0.35">
      <c r="A31" s="40">
        <v>1311010102</v>
      </c>
      <c r="B31" s="40" t="s">
        <v>86</v>
      </c>
      <c r="R31" s="49">
        <f t="shared" si="2"/>
        <v>0</v>
      </c>
      <c r="AD31" s="65">
        <v>0</v>
      </c>
      <c r="AE31" s="49">
        <f t="shared" si="3"/>
        <v>0</v>
      </c>
    </row>
    <row r="32" spans="1:31" x14ac:dyDescent="0.35">
      <c r="A32" s="40">
        <v>1311010126</v>
      </c>
      <c r="B32" s="40" t="s">
        <v>89</v>
      </c>
      <c r="E32" s="38"/>
      <c r="R32" s="49">
        <f t="shared" si="2"/>
        <v>0</v>
      </c>
      <c r="AD32" s="65">
        <v>0</v>
      </c>
      <c r="AE32" s="49">
        <f t="shared" si="3"/>
        <v>0</v>
      </c>
    </row>
    <row r="33" spans="1:31" x14ac:dyDescent="0.35">
      <c r="A33" s="40">
        <v>1311010104</v>
      </c>
      <c r="B33" s="40" t="s">
        <v>87</v>
      </c>
      <c r="E33" s="38"/>
      <c r="R33" s="49">
        <f t="shared" si="2"/>
        <v>0</v>
      </c>
      <c r="AD33" s="65">
        <v>0</v>
      </c>
      <c r="AE33" s="49">
        <f t="shared" si="3"/>
        <v>0</v>
      </c>
    </row>
    <row r="34" spans="1:31" ht="24.5" x14ac:dyDescent="0.35">
      <c r="A34" s="40">
        <v>1311030100</v>
      </c>
      <c r="B34" s="40" t="s">
        <v>88</v>
      </c>
      <c r="R34" s="49">
        <f t="shared" si="2"/>
        <v>0</v>
      </c>
      <c r="S34" s="68" t="s">
        <v>58</v>
      </c>
      <c r="T34" s="68">
        <v>6</v>
      </c>
      <c r="U34" s="69">
        <v>972</v>
      </c>
      <c r="V34" s="68">
        <f>ROUND((12*(0.01/972)),2)</f>
        <v>0</v>
      </c>
      <c r="W34" s="70" t="s">
        <v>60</v>
      </c>
      <c r="X34" s="68">
        <f>ROUND((4*(16/16)),2)</f>
        <v>4</v>
      </c>
      <c r="Y34" s="68" t="s">
        <v>58</v>
      </c>
      <c r="Z34" s="68">
        <v>4</v>
      </c>
      <c r="AA34" s="68" t="s">
        <v>58</v>
      </c>
      <c r="AB34" s="68">
        <v>3</v>
      </c>
      <c r="AC34" s="71">
        <f>AB34+Z34+X34+V34+T34</f>
        <v>17</v>
      </c>
      <c r="AD34" s="65">
        <v>0.1</v>
      </c>
      <c r="AE34" s="49">
        <f>AC34*AD34</f>
        <v>1.7000000000000002</v>
      </c>
    </row>
    <row r="35" spans="1:31" x14ac:dyDescent="0.35">
      <c r="S35" s="68"/>
      <c r="T35" s="68"/>
      <c r="U35" s="69"/>
      <c r="V35" s="68"/>
      <c r="W35" s="70"/>
      <c r="X35" s="68"/>
      <c r="Y35" s="68"/>
      <c r="Z35" s="68"/>
      <c r="AA35" s="68"/>
      <c r="AB35" s="68"/>
      <c r="AC35" s="71"/>
      <c r="AD35" s="65"/>
      <c r="AE35" s="62">
        <f>SUM(AE20:AE34)</f>
        <v>3.0608000000000004</v>
      </c>
    </row>
    <row r="36" spans="1:31" x14ac:dyDescent="0.35">
      <c r="B36" s="51" t="s">
        <v>32</v>
      </c>
      <c r="C36" s="51"/>
      <c r="AE36" s="40"/>
    </row>
    <row r="37" spans="1:31" ht="101.5" x14ac:dyDescent="0.35">
      <c r="A37" s="40">
        <v>1310311110</v>
      </c>
      <c r="B37" s="40" t="s">
        <v>75</v>
      </c>
      <c r="D37" s="89">
        <v>98475</v>
      </c>
      <c r="E37" s="90">
        <v>36</v>
      </c>
      <c r="F37" s="38">
        <f>D37/E37</f>
        <v>2735.4166666666665</v>
      </c>
      <c r="G37" s="49">
        <f>ROUND((1.5*(E37/$E$37))+(0.85*(($F$54)/(D37/E37))),2)</f>
        <v>2.2400000000000002</v>
      </c>
      <c r="H37" s="103" t="s">
        <v>177</v>
      </c>
      <c r="I37" s="38">
        <v>30961</v>
      </c>
      <c r="J37" s="40">
        <v>114</v>
      </c>
      <c r="K37" s="38">
        <f>I37/J37</f>
        <v>271.58771929824559</v>
      </c>
      <c r="L37" s="49">
        <f>ROUND(((0.25*(J37/$J$3))+(0.1*(($K$3)/(I37/J37)))),2)</f>
        <v>0.2</v>
      </c>
      <c r="M37" s="48" t="s">
        <v>127</v>
      </c>
      <c r="N37" s="48">
        <v>9</v>
      </c>
      <c r="O37" s="49">
        <f>ROUND(5*(N37/N3),2)</f>
        <v>0.76</v>
      </c>
      <c r="P37" s="40" t="s">
        <v>104</v>
      </c>
      <c r="Q37" s="40">
        <v>2</v>
      </c>
      <c r="R37" s="49">
        <f t="shared" ref="R37:R45" si="4">G37+L37+O37+Q37</f>
        <v>5.2</v>
      </c>
      <c r="AD37" s="72">
        <v>0.16</v>
      </c>
      <c r="AE37" s="49">
        <f>R37*AD37</f>
        <v>0.83200000000000007</v>
      </c>
    </row>
    <row r="38" spans="1:31" ht="101.5" x14ac:dyDescent="0.35">
      <c r="A38" s="40">
        <v>1310310100</v>
      </c>
      <c r="B38" s="40" t="s">
        <v>76</v>
      </c>
      <c r="C38" s="103" t="s">
        <v>172</v>
      </c>
      <c r="D38" s="89">
        <v>98475</v>
      </c>
      <c r="E38" s="90">
        <v>36</v>
      </c>
      <c r="F38" s="38">
        <f>D38/E38</f>
        <v>2735.4166666666665</v>
      </c>
      <c r="G38" s="49">
        <f>ROUND((1.5*(E38/$E$37))+(0.85*(($F$54)/(D38/E38))),2)</f>
        <v>2.2400000000000002</v>
      </c>
      <c r="H38" s="103" t="s">
        <v>177</v>
      </c>
      <c r="I38" s="38">
        <v>30961</v>
      </c>
      <c r="J38" s="40">
        <v>114</v>
      </c>
      <c r="K38" s="38">
        <f>I38/J38</f>
        <v>271.58771929824559</v>
      </c>
      <c r="L38" s="49">
        <f>ROUND(((0.25*(J38/$J$3))+(0.1*(($K$3)/(I38/J38)))),2)</f>
        <v>0.2</v>
      </c>
      <c r="M38" s="48" t="s">
        <v>127</v>
      </c>
      <c r="N38" s="48">
        <v>9</v>
      </c>
      <c r="O38" s="49">
        <f>ROUND(5*(N38/$N$55),2)</f>
        <v>1.32</v>
      </c>
      <c r="P38" s="40" t="s">
        <v>104</v>
      </c>
      <c r="Q38" s="40">
        <v>2</v>
      </c>
      <c r="R38" s="49">
        <f t="shared" si="4"/>
        <v>5.7600000000000007</v>
      </c>
      <c r="AD38" s="72">
        <v>0.25</v>
      </c>
      <c r="AE38" s="49">
        <f t="shared" ref="AE38:AE50" si="5">R38*AD38</f>
        <v>1.4400000000000002</v>
      </c>
    </row>
    <row r="39" spans="1:31" ht="101.5" x14ac:dyDescent="0.35">
      <c r="A39" s="40">
        <v>1310310300</v>
      </c>
      <c r="B39" s="40" t="s">
        <v>77</v>
      </c>
      <c r="C39" s="103" t="s">
        <v>172</v>
      </c>
      <c r="D39" s="89">
        <v>98475</v>
      </c>
      <c r="E39" s="90">
        <v>36</v>
      </c>
      <c r="F39" s="38">
        <f>D39/E39</f>
        <v>2735.4166666666665</v>
      </c>
      <c r="G39" s="49">
        <f>ROUND((1.5*(E39/$E$37))+(0.85*(($F$54)/(D39/E39))),2)</f>
        <v>2.2400000000000002</v>
      </c>
      <c r="H39" s="103" t="s">
        <v>177</v>
      </c>
      <c r="I39" s="38">
        <v>30961</v>
      </c>
      <c r="J39" s="40">
        <v>114</v>
      </c>
      <c r="K39" s="38">
        <f>I39/J39</f>
        <v>271.58771929824559</v>
      </c>
      <c r="L39" s="49">
        <f>ROUND(((0.25*(J39/$J$3))+(0.1*(($K$3)/(I39/J39)))),2)</f>
        <v>0.2</v>
      </c>
      <c r="M39" s="48" t="s">
        <v>127</v>
      </c>
      <c r="N39" s="48">
        <v>9</v>
      </c>
      <c r="O39" s="49">
        <f>ROUND(5*(N39/$N$56),2)</f>
        <v>1.32</v>
      </c>
      <c r="P39" s="40" t="s">
        <v>104</v>
      </c>
      <c r="Q39" s="40">
        <v>2</v>
      </c>
      <c r="R39" s="49">
        <f t="shared" si="4"/>
        <v>5.7600000000000007</v>
      </c>
      <c r="AD39" s="72">
        <v>0.31</v>
      </c>
      <c r="AE39" s="49">
        <f t="shared" si="5"/>
        <v>1.7856000000000003</v>
      </c>
    </row>
    <row r="40" spans="1:31" ht="101.5" x14ac:dyDescent="0.35">
      <c r="A40" s="40">
        <v>1310310400</v>
      </c>
      <c r="B40" s="40" t="s">
        <v>78</v>
      </c>
      <c r="C40" s="103" t="s">
        <v>172</v>
      </c>
      <c r="D40" s="89">
        <v>98475</v>
      </c>
      <c r="E40" s="90">
        <v>36</v>
      </c>
      <c r="F40" s="38">
        <f>D40/E40</f>
        <v>2735.4166666666665</v>
      </c>
      <c r="G40" s="49">
        <f>ROUND((1.5*(E40/$E$37))+(0.85*(($F$54)/(D40/E40))),2)</f>
        <v>2.2400000000000002</v>
      </c>
      <c r="H40" s="103" t="s">
        <v>177</v>
      </c>
      <c r="I40" s="38">
        <v>30961</v>
      </c>
      <c r="J40" s="40">
        <v>114</v>
      </c>
      <c r="K40" s="38">
        <f>I40/J40</f>
        <v>271.58771929824559</v>
      </c>
      <c r="L40" s="49">
        <f>ROUND(((0.25*(J40/$J$3))+(0.1*(($K$3)/(I40/J40)))),2)</f>
        <v>0.2</v>
      </c>
      <c r="M40" s="48" t="s">
        <v>127</v>
      </c>
      <c r="N40" s="48">
        <v>9</v>
      </c>
      <c r="O40" s="49">
        <f>ROUND(5*(N40/$N$57),2)</f>
        <v>1.32</v>
      </c>
      <c r="P40" s="40" t="s">
        <v>104</v>
      </c>
      <c r="Q40" s="40">
        <v>2</v>
      </c>
      <c r="R40" s="49">
        <f t="shared" si="4"/>
        <v>5.7600000000000007</v>
      </c>
      <c r="AD40" s="72">
        <v>0.54</v>
      </c>
      <c r="AE40" s="49">
        <f t="shared" si="5"/>
        <v>3.1104000000000007</v>
      </c>
    </row>
    <row r="41" spans="1:31" x14ac:dyDescent="0.35">
      <c r="A41" s="40">
        <v>1311010111</v>
      </c>
      <c r="B41" s="40" t="s">
        <v>79</v>
      </c>
      <c r="R41" s="49">
        <f t="shared" si="4"/>
        <v>0</v>
      </c>
      <c r="AD41" s="65">
        <v>0</v>
      </c>
      <c r="AE41" s="49">
        <f t="shared" si="5"/>
        <v>0</v>
      </c>
    </row>
    <row r="42" spans="1:31" x14ac:dyDescent="0.35">
      <c r="A42" s="40">
        <v>1311010123</v>
      </c>
      <c r="B42" s="40" t="s">
        <v>80</v>
      </c>
      <c r="R42" s="49">
        <f t="shared" si="4"/>
        <v>0</v>
      </c>
      <c r="AD42" s="65">
        <v>0</v>
      </c>
      <c r="AE42" s="49">
        <f t="shared" si="5"/>
        <v>0</v>
      </c>
    </row>
    <row r="43" spans="1:31" x14ac:dyDescent="0.35">
      <c r="A43" s="40">
        <v>1311010124</v>
      </c>
      <c r="B43" s="40" t="s">
        <v>81</v>
      </c>
      <c r="R43" s="49">
        <f t="shared" si="4"/>
        <v>0</v>
      </c>
      <c r="AD43" s="65">
        <v>0</v>
      </c>
      <c r="AE43" s="49">
        <f t="shared" si="5"/>
        <v>0</v>
      </c>
    </row>
    <row r="44" spans="1:31" x14ac:dyDescent="0.35">
      <c r="A44" s="40">
        <v>1311010105</v>
      </c>
      <c r="B44" s="40" t="s">
        <v>82</v>
      </c>
      <c r="R44" s="49">
        <f t="shared" si="4"/>
        <v>0</v>
      </c>
      <c r="AD44" s="65">
        <v>0</v>
      </c>
      <c r="AE44" s="49">
        <f t="shared" si="5"/>
        <v>0</v>
      </c>
    </row>
    <row r="45" spans="1:31" x14ac:dyDescent="0.35">
      <c r="A45" s="40">
        <v>1311010114</v>
      </c>
      <c r="B45" s="40" t="s">
        <v>83</v>
      </c>
      <c r="R45" s="49">
        <f t="shared" si="4"/>
        <v>0</v>
      </c>
      <c r="AD45" s="65">
        <v>0</v>
      </c>
      <c r="AE45" s="49">
        <f t="shared" si="5"/>
        <v>0</v>
      </c>
    </row>
    <row r="46" spans="1:31" ht="37" customHeight="1" x14ac:dyDescent="0.35">
      <c r="A46" s="40">
        <v>1311010130</v>
      </c>
      <c r="B46" s="40" t="s">
        <v>84</v>
      </c>
      <c r="R46" s="49">
        <f>G46+L46+O37+Q46</f>
        <v>0.76</v>
      </c>
      <c r="AD46" s="65">
        <v>0</v>
      </c>
      <c r="AE46" s="49">
        <f t="shared" si="5"/>
        <v>0</v>
      </c>
    </row>
    <row r="47" spans="1:31" x14ac:dyDescent="0.35">
      <c r="A47" s="40">
        <v>1311010125</v>
      </c>
      <c r="B47" s="40" t="s">
        <v>85</v>
      </c>
      <c r="R47" s="49">
        <f>G47+L47+O47+Q47</f>
        <v>0</v>
      </c>
      <c r="AD47" s="65">
        <v>0</v>
      </c>
      <c r="AE47" s="49">
        <f t="shared" si="5"/>
        <v>0</v>
      </c>
    </row>
    <row r="48" spans="1:31" x14ac:dyDescent="0.35">
      <c r="A48" s="40">
        <v>1311010102</v>
      </c>
      <c r="B48" s="40" t="s">
        <v>86</v>
      </c>
      <c r="R48" s="49">
        <f>G48+L48+O48+Q48</f>
        <v>0</v>
      </c>
      <c r="AD48" s="65">
        <v>0</v>
      </c>
      <c r="AE48" s="49">
        <f t="shared" si="5"/>
        <v>0</v>
      </c>
    </row>
    <row r="49" spans="1:31" x14ac:dyDescent="0.35">
      <c r="A49" s="40">
        <v>1311010126</v>
      </c>
      <c r="B49" s="40" t="s">
        <v>89</v>
      </c>
      <c r="R49" s="49">
        <f>G49+L49+O49+Q49</f>
        <v>0</v>
      </c>
      <c r="AD49" s="65">
        <v>0</v>
      </c>
      <c r="AE49" s="49">
        <f t="shared" si="5"/>
        <v>0</v>
      </c>
    </row>
    <row r="50" spans="1:31" x14ac:dyDescent="0.35">
      <c r="A50" s="40">
        <v>1311010104</v>
      </c>
      <c r="B50" s="40" t="s">
        <v>87</v>
      </c>
      <c r="R50" s="49">
        <f>G50+L50+O50+Q50</f>
        <v>0</v>
      </c>
      <c r="AD50" s="65">
        <v>0</v>
      </c>
      <c r="AE50" s="49">
        <f t="shared" si="5"/>
        <v>0</v>
      </c>
    </row>
    <row r="51" spans="1:31" ht="36.5" x14ac:dyDescent="0.35">
      <c r="A51" s="40">
        <v>1311030100</v>
      </c>
      <c r="B51" s="40" t="s">
        <v>88</v>
      </c>
      <c r="R51" s="49">
        <f>G51+L51+O51+Q51</f>
        <v>0</v>
      </c>
      <c r="S51" s="66" t="s">
        <v>61</v>
      </c>
      <c r="T51" s="66">
        <v>0</v>
      </c>
      <c r="U51" s="67">
        <v>390</v>
      </c>
      <c r="V51" s="66">
        <f>ROUND((12*(0.01/390)),2)</f>
        <v>0</v>
      </c>
      <c r="W51" s="70" t="s">
        <v>178</v>
      </c>
      <c r="X51" s="66">
        <v>0</v>
      </c>
      <c r="Y51" s="66" t="s">
        <v>61</v>
      </c>
      <c r="Z51" s="66">
        <v>0</v>
      </c>
      <c r="AA51" s="66" t="s">
        <v>61</v>
      </c>
      <c r="AB51" s="66">
        <v>0</v>
      </c>
      <c r="AC51" s="71">
        <f>AB51+Z51+X51+V51+T51</f>
        <v>0</v>
      </c>
      <c r="AD51" s="65">
        <v>0.1</v>
      </c>
      <c r="AE51" s="49">
        <f>AC51*AD51</f>
        <v>0</v>
      </c>
    </row>
    <row r="52" spans="1:31" x14ac:dyDescent="0.35">
      <c r="S52" s="66"/>
      <c r="T52" s="66"/>
      <c r="U52" s="67"/>
      <c r="V52" s="66"/>
      <c r="W52" s="66"/>
      <c r="X52" s="66"/>
      <c r="Y52" s="66"/>
      <c r="Z52" s="66"/>
      <c r="AA52" s="66"/>
      <c r="AB52" s="66"/>
      <c r="AC52" s="71"/>
      <c r="AD52" s="65"/>
      <c r="AE52" s="62">
        <f>SUM(AE37:AE51)</f>
        <v>7.168000000000001</v>
      </c>
    </row>
    <row r="53" spans="1:31" x14ac:dyDescent="0.35">
      <c r="B53" s="17" t="s">
        <v>30</v>
      </c>
      <c r="C53" s="51"/>
      <c r="AE53" s="40"/>
    </row>
    <row r="54" spans="1:31" ht="53.5" customHeight="1" x14ac:dyDescent="0.35">
      <c r="A54" s="40">
        <v>1310311110</v>
      </c>
      <c r="B54" s="40" t="s">
        <v>75</v>
      </c>
      <c r="C54" s="47" t="s">
        <v>133</v>
      </c>
      <c r="D54" s="38">
        <v>49804.9</v>
      </c>
      <c r="E54" s="40">
        <v>21</v>
      </c>
      <c r="F54" s="38">
        <f>D54/E54</f>
        <v>2371.6619047619047</v>
      </c>
      <c r="G54" s="49">
        <f>ROUND((1.5*(E54/$E$37))+(0.85*(($F$54)/(D54/E54))),2)</f>
        <v>1.73</v>
      </c>
      <c r="H54" s="48" t="s">
        <v>139</v>
      </c>
      <c r="I54" s="38">
        <v>20500.05</v>
      </c>
      <c r="J54" s="40">
        <v>56</v>
      </c>
      <c r="K54" s="38">
        <f>I54/J54</f>
        <v>366.0723214285714</v>
      </c>
      <c r="L54" s="49">
        <f>ROUND(((0.25*(J54/$J$3))+(0.1*(($I$3/$J$3)/(I54/J54)))),2)</f>
        <v>0.11</v>
      </c>
      <c r="M54" t="s">
        <v>180</v>
      </c>
      <c r="N54" s="48">
        <v>37</v>
      </c>
      <c r="O54" s="49">
        <f>ROUND(5*(N54/N3),2)</f>
        <v>3.14</v>
      </c>
      <c r="P54" s="40" t="s">
        <v>61</v>
      </c>
      <c r="Q54" s="40">
        <v>0</v>
      </c>
      <c r="R54" s="49">
        <f t="shared" ref="R54:R68" si="6">G54+L54+O54+Q54</f>
        <v>4.9800000000000004</v>
      </c>
      <c r="AD54" s="77">
        <v>0.16</v>
      </c>
      <c r="AE54" s="49">
        <f>R54*AD54</f>
        <v>0.79680000000000006</v>
      </c>
    </row>
    <row r="55" spans="1:31" ht="47.5" customHeight="1" x14ac:dyDescent="0.35">
      <c r="A55" s="40">
        <v>1310310100</v>
      </c>
      <c r="B55" s="40" t="s">
        <v>76</v>
      </c>
      <c r="C55" s="47" t="s">
        <v>133</v>
      </c>
      <c r="D55" s="38">
        <v>49804.9</v>
      </c>
      <c r="E55" s="40">
        <v>21</v>
      </c>
      <c r="F55" s="38">
        <f>D55/E55</f>
        <v>2371.6619047619047</v>
      </c>
      <c r="G55" s="49">
        <f t="shared" ref="G55:G57" si="7">ROUND((1.5*(E55/$E$37))+(0.85*(($F$54)/(D55/E55))),2)</f>
        <v>1.73</v>
      </c>
      <c r="H55" s="48" t="s">
        <v>139</v>
      </c>
      <c r="I55" s="38">
        <v>20500.05</v>
      </c>
      <c r="J55" s="40">
        <v>56</v>
      </c>
      <c r="K55" s="38">
        <f>I55/J55</f>
        <v>366.0723214285714</v>
      </c>
      <c r="L55" s="49">
        <f>ROUND(((0.25*(J55/$J$3))+(0.1*(($I$3/$J$3)/(I55/J55)))),2)</f>
        <v>0.11</v>
      </c>
      <c r="M55" t="s">
        <v>179</v>
      </c>
      <c r="N55" s="78">
        <v>34</v>
      </c>
      <c r="O55" s="49">
        <f>ROUND(5*(N55/$N$55),2)</f>
        <v>5</v>
      </c>
      <c r="P55" s="40" t="s">
        <v>61</v>
      </c>
      <c r="Q55" s="40">
        <v>0</v>
      </c>
      <c r="R55" s="49">
        <f t="shared" si="6"/>
        <v>6.84</v>
      </c>
      <c r="AD55" s="72">
        <v>0.25</v>
      </c>
      <c r="AE55" s="49">
        <f t="shared" ref="AE55:AE67" si="8">R55*AD55</f>
        <v>1.71</v>
      </c>
    </row>
    <row r="56" spans="1:31" ht="56.15" customHeight="1" x14ac:dyDescent="0.35">
      <c r="A56" s="40">
        <v>1310310300</v>
      </c>
      <c r="B56" s="40" t="s">
        <v>77</v>
      </c>
      <c r="C56" s="47" t="s">
        <v>133</v>
      </c>
      <c r="D56" s="38">
        <v>49804.9</v>
      </c>
      <c r="E56" s="40">
        <v>21</v>
      </c>
      <c r="F56" s="38">
        <f>D56/E56</f>
        <v>2371.6619047619047</v>
      </c>
      <c r="G56" s="49">
        <f t="shared" si="7"/>
        <v>1.73</v>
      </c>
      <c r="H56" s="48" t="s">
        <v>139</v>
      </c>
      <c r="I56" s="38">
        <v>20500.05</v>
      </c>
      <c r="J56" s="40">
        <v>56</v>
      </c>
      <c r="K56" s="38">
        <f>I56/J56</f>
        <v>366.0723214285714</v>
      </c>
      <c r="L56" s="49">
        <f>ROUND(((0.25*(J56/$J$3))+(0.1*(($I$3/$J$3)/(I56/J56)))),2)</f>
        <v>0.11</v>
      </c>
      <c r="M56" s="40" t="s">
        <v>179</v>
      </c>
      <c r="N56" s="78">
        <v>34</v>
      </c>
      <c r="O56" s="49">
        <f>ROUND(5*(N56/$N$56),2)</f>
        <v>5</v>
      </c>
      <c r="P56" s="40" t="s">
        <v>61</v>
      </c>
      <c r="Q56" s="40">
        <v>0</v>
      </c>
      <c r="R56" s="49">
        <f t="shared" si="6"/>
        <v>6.84</v>
      </c>
      <c r="AD56" s="72">
        <v>0.31</v>
      </c>
      <c r="AE56" s="49">
        <f t="shared" si="8"/>
        <v>2.1204000000000001</v>
      </c>
    </row>
    <row r="57" spans="1:31" ht="63" customHeight="1" x14ac:dyDescent="0.35">
      <c r="A57" s="40">
        <v>1310310400</v>
      </c>
      <c r="B57" s="40" t="s">
        <v>78</v>
      </c>
      <c r="C57" s="47" t="s">
        <v>133</v>
      </c>
      <c r="D57" s="38">
        <v>49804.9</v>
      </c>
      <c r="E57" s="40">
        <v>21</v>
      </c>
      <c r="F57" s="38">
        <f>D57/E57</f>
        <v>2371.6619047619047</v>
      </c>
      <c r="G57" s="49">
        <f t="shared" si="7"/>
        <v>1.73</v>
      </c>
      <c r="H57" s="48" t="s">
        <v>139</v>
      </c>
      <c r="I57" s="38">
        <v>20500.05</v>
      </c>
      <c r="J57" s="40">
        <v>56</v>
      </c>
      <c r="K57" s="38">
        <f>I57/J57</f>
        <v>366.0723214285714</v>
      </c>
      <c r="L57" s="49">
        <f>ROUND(((0.25*(J57/$J$3))+(0.1*(($I$3/$J$3)/(I57/J57)))),2)</f>
        <v>0.11</v>
      </c>
      <c r="M57" s="40" t="s">
        <v>179</v>
      </c>
      <c r="N57" s="78">
        <v>34</v>
      </c>
      <c r="O57" s="49">
        <f>ROUND(5*(N57/$N$57),2)</f>
        <v>5</v>
      </c>
      <c r="P57" s="40" t="s">
        <v>61</v>
      </c>
      <c r="Q57" s="40">
        <v>0</v>
      </c>
      <c r="R57" s="49">
        <f t="shared" si="6"/>
        <v>6.84</v>
      </c>
      <c r="AD57" s="72">
        <v>0.54</v>
      </c>
      <c r="AE57" s="49">
        <f t="shared" si="8"/>
        <v>3.6936</v>
      </c>
    </row>
    <row r="58" spans="1:31" x14ac:dyDescent="0.35">
      <c r="A58" s="40">
        <v>1311010111</v>
      </c>
      <c r="B58" s="40" t="s">
        <v>79</v>
      </c>
      <c r="R58" s="49">
        <f t="shared" si="6"/>
        <v>0</v>
      </c>
      <c r="AD58" s="65">
        <v>0</v>
      </c>
      <c r="AE58" s="49">
        <f t="shared" si="8"/>
        <v>0</v>
      </c>
    </row>
    <row r="59" spans="1:31" x14ac:dyDescent="0.35">
      <c r="A59" s="40">
        <v>1311010123</v>
      </c>
      <c r="B59" s="40" t="s">
        <v>80</v>
      </c>
      <c r="R59" s="49">
        <f t="shared" si="6"/>
        <v>0</v>
      </c>
      <c r="AD59" s="65">
        <v>0</v>
      </c>
      <c r="AE59" s="49">
        <f t="shared" si="8"/>
        <v>0</v>
      </c>
    </row>
    <row r="60" spans="1:31" x14ac:dyDescent="0.35">
      <c r="A60" s="40">
        <v>1311010124</v>
      </c>
      <c r="B60" s="40" t="s">
        <v>81</v>
      </c>
      <c r="R60" s="49">
        <f t="shared" si="6"/>
        <v>0</v>
      </c>
      <c r="AD60" s="65">
        <v>0</v>
      </c>
      <c r="AE60" s="49">
        <f t="shared" si="8"/>
        <v>0</v>
      </c>
    </row>
    <row r="61" spans="1:31" x14ac:dyDescent="0.35">
      <c r="A61" s="40">
        <v>1311010105</v>
      </c>
      <c r="B61" s="40" t="s">
        <v>82</v>
      </c>
      <c r="R61" s="49">
        <f t="shared" si="6"/>
        <v>0</v>
      </c>
      <c r="AD61" s="65">
        <v>0</v>
      </c>
      <c r="AE61" s="49">
        <f t="shared" si="8"/>
        <v>0</v>
      </c>
    </row>
    <row r="62" spans="1:31" x14ac:dyDescent="0.35">
      <c r="A62" s="40">
        <v>1311010114</v>
      </c>
      <c r="B62" s="40" t="s">
        <v>83</v>
      </c>
      <c r="R62" s="49">
        <f t="shared" si="6"/>
        <v>0</v>
      </c>
      <c r="AD62" s="65">
        <v>0</v>
      </c>
      <c r="AE62" s="49">
        <f t="shared" si="8"/>
        <v>0</v>
      </c>
    </row>
    <row r="63" spans="1:31" x14ac:dyDescent="0.35">
      <c r="A63" s="40">
        <v>1311010130</v>
      </c>
      <c r="B63" s="40" t="s">
        <v>84</v>
      </c>
      <c r="R63" s="49">
        <f t="shared" si="6"/>
        <v>0</v>
      </c>
      <c r="AD63" s="65">
        <v>0</v>
      </c>
      <c r="AE63" s="49">
        <f t="shared" si="8"/>
        <v>0</v>
      </c>
    </row>
    <row r="64" spans="1:31" x14ac:dyDescent="0.35">
      <c r="A64" s="40">
        <v>1311010125</v>
      </c>
      <c r="B64" s="40" t="s">
        <v>85</v>
      </c>
      <c r="R64" s="49">
        <f t="shared" si="6"/>
        <v>0</v>
      </c>
      <c r="AD64" s="65">
        <v>0</v>
      </c>
      <c r="AE64" s="49">
        <f t="shared" si="8"/>
        <v>0</v>
      </c>
    </row>
    <row r="65" spans="1:31" x14ac:dyDescent="0.35">
      <c r="A65" s="40">
        <v>1311010102</v>
      </c>
      <c r="B65" s="40" t="s">
        <v>86</v>
      </c>
      <c r="R65" s="49">
        <f t="shared" si="6"/>
        <v>0</v>
      </c>
      <c r="AD65" s="65">
        <v>0</v>
      </c>
      <c r="AE65" s="49">
        <f t="shared" si="8"/>
        <v>0</v>
      </c>
    </row>
    <row r="66" spans="1:31" x14ac:dyDescent="0.35">
      <c r="A66" s="40">
        <v>1311010126</v>
      </c>
      <c r="B66" s="40" t="s">
        <v>89</v>
      </c>
      <c r="R66" s="49">
        <f t="shared" si="6"/>
        <v>0</v>
      </c>
      <c r="AD66" s="65">
        <v>0</v>
      </c>
      <c r="AE66" s="49">
        <f t="shared" si="8"/>
        <v>0</v>
      </c>
    </row>
    <row r="67" spans="1:31" x14ac:dyDescent="0.35">
      <c r="A67" s="40">
        <v>1311010104</v>
      </c>
      <c r="B67" s="40" t="s">
        <v>87</v>
      </c>
      <c r="R67" s="49">
        <f t="shared" si="6"/>
        <v>0</v>
      </c>
      <c r="AD67" s="65">
        <v>0</v>
      </c>
      <c r="AE67" s="49">
        <f t="shared" si="8"/>
        <v>0</v>
      </c>
    </row>
    <row r="68" spans="1:31" ht="36.5" x14ac:dyDescent="0.35">
      <c r="A68" s="40">
        <v>1311030100</v>
      </c>
      <c r="B68" s="40" t="s">
        <v>88</v>
      </c>
      <c r="R68" s="49">
        <f t="shared" si="6"/>
        <v>0</v>
      </c>
      <c r="S68" s="68" t="s">
        <v>58</v>
      </c>
      <c r="T68" s="68">
        <v>6</v>
      </c>
      <c r="U68" s="69">
        <v>700</v>
      </c>
      <c r="V68" s="68">
        <f>ROUND((12*(0.01/700)),2)</f>
        <v>0</v>
      </c>
      <c r="W68" s="70" t="s">
        <v>178</v>
      </c>
      <c r="X68" s="68">
        <v>0</v>
      </c>
      <c r="Y68" s="68" t="s">
        <v>58</v>
      </c>
      <c r="Z68" s="68">
        <v>4</v>
      </c>
      <c r="AA68" s="68" t="s">
        <v>58</v>
      </c>
      <c r="AB68" s="68">
        <v>3</v>
      </c>
      <c r="AC68" s="71">
        <f>AB68+Z68+X68+V68+T68</f>
        <v>13</v>
      </c>
      <c r="AD68" s="65">
        <v>0.1</v>
      </c>
      <c r="AE68" s="49">
        <f>AC68*AD68</f>
        <v>1.3</v>
      </c>
    </row>
    <row r="69" spans="1:31" x14ac:dyDescent="0.35">
      <c r="AE69" s="62">
        <f>SUM(AE54:AE68)</f>
        <v>9.6208000000000009</v>
      </c>
    </row>
    <row r="72" spans="1:31" x14ac:dyDescent="0.35">
      <c r="B72" s="40" t="s">
        <v>185</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5" ma:contentTypeDescription="Crea un document nou" ma:contentTypeScope="" ma:versionID="f6b8e0b98f37da29004fef57cb1a27d3">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9c728e9c65992bd803f8b41753d8f054"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8810ab7a-95d5-4dfb-835d-9e5461960110}"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Props1.xml><?xml version="1.0" encoding="utf-8"?>
<ds:datastoreItem xmlns:ds="http://schemas.openxmlformats.org/officeDocument/2006/customXml" ds:itemID="{4EDDC32D-F52C-44F5-9766-C663550C67CB}"/>
</file>

<file path=customXml/itemProps2.xml><?xml version="1.0" encoding="utf-8"?>
<ds:datastoreItem xmlns:ds="http://schemas.openxmlformats.org/officeDocument/2006/customXml" ds:itemID="{7B4FDD8D-634D-4EE3-B269-8CC57DD87199}">
  <ds:schemaRefs>
    <ds:schemaRef ds:uri="http://schemas.microsoft.com/sharepoint/v3/contenttype/forms"/>
  </ds:schemaRefs>
</ds:datastoreItem>
</file>

<file path=customXml/itemProps3.xml><?xml version="1.0" encoding="utf-8"?>
<ds:datastoreItem xmlns:ds="http://schemas.openxmlformats.org/officeDocument/2006/customXml" ds:itemID="{35C481AC-D2F5-4BF7-AC16-7AA703414B97}">
  <ds:schemaRefs>
    <ds:schemaRef ds:uri="http://schemas.microsoft.com/office/2006/metadata/properties"/>
    <ds:schemaRef ds:uri="http://schemas.microsoft.com/office/infopath/2007/PartnerControls"/>
    <ds:schemaRef ds:uri="a1f4eb97-4bfa-4803-be01-32f031b101e9"/>
    <ds:schemaRef ds:uri="b616c6e1-77c0-4444-bb9d-93339f10c6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2</vt:i4>
      </vt:variant>
    </vt:vector>
  </HeadingPairs>
  <TitlesOfParts>
    <vt:vector size="6" baseType="lpstr">
      <vt:lpstr>VALORACIONS TOTALS LOTS</vt:lpstr>
      <vt:lpstr>LOT_1_2_3 ALTRES CALCULS</vt:lpstr>
      <vt:lpstr> LOT 4_CALCUL PREU PONDERAT</vt:lpstr>
      <vt:lpstr>LOT 4_ALTRES CALCULS</vt:lpstr>
      <vt:lpstr>'VALORACIONS TOTALS LOTS'!Àrea_d'impressió</vt:lpstr>
      <vt:lpstr>'VALORACIONS TOTALS LOTS'!Títols_per_imprimir</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Pagès, Xavier</dc:creator>
  <cp:lastModifiedBy>Curriu Navarro, Nuria</cp:lastModifiedBy>
  <cp:lastPrinted>2025-10-08T07:54:05Z</cp:lastPrinted>
  <dcterms:created xsi:type="dcterms:W3CDTF">2022-08-25T10:14:36Z</dcterms:created>
  <dcterms:modified xsi:type="dcterms:W3CDTF">2025-10-10T08:26:09Z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y fmtid="{D5CDD505-2E9C-101B-9397-08002B2CF9AE}" pid="3" name="MediaServiceImageTags">
    <vt:lpwstr/>
  </property>
</Properties>
</file>