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1215" documentId="8_{E003DC45-6FF0-4A03-AF7F-316B44C96C58}" xr6:coauthVersionLast="47" xr6:coauthVersionMax="47" xr10:uidLastSave="{6888C482-C1D6-4D2C-B983-E2E394BD0346}"/>
  <bookViews>
    <workbookView xWindow="11424" yWindow="0" windowWidth="11712" windowHeight="12336" xr2:uid="{00000000-000D-0000-FFFF-FFFF00000000}"/>
  </bookViews>
  <sheets>
    <sheet name="Proposta DEFINITIVA" sheetId="17" r:id="rId1"/>
    <sheet name="Càlculs" sheetId="14" r:id="rId2"/>
    <sheet name="Proposta 1" sheetId="16" r:id="rId3"/>
    <sheet name="Proposta 3" sheetId="18" r:id="rId4"/>
    <sheet name="Dades Contracte" sheetId="2" r:id="rId5"/>
    <sheet name="Taula v01" sheetId="1" state="hidden" r:id="rId6"/>
    <sheet name="Taula v02" sheetId="4" state="hidden" r:id="rId7"/>
    <sheet name="Taula v03" sheetId="5" state="hidden" r:id="rId8"/>
    <sheet name="Taula v04" sheetId="11" state="hidden" r:id="rId9"/>
    <sheet name="Taula Personal Propi" sheetId="8" r:id="rId10"/>
    <sheet name="Taula v05" sheetId="12" r:id="rId11"/>
    <sheet name="Taula Cost Servei" sheetId="10" r:id="rId12"/>
    <sheet name="Hoja1" sheetId="13" r:id="rId13"/>
    <sheet name="docs comptables" sheetId="19" r:id="rId14"/>
  </sheets>
  <externalReferences>
    <externalReference r:id="rId15"/>
  </externalReferences>
  <definedNames>
    <definedName name="_xlnm.Print_Area" localSheetId="10">'Taula v05'!$B$1:$Y$51</definedName>
  </definedNames>
  <calcPr calcId="191028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7" l="1"/>
  <c r="C33" i="17"/>
  <c r="F16" i="17"/>
  <c r="F17" i="17" s="1"/>
  <c r="G16" i="17"/>
  <c r="G17" i="17"/>
  <c r="G18" i="17"/>
  <c r="E10" i="19"/>
  <c r="E16" i="19" s="1"/>
  <c r="Z60" i="19"/>
  <c r="X60" i="19"/>
  <c r="V60" i="19"/>
  <c r="E14" i="19"/>
  <c r="E13" i="19"/>
  <c r="E12" i="19"/>
  <c r="E11" i="19"/>
  <c r="E9" i="19"/>
  <c r="E8" i="19"/>
  <c r="E7" i="19"/>
  <c r="AJ20" i="19"/>
  <c r="AI20" i="19"/>
  <c r="AH16" i="19"/>
  <c r="U9" i="12"/>
  <c r="V9" i="12" s="1"/>
  <c r="W9" i="12" s="1"/>
  <c r="B71" i="19"/>
  <c r="V68" i="19"/>
  <c r="T55" i="19"/>
  <c r="U55" i="19" s="1"/>
  <c r="V55" i="19" s="1"/>
  <c r="T53" i="19"/>
  <c r="U53" i="19" s="1"/>
  <c r="V53" i="19" s="1"/>
  <c r="T52" i="19"/>
  <c r="U52" i="19" s="1"/>
  <c r="V52" i="19" s="1"/>
  <c r="T50" i="19"/>
  <c r="U50" i="19" s="1"/>
  <c r="V50" i="19" s="1"/>
  <c r="T49" i="19"/>
  <c r="U49" i="19" s="1"/>
  <c r="V49" i="19" s="1"/>
  <c r="T48" i="19"/>
  <c r="U48" i="19" s="1"/>
  <c r="V48" i="19" s="1"/>
  <c r="T47" i="19"/>
  <c r="U47" i="19" s="1"/>
  <c r="V47" i="19" s="1"/>
  <c r="T45" i="19"/>
  <c r="U45" i="19" s="1"/>
  <c r="V45" i="19" s="1"/>
  <c r="T44" i="19"/>
  <c r="U44" i="19" s="1"/>
  <c r="V44" i="19" s="1"/>
  <c r="T43" i="19"/>
  <c r="U43" i="19" s="1"/>
  <c r="V43" i="19" s="1"/>
  <c r="T42" i="19"/>
  <c r="U42" i="19" s="1"/>
  <c r="V42" i="19" s="1"/>
  <c r="T41" i="19"/>
  <c r="U41" i="19" s="1"/>
  <c r="V41" i="19" s="1"/>
  <c r="T40" i="19"/>
  <c r="U40" i="19" s="1"/>
  <c r="V40" i="19" s="1"/>
  <c r="T38" i="19"/>
  <c r="U38" i="19" s="1"/>
  <c r="V38" i="19" s="1"/>
  <c r="T37" i="19"/>
  <c r="U37" i="19" s="1"/>
  <c r="V37" i="19" s="1"/>
  <c r="T36" i="19"/>
  <c r="U36" i="19" s="1"/>
  <c r="V36" i="19" s="1"/>
  <c r="T35" i="19"/>
  <c r="U35" i="19" s="1"/>
  <c r="V35" i="19" s="1"/>
  <c r="T34" i="19"/>
  <c r="U34" i="19" s="1"/>
  <c r="V34" i="19" s="1"/>
  <c r="T33" i="19"/>
  <c r="U33" i="19" s="1"/>
  <c r="V33" i="19" s="1"/>
  <c r="T31" i="19"/>
  <c r="U31" i="19" s="1"/>
  <c r="V31" i="19" s="1"/>
  <c r="T30" i="19"/>
  <c r="U30" i="19" s="1"/>
  <c r="V30" i="19" s="1"/>
  <c r="T28" i="19"/>
  <c r="U28" i="19" s="1"/>
  <c r="V28" i="19" s="1"/>
  <c r="T27" i="19"/>
  <c r="U27" i="19" s="1"/>
  <c r="V27" i="19" s="1"/>
  <c r="AM15" i="19"/>
  <c r="AN15" i="19" s="1"/>
  <c r="AM14" i="19"/>
  <c r="AN14" i="19" s="1"/>
  <c r="AM13" i="19"/>
  <c r="AN13" i="19" s="1"/>
  <c r="AM12" i="19"/>
  <c r="AN12" i="19" s="1"/>
  <c r="AM11" i="19"/>
  <c r="AN11" i="19" s="1"/>
  <c r="AM10" i="19"/>
  <c r="AN10" i="19" s="1"/>
  <c r="AM9" i="19"/>
  <c r="AN9" i="19" s="1"/>
  <c r="AM8" i="19"/>
  <c r="AN8" i="19" s="1"/>
  <c r="F18" i="17" l="1"/>
  <c r="V65" i="19" s="1"/>
  <c r="V64" i="19"/>
  <c r="V67" i="19" s="1"/>
  <c r="AN16" i="19"/>
  <c r="AA3" i="19" s="1"/>
  <c r="C22" i="18"/>
  <c r="C21" i="18"/>
  <c r="E7" i="18"/>
  <c r="E6" i="18"/>
  <c r="E5" i="18"/>
  <c r="C4" i="18"/>
  <c r="E4" i="18" s="1"/>
  <c r="E8" i="18" s="1"/>
  <c r="E12" i="18" s="1"/>
  <c r="E7" i="17"/>
  <c r="E6" i="17"/>
  <c r="E5" i="17"/>
  <c r="C4" i="17"/>
  <c r="E4" i="17" s="1"/>
  <c r="C4" i="16"/>
  <c r="E7" i="16"/>
  <c r="E6" i="16"/>
  <c r="E5" i="16"/>
  <c r="J5" i="14"/>
  <c r="F8" i="14"/>
  <c r="G8" i="14" s="1"/>
  <c r="E7" i="14"/>
  <c r="F7" i="14" s="1"/>
  <c r="G7" i="14" s="1"/>
  <c r="F15" i="14"/>
  <c r="G15" i="14" s="1"/>
  <c r="F14" i="14"/>
  <c r="G14" i="14" s="1"/>
  <c r="E13" i="14"/>
  <c r="F13" i="14" s="1"/>
  <c r="G13" i="14" s="1"/>
  <c r="F12" i="14"/>
  <c r="G12" i="14" s="1"/>
  <c r="F10" i="14"/>
  <c r="G10" i="14" s="1"/>
  <c r="F11" i="14"/>
  <c r="G11" i="14" s="1"/>
  <c r="E9" i="14"/>
  <c r="F9" i="14" s="1"/>
  <c r="G9" i="14" s="1"/>
  <c r="E6" i="14"/>
  <c r="F6" i="14" s="1"/>
  <c r="G6" i="14" s="1"/>
  <c r="F5" i="14"/>
  <c r="G5" i="14" s="1"/>
  <c r="Z33" i="19" l="1"/>
  <c r="D7" i="19" s="1"/>
  <c r="AA15" i="19" s="1"/>
  <c r="Z31" i="19"/>
  <c r="Z40" i="19"/>
  <c r="Z38" i="19"/>
  <c r="D8" i="19" s="1"/>
  <c r="AA12" i="19" s="1"/>
  <c r="Z53" i="19"/>
  <c r="Z55" i="19"/>
  <c r="Z45" i="19"/>
  <c r="Z47" i="19"/>
  <c r="Z35" i="19"/>
  <c r="Z36" i="19"/>
  <c r="D13" i="19" s="1"/>
  <c r="AA10" i="19" s="1"/>
  <c r="Z37" i="19"/>
  <c r="Z49" i="19"/>
  <c r="V69" i="19"/>
  <c r="X69" i="19" s="1"/>
  <c r="AA6" i="19"/>
  <c r="Z34" i="19"/>
  <c r="D12" i="19" s="1"/>
  <c r="AA8" i="19" s="1"/>
  <c r="Z27" i="19"/>
  <c r="Z48" i="19"/>
  <c r="Z52" i="19"/>
  <c r="Z30" i="19"/>
  <c r="D9" i="19" s="1"/>
  <c r="AA9" i="19" s="1"/>
  <c r="Z42" i="19"/>
  <c r="Z44" i="19"/>
  <c r="Z50" i="19"/>
  <c r="Z28" i="19"/>
  <c r="Z41" i="19"/>
  <c r="Z43" i="19"/>
  <c r="C12" i="17"/>
  <c r="F10" i="17" s="1"/>
  <c r="G10" i="17" s="1"/>
  <c r="H10" i="17" s="1"/>
  <c r="I10" i="17" s="1"/>
  <c r="E13" i="18"/>
  <c r="E14" i="18"/>
  <c r="C12" i="18"/>
  <c r="E8" i="17"/>
  <c r="J6" i="14"/>
  <c r="J7" i="14" s="1"/>
  <c r="C12" i="16"/>
  <c r="E4" i="16"/>
  <c r="E8" i="16" s="1"/>
  <c r="AE8" i="19" l="1"/>
  <c r="AF8" i="19" s="1"/>
  <c r="D10" i="19"/>
  <c r="AA13" i="19" s="1"/>
  <c r="AE13" i="19" s="1"/>
  <c r="AF13" i="19" s="1"/>
  <c r="AO13" i="19" s="1"/>
  <c r="AP13" i="19" s="1"/>
  <c r="AE12" i="19"/>
  <c r="AF12" i="19" s="1"/>
  <c r="AO12" i="19" s="1"/>
  <c r="AP12" i="19" s="1"/>
  <c r="D11" i="19"/>
  <c r="AA11" i="19" s="1"/>
  <c r="AE11" i="19" s="1"/>
  <c r="AF11" i="19" s="1"/>
  <c r="AO11" i="19" s="1"/>
  <c r="AP11" i="19" s="1"/>
  <c r="D14" i="19"/>
  <c r="AA14" i="19" s="1"/>
  <c r="AE14" i="19" s="1"/>
  <c r="AF14" i="19" s="1"/>
  <c r="AO14" i="19" s="1"/>
  <c r="AP14" i="19" s="1"/>
  <c r="AE9" i="19"/>
  <c r="AF9" i="19" s="1"/>
  <c r="AO9" i="19" s="1"/>
  <c r="AE10" i="19"/>
  <c r="AF10" i="19" s="1"/>
  <c r="AO10" i="19" s="1"/>
  <c r="AE15" i="19"/>
  <c r="AF15" i="19" s="1"/>
  <c r="AO15" i="19" s="1"/>
  <c r="AP15" i="19" s="1"/>
  <c r="F9" i="17"/>
  <c r="G9" i="17" s="1"/>
  <c r="H9" i="17" s="1"/>
  <c r="I9" i="17" s="1"/>
  <c r="F11" i="17"/>
  <c r="G11" i="17" s="1"/>
  <c r="H11" i="17" s="1"/>
  <c r="I11" i="17" s="1"/>
  <c r="F5" i="17"/>
  <c r="G5" i="17" s="1"/>
  <c r="H5" i="17" s="1"/>
  <c r="I5" i="17" s="1"/>
  <c r="F4" i="17"/>
  <c r="G4" i="17" s="1"/>
  <c r="H4" i="17" s="1"/>
  <c r="F6" i="17"/>
  <c r="G6" i="17" s="1"/>
  <c r="H6" i="17" s="1"/>
  <c r="I6" i="17" s="1"/>
  <c r="F7" i="17"/>
  <c r="G7" i="17" s="1"/>
  <c r="H7" i="17" s="1"/>
  <c r="I7" i="17" s="1"/>
  <c r="F8" i="17"/>
  <c r="G8" i="17" s="1"/>
  <c r="H8" i="17" s="1"/>
  <c r="I8" i="17" s="1"/>
  <c r="E15" i="18"/>
  <c r="E16" i="18" s="1"/>
  <c r="E11" i="16"/>
  <c r="E10" i="16"/>
  <c r="E9" i="16"/>
  <c r="AJ14" i="19" l="1"/>
  <c r="AJ13" i="19"/>
  <c r="D16" i="19"/>
  <c r="AP9" i="19"/>
  <c r="AE16" i="19"/>
  <c r="AO8" i="19"/>
  <c r="AF16" i="19"/>
  <c r="F16" i="18"/>
  <c r="E17" i="18"/>
  <c r="E18" i="18" s="1"/>
  <c r="E12" i="17"/>
  <c r="E12" i="16"/>
  <c r="E13" i="16" s="1"/>
  <c r="AA4" i="19" l="1"/>
  <c r="AA5" i="19" s="1"/>
  <c r="AH18" i="19"/>
  <c r="E13" i="17"/>
  <c r="AP8" i="19"/>
  <c r="AP16" i="19" s="1"/>
  <c r="AO16" i="19"/>
  <c r="E14" i="17"/>
  <c r="F14" i="17" s="1"/>
  <c r="G14" i="17" s="1"/>
  <c r="H14" i="17" s="1"/>
  <c r="I14" i="17" s="1"/>
  <c r="F12" i="17"/>
  <c r="G12" i="17" s="1"/>
  <c r="F17" i="18"/>
  <c r="F18" i="18"/>
  <c r="E14" i="16"/>
  <c r="E15" i="16" s="1"/>
  <c r="E16" i="16" s="1"/>
  <c r="C22" i="16" s="1"/>
  <c r="E19" i="14"/>
  <c r="F19" i="14" s="1"/>
  <c r="G19" i="14" s="1"/>
  <c r="E18" i="14"/>
  <c r="F18" i="14" s="1"/>
  <c r="G18" i="14" s="1"/>
  <c r="F4" i="14"/>
  <c r="F17" i="14"/>
  <c r="H12" i="17" l="1"/>
  <c r="E15" i="17"/>
  <c r="F13" i="17"/>
  <c r="G13" i="17" s="1"/>
  <c r="H13" i="17" s="1"/>
  <c r="I13" i="17" s="1"/>
  <c r="J6" i="13"/>
  <c r="J5" i="13"/>
  <c r="I12" i="17" l="1"/>
  <c r="E16" i="17"/>
  <c r="F20" i="17" s="1"/>
  <c r="F15" i="17"/>
  <c r="G15" i="17" s="1"/>
  <c r="E17" i="16"/>
  <c r="E18" i="16" s="1"/>
  <c r="C21" i="16" s="1"/>
  <c r="F16" i="16"/>
  <c r="F18" i="16" s="1"/>
  <c r="B6" i="13"/>
  <c r="B5" i="13"/>
  <c r="H15" i="17" l="1"/>
  <c r="G20" i="17"/>
  <c r="C25" i="17" s="1"/>
  <c r="E17" i="17"/>
  <c r="E18" i="17" s="1"/>
  <c r="F17" i="16"/>
  <c r="C17" i="14"/>
  <c r="G17" i="14" s="1"/>
  <c r="G25" i="17" l="1"/>
  <c r="I15" i="17"/>
  <c r="I16" i="17" s="1"/>
  <c r="I20" i="17" s="1"/>
  <c r="H16" i="17"/>
  <c r="H20" i="17" s="1"/>
  <c r="C26" i="17" s="1"/>
  <c r="G21" i="17"/>
  <c r="G22" i="17"/>
  <c r="D31" i="17" s="1"/>
  <c r="U22" i="12"/>
  <c r="V22" i="12" s="1"/>
  <c r="W22" i="12" s="1"/>
  <c r="U23" i="12"/>
  <c r="V23" i="12" s="1"/>
  <c r="W23" i="12" s="1"/>
  <c r="U25" i="12"/>
  <c r="V25" i="12" s="1"/>
  <c r="W25" i="12" s="1"/>
  <c r="U26" i="12"/>
  <c r="V26" i="12" s="1"/>
  <c r="W26" i="12" s="1"/>
  <c r="U37" i="12"/>
  <c r="V37" i="12" s="1"/>
  <c r="W37" i="12" s="1"/>
  <c r="U35" i="12"/>
  <c r="V35" i="12" s="1"/>
  <c r="W35" i="12" s="1"/>
  <c r="U34" i="12"/>
  <c r="V34" i="12" s="1"/>
  <c r="W34" i="12" s="1"/>
  <c r="U32" i="12"/>
  <c r="V32" i="12" s="1"/>
  <c r="W32" i="12" s="1"/>
  <c r="U31" i="12"/>
  <c r="V31" i="12" s="1"/>
  <c r="W31" i="12" s="1"/>
  <c r="U30" i="12"/>
  <c r="V30" i="12" s="1"/>
  <c r="W30" i="12" s="1"/>
  <c r="U29" i="12"/>
  <c r="V29" i="12" s="1"/>
  <c r="W29" i="12" s="1"/>
  <c r="U27" i="12"/>
  <c r="V27" i="12" s="1"/>
  <c r="W27" i="12" s="1"/>
  <c r="U24" i="12"/>
  <c r="V24" i="12" s="1"/>
  <c r="W24" i="12" s="1"/>
  <c r="U20" i="12"/>
  <c r="V20" i="12" s="1"/>
  <c r="W20" i="12" s="1"/>
  <c r="U19" i="12"/>
  <c r="V19" i="12" s="1"/>
  <c r="W19" i="12" s="1"/>
  <c r="U18" i="12"/>
  <c r="V18" i="12" s="1"/>
  <c r="W18" i="12" s="1"/>
  <c r="U17" i="12"/>
  <c r="V17" i="12" s="1"/>
  <c r="W17" i="12" s="1"/>
  <c r="U16" i="12"/>
  <c r="V16" i="12" s="1"/>
  <c r="W16" i="12" s="1"/>
  <c r="U15" i="12"/>
  <c r="V15" i="12" s="1"/>
  <c r="W15" i="12" s="1"/>
  <c r="U13" i="12"/>
  <c r="V13" i="12" s="1"/>
  <c r="W13" i="12" s="1"/>
  <c r="U12" i="12"/>
  <c r="V12" i="12" s="1"/>
  <c r="W12" i="12" s="1"/>
  <c r="U10" i="12"/>
  <c r="V10" i="12" s="1"/>
  <c r="W10" i="12" s="1"/>
  <c r="C53" i="12"/>
  <c r="Y42" i="12"/>
  <c r="C50" i="8"/>
  <c r="E50" i="8"/>
  <c r="A50" i="8"/>
  <c r="A54" i="8"/>
  <c r="A55" i="8"/>
  <c r="A56" i="8"/>
  <c r="A57" i="8"/>
  <c r="A53" i="8"/>
  <c r="E55" i="8"/>
  <c r="E56" i="8"/>
  <c r="E57" i="8"/>
  <c r="E54" i="8"/>
  <c r="E53" i="8"/>
  <c r="B57" i="8"/>
  <c r="B55" i="8"/>
  <c r="B56" i="8"/>
  <c r="B54" i="8"/>
  <c r="B53" i="8"/>
  <c r="B50" i="8"/>
  <c r="E49" i="8"/>
  <c r="A49" i="8"/>
  <c r="B49" i="8"/>
  <c r="E62" i="8"/>
  <c r="E63" i="8" s="1"/>
  <c r="C8" i="10" s="1"/>
  <c r="A36" i="8"/>
  <c r="F35" i="8"/>
  <c r="H35" i="8" s="1"/>
  <c r="H50" i="8" s="1"/>
  <c r="E70" i="8"/>
  <c r="E71" i="8"/>
  <c r="E72" i="8"/>
  <c r="E73" i="8"/>
  <c r="E74" i="8"/>
  <c r="E75" i="8"/>
  <c r="E76" i="8"/>
  <c r="E69" i="8"/>
  <c r="C27" i="17" l="1"/>
  <c r="C28" i="17" s="1"/>
  <c r="H18" i="17"/>
  <c r="H22" i="17" s="1"/>
  <c r="H17" i="17"/>
  <c r="H21" i="17" s="1"/>
  <c r="W47" i="12"/>
  <c r="W42" i="12"/>
  <c r="W46" i="12" s="1"/>
  <c r="G35" i="8"/>
  <c r="G50" i="8" s="1"/>
  <c r="F50" i="8"/>
  <c r="E77" i="8"/>
  <c r="C13" i="10" s="1"/>
  <c r="X43" i="11"/>
  <c r="V41" i="11"/>
  <c r="T41" i="11"/>
  <c r="V40" i="11"/>
  <c r="T40" i="11"/>
  <c r="T35" i="11"/>
  <c r="U35" i="11" s="1"/>
  <c r="V35" i="11" s="1"/>
  <c r="T33" i="11"/>
  <c r="U33" i="11" s="1"/>
  <c r="V33" i="11" s="1"/>
  <c r="T32" i="11"/>
  <c r="U32" i="11" s="1"/>
  <c r="V32" i="11" s="1"/>
  <c r="T30" i="11"/>
  <c r="U30" i="11" s="1"/>
  <c r="V30" i="11" s="1"/>
  <c r="T29" i="11"/>
  <c r="U29" i="11" s="1"/>
  <c r="V29" i="11" s="1"/>
  <c r="T28" i="11"/>
  <c r="U28" i="11" s="1"/>
  <c r="V28" i="11" s="1"/>
  <c r="T27" i="11"/>
  <c r="U27" i="11" s="1"/>
  <c r="V27" i="11" s="1"/>
  <c r="T25" i="11"/>
  <c r="U25" i="11" s="1"/>
  <c r="V25" i="11" s="1"/>
  <c r="T24" i="11"/>
  <c r="U24" i="11" s="1"/>
  <c r="V24" i="11" s="1"/>
  <c r="T23" i="11"/>
  <c r="U23" i="11" s="1"/>
  <c r="V23" i="11" s="1"/>
  <c r="T22" i="11"/>
  <c r="U22" i="11" s="1"/>
  <c r="V22" i="11" s="1"/>
  <c r="T20" i="11"/>
  <c r="U20" i="11" s="1"/>
  <c r="V20" i="11" s="1"/>
  <c r="T19" i="11"/>
  <c r="U19" i="11" s="1"/>
  <c r="V19" i="11" s="1"/>
  <c r="T18" i="11"/>
  <c r="U18" i="11" s="1"/>
  <c r="V18" i="11" s="1"/>
  <c r="T17" i="11"/>
  <c r="U17" i="11" s="1"/>
  <c r="V17" i="11" s="1"/>
  <c r="T16" i="11"/>
  <c r="U16" i="11" s="1"/>
  <c r="V16" i="11" s="1"/>
  <c r="T15" i="11"/>
  <c r="U15" i="11" s="1"/>
  <c r="V15" i="11" s="1"/>
  <c r="T13" i="11"/>
  <c r="U13" i="11" s="1"/>
  <c r="V13" i="11" s="1"/>
  <c r="T12" i="11"/>
  <c r="U12" i="11" s="1"/>
  <c r="V12" i="11" s="1"/>
  <c r="T10" i="11"/>
  <c r="U10" i="11" s="1"/>
  <c r="V10" i="11" s="1"/>
  <c r="T9" i="11"/>
  <c r="U9" i="11" s="1"/>
  <c r="V9" i="11" s="1"/>
  <c r="I18" i="17" l="1"/>
  <c r="I22" i="17" s="1"/>
  <c r="I17" i="17"/>
  <c r="I21" i="17" s="1"/>
  <c r="F21" i="17"/>
  <c r="G26" i="17" s="1"/>
  <c r="F22" i="17"/>
  <c r="W49" i="12"/>
  <c r="C4" i="14"/>
  <c r="V43" i="11"/>
  <c r="V47" i="11" s="1"/>
  <c r="V50" i="11" s="1"/>
  <c r="F10" i="8"/>
  <c r="F8" i="8"/>
  <c r="F5" i="8"/>
  <c r="F4" i="8"/>
  <c r="E22" i="8"/>
  <c r="F22" i="8" s="1"/>
  <c r="C28" i="8" s="1"/>
  <c r="F28" i="8" s="1"/>
  <c r="G28" i="8" s="1"/>
  <c r="E21" i="8"/>
  <c r="F21" i="8" s="1"/>
  <c r="C27" i="8" s="1"/>
  <c r="E20" i="8"/>
  <c r="F20" i="8" s="1"/>
  <c r="C34" i="8" s="1"/>
  <c r="C49" i="8" s="1"/>
  <c r="C12" i="8"/>
  <c r="C31" i="17" l="1"/>
  <c r="G27" i="17"/>
  <c r="J10" i="14"/>
  <c r="G4" i="14"/>
  <c r="F27" i="8"/>
  <c r="G27" i="8" s="1"/>
  <c r="C53" i="8"/>
  <c r="G53" i="8"/>
  <c r="F53" i="8"/>
  <c r="H28" i="8"/>
  <c r="C31" i="8"/>
  <c r="C29" i="8"/>
  <c r="C54" i="8" s="1"/>
  <c r="F34" i="8"/>
  <c r="J9" i="14" l="1"/>
  <c r="J11" i="14" s="1"/>
  <c r="G20" i="14"/>
  <c r="F49" i="8"/>
  <c r="G34" i="8"/>
  <c r="F31" i="8"/>
  <c r="G31" i="8" s="1"/>
  <c r="C56" i="8"/>
  <c r="H27" i="8"/>
  <c r="H53" i="8" s="1"/>
  <c r="F56" i="8"/>
  <c r="G49" i="8"/>
  <c r="C30" i="8"/>
  <c r="C55" i="8" s="1"/>
  <c r="F29" i="8"/>
  <c r="G29" i="8" s="1"/>
  <c r="G24" i="14" l="1"/>
  <c r="G22" i="14"/>
  <c r="G23" i="14"/>
  <c r="G21" i="14"/>
  <c r="G56" i="8"/>
  <c r="H31" i="8"/>
  <c r="H56" i="8" s="1"/>
  <c r="G54" i="8"/>
  <c r="F54" i="8"/>
  <c r="H34" i="8"/>
  <c r="C32" i="8"/>
  <c r="F30" i="8"/>
  <c r="G30" i="8" s="1"/>
  <c r="G25" i="14" l="1"/>
  <c r="G26" i="14" s="1"/>
  <c r="G27" i="14" s="1"/>
  <c r="G29" i="14" s="1"/>
  <c r="F32" i="8"/>
  <c r="F57" i="8" s="1"/>
  <c r="C57" i="8"/>
  <c r="H29" i="8"/>
  <c r="H54" i="8" s="1"/>
  <c r="H30" i="8"/>
  <c r="H55" i="8" s="1"/>
  <c r="F55" i="8"/>
  <c r="H49" i="8"/>
  <c r="H48" i="8" s="1"/>
  <c r="C11" i="10" s="1"/>
  <c r="G28" i="14" l="1"/>
  <c r="G30" i="14" s="1"/>
  <c r="G31" i="14" s="1"/>
  <c r="G32" i="14" s="1"/>
  <c r="H32" i="14" s="1"/>
  <c r="H30" i="14" s="1"/>
  <c r="H31" i="14" s="1"/>
  <c r="F36" i="8"/>
  <c r="B42" i="8" s="1"/>
  <c r="C42" i="8" s="1"/>
  <c r="G32" i="8"/>
  <c r="G57" i="8"/>
  <c r="G36" i="8"/>
  <c r="G55" i="8"/>
  <c r="X43" i="5"/>
  <c r="V41" i="5"/>
  <c r="T41" i="5"/>
  <c r="V40" i="5"/>
  <c r="T40" i="5"/>
  <c r="T35" i="5"/>
  <c r="U35" i="5" s="1"/>
  <c r="V35" i="5" s="1"/>
  <c r="T33" i="5"/>
  <c r="U33" i="5" s="1"/>
  <c r="V33" i="5" s="1"/>
  <c r="T32" i="5"/>
  <c r="U32" i="5" s="1"/>
  <c r="V32" i="5" s="1"/>
  <c r="T30" i="5"/>
  <c r="U30" i="5" s="1"/>
  <c r="V30" i="5" s="1"/>
  <c r="T29" i="5"/>
  <c r="U29" i="5" s="1"/>
  <c r="V29" i="5" s="1"/>
  <c r="T28" i="5"/>
  <c r="U28" i="5" s="1"/>
  <c r="V28" i="5" s="1"/>
  <c r="T27" i="5"/>
  <c r="U27" i="5" s="1"/>
  <c r="V27" i="5" s="1"/>
  <c r="T25" i="5"/>
  <c r="U25" i="5" s="1"/>
  <c r="V25" i="5" s="1"/>
  <c r="T24" i="5"/>
  <c r="U24" i="5" s="1"/>
  <c r="V24" i="5" s="1"/>
  <c r="T23" i="5"/>
  <c r="U23" i="5" s="1"/>
  <c r="V23" i="5" s="1"/>
  <c r="T22" i="5"/>
  <c r="U22" i="5" s="1"/>
  <c r="V22" i="5" s="1"/>
  <c r="T20" i="5"/>
  <c r="U20" i="5" s="1"/>
  <c r="V20" i="5" s="1"/>
  <c r="T19" i="5"/>
  <c r="U19" i="5" s="1"/>
  <c r="V19" i="5" s="1"/>
  <c r="T18" i="5"/>
  <c r="U18" i="5" s="1"/>
  <c r="V18" i="5" s="1"/>
  <c r="T17" i="5"/>
  <c r="U17" i="5" s="1"/>
  <c r="V17" i="5" s="1"/>
  <c r="T16" i="5"/>
  <c r="U16" i="5" s="1"/>
  <c r="V16" i="5" s="1"/>
  <c r="T15" i="5"/>
  <c r="U15" i="5" s="1"/>
  <c r="V15" i="5" s="1"/>
  <c r="T13" i="5"/>
  <c r="U13" i="5" s="1"/>
  <c r="V13" i="5" s="1"/>
  <c r="T12" i="5"/>
  <c r="U12" i="5" s="1"/>
  <c r="V12" i="5" s="1"/>
  <c r="T10" i="5"/>
  <c r="U10" i="5" s="1"/>
  <c r="V10" i="5" s="1"/>
  <c r="T9" i="5"/>
  <c r="U9" i="5" s="1"/>
  <c r="V9" i="5" s="1"/>
  <c r="X47" i="4"/>
  <c r="V45" i="4"/>
  <c r="T45" i="4"/>
  <c r="V44" i="4"/>
  <c r="T44" i="4"/>
  <c r="T39" i="4"/>
  <c r="U39" i="4" s="1"/>
  <c r="V39" i="4" s="1"/>
  <c r="T37" i="4"/>
  <c r="U37" i="4" s="1"/>
  <c r="V37" i="4" s="1"/>
  <c r="T36" i="4"/>
  <c r="U36" i="4" s="1"/>
  <c r="V36" i="4" s="1"/>
  <c r="T34" i="4"/>
  <c r="U34" i="4" s="1"/>
  <c r="V34" i="4" s="1"/>
  <c r="T33" i="4"/>
  <c r="U33" i="4" s="1"/>
  <c r="V33" i="4" s="1"/>
  <c r="T32" i="4"/>
  <c r="U32" i="4" s="1"/>
  <c r="V32" i="4" s="1"/>
  <c r="T31" i="4"/>
  <c r="U31" i="4" s="1"/>
  <c r="V31" i="4" s="1"/>
  <c r="T29" i="4"/>
  <c r="U29" i="4" s="1"/>
  <c r="V29" i="4" s="1"/>
  <c r="T28" i="4"/>
  <c r="U28" i="4" s="1"/>
  <c r="V28" i="4" s="1"/>
  <c r="T27" i="4"/>
  <c r="U27" i="4" s="1"/>
  <c r="V27" i="4" s="1"/>
  <c r="T26" i="4"/>
  <c r="U26" i="4" s="1"/>
  <c r="V26" i="4" s="1"/>
  <c r="T24" i="4"/>
  <c r="U24" i="4" s="1"/>
  <c r="V24" i="4" s="1"/>
  <c r="T23" i="4"/>
  <c r="U23" i="4" s="1"/>
  <c r="V23" i="4" s="1"/>
  <c r="T22" i="4"/>
  <c r="U22" i="4" s="1"/>
  <c r="V22" i="4" s="1"/>
  <c r="T21" i="4"/>
  <c r="U21" i="4" s="1"/>
  <c r="V21" i="4" s="1"/>
  <c r="T20" i="4"/>
  <c r="U20" i="4" s="1"/>
  <c r="V20" i="4" s="1"/>
  <c r="T19" i="4"/>
  <c r="U19" i="4" s="1"/>
  <c r="V19" i="4" s="1"/>
  <c r="T17" i="4"/>
  <c r="U17" i="4" s="1"/>
  <c r="V17" i="4" s="1"/>
  <c r="T16" i="4"/>
  <c r="U16" i="4" s="1"/>
  <c r="V16" i="4" s="1"/>
  <c r="T14" i="4"/>
  <c r="U14" i="4" s="1"/>
  <c r="V14" i="4" s="1"/>
  <c r="T13" i="4"/>
  <c r="U13" i="4" s="1"/>
  <c r="T12" i="4"/>
  <c r="U12" i="4" s="1"/>
  <c r="T11" i="4"/>
  <c r="U11" i="4" s="1"/>
  <c r="T10" i="4"/>
  <c r="U10" i="4" s="1"/>
  <c r="T9" i="4"/>
  <c r="U9" i="4" s="1"/>
  <c r="V9" i="4" s="1"/>
  <c r="H32" i="8" l="1"/>
  <c r="V43" i="5"/>
  <c r="V47" i="5" s="1"/>
  <c r="V50" i="5" s="1"/>
  <c r="V47" i="4"/>
  <c r="V51" i="4" s="1"/>
  <c r="V54" i="4" s="1"/>
  <c r="T13" i="1"/>
  <c r="U13" i="1" s="1"/>
  <c r="V13" i="1" s="1"/>
  <c r="T12" i="1"/>
  <c r="U12" i="1" s="1"/>
  <c r="V12" i="1" s="1"/>
  <c r="T10" i="1"/>
  <c r="U10" i="1" s="1"/>
  <c r="V10" i="1" s="1"/>
  <c r="T11" i="1"/>
  <c r="U11" i="1" s="1"/>
  <c r="V11" i="1" s="1"/>
  <c r="F21" i="2"/>
  <c r="C18" i="2"/>
  <c r="F22" i="2" s="1"/>
  <c r="F5" i="2"/>
  <c r="X47" i="1"/>
  <c r="V45" i="1"/>
  <c r="V44" i="1"/>
  <c r="T45" i="1"/>
  <c r="T44" i="1"/>
  <c r="T29" i="1"/>
  <c r="U29" i="1" s="1"/>
  <c r="V29" i="1" s="1"/>
  <c r="T28" i="1"/>
  <c r="U28" i="1" s="1"/>
  <c r="V28" i="1" s="1"/>
  <c r="T27" i="1"/>
  <c r="U27" i="1" s="1"/>
  <c r="V27" i="1" s="1"/>
  <c r="T26" i="1"/>
  <c r="U26" i="1" s="1"/>
  <c r="V26" i="1" s="1"/>
  <c r="T39" i="1"/>
  <c r="U39" i="1" s="1"/>
  <c r="V39" i="1" s="1"/>
  <c r="T14" i="1"/>
  <c r="U14" i="1" s="1"/>
  <c r="V14" i="1" s="1"/>
  <c r="T34" i="1"/>
  <c r="U34" i="1" s="1"/>
  <c r="V34" i="1" s="1"/>
  <c r="T24" i="1"/>
  <c r="U24" i="1" s="1"/>
  <c r="V24" i="1" s="1"/>
  <c r="T23" i="1"/>
  <c r="U23" i="1" s="1"/>
  <c r="V23" i="1" s="1"/>
  <c r="T17" i="1"/>
  <c r="U17" i="1" s="1"/>
  <c r="V17" i="1" s="1"/>
  <c r="T37" i="1"/>
  <c r="U37" i="1" s="1"/>
  <c r="V37" i="1" s="1"/>
  <c r="T36" i="1"/>
  <c r="U36" i="1" s="1"/>
  <c r="V36" i="1" s="1"/>
  <c r="T22" i="1"/>
  <c r="U22" i="1" s="1"/>
  <c r="V22" i="1" s="1"/>
  <c r="T21" i="1"/>
  <c r="U21" i="1" s="1"/>
  <c r="V21" i="1" s="1"/>
  <c r="T20" i="1"/>
  <c r="U20" i="1" s="1"/>
  <c r="V20" i="1" s="1"/>
  <c r="T19" i="1"/>
  <c r="U19" i="1" s="1"/>
  <c r="V19" i="1" s="1"/>
  <c r="T31" i="1"/>
  <c r="U31" i="1" s="1"/>
  <c r="V31" i="1" s="1"/>
  <c r="T16" i="1"/>
  <c r="U16" i="1" s="1"/>
  <c r="V16" i="1" s="1"/>
  <c r="T33" i="1"/>
  <c r="U33" i="1" s="1"/>
  <c r="V33" i="1" s="1"/>
  <c r="T32" i="1"/>
  <c r="U32" i="1" s="1"/>
  <c r="V32" i="1" s="1"/>
  <c r="T9" i="1"/>
  <c r="U9" i="1" s="1"/>
  <c r="V9" i="1" s="1"/>
  <c r="V51" i="11" l="1"/>
  <c r="V52" i="11" s="1"/>
  <c r="X52" i="11" s="1"/>
  <c r="W50" i="12"/>
  <c r="F23" i="2"/>
  <c r="H57" i="8"/>
  <c r="H52" i="8" s="1"/>
  <c r="C6" i="10" s="1"/>
  <c r="C5" i="10" s="1"/>
  <c r="H36" i="8"/>
  <c r="V55" i="4"/>
  <c r="V51" i="5"/>
  <c r="V52" i="5" s="1"/>
  <c r="X52" i="5" s="1"/>
  <c r="V56" i="4"/>
  <c r="X56" i="4" s="1"/>
  <c r="V55" i="1"/>
  <c r="V47" i="1"/>
  <c r="V51" i="1" s="1"/>
  <c r="V54" i="1" s="1"/>
  <c r="C10" i="10"/>
  <c r="V56" i="1" l="1"/>
  <c r="X56" i="1" s="1"/>
  <c r="C14" i="10"/>
  <c r="C15" i="10" l="1"/>
  <c r="C16" i="10" l="1"/>
  <c r="D15" i="10" s="1"/>
  <c r="D8" i="10" l="1"/>
  <c r="D10" i="10"/>
  <c r="D13" i="10"/>
  <c r="D7" i="10"/>
  <c r="D11" i="10"/>
  <c r="D12" i="10"/>
  <c r="D6" i="10"/>
  <c r="D5" i="10"/>
  <c r="D14" i="10"/>
  <c r="W51" i="12" l="1"/>
  <c r="Y51" i="12" s="1"/>
</calcChain>
</file>

<file path=xl/sharedStrings.xml><?xml version="1.0" encoding="utf-8"?>
<sst xmlns="http://schemas.openxmlformats.org/spreadsheetml/2006/main" count="1347" uniqueCount="320">
  <si>
    <t>hores</t>
  </si>
  <si>
    <t>€/h</t>
  </si>
  <si>
    <t>antiguitat</t>
  </si>
  <si>
    <t>total €/h</t>
  </si>
  <si>
    <t>COST</t>
  </si>
  <si>
    <t>Preu unitari</t>
  </si>
  <si>
    <t>personal a subrogar</t>
  </si>
  <si>
    <t>operari</t>
  </si>
  <si>
    <t>netejadora</t>
  </si>
  <si>
    <t>hores personal a subrogar</t>
  </si>
  <si>
    <t>cost</t>
  </si>
  <si>
    <t>€/h sense iva</t>
  </si>
  <si>
    <t>operari (bossa d'hores)</t>
  </si>
  <si>
    <t>especialista</t>
  </si>
  <si>
    <t>supervisor de zona</t>
  </si>
  <si>
    <t>COST PERSONAL</t>
  </si>
  <si>
    <t>Llicències i permisos (2,5% del cost del personal)</t>
  </si>
  <si>
    <t>PRL, salut i uniformitat (1,7% del cost del personal)</t>
  </si>
  <si>
    <t>Materials (8% del cost del personal)</t>
  </si>
  <si>
    <t>Maquinària (1,4% del cost del personal)</t>
  </si>
  <si>
    <t>TOTAL CD</t>
  </si>
  <si>
    <t>COSTOS INDIRECTES (Vehicles adscrits al servei i comunicacions: 1,25% dels CD)</t>
  </si>
  <si>
    <t>TOTAL CI</t>
  </si>
  <si>
    <t>DESPESES GENERALS (5%)</t>
  </si>
  <si>
    <t>BENEFICI INDUSTRIAL (6%)</t>
  </si>
  <si>
    <t>COST SENSE IVA</t>
  </si>
  <si>
    <t>IVA (21%)</t>
  </si>
  <si>
    <t>COST TOTAL IVA INCLÒS</t>
  </si>
  <si>
    <t>COST PERSONAL (Inclou SS a càrrec empresa, antiguitats, etc.)</t>
  </si>
  <si>
    <t>Llicències i permisos</t>
  </si>
  <si>
    <t>Materials</t>
  </si>
  <si>
    <t>PRL, salut i uniformitat</t>
  </si>
  <si>
    <t>DURADA: 2 + 1 + 1</t>
  </si>
  <si>
    <t>PBL</t>
  </si>
  <si>
    <t>VEC</t>
  </si>
  <si>
    <t>COSTOS DIRECTES</t>
  </si>
  <si>
    <t>COSTOS INDIRECTES</t>
  </si>
  <si>
    <t>DOCUMENTS COMPTABLES</t>
  </si>
  <si>
    <t>EXP 2020-329</t>
  </si>
  <si>
    <t>CONTRACTE NETEJA EDIFICIS MUNICIPALS 2 ANYS</t>
  </si>
  <si>
    <t>import IVA inclòs</t>
  </si>
  <si>
    <t>Contracte SUVISA SL</t>
  </si>
  <si>
    <t>€</t>
  </si>
  <si>
    <t>1a Modificació</t>
  </si>
  <si>
    <t>1a pròrroga</t>
  </si>
  <si>
    <t>(1 any)</t>
  </si>
  <si>
    <t>2a Modificació</t>
  </si>
  <si>
    <t>2a pròrroga</t>
  </si>
  <si>
    <t>Núm. d'hores en conctracte</t>
  </si>
  <si>
    <t>Contracte base:</t>
  </si>
  <si>
    <t>h neteges equipaments</t>
  </si>
  <si>
    <t>h neteges a fons en agost</t>
  </si>
  <si>
    <t>h afegides en 1a Modificació per neteja IES Pla Avellà</t>
  </si>
  <si>
    <t>h afegides en 2a Modificació per neteja IES Pla Avellà</t>
  </si>
  <si>
    <t>h</t>
  </si>
  <si>
    <t>COST ACTUAL DEL SERVEI per any</t>
  </si>
  <si>
    <t>núm. Hores aprox</t>
  </si>
  <si>
    <t>ratio €/h</t>
  </si>
  <si>
    <t>CONTRACTE NETEJA EDIFICIS MUNICIPALS</t>
  </si>
  <si>
    <t>taula v01</t>
  </si>
  <si>
    <t>TAULA FREQÜÈNCIA NETEGES I NÚM. D'HORES</t>
  </si>
  <si>
    <t>Equipament</t>
  </si>
  <si>
    <t>Setmanes/any</t>
  </si>
  <si>
    <t>Persones</t>
  </si>
  <si>
    <t>Hores / persona /dia</t>
  </si>
  <si>
    <t>Núm. Dies en Setmana</t>
  </si>
  <si>
    <t>Horari</t>
  </si>
  <si>
    <t>Hores/Dia</t>
  </si>
  <si>
    <t>Hores/Setmana</t>
  </si>
  <si>
    <t>Hores/Any</t>
  </si>
  <si>
    <t>Hores en Agost
(neteges a fons)</t>
  </si>
  <si>
    <t>Escola Pla de l'Avellà</t>
  </si>
  <si>
    <t>dl</t>
  </si>
  <si>
    <t>dm</t>
  </si>
  <si>
    <t>dc</t>
  </si>
  <si>
    <t>dj</t>
  </si>
  <si>
    <t>dv</t>
  </si>
  <si>
    <t>a</t>
  </si>
  <si>
    <t xml:space="preserve">Escola Pla de l'Avellà - 1a modificació </t>
  </si>
  <si>
    <t>€/any</t>
  </si>
  <si>
    <t>1 mòdul + mòdul laboratori + passadís exterior mòduls</t>
  </si>
  <si>
    <t xml:space="preserve">Escola Pla de l'Avellà - 2a modificació </t>
  </si>
  <si>
    <t>nou mòdul IES</t>
  </si>
  <si>
    <t>nou mòdul IES, mòdul laboratori, passadís exterior</t>
  </si>
  <si>
    <t>ampliació neteja en horari matins</t>
  </si>
  <si>
    <t>Escola Pla de l'Avellà -ampliació 2024</t>
  </si>
  <si>
    <t>(revisar si es solapa amb partides)</t>
  </si>
  <si>
    <t>CAP Pla de l'Avellà</t>
  </si>
  <si>
    <t>CAP Can Pau Ferrer</t>
  </si>
  <si>
    <t>Ajuntament</t>
  </si>
  <si>
    <t>Policia</t>
  </si>
  <si>
    <t>Policia -dissabtes</t>
  </si>
  <si>
    <t>ds</t>
  </si>
  <si>
    <t>Serveis Socials</t>
  </si>
  <si>
    <t>Can Martinet</t>
  </si>
  <si>
    <t>Biblioteca</t>
  </si>
  <si>
    <t>Poliesportiu Municipal - migdies</t>
  </si>
  <si>
    <t>Poliesportiu Municipal - tardes</t>
  </si>
  <si>
    <t>Poliesportiu Municipal - dissabtes</t>
  </si>
  <si>
    <t>Poliesportiu Municipal - diumenges estiu</t>
  </si>
  <si>
    <t>dg</t>
  </si>
  <si>
    <t>Casal El Castellet</t>
  </si>
  <si>
    <t>Centre Cívic</t>
  </si>
  <si>
    <t>Petanca Pla de l'Avellà</t>
  </si>
  <si>
    <t>Petanca Can Llorell</t>
  </si>
  <si>
    <t>Envelat + WC</t>
  </si>
  <si>
    <t>(revisar si millor esporàdic)</t>
  </si>
  <si>
    <t>Can Benet</t>
  </si>
  <si>
    <t>Can Bartomeu (neteja WC)</t>
  </si>
  <si>
    <t>Sant Joan</t>
  </si>
  <si>
    <t>(segons necessitats)</t>
  </si>
  <si>
    <t>Cal Conde</t>
  </si>
  <si>
    <t>Sala d'Exposicions</t>
  </si>
  <si>
    <t>Camp de Futbol -mensual</t>
  </si>
  <si>
    <t>-</t>
  </si>
  <si>
    <t>Poliesportiu -mensual</t>
  </si>
  <si>
    <t>Subtotal hores de neteja en equipaments</t>
  </si>
  <si>
    <t>Bossa d'hores a disposar per any)</t>
  </si>
  <si>
    <t>+</t>
  </si>
  <si>
    <t>TOTAL HORES ANUALS DE NETEJA NOU CONTRACTE</t>
  </si>
  <si>
    <t>Codi de Colors:</t>
  </si>
  <si>
    <t>(ràtio aprox de €/h)</t>
  </si>
  <si>
    <t>Equipaments i freqüències en contracte existent</t>
  </si>
  <si>
    <t>COST APROX. ANUAL DEL SERVEI AMB EL NOU CONTRACTE</t>
  </si>
  <si>
    <t>(IVA inclòs)</t>
  </si>
  <si>
    <t>Equipaments nous a incorporar en nou contracte 2024</t>
  </si>
  <si>
    <t>COST ANUAL DEL SERVEI (any 2023)</t>
  </si>
  <si>
    <t>"</t>
  </si>
  <si>
    <t>Modificacions fetes en el contracte anterior</t>
  </si>
  <si>
    <t>diferència:</t>
  </si>
  <si>
    <t>*Contractista actual ofereix una neteja extra en Policia igual que la de dissabtes, en dies festius després de dia festiu on no hi ha hagut neteja</t>
  </si>
  <si>
    <t>taula v02</t>
  </si>
  <si>
    <t>S'el.limina per duplicitat</t>
  </si>
  <si>
    <t>Piscina Municipal - migdies</t>
  </si>
  <si>
    <t>Piscina Municipal - tardes</t>
  </si>
  <si>
    <t>Piscina Municipal - dissabtes</t>
  </si>
  <si>
    <t>Piscina Municipal - diumenges estiu</t>
  </si>
  <si>
    <t>Envelat</t>
  </si>
  <si>
    <t>taula v03</t>
  </si>
  <si>
    <t>de 6 a 4 persones</t>
  </si>
  <si>
    <t>de 4 a 3 persones</t>
  </si>
  <si>
    <t>AV: (revisar si la franja horària és correcta)</t>
  </si>
  <si>
    <t>Es puja de 30' a 1h /setmanal</t>
  </si>
  <si>
    <t>dilluns, establir franja horària de 2 hores</t>
  </si>
  <si>
    <t>Canvis respecte versió anterior</t>
  </si>
  <si>
    <t>taula v04</t>
  </si>
  <si>
    <t>Escola Pla de l'Avellà (estiu)</t>
  </si>
  <si>
    <t>(a convenir)</t>
  </si>
  <si>
    <t>Complex Esportiu (Poliesportiu i Camp de Futbol)</t>
  </si>
  <si>
    <t>Complex Esportiu (Piscina - migdia)</t>
  </si>
  <si>
    <t>Complex Esportiu (Piscina - vespre)</t>
  </si>
  <si>
    <t>Complex Esportiu (dissabtes mati)</t>
  </si>
  <si>
    <t>Complex Esportiu  (dissabte tarda)</t>
  </si>
  <si>
    <t>Complex Esportiu (Piscina Estiu)</t>
  </si>
  <si>
    <t>IVA INCLÒS</t>
  </si>
  <si>
    <t>Taula 01. PERSONAL PROPI. DIMENSIONAMENT</t>
  </si>
  <si>
    <t>Núm. Persones</t>
  </si>
  <si>
    <t>frequència</t>
  </si>
  <si>
    <t>h /setmanals
x persona</t>
  </si>
  <si>
    <t>Dimensionament</t>
  </si>
  <si>
    <t>dl a dv</t>
  </si>
  <si>
    <t>50% jornada</t>
  </si>
  <si>
    <t>2 oficials + 5 peons</t>
  </si>
  <si>
    <t>CAP Pla Avellà i Can Pau Ferrer</t>
  </si>
  <si>
    <t>40% jornada</t>
  </si>
  <si>
    <t>1 oficial</t>
  </si>
  <si>
    <t>Ajuntament + Policia</t>
  </si>
  <si>
    <t>100% jornada</t>
  </si>
  <si>
    <t>Serveis Socials, Can Martinet, Biblioteca</t>
  </si>
  <si>
    <t>70% jornada</t>
  </si>
  <si>
    <t>Piscina Municipal, laborables</t>
  </si>
  <si>
    <t>1 oficial + 1 peó</t>
  </si>
  <si>
    <t>Piscina Municipal, festius i policia, dissabtes</t>
  </si>
  <si>
    <t>feina desenvolupada de forma rotativa per operaris en plantilla</t>
  </si>
  <si>
    <t>Petanca Pla+Llorell, Casal Castellet, Centre Cívic</t>
  </si>
  <si>
    <t>1 peó</t>
  </si>
  <si>
    <t>resta d'equipaments + hores agost + reforços + rotacions</t>
  </si>
  <si>
    <t>Total</t>
  </si>
  <si>
    <t>Taula 02. PERSONAL PROPI. COSTOS UNITARIS</t>
  </si>
  <si>
    <t>Taula retributiva segons conveni (Barcelona, 2025)</t>
  </si>
  <si>
    <t>Sou brut /mes</t>
  </si>
  <si>
    <t>n</t>
  </si>
  <si>
    <t>brut / any</t>
  </si>
  <si>
    <t>Cost empresa/any</t>
  </si>
  <si>
    <t>f conversió</t>
  </si>
  <si>
    <t>Personal supervisor-encarregat gral.</t>
  </si>
  <si>
    <t>Operari - Especialista i oficial</t>
  </si>
  <si>
    <t>Operari - Personal especialitzat i ajudant</t>
  </si>
  <si>
    <t>*f conversió: aplicat per traspassar un sou brut anual al cost que tindrà l’empresa en l’any.</t>
  </si>
  <si>
    <t>Taula 03. DIMENSIONAMENT PLANTILLA per realizar el servei</t>
  </si>
  <si>
    <t>Uts</t>
  </si>
  <si>
    <t>Element</t>
  </si>
  <si>
    <t>Cost anual</t>
  </si>
  <si>
    <t>% jornada</t>
  </si>
  <si>
    <t>SubTotal Cost</t>
  </si>
  <si>
    <t>f extra +40%</t>
  </si>
  <si>
    <t>Total Cost</t>
  </si>
  <si>
    <t>MOD, MOI</t>
  </si>
  <si>
    <t>Netejador - oficial 100%</t>
  </si>
  <si>
    <t>Mà Obra Directa</t>
  </si>
  <si>
    <t>Netejador - peó especialista 100%</t>
  </si>
  <si>
    <t>Netejador - oficial 70 %</t>
  </si>
  <si>
    <t>Netejador - oficial 50 %</t>
  </si>
  <si>
    <t>Netejador - peó especialista 50%</t>
  </si>
  <si>
    <t>Netejador - oficial 40 %</t>
  </si>
  <si>
    <t>Supervisor/encarregat general</t>
  </si>
  <si>
    <t>Mà Obra Indirecta</t>
  </si>
  <si>
    <t>Administratiu / va</t>
  </si>
  <si>
    <t>*f extra: factor que incrementa el cost segons conveni, en haver de subrogar al personal. També: hores extres, nocturnes i festives que es puguin tenir</t>
  </si>
  <si>
    <t>(no s'aplica al personal administratiu en no considerar subrogació ni horari fora de jornada)</t>
  </si>
  <si>
    <t>Segons conveni neteja, +4% de sou en concepte d'antiguitat cada quadrienni.</t>
  </si>
  <si>
    <t>Suma Cost Salarial:</t>
  </si>
  <si>
    <t>4%:</t>
  </si>
  <si>
    <t>(increment de cost massa salarial cada quadrienni, segons estipula el conveni)</t>
  </si>
  <si>
    <t>Taula 04.  Mà d'Obra Directa i Mà d'Obra Indirecta</t>
  </si>
  <si>
    <t>Mà d'Obra Indirecta</t>
  </si>
  <si>
    <t>Mà d'Obra Directa</t>
  </si>
  <si>
    <t>Taula 05.  Altres Costos Directes</t>
  </si>
  <si>
    <t>€/ut</t>
  </si>
  <si>
    <t>ut</t>
  </si>
  <si>
    <t>import</t>
  </si>
  <si>
    <t>Vestuari Treballadors</t>
  </si>
  <si>
    <t>Taula 06.  Altres Costos Indirectes</t>
  </si>
  <si>
    <t>Gestoria Laboral</t>
  </si>
  <si>
    <t>Revisions Mèdiques</t>
  </si>
  <si>
    <t>Vigilància de la Salut</t>
  </si>
  <si>
    <t>Prevenció de Riscos Laborals</t>
  </si>
  <si>
    <t>Curs Formació Especial</t>
  </si>
  <si>
    <t>Assegurança Accidentes Conveni</t>
  </si>
  <si>
    <t>Assegurança RC</t>
  </si>
  <si>
    <t>Software control horari</t>
  </si>
  <si>
    <t>Taula 07. COST ANUAL SERVEI AMB MITJANS PROPIS. Estimació Cost Anual</t>
  </si>
  <si>
    <t>Import</t>
  </si>
  <si>
    <t>1.</t>
  </si>
  <si>
    <t>1.1</t>
  </si>
  <si>
    <t>1.2</t>
  </si>
  <si>
    <t>Compra de Material i fungibles</t>
  </si>
  <si>
    <t>1.3</t>
  </si>
  <si>
    <t>Altres Costos Directes</t>
  </si>
  <si>
    <t>2.</t>
  </si>
  <si>
    <t>2.1</t>
  </si>
  <si>
    <t>2.2</t>
  </si>
  <si>
    <t>Mitjans auxiliars. Maquinària</t>
  </si>
  <si>
    <t>2.3</t>
  </si>
  <si>
    <t>Altres Costos Indirectes</t>
  </si>
  <si>
    <t>Subtotal Cost</t>
  </si>
  <si>
    <t>Cost d'estructura (8%)</t>
  </si>
  <si>
    <t>COST TOTAL</t>
  </si>
  <si>
    <t>Ajuntament de Salou</t>
  </si>
  <si>
    <t>Ajuntament de Gurb</t>
  </si>
  <si>
    <t>hores anuals</t>
  </si>
  <si>
    <t>preu unitari IVA inclòs</t>
  </si>
  <si>
    <t>preu unitari sense IVA</t>
  </si>
  <si>
    <t>34% de Seguretat Social</t>
  </si>
  <si>
    <t>Import (Sense IVA)</t>
  </si>
  <si>
    <t>Import (IVA inclòs)</t>
  </si>
  <si>
    <t>Pressupost base licitació (2 anys, Sense IVA)</t>
  </si>
  <si>
    <t>Possibles prorrogues de contracte (2 anys, Sense IVA)</t>
  </si>
  <si>
    <t>Modificacions previstes (20%, Sense IVA)</t>
  </si>
  <si>
    <t>TOTAL VEC</t>
  </si>
  <si>
    <t>Etiquetas de fila</t>
  </si>
  <si>
    <t>Suma de Propocional</t>
  </si>
  <si>
    <t xml:space="preserve">PRESSUPOST DE LICITACIÓ </t>
  </si>
  <si>
    <t>dades pressupost SW</t>
  </si>
  <si>
    <t>Proporcional (%)</t>
  </si>
  <si>
    <t>ORG</t>
  </si>
  <si>
    <t>FUN</t>
  </si>
  <si>
    <t>ECO</t>
  </si>
  <si>
    <t>Import licitació per 1 any</t>
  </si>
  <si>
    <t>RC 2025: Import licitació per 4 mesos (1 set - 31 des)</t>
  </si>
  <si>
    <t>crèdits disponibles 2025</t>
  </si>
  <si>
    <t>crèdits disp. a nivell de vinculació 2025</t>
  </si>
  <si>
    <t>diferència</t>
  </si>
  <si>
    <t>Import per fra</t>
  </si>
  <si>
    <t>Import 8 mesos (1 gen - 31 ago)</t>
  </si>
  <si>
    <t>Import total 2025 (licitació + servei actual)</t>
  </si>
  <si>
    <t>diferència (crèdit dispo - crèdit requerit)</t>
  </si>
  <si>
    <t>Neteja d'equipaments policia</t>
  </si>
  <si>
    <t>EPU</t>
  </si>
  <si>
    <t>1300</t>
  </si>
  <si>
    <t>22700</t>
  </si>
  <si>
    <t>servei neteja 1 gener a 31 agost 2025</t>
  </si>
  <si>
    <t>no hi ha bossa vinculació</t>
  </si>
  <si>
    <t>CAP</t>
  </si>
  <si>
    <t>Cultura</t>
  </si>
  <si>
    <t>Neteja d'equipaments serveis socials</t>
  </si>
  <si>
    <t>Escola</t>
  </si>
  <si>
    <t>Neteja d'equipaments escola</t>
  </si>
  <si>
    <t>3220</t>
  </si>
  <si>
    <t>bossa vinculació ok</t>
  </si>
  <si>
    <t>Neteja d'equipaments biblioteca</t>
  </si>
  <si>
    <t>3321</t>
  </si>
  <si>
    <t>Neteja d'equipaments culturals</t>
  </si>
  <si>
    <t>3330</t>
  </si>
  <si>
    <t>Zona esportiva</t>
  </si>
  <si>
    <t>Neteja d'equipaments zona esportiva</t>
  </si>
  <si>
    <t>3420</t>
  </si>
  <si>
    <t>(en blanco)</t>
  </si>
  <si>
    <t>Neteja general d'edificis i altres</t>
  </si>
  <si>
    <t>Total general</t>
  </si>
  <si>
    <t>taula v05</t>
  </si>
  <si>
    <t>Propocional</t>
  </si>
  <si>
    <t>document comptable RC</t>
  </si>
  <si>
    <t>Equipaments</t>
  </si>
  <si>
    <t>cal dotar d'aquest import les partides del servei de neteja</t>
  </si>
  <si>
    <t>Previsió: a partir de l'1 de setembre</t>
  </si>
  <si>
    <t>Previsió: fins a 31 d'agost de 2025</t>
  </si>
  <si>
    <t>cost servei actual fora contracte</t>
  </si>
  <si>
    <t>Retenció crèdit per a licitació nou contracte</t>
  </si>
  <si>
    <t>crèdit pressupost 2025 servei neteja</t>
  </si>
  <si>
    <t>dèficit pressupost 2025</t>
  </si>
  <si>
    <t>DESPESES GENERALS (10%)</t>
  </si>
  <si>
    <t>Preu unitari 1r any</t>
  </si>
  <si>
    <t>Preu unitari 2n any</t>
  </si>
  <si>
    <t>Preu unitari 3r any (1ª pròrroga)</t>
  </si>
  <si>
    <t>Preu unitari 4r any (2ª pròrroga)</t>
  </si>
  <si>
    <t>PRESSUPOST BASE DE LICITACIÓ (2 ANYS)</t>
  </si>
  <si>
    <t>Import Sense IVA</t>
  </si>
  <si>
    <t>Import IVA inclòs</t>
  </si>
  <si>
    <t>% equipament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</si>
</sst>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h:mm;@"/>
    <numFmt numFmtId="165" formatCode="0.0%"/>
    <numFmt numFmtId="166" formatCode="#,##0\ &quot;h&quot;"/>
    <numFmt numFmtId="167" formatCode="#,##0.00\ &quot;€/h&quot;"/>
    <numFmt numFmtId="168" formatCode="#,##0.00\ &quot;€&quot;"/>
    <numFmt numFmtId="169" formatCode="0.0"/>
    <numFmt numFmtId="170" formatCode="0.00000"/>
    <numFmt numFmtId="171" formatCode="#,##0.0000\ &quot;€&quot;"/>
    <numFmt numFmtId="172" formatCode="0.000%"/>
    <numFmt numFmtId="173" formatCode="_-* #,##0.000\ &quot;€&quot;_-;\-* #,##0.000\ &quot;€&quot;_-;_-* &quot;-&quot;???\ &quot;€&quot;_-;_-@_-"/>
    <numFmt numFmtId="174" formatCode="#,##0.000\ &quot;€&quot;"/>
    <numFmt numFmtId="175" formatCode="_-* #,##0.00\ &quot;€&quot;_-;\-* #,##0.00\ &quot;€&quot;_-;_-* &quot;-&quot;???\ &quot;€&quot;_-;_-@_-"/>
    <numFmt numFmtId="176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sz val="12"/>
      <color theme="6" tint="0.3999755851924192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6"/>
      <name val="Calibri"/>
      <family val="2"/>
      <scheme val="minor"/>
    </font>
    <font>
      <b/>
      <sz val="10"/>
      <color theme="6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b/>
      <sz val="10"/>
      <color theme="6" tint="0.39997558519241921"/>
      <name val="Calibri"/>
      <family val="2"/>
      <scheme val="minor"/>
    </font>
    <font>
      <b/>
      <sz val="10"/>
      <color theme="5" tint="0.3999755851924192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4" borderId="0" xfId="0" applyFill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1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3" fillId="3" borderId="1" xfId="4" applyBorder="1"/>
    <xf numFmtId="0" fontId="3" fillId="3" borderId="1" xfId="4" applyBorder="1" applyAlignment="1">
      <alignment horizontal="center"/>
    </xf>
    <xf numFmtId="20" fontId="3" fillId="3" borderId="4" xfId="4" applyNumberFormat="1" applyBorder="1" applyAlignment="1">
      <alignment horizontal="center"/>
    </xf>
    <xf numFmtId="3" fontId="3" fillId="3" borderId="1" xfId="4" applyNumberFormat="1" applyBorder="1" applyAlignment="1">
      <alignment horizontal="center"/>
    </xf>
    <xf numFmtId="0" fontId="3" fillId="3" borderId="4" xfId="4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6" fillId="0" borderId="5" xfId="0" applyFont="1" applyBorder="1"/>
    <xf numFmtId="0" fontId="6" fillId="2" borderId="9" xfId="3" applyFont="1" applyBorder="1"/>
    <xf numFmtId="0" fontId="6" fillId="3" borderId="1" xfId="4" applyFont="1" applyBorder="1"/>
    <xf numFmtId="164" fontId="0" fillId="0" borderId="1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3" borderId="3" xfId="4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0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4" fontId="4" fillId="4" borderId="0" xfId="0" applyNumberFormat="1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9" fillId="0" borderId="0" xfId="0" applyFont="1"/>
    <xf numFmtId="0" fontId="4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0" borderId="0" xfId="0" applyFont="1"/>
    <xf numFmtId="14" fontId="11" fillId="0" borderId="0" xfId="0" applyNumberFormat="1" applyFont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3" fillId="3" borderId="1" xfId="4" applyFont="1" applyBorder="1" applyAlignment="1">
      <alignment horizontal="center"/>
    </xf>
    <xf numFmtId="0" fontId="11" fillId="4" borderId="0" xfId="0" applyFont="1" applyFill="1"/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20" fontId="0" fillId="5" borderId="0" xfId="0" applyNumberForma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44" fontId="7" fillId="4" borderId="0" xfId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right"/>
    </xf>
    <xf numFmtId="166" fontId="7" fillId="4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 vertical="center"/>
    </xf>
    <xf numFmtId="166" fontId="7" fillId="5" borderId="0" xfId="0" applyNumberFormat="1" applyFont="1" applyFill="1" applyAlignment="1">
      <alignment horizontal="center"/>
    </xf>
    <xf numFmtId="166" fontId="7" fillId="5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20" fontId="18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7" fillId="4" borderId="0" xfId="0" applyFont="1" applyFill="1" applyAlignment="1">
      <alignment horizontal="right"/>
    </xf>
    <xf numFmtId="44" fontId="19" fillId="4" borderId="0" xfId="1" applyFont="1" applyFill="1" applyBorder="1" applyAlignment="1">
      <alignment horizontal="center"/>
    </xf>
    <xf numFmtId="165" fontId="16" fillId="4" borderId="0" xfId="2" applyNumberFormat="1" applyFont="1" applyFill="1" applyBorder="1" applyAlignment="1">
      <alignment horizontal="left"/>
    </xf>
    <xf numFmtId="167" fontId="7" fillId="4" borderId="0" xfId="0" applyNumberFormat="1" applyFont="1" applyFill="1" applyAlignment="1">
      <alignment horizontal="center"/>
    </xf>
    <xf numFmtId="0" fontId="2" fillId="2" borderId="5" xfId="3" applyBorder="1"/>
    <xf numFmtId="0" fontId="2" fillId="2" borderId="5" xfId="3" applyBorder="1" applyAlignment="1">
      <alignment horizontal="center"/>
    </xf>
    <xf numFmtId="0" fontId="12" fillId="2" borderId="5" xfId="3" applyFont="1" applyBorder="1" applyAlignment="1">
      <alignment horizontal="center"/>
    </xf>
    <xf numFmtId="0" fontId="12" fillId="2" borderId="6" xfId="3" applyFont="1" applyBorder="1" applyAlignment="1">
      <alignment horizontal="center"/>
    </xf>
    <xf numFmtId="164" fontId="2" fillId="2" borderId="7" xfId="3" applyNumberFormat="1" applyBorder="1" applyAlignment="1">
      <alignment horizontal="center"/>
    </xf>
    <xf numFmtId="0" fontId="2" fillId="2" borderId="7" xfId="3" applyBorder="1" applyAlignment="1">
      <alignment horizontal="center"/>
    </xf>
    <xf numFmtId="20" fontId="2" fillId="2" borderId="8" xfId="3" applyNumberFormat="1" applyBorder="1" applyAlignment="1">
      <alignment horizontal="center"/>
    </xf>
    <xf numFmtId="3" fontId="2" fillId="2" borderId="5" xfId="3" applyNumberFormat="1" applyBorder="1" applyAlignment="1">
      <alignment horizontal="center"/>
    </xf>
    <xf numFmtId="0" fontId="3" fillId="3" borderId="9" xfId="4" applyBorder="1"/>
    <xf numFmtId="0" fontId="3" fillId="3" borderId="9" xfId="4" applyBorder="1" applyAlignment="1">
      <alignment horizontal="center"/>
    </xf>
    <xf numFmtId="0" fontId="13" fillId="3" borderId="9" xfId="4" applyFont="1" applyBorder="1" applyAlignment="1">
      <alignment horizontal="center"/>
    </xf>
    <xf numFmtId="0" fontId="13" fillId="3" borderId="10" xfId="4" applyFont="1" applyBorder="1" applyAlignment="1">
      <alignment horizontal="center"/>
    </xf>
    <xf numFmtId="164" fontId="3" fillId="3" borderId="11" xfId="4" applyNumberFormat="1" applyBorder="1" applyAlignment="1">
      <alignment horizontal="center"/>
    </xf>
    <xf numFmtId="0" fontId="3" fillId="3" borderId="11" xfId="4" applyBorder="1" applyAlignment="1">
      <alignment horizontal="center"/>
    </xf>
    <xf numFmtId="20" fontId="3" fillId="3" borderId="12" xfId="4" applyNumberFormat="1" applyBorder="1" applyAlignment="1">
      <alignment horizontal="center"/>
    </xf>
    <xf numFmtId="3" fontId="3" fillId="3" borderId="9" xfId="4" applyNumberFormat="1" applyBorder="1" applyAlignment="1">
      <alignment horizontal="center"/>
    </xf>
    <xf numFmtId="0" fontId="2" fillId="2" borderId="6" xfId="3" applyBorder="1"/>
    <xf numFmtId="0" fontId="4" fillId="4" borderId="7" xfId="0" applyFont="1" applyFill="1" applyBorder="1" applyAlignment="1">
      <alignment horizontal="center" vertical="center"/>
    </xf>
    <xf numFmtId="0" fontId="2" fillId="2" borderId="15" xfId="3" applyBorder="1"/>
    <xf numFmtId="0" fontId="2" fillId="2" borderId="0" xfId="3" applyBorder="1" applyAlignment="1">
      <alignment horizontal="center"/>
    </xf>
    <xf numFmtId="0" fontId="2" fillId="2" borderId="10" xfId="3" applyBorder="1"/>
    <xf numFmtId="0" fontId="2" fillId="2" borderId="11" xfId="3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4" fontId="11" fillId="0" borderId="0" xfId="0" applyNumberFormat="1" applyFont="1"/>
    <xf numFmtId="0" fontId="11" fillId="0" borderId="14" xfId="0" applyFont="1" applyBorder="1"/>
    <xf numFmtId="0" fontId="11" fillId="0" borderId="0" xfId="0" applyFont="1" applyAlignment="1">
      <alignment horizontal="left"/>
    </xf>
    <xf numFmtId="3" fontId="0" fillId="0" borderId="0" xfId="0" applyNumberFormat="1"/>
    <xf numFmtId="0" fontId="0" fillId="4" borderId="0" xfId="0" applyFill="1" applyAlignment="1">
      <alignment horizontal="right"/>
    </xf>
    <xf numFmtId="0" fontId="2" fillId="2" borderId="16" xfId="3" applyBorder="1"/>
    <xf numFmtId="0" fontId="2" fillId="2" borderId="16" xfId="3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12" fillId="2" borderId="16" xfId="3" applyFont="1" applyBorder="1" applyAlignment="1">
      <alignment horizontal="center"/>
    </xf>
    <xf numFmtId="0" fontId="12" fillId="2" borderId="18" xfId="3" applyFont="1" applyBorder="1" applyAlignment="1">
      <alignment horizontal="center"/>
    </xf>
    <xf numFmtId="164" fontId="2" fillId="2" borderId="19" xfId="3" applyNumberFormat="1" applyBorder="1" applyAlignment="1">
      <alignment horizontal="center"/>
    </xf>
    <xf numFmtId="0" fontId="2" fillId="2" borderId="19" xfId="3" applyBorder="1" applyAlignment="1">
      <alignment horizontal="center"/>
    </xf>
    <xf numFmtId="20" fontId="2" fillId="2" borderId="20" xfId="3" applyNumberFormat="1" applyBorder="1" applyAlignment="1">
      <alignment horizontal="center"/>
    </xf>
    <xf numFmtId="3" fontId="2" fillId="2" borderId="16" xfId="3" applyNumberFormat="1" applyBorder="1" applyAlignment="1">
      <alignment horizontal="center"/>
    </xf>
    <xf numFmtId="0" fontId="4" fillId="4" borderId="21" xfId="0" applyFont="1" applyFill="1" applyBorder="1" applyAlignment="1">
      <alignment horizontal="center" vertical="center"/>
    </xf>
    <xf numFmtId="0" fontId="2" fillId="2" borderId="18" xfId="3" applyBorder="1"/>
    <xf numFmtId="0" fontId="4" fillId="4" borderId="19" xfId="0" applyFont="1" applyFill="1" applyBorder="1" applyAlignment="1">
      <alignment horizontal="center" vertical="center"/>
    </xf>
    <xf numFmtId="0" fontId="2" fillId="2" borderId="22" xfId="3" applyBorder="1"/>
    <xf numFmtId="0" fontId="2" fillId="2" borderId="17" xfId="3" applyBorder="1" applyAlignment="1">
      <alignment horizontal="center"/>
    </xf>
    <xf numFmtId="0" fontId="2" fillId="2" borderId="23" xfId="3" applyBorder="1"/>
    <xf numFmtId="0" fontId="2" fillId="2" borderId="24" xfId="3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166" fontId="7" fillId="6" borderId="0" xfId="0" applyNumberFormat="1" applyFont="1" applyFill="1" applyAlignment="1">
      <alignment horizontal="center"/>
    </xf>
    <xf numFmtId="164" fontId="3" fillId="7" borderId="3" xfId="4" applyNumberFormat="1" applyFill="1" applyBorder="1" applyAlignment="1">
      <alignment horizontal="center"/>
    </xf>
    <xf numFmtId="0" fontId="3" fillId="7" borderId="3" xfId="4" applyFill="1" applyBorder="1" applyAlignment="1">
      <alignment horizontal="center"/>
    </xf>
    <xf numFmtId="20" fontId="3" fillId="7" borderId="4" xfId="4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7" borderId="9" xfId="4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4" borderId="0" xfId="0" applyFont="1" applyFill="1" applyAlignment="1">
      <alignment vertical="center"/>
    </xf>
    <xf numFmtId="0" fontId="21" fillId="0" borderId="9" xfId="0" applyFont="1" applyBorder="1"/>
    <xf numFmtId="0" fontId="21" fillId="0" borderId="9" xfId="0" applyFont="1" applyBorder="1" applyAlignment="1">
      <alignment horizontal="center"/>
    </xf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left"/>
    </xf>
    <xf numFmtId="9" fontId="21" fillId="0" borderId="0" xfId="2" applyFont="1" applyAlignment="1">
      <alignment horizontal="center"/>
    </xf>
    <xf numFmtId="168" fontId="20" fillId="4" borderId="0" xfId="0" applyNumberFormat="1" applyFont="1" applyFill="1" applyAlignment="1">
      <alignment horizontal="center" vertical="center"/>
    </xf>
    <xf numFmtId="168" fontId="20" fillId="4" borderId="0" xfId="0" applyNumberFormat="1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4" fontId="21" fillId="0" borderId="9" xfId="0" applyNumberFormat="1" applyFont="1" applyBorder="1" applyAlignment="1">
      <alignment horizontal="right"/>
    </xf>
    <xf numFmtId="0" fontId="21" fillId="0" borderId="1" xfId="0" applyFont="1" applyBorder="1"/>
    <xf numFmtId="0" fontId="21" fillId="4" borderId="0" xfId="0" applyFont="1" applyFill="1"/>
    <xf numFmtId="0" fontId="21" fillId="4" borderId="0" xfId="0" applyFont="1" applyFill="1" applyAlignment="1">
      <alignment horizontal="center"/>
    </xf>
    <xf numFmtId="168" fontId="22" fillId="4" borderId="0" xfId="0" applyNumberFormat="1" applyFont="1" applyFill="1" applyAlignment="1">
      <alignment vertical="center"/>
    </xf>
    <xf numFmtId="0" fontId="20" fillId="4" borderId="0" xfId="0" applyFont="1" applyFill="1" applyAlignment="1">
      <alignment horizontal="right" vertical="center"/>
    </xf>
    <xf numFmtId="0" fontId="23" fillId="0" borderId="0" xfId="0" applyFont="1" applyAlignment="1">
      <alignment horizontal="justify" vertical="center"/>
    </xf>
    <xf numFmtId="166" fontId="10" fillId="6" borderId="0" xfId="0" applyNumberFormat="1" applyFont="1" applyFill="1" applyAlignment="1">
      <alignment horizontal="center"/>
    </xf>
    <xf numFmtId="14" fontId="10" fillId="4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1" fillId="0" borderId="9" xfId="0" applyFont="1" applyBorder="1"/>
    <xf numFmtId="0" fontId="11" fillId="8" borderId="9" xfId="0" applyFont="1" applyFill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0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1" xfId="0" applyFont="1" applyBorder="1"/>
    <xf numFmtId="164" fontId="11" fillId="0" borderId="3" xfId="0" applyNumberFormat="1" applyFont="1" applyBorder="1" applyAlignment="1">
      <alignment horizontal="center"/>
    </xf>
    <xf numFmtId="20" fontId="11" fillId="0" borderId="4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5" xfId="0" applyFont="1" applyBorder="1"/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0" fontId="11" fillId="0" borderId="8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11" fillId="4" borderId="0" xfId="0" applyNumberFormat="1" applyFont="1" applyFill="1" applyAlignment="1">
      <alignment horizontal="center"/>
    </xf>
    <xf numFmtId="20" fontId="11" fillId="4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166" fontId="10" fillId="4" borderId="0" xfId="0" applyNumberFormat="1" applyFont="1" applyFill="1" applyAlignment="1">
      <alignment horizontal="center"/>
    </xf>
    <xf numFmtId="166" fontId="10" fillId="4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4" fontId="11" fillId="5" borderId="0" xfId="0" applyNumberFormat="1" applyFont="1" applyFill="1" applyAlignment="1">
      <alignment horizontal="center"/>
    </xf>
    <xf numFmtId="20" fontId="11" fillId="5" borderId="0" xfId="0" applyNumberFormat="1" applyFont="1" applyFill="1" applyAlignment="1">
      <alignment horizontal="center"/>
    </xf>
    <xf numFmtId="166" fontId="10" fillId="5" borderId="0" xfId="0" applyNumberFormat="1" applyFont="1" applyFill="1" applyAlignment="1">
      <alignment horizontal="center"/>
    </xf>
    <xf numFmtId="166" fontId="10" fillId="5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/>
    </xf>
    <xf numFmtId="167" fontId="10" fillId="4" borderId="0" xfId="0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0" fillId="5" borderId="0" xfId="0" applyNumberFormat="1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/>
    </xf>
    <xf numFmtId="164" fontId="25" fillId="4" borderId="0" xfId="0" applyNumberFormat="1" applyFont="1" applyFill="1" applyAlignment="1">
      <alignment horizontal="center"/>
    </xf>
    <xf numFmtId="20" fontId="27" fillId="4" borderId="0" xfId="0" applyNumberFormat="1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8" fillId="4" borderId="0" xfId="0" applyFont="1" applyFill="1" applyAlignment="1">
      <alignment horizontal="right"/>
    </xf>
    <xf numFmtId="44" fontId="28" fillId="4" borderId="0" xfId="1" applyFont="1" applyFill="1" applyBorder="1" applyAlignment="1">
      <alignment horizontal="center"/>
    </xf>
    <xf numFmtId="3" fontId="28" fillId="4" borderId="0" xfId="0" applyNumberFormat="1" applyFont="1" applyFill="1" applyAlignment="1">
      <alignment horizontal="left"/>
    </xf>
    <xf numFmtId="44" fontId="10" fillId="4" borderId="0" xfId="1" applyFont="1" applyFill="1" applyBorder="1" applyAlignment="1">
      <alignment horizontal="center"/>
    </xf>
    <xf numFmtId="3" fontId="10" fillId="4" borderId="0" xfId="0" applyNumberFormat="1" applyFont="1" applyFill="1" applyAlignment="1">
      <alignment horizontal="left"/>
    </xf>
    <xf numFmtId="0" fontId="24" fillId="4" borderId="0" xfId="0" applyFont="1" applyFill="1" applyAlignment="1">
      <alignment horizontal="center"/>
    </xf>
    <xf numFmtId="165" fontId="29" fillId="4" borderId="0" xfId="2" applyNumberFormat="1" applyFont="1" applyFill="1" applyBorder="1" applyAlignment="1">
      <alignment horizontal="left"/>
    </xf>
    <xf numFmtId="4" fontId="30" fillId="0" borderId="0" xfId="0" applyNumberFormat="1" applyFont="1" applyAlignment="1">
      <alignment horizontal="center"/>
    </xf>
    <xf numFmtId="168" fontId="21" fillId="0" borderId="0" xfId="0" applyNumberFormat="1" applyFont="1"/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21" fillId="0" borderId="0" xfId="0" applyNumberFormat="1" applyFont="1"/>
    <xf numFmtId="0" fontId="20" fillId="4" borderId="25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left" vertical="center"/>
    </xf>
    <xf numFmtId="9" fontId="20" fillId="4" borderId="0" xfId="2" applyFont="1" applyFill="1" applyAlignment="1">
      <alignment horizontal="center" vertical="center"/>
    </xf>
    <xf numFmtId="165" fontId="21" fillId="0" borderId="9" xfId="2" applyNumberFormat="1" applyFont="1" applyBorder="1" applyAlignment="1">
      <alignment horizontal="center"/>
    </xf>
    <xf numFmtId="0" fontId="11" fillId="5" borderId="9" xfId="0" applyFont="1" applyFill="1" applyBorder="1"/>
    <xf numFmtId="0" fontId="11" fillId="5" borderId="9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20" fontId="11" fillId="5" borderId="12" xfId="0" applyNumberFormat="1" applyFont="1" applyFill="1" applyBorder="1" applyAlignment="1">
      <alignment horizontal="center"/>
    </xf>
    <xf numFmtId="164" fontId="11" fillId="5" borderId="2" xfId="0" applyNumberFormat="1" applyFont="1" applyFill="1" applyBorder="1" applyAlignment="1">
      <alignment horizontal="center"/>
    </xf>
    <xf numFmtId="20" fontId="11" fillId="5" borderId="4" xfId="0" applyNumberFormat="1" applyFont="1" applyFill="1" applyBorder="1" applyAlignment="1">
      <alignment horizontal="center"/>
    </xf>
    <xf numFmtId="0" fontId="11" fillId="5" borderId="5" xfId="0" applyFont="1" applyFill="1" applyBorder="1"/>
    <xf numFmtId="0" fontId="11" fillId="5" borderId="5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20" fontId="11" fillId="5" borderId="8" xfId="0" applyNumberFormat="1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32" fillId="4" borderId="0" xfId="0" applyFont="1" applyFill="1"/>
    <xf numFmtId="3" fontId="32" fillId="4" borderId="0" xfId="0" applyNumberFormat="1" applyFont="1" applyFill="1" applyAlignment="1">
      <alignment horizontal="center"/>
    </xf>
    <xf numFmtId="3" fontId="32" fillId="9" borderId="9" xfId="0" applyNumberFormat="1" applyFont="1" applyFill="1" applyBorder="1" applyAlignment="1">
      <alignment horizontal="center"/>
    </xf>
    <xf numFmtId="3" fontId="32" fillId="9" borderId="5" xfId="0" applyNumberFormat="1" applyFont="1" applyFill="1" applyBorder="1" applyAlignment="1">
      <alignment horizontal="center"/>
    </xf>
    <xf numFmtId="3" fontId="32" fillId="9" borderId="1" xfId="0" applyNumberFormat="1" applyFont="1" applyFill="1" applyBorder="1" applyAlignment="1">
      <alignment horizontal="center"/>
    </xf>
    <xf numFmtId="0" fontId="31" fillId="0" borderId="0" xfId="0" applyFont="1"/>
    <xf numFmtId="4" fontId="31" fillId="0" borderId="0" xfId="0" applyNumberFormat="1" applyFont="1"/>
    <xf numFmtId="0" fontId="11" fillId="5" borderId="9" xfId="0" applyFont="1" applyFill="1" applyBorder="1" applyAlignment="1">
      <alignment horizontal="center" vertical="center"/>
    </xf>
    <xf numFmtId="20" fontId="11" fillId="5" borderId="9" xfId="0" applyNumberFormat="1" applyFont="1" applyFill="1" applyBorder="1" applyAlignment="1">
      <alignment horizontal="center" vertical="center"/>
    </xf>
    <xf numFmtId="3" fontId="32" fillId="9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left"/>
    </xf>
    <xf numFmtId="3" fontId="33" fillId="9" borderId="9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left" vertical="center"/>
    </xf>
    <xf numFmtId="44" fontId="11" fillId="0" borderId="0" xfId="0" applyNumberFormat="1" applyFont="1" applyAlignment="1">
      <alignment horizontal="left"/>
    </xf>
    <xf numFmtId="8" fontId="0" fillId="0" borderId="0" xfId="0" applyNumberFormat="1"/>
    <xf numFmtId="168" fontId="0" fillId="0" borderId="0" xfId="0" applyNumberFormat="1"/>
    <xf numFmtId="0" fontId="0" fillId="0" borderId="0" xfId="0" applyAlignment="1">
      <alignment wrapText="1"/>
    </xf>
    <xf numFmtId="169" fontId="0" fillId="0" borderId="1" xfId="0" applyNumberFormat="1" applyBorder="1"/>
    <xf numFmtId="2" fontId="0" fillId="0" borderId="1" xfId="0" applyNumberFormat="1" applyBorder="1"/>
    <xf numFmtId="0" fontId="0" fillId="0" borderId="26" xfId="0" applyBorder="1"/>
    <xf numFmtId="0" fontId="0" fillId="0" borderId="12" xfId="0" applyBorder="1"/>
    <xf numFmtId="0" fontId="0" fillId="0" borderId="4" xfId="0" applyBorder="1"/>
    <xf numFmtId="0" fontId="0" fillId="0" borderId="8" xfId="0" applyBorder="1"/>
    <xf numFmtId="0" fontId="0" fillId="0" borderId="33" xfId="0" applyBorder="1"/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2" fontId="0" fillId="0" borderId="10" xfId="0" applyNumberFormat="1" applyBorder="1"/>
    <xf numFmtId="2" fontId="0" fillId="0" borderId="2" xfId="0" applyNumberFormat="1" applyBorder="1"/>
    <xf numFmtId="0" fontId="0" fillId="0" borderId="2" xfId="0" applyBorder="1"/>
    <xf numFmtId="0" fontId="0" fillId="0" borderId="6" xfId="0" applyBorder="1"/>
    <xf numFmtId="0" fontId="0" fillId="0" borderId="15" xfId="0" applyBorder="1"/>
    <xf numFmtId="0" fontId="0" fillId="0" borderId="10" xfId="0" applyBorder="1"/>
    <xf numFmtId="168" fontId="0" fillId="0" borderId="40" xfId="0" applyNumberFormat="1" applyBorder="1"/>
    <xf numFmtId="168" fontId="0" fillId="0" borderId="37" xfId="0" applyNumberFormat="1" applyBorder="1"/>
    <xf numFmtId="168" fontId="31" fillId="0" borderId="37" xfId="0" applyNumberFormat="1" applyFont="1" applyBorder="1"/>
    <xf numFmtId="168" fontId="0" fillId="0" borderId="38" xfId="0" applyNumberFormat="1" applyBorder="1"/>
    <xf numFmtId="168" fontId="0" fillId="0" borderId="39" xfId="0" applyNumberFormat="1" applyBorder="1"/>
    <xf numFmtId="0" fontId="31" fillId="11" borderId="36" xfId="0" applyFont="1" applyFill="1" applyBorder="1" applyAlignment="1">
      <alignment wrapText="1"/>
    </xf>
    <xf numFmtId="0" fontId="31" fillId="11" borderId="34" xfId="0" applyFont="1" applyFill="1" applyBorder="1"/>
    <xf numFmtId="0" fontId="31" fillId="11" borderId="28" xfId="0" applyFont="1" applyFill="1" applyBorder="1"/>
    <xf numFmtId="0" fontId="31" fillId="11" borderId="43" xfId="0" applyFont="1" applyFill="1" applyBorder="1"/>
    <xf numFmtId="168" fontId="31" fillId="11" borderId="36" xfId="0" applyNumberFormat="1" applyFont="1" applyFill="1" applyBorder="1"/>
    <xf numFmtId="0" fontId="31" fillId="11" borderId="37" xfId="0" applyFont="1" applyFill="1" applyBorder="1" applyAlignment="1">
      <alignment wrapText="1"/>
    </xf>
    <xf numFmtId="0" fontId="31" fillId="11" borderId="4" xfId="0" applyFont="1" applyFill="1" applyBorder="1"/>
    <xf numFmtId="0" fontId="31" fillId="11" borderId="1" xfId="0" applyFont="1" applyFill="1" applyBorder="1"/>
    <xf numFmtId="0" fontId="31" fillId="11" borderId="2" xfId="0" applyFont="1" applyFill="1" applyBorder="1"/>
    <xf numFmtId="168" fontId="31" fillId="11" borderId="37" xfId="0" applyNumberFormat="1" applyFont="1" applyFill="1" applyBorder="1"/>
    <xf numFmtId="0" fontId="31" fillId="11" borderId="41" xfId="0" applyFont="1" applyFill="1" applyBorder="1" applyAlignment="1">
      <alignment wrapText="1"/>
    </xf>
    <xf numFmtId="0" fontId="31" fillId="11" borderId="35" xfId="0" applyFont="1" applyFill="1" applyBorder="1"/>
    <xf numFmtId="0" fontId="31" fillId="11" borderId="29" xfId="0" applyFont="1" applyFill="1" applyBorder="1"/>
    <xf numFmtId="0" fontId="31" fillId="11" borderId="44" xfId="0" applyFont="1" applyFill="1" applyBorder="1"/>
    <xf numFmtId="168" fontId="31" fillId="11" borderId="41" xfId="0" applyNumberFormat="1" applyFont="1" applyFill="1" applyBorder="1"/>
    <xf numFmtId="0" fontId="31" fillId="11" borderId="30" xfId="0" applyFont="1" applyFill="1" applyBorder="1" applyAlignment="1">
      <alignment wrapText="1"/>
    </xf>
    <xf numFmtId="0" fontId="31" fillId="11" borderId="31" xfId="0" applyFont="1" applyFill="1" applyBorder="1" applyAlignment="1">
      <alignment horizontal="center"/>
    </xf>
    <xf numFmtId="0" fontId="31" fillId="11" borderId="42" xfId="0" applyFont="1" applyFill="1" applyBorder="1" applyAlignment="1">
      <alignment horizontal="center"/>
    </xf>
    <xf numFmtId="0" fontId="31" fillId="11" borderId="27" xfId="0" applyFont="1" applyFill="1" applyBorder="1" applyAlignment="1">
      <alignment horizontal="center"/>
    </xf>
    <xf numFmtId="0" fontId="31" fillId="5" borderId="27" xfId="0" applyFont="1" applyFill="1" applyBorder="1" applyAlignment="1">
      <alignment wrapText="1"/>
    </xf>
    <xf numFmtId="0" fontId="31" fillId="5" borderId="32" xfId="0" applyFont="1" applyFill="1" applyBorder="1"/>
    <xf numFmtId="0" fontId="31" fillId="5" borderId="31" xfId="0" applyFont="1" applyFill="1" applyBorder="1"/>
    <xf numFmtId="0" fontId="31" fillId="5" borderId="42" xfId="0" applyFont="1" applyFill="1" applyBorder="1"/>
    <xf numFmtId="168" fontId="31" fillId="5" borderId="27" xfId="0" applyNumberFormat="1" applyFont="1" applyFill="1" applyBorder="1"/>
    <xf numFmtId="0" fontId="0" fillId="12" borderId="45" xfId="0" applyFill="1" applyBorder="1"/>
    <xf numFmtId="0" fontId="0" fillId="12" borderId="39" xfId="0" applyFill="1" applyBorder="1"/>
    <xf numFmtId="168" fontId="0" fillId="12" borderId="37" xfId="0" applyNumberFormat="1" applyFill="1" applyBorder="1"/>
    <xf numFmtId="168" fontId="31" fillId="12" borderId="36" xfId="0" applyNumberFormat="1" applyFont="1" applyFill="1" applyBorder="1"/>
    <xf numFmtId="168" fontId="31" fillId="12" borderId="37" xfId="0" applyNumberFormat="1" applyFont="1" applyFill="1" applyBorder="1"/>
    <xf numFmtId="168" fontId="31" fillId="12" borderId="41" xfId="0" applyNumberFormat="1" applyFont="1" applyFill="1" applyBorder="1"/>
    <xf numFmtId="170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 applyAlignment="1">
      <alignment horizontal="left"/>
    </xf>
    <xf numFmtId="0" fontId="34" fillId="0" borderId="0" xfId="0" applyFont="1" applyAlignment="1">
      <alignment horizontal="right"/>
    </xf>
    <xf numFmtId="168" fontId="0" fillId="12" borderId="0" xfId="0" applyNumberFormat="1" applyFill="1" applyAlignment="1">
      <alignment horizontal="left"/>
    </xf>
    <xf numFmtId="0" fontId="0" fillId="12" borderId="4" xfId="0" applyFill="1" applyBorder="1"/>
    <xf numFmtId="0" fontId="4" fillId="4" borderId="0" xfId="0" applyFont="1" applyFill="1" applyAlignment="1">
      <alignment horizontal="center" vertical="center"/>
    </xf>
    <xf numFmtId="0" fontId="3" fillId="3" borderId="3" xfId="4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2" xfId="4" applyFont="1" applyBorder="1" applyAlignment="1">
      <alignment horizontal="center"/>
    </xf>
    <xf numFmtId="0" fontId="3" fillId="3" borderId="2" xfId="4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168" fontId="0" fillId="12" borderId="39" xfId="0" applyNumberFormat="1" applyFill="1" applyBorder="1"/>
    <xf numFmtId="168" fontId="0" fillId="12" borderId="45" xfId="0" applyNumberFormat="1" applyFill="1" applyBorder="1"/>
    <xf numFmtId="168" fontId="31" fillId="12" borderId="39" xfId="0" applyNumberFormat="1" applyFont="1" applyFill="1" applyBorder="1"/>
    <xf numFmtId="0" fontId="24" fillId="0" borderId="0" xfId="0" applyFont="1"/>
    <xf numFmtId="0" fontId="11" fillId="0" borderId="47" xfId="0" applyFont="1" applyBorder="1"/>
    <xf numFmtId="0" fontId="24" fillId="0" borderId="48" xfId="0" applyFont="1" applyBorder="1"/>
    <xf numFmtId="0" fontId="24" fillId="0" borderId="49" xfId="0" applyFont="1" applyBorder="1"/>
    <xf numFmtId="0" fontId="24" fillId="0" borderId="50" xfId="0" applyFont="1" applyBorder="1"/>
    <xf numFmtId="0" fontId="24" fillId="0" borderId="51" xfId="0" applyFont="1" applyBorder="1"/>
    <xf numFmtId="0" fontId="24" fillId="0" borderId="14" xfId="0" applyFont="1" applyBorder="1"/>
    <xf numFmtId="0" fontId="24" fillId="0" borderId="52" xfId="0" applyFont="1" applyBorder="1"/>
    <xf numFmtId="0" fontId="24" fillId="0" borderId="47" xfId="0" applyFont="1" applyBorder="1"/>
    <xf numFmtId="0" fontId="24" fillId="0" borderId="53" xfId="0" applyFont="1" applyBorder="1"/>
    <xf numFmtId="0" fontId="24" fillId="0" borderId="25" xfId="0" applyFont="1" applyBorder="1"/>
    <xf numFmtId="0" fontId="24" fillId="0" borderId="54" xfId="0" applyFont="1" applyBorder="1"/>
    <xf numFmtId="0" fontId="24" fillId="0" borderId="55" xfId="0" applyFont="1" applyBorder="1"/>
    <xf numFmtId="0" fontId="24" fillId="0" borderId="46" xfId="0" applyFont="1" applyBorder="1"/>
    <xf numFmtId="0" fontId="11" fillId="0" borderId="51" xfId="0" applyFont="1" applyBorder="1"/>
    <xf numFmtId="0" fontId="11" fillId="0" borderId="49" xfId="0" applyFont="1" applyBorder="1"/>
    <xf numFmtId="0" fontId="36" fillId="0" borderId="0" xfId="0" applyFont="1"/>
    <xf numFmtId="0" fontId="0" fillId="0" borderId="0" xfId="0" applyAlignment="1">
      <alignment horizontal="left" vertical="top" wrapText="1"/>
    </xf>
    <xf numFmtId="17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4" fontId="31" fillId="0" borderId="57" xfId="0" applyNumberFormat="1" applyFont="1" applyBorder="1" applyAlignment="1">
      <alignment horizontal="center" vertical="top" wrapText="1"/>
    </xf>
    <xf numFmtId="4" fontId="38" fillId="0" borderId="4" xfId="0" applyNumberFormat="1" applyFont="1" applyBorder="1" applyAlignment="1">
      <alignment horizontal="center" vertical="top" wrapText="1"/>
    </xf>
    <xf numFmtId="4" fontId="38" fillId="0" borderId="1" xfId="0" applyNumberFormat="1" applyFont="1" applyBorder="1" applyAlignment="1">
      <alignment horizontal="center" vertical="top" wrapText="1"/>
    </xf>
    <xf numFmtId="172" fontId="0" fillId="0" borderId="0" xfId="0" applyNumberFormat="1"/>
    <xf numFmtId="49" fontId="0" fillId="0" borderId="1" xfId="0" applyNumberFormat="1" applyBorder="1"/>
    <xf numFmtId="10" fontId="6" fillId="13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4" fontId="6" fillId="13" borderId="1" xfId="0" applyNumberFormat="1" applyFont="1" applyFill="1" applyBorder="1"/>
    <xf numFmtId="44" fontId="6" fillId="0" borderId="2" xfId="0" applyNumberFormat="1" applyFont="1" applyBorder="1"/>
    <xf numFmtId="168" fontId="0" fillId="0" borderId="58" xfId="0" applyNumberFormat="1" applyBorder="1"/>
    <xf numFmtId="4" fontId="0" fillId="0" borderId="4" xfId="0" applyNumberFormat="1" applyBorder="1"/>
    <xf numFmtId="172" fontId="6" fillId="13" borderId="1" xfId="0" applyNumberFormat="1" applyFont="1" applyFill="1" applyBorder="1" applyAlignment="1">
      <alignment horizontal="center"/>
    </xf>
    <xf numFmtId="173" fontId="0" fillId="0" borderId="1" xfId="0" applyNumberFormat="1" applyBorder="1"/>
    <xf numFmtId="173" fontId="35" fillId="0" borderId="0" xfId="0" applyNumberFormat="1" applyFont="1" applyAlignment="1">
      <alignment horizontal="right"/>
    </xf>
    <xf numFmtId="0" fontId="35" fillId="0" borderId="0" xfId="0" applyFont="1"/>
    <xf numFmtId="1" fontId="0" fillId="0" borderId="0" xfId="0" applyNumberFormat="1" applyAlignment="1">
      <alignment horizontal="center"/>
    </xf>
    <xf numFmtId="168" fontId="0" fillId="0" borderId="59" xfId="0" applyNumberFormat="1" applyBorder="1"/>
    <xf numFmtId="10" fontId="6" fillId="13" borderId="5" xfId="0" applyNumberFormat="1" applyFon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4" fontId="35" fillId="0" borderId="4" xfId="0" applyNumberFormat="1" applyFont="1" applyBorder="1"/>
    <xf numFmtId="172" fontId="6" fillId="13" borderId="5" xfId="0" applyNumberFormat="1" applyFont="1" applyFill="1" applyBorder="1" applyAlignment="1">
      <alignment horizontal="center"/>
    </xf>
    <xf numFmtId="168" fontId="0" fillId="0" borderId="60" xfId="0" applyNumberFormat="1" applyBorder="1"/>
    <xf numFmtId="175" fontId="0" fillId="0" borderId="0" xfId="0" applyNumberFormat="1"/>
    <xf numFmtId="173" fontId="0" fillId="0" borderId="0" xfId="0" applyNumberFormat="1"/>
    <xf numFmtId="173" fontId="35" fillId="0" borderId="0" xfId="0" applyNumberFormat="1" applyFont="1"/>
    <xf numFmtId="43" fontId="0" fillId="0" borderId="0" xfId="5" applyFont="1" applyBorder="1"/>
    <xf numFmtId="43" fontId="31" fillId="0" borderId="0" xfId="5" applyFont="1" applyBorder="1"/>
    <xf numFmtId="176" fontId="31" fillId="0" borderId="0" xfId="0" applyNumberFormat="1" applyFont="1"/>
    <xf numFmtId="0" fontId="31" fillId="10" borderId="1" xfId="0" applyFont="1" applyFill="1" applyBorder="1" applyAlignment="1">
      <alignment horizontal="center"/>
    </xf>
    <xf numFmtId="10" fontId="31" fillId="13" borderId="1" xfId="2" applyNumberFormat="1" applyFont="1" applyFill="1" applyBorder="1" applyAlignment="1">
      <alignment horizontal="center"/>
    </xf>
    <xf numFmtId="10" fontId="31" fillId="10" borderId="1" xfId="2" applyNumberFormat="1" applyFont="1" applyFill="1" applyBorder="1" applyAlignment="1">
      <alignment horizontal="center"/>
    </xf>
    <xf numFmtId="0" fontId="0" fillId="0" borderId="0" xfId="0" pivotButton="1"/>
    <xf numFmtId="0" fontId="41" fillId="0" borderId="0" xfId="0" applyFont="1"/>
    <xf numFmtId="44" fontId="41" fillId="0" borderId="0" xfId="1" applyFont="1"/>
    <xf numFmtId="44" fontId="37" fillId="0" borderId="0" xfId="1" applyFont="1"/>
    <xf numFmtId="0" fontId="42" fillId="13" borderId="0" xfId="0" applyFont="1" applyFill="1"/>
    <xf numFmtId="44" fontId="42" fillId="13" borderId="0" xfId="0" applyNumberFormat="1" applyFont="1" applyFill="1"/>
    <xf numFmtId="0" fontId="39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37" fillId="0" borderId="0" xfId="0" applyFont="1"/>
    <xf numFmtId="0" fontId="43" fillId="0" borderId="0" xfId="0" applyFont="1"/>
    <xf numFmtId="0" fontId="44" fillId="0" borderId="0" xfId="0" applyFont="1"/>
    <xf numFmtId="169" fontId="11" fillId="5" borderId="9" xfId="0" applyNumberFormat="1" applyFont="1" applyFill="1" applyBorder="1" applyAlignment="1">
      <alignment horizontal="center"/>
    </xf>
    <xf numFmtId="164" fontId="11" fillId="10" borderId="2" xfId="0" applyNumberFormat="1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20" fontId="11" fillId="10" borderId="4" xfId="0" applyNumberFormat="1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169" fontId="11" fillId="10" borderId="9" xfId="0" applyNumberFormat="1" applyFont="1" applyFill="1" applyBorder="1" applyAlignment="1">
      <alignment horizontal="center"/>
    </xf>
    <xf numFmtId="168" fontId="35" fillId="0" borderId="0" xfId="0" applyNumberFormat="1" applyFont="1"/>
    <xf numFmtId="168" fontId="6" fillId="0" borderId="0" xfId="0" applyNumberFormat="1" applyFont="1"/>
    <xf numFmtId="0" fontId="31" fillId="11" borderId="31" xfId="0" applyFont="1" applyFill="1" applyBorder="1" applyAlignment="1">
      <alignment horizontal="center" wrapText="1"/>
    </xf>
    <xf numFmtId="0" fontId="31" fillId="11" borderId="42" xfId="0" applyFont="1" applyFill="1" applyBorder="1" applyAlignment="1">
      <alignment horizontal="center" wrapText="1"/>
    </xf>
    <xf numFmtId="0" fontId="31" fillId="11" borderId="27" xfId="0" applyFont="1" applyFill="1" applyBorder="1" applyAlignment="1">
      <alignment horizontal="center" wrapText="1"/>
    </xf>
    <xf numFmtId="171" fontId="31" fillId="12" borderId="1" xfId="0" applyNumberFormat="1" applyFont="1" applyFill="1" applyBorder="1" applyAlignment="1">
      <alignment vertical="top"/>
    </xf>
    <xf numFmtId="171" fontId="0" fillId="12" borderId="1" xfId="0" applyNumberFormat="1" applyFill="1" applyBorder="1"/>
    <xf numFmtId="171" fontId="0" fillId="12" borderId="1" xfId="0" applyNumberFormat="1" applyFill="1" applyBorder="1" applyAlignment="1">
      <alignment horizontal="center" wrapText="1"/>
    </xf>
    <xf numFmtId="1" fontId="31" fillId="12" borderId="1" xfId="0" applyNumberFormat="1" applyFont="1" applyFill="1" applyBorder="1" applyAlignment="1">
      <alignment horizontal="center"/>
    </xf>
    <xf numFmtId="171" fontId="0" fillId="12" borderId="1" xfId="0" applyNumberFormat="1" applyFill="1" applyBorder="1" applyAlignment="1">
      <alignment horizontal="center" vertical="center"/>
    </xf>
    <xf numFmtId="171" fontId="31" fillId="12" borderId="2" xfId="0" applyNumberFormat="1" applyFont="1" applyFill="1" applyBorder="1"/>
    <xf numFmtId="2" fontId="11" fillId="5" borderId="9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0" fontId="6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 wrapText="1"/>
    </xf>
    <xf numFmtId="10" fontId="6" fillId="0" borderId="0" xfId="0" applyNumberFormat="1" applyFont="1"/>
    <xf numFmtId="0" fontId="6" fillId="0" borderId="0" xfId="0" applyFont="1"/>
    <xf numFmtId="10" fontId="45" fillId="0" borderId="0" xfId="0" applyNumberFormat="1" applyFont="1"/>
    <xf numFmtId="3" fontId="31" fillId="0" borderId="0" xfId="0" applyNumberFormat="1" applyFont="1"/>
    <xf numFmtId="171" fontId="31" fillId="12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3" fillId="3" borderId="3" xfId="4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2" xfId="4" applyFont="1" applyBorder="1" applyAlignment="1">
      <alignment horizontal="center"/>
    </xf>
    <xf numFmtId="0" fontId="13" fillId="3" borderId="3" xfId="4" applyFont="1" applyBorder="1" applyAlignment="1">
      <alignment horizontal="center"/>
    </xf>
    <xf numFmtId="0" fontId="13" fillId="3" borderId="4" xfId="4" applyFont="1" applyBorder="1" applyAlignment="1">
      <alignment horizontal="center"/>
    </xf>
    <xf numFmtId="0" fontId="3" fillId="3" borderId="2" xfId="4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0" fillId="4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 wrapText="1"/>
    </xf>
    <xf numFmtId="174" fontId="35" fillId="0" borderId="15" xfId="0" applyNumberFormat="1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40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4" fontId="31" fillId="0" borderId="5" xfId="0" applyNumberFormat="1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8" fontId="0" fillId="0" borderId="59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168" fontId="0" fillId="12" borderId="1" xfId="0" applyNumberFormat="1" applyFill="1" applyBorder="1"/>
    <xf numFmtId="171" fontId="0" fillId="0" borderId="0" xfId="0" applyNumberFormat="1"/>
  </cellXfs>
  <cellStyles count="6">
    <cellStyle name="Bueno" xfId="3" builtinId="26"/>
    <cellStyle name="Millares" xfId="5" builtinId="3"/>
    <cellStyle name="Moneda" xfId="1" builtinId="4"/>
    <cellStyle name="Neutral" xfId="4" builtinId="28"/>
    <cellStyle name="Normal" xfId="0" builtinId="0"/>
    <cellStyle name="Porcentaje" xfId="2" builtinId="5"/>
  </cellStyles>
  <dxfs count="7">
    <dxf>
      <font>
        <sz val="11"/>
      </font>
    </dxf>
    <dxf>
      <font>
        <sz val="11"/>
      </font>
    </dxf>
    <dxf>
      <alignment vertical="top"/>
    </dxf>
    <dxf>
      <alignment vertical="top"/>
    </dxf>
    <dxf>
      <alignment wrapText="1"/>
    </dxf>
    <dxf>
      <alignment wrapText="1"/>
    </dxf>
    <dxf>
      <numFmt numFmtId="172" formatCode="0.000%"/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</xdr:rowOff>
    </xdr:from>
    <xdr:to>
      <xdr:col>7</xdr:col>
      <xdr:colOff>342900</xdr:colOff>
      <xdr:row>24</xdr:row>
      <xdr:rowOff>138959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362B8C-8331-11B6-B034-00FCADD6C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33501"/>
          <a:ext cx="5695950" cy="3377458"/>
        </a:xfrm>
        <a:prstGeom prst="rect">
          <a:avLst/>
        </a:prstGeom>
      </xdr:spPr>
    </xdr:pic>
    <xdr:clientData/>
  </xdr:twoCellAnchor>
  <xdr:twoCellAnchor editAs="oneCell">
    <xdr:from>
      <xdr:col>8</xdr:col>
      <xdr:colOff>676275</xdr:colOff>
      <xdr:row>6</xdr:row>
      <xdr:rowOff>133350</xdr:rowOff>
    </xdr:from>
    <xdr:to>
      <xdr:col>15</xdr:col>
      <xdr:colOff>266700</xdr:colOff>
      <xdr:row>21</xdr:row>
      <xdr:rowOff>118657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E11C5D-5BDB-EF17-558C-73792684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3325" y="1276350"/>
          <a:ext cx="4924425" cy="2842807"/>
        </a:xfrm>
        <a:prstGeom prst="rect">
          <a:avLst/>
        </a:prstGeom>
      </xdr:spPr>
    </xdr:pic>
    <xdr:clientData/>
  </xdr:twoCellAnchor>
  <xdr:twoCellAnchor editAs="oneCell">
    <xdr:from>
      <xdr:col>9</xdr:col>
      <xdr:colOff>9526</xdr:colOff>
      <xdr:row>22</xdr:row>
      <xdr:rowOff>66676</xdr:rowOff>
    </xdr:from>
    <xdr:to>
      <xdr:col>15</xdr:col>
      <xdr:colOff>342900</xdr:colOff>
      <xdr:row>35</xdr:row>
      <xdr:rowOff>98384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1A56EA-6153-B105-62FC-60944FBED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48576" y="4257676"/>
          <a:ext cx="4905374" cy="2508208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35</xdr:row>
      <xdr:rowOff>180975</xdr:rowOff>
    </xdr:from>
    <xdr:to>
      <xdr:col>15</xdr:col>
      <xdr:colOff>170420</xdr:colOff>
      <xdr:row>48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29FFEE-9298-4659-44A3-3225A7977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6848475"/>
          <a:ext cx="468527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35</xdr:row>
      <xdr:rowOff>0</xdr:rowOff>
    </xdr:from>
    <xdr:to>
      <xdr:col>8</xdr:col>
      <xdr:colOff>398514</xdr:colOff>
      <xdr:row>38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920216-1E1D-D4F7-3F92-01627AE3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" y="6667500"/>
          <a:ext cx="6484989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iera\Downloads\Copia%20de%20Distribuci&#243;%20neteja%20edificis%20entre%20equipaments.xlsx" TargetMode="External"/><Relationship Id="rId1" Type="http://schemas.openxmlformats.org/officeDocument/2006/relationships/externalLinkPath" Target="file:///C:\Users\cpiera\Downloads\Copia%20de%20Distribuci&#243;%20neteja%20edificis%20entre%20equipa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es Contracte"/>
      <sheetName val="càlculs"/>
      <sheetName val="Taula v01"/>
      <sheetName val="Taula v02"/>
      <sheetName val="Taula v03"/>
      <sheetName val="Taula v04"/>
      <sheetName val="Taula v05"/>
      <sheetName val="Taula Personal Propi"/>
      <sheetName val="Taula Cost Servei"/>
    </sheetNames>
    <sheetDataSet>
      <sheetData sheetId="0">
        <row r="21">
          <cell r="F21">
            <v>279579.72000000003</v>
          </cell>
        </row>
      </sheetData>
      <sheetData sheetId="1">
        <row r="18">
          <cell r="F18">
            <v>21.998259151785714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iera\Downloads\Copia%20de%20Distribuci&#243;%20neteja%20edificis%20entre%20equipament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635.454922685189" createdVersion="4" refreshedVersion="4" minRefreshableVersion="3" recordCount="35" xr:uid="{9CE0C850-6DE9-4DCC-B0E9-C3F912B38F42}">
  <cacheSource type="worksheet">
    <worksheetSource ref="Z21:AA55" sheet="Taula v05" r:id="rId2"/>
  </cacheSource>
  <cacheFields count="2">
    <cacheField name="Propocional" numFmtId="0">
      <sharedItems containsString="0" containsBlank="1" containsNumber="1" minValue="0" maxValue="0.31428571428571428"/>
    </cacheField>
    <cacheField name="Equipament" numFmtId="0">
      <sharedItems containsBlank="1" count="9">
        <m/>
        <s v="Escola"/>
        <s v="CAP"/>
        <s v="Ajuntament"/>
        <s v="Policia"/>
        <s v="Serveis Socials"/>
        <s v="Cultura"/>
        <s v="Biblioteca"/>
        <s v="Zona esportiv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m/>
    <x v="0"/>
  </r>
  <r>
    <m/>
    <x v="0"/>
  </r>
  <r>
    <n v="0.31428571428571428"/>
    <x v="1"/>
  </r>
  <r>
    <n v="4.329004329004329E-3"/>
    <x v="1"/>
  </r>
  <r>
    <m/>
    <x v="0"/>
  </r>
  <r>
    <n v="2.5974025974025976E-2"/>
    <x v="2"/>
  </r>
  <r>
    <n v="2.813852813852814E-2"/>
    <x v="2"/>
  </r>
  <r>
    <m/>
    <x v="0"/>
  </r>
  <r>
    <n v="5.6103896103896114E-2"/>
    <x v="3"/>
  </r>
  <r>
    <n v="6.3311688311688305E-2"/>
    <x v="4"/>
  </r>
  <r>
    <n v="5.6277056277056281E-3"/>
    <x v="4"/>
  </r>
  <r>
    <n v="9.3506493506493489E-3"/>
    <x v="5"/>
  </r>
  <r>
    <n v="4.3636363636363626E-2"/>
    <x v="6"/>
  </r>
  <r>
    <n v="3.1168831168831169E-2"/>
    <x v="7"/>
  </r>
  <r>
    <m/>
    <x v="0"/>
  </r>
  <r>
    <n v="0.11255411255411256"/>
    <x v="8"/>
  </r>
  <r>
    <n v="0.11255411255411256"/>
    <x v="8"/>
  </r>
  <r>
    <n v="1.6883116883116882E-2"/>
    <x v="8"/>
  </r>
  <r>
    <n v="3.0303030303030303E-3"/>
    <x v="8"/>
  </r>
  <r>
    <m/>
    <x v="0"/>
  </r>
  <r>
    <n v="3.1168831168831169E-2"/>
    <x v="6"/>
  </r>
  <r>
    <n v="3.1168831168831169E-2"/>
    <x v="6"/>
  </r>
  <r>
    <n v="5.1948051948051948E-3"/>
    <x v="8"/>
  </r>
  <r>
    <n v="5.1948051948051948E-3"/>
    <x v="8"/>
  </r>
  <r>
    <m/>
    <x v="0"/>
  </r>
  <r>
    <n v="4.5454545454545452E-3"/>
    <x v="6"/>
  </r>
  <r>
    <n v="2.2727272727272726E-3"/>
    <x v="6"/>
  </r>
  <r>
    <m/>
    <x v="0"/>
  </r>
  <r>
    <n v="2.5974025974025974E-3"/>
    <x v="6"/>
  </r>
  <r>
    <n v="0"/>
    <x v="0"/>
  </r>
  <r>
    <n v="0"/>
    <x v="0"/>
  </r>
  <r>
    <n v="0"/>
    <x v="0"/>
  </r>
  <r>
    <m/>
    <x v="0"/>
  </r>
  <r>
    <n v="4.5454545454545456E-2"/>
    <x v="8"/>
  </r>
  <r>
    <n v="4.5454545454545456E-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124B3E-A10A-4A25-B6FF-CF2625FB9E63}" name="Tabla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B6:C16" firstHeaderRow="1" firstDataRow="1" firstDataCol="1"/>
  <pivotFields count="2">
    <pivotField dataField="1" showAll="0"/>
    <pivotField axis="axisRow" showAll="0">
      <items count="10">
        <item x="3"/>
        <item x="7"/>
        <item x="2"/>
        <item x="6"/>
        <item x="1"/>
        <item x="4"/>
        <item x="5"/>
        <item x="8"/>
        <item x="0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Propocional" fld="0" baseField="1" baseItem="0"/>
  </dataFields>
  <formats count="7">
    <format dxfId="6">
      <pivotArea collapsedLevelsAreSubtotals="1" fieldPosition="0">
        <references count="1">
          <reference field="1" count="0"/>
        </references>
      </pivotArea>
    </format>
    <format dxfId="5">
      <pivotArea collapsedLevelsAreSubtotals="1" fieldPosition="0">
        <references count="1">
          <reference field="1" count="1">
            <x v="0"/>
          </reference>
        </references>
      </pivotArea>
    </format>
    <format dxfId="4">
      <pivotArea dataOnly="0" labelOnly="1" fieldPosition="0">
        <references count="1">
          <reference field="1" count="1">
            <x v="0"/>
          </reference>
        </references>
      </pivotArea>
    </format>
    <format dxfId="3">
      <pivotArea collapsedLevelsAreSubtotals="1" fieldPosition="0">
        <references count="1">
          <reference field="1" count="1">
            <x v="0"/>
          </reference>
        </references>
      </pivotArea>
    </format>
    <format dxfId="2">
      <pivotArea dataOnly="0" labelOnly="1" fieldPosition="0">
        <references count="1">
          <reference field="1" count="1">
            <x v="0"/>
          </reference>
        </references>
      </pivotArea>
    </format>
    <format dxfId="1">
      <pivotArea collapsedLevelsAreSubtotals="1" fieldPosition="0">
        <references count="1">
          <reference field="1" count="1">
            <x v="0"/>
          </reference>
        </references>
      </pivotArea>
    </format>
    <format dxfId="0">
      <pivotArea dataOnly="0" labelOnly="1" fieldPosition="0">
        <references count="1"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8909-50C5-4E1D-867F-0633ED5C95CF}">
  <dimension ref="A2:I34"/>
  <sheetViews>
    <sheetView tabSelected="1" topLeftCell="A7" zoomScale="80" zoomScaleNormal="80" workbookViewId="0">
      <selection activeCell="C35" sqref="C35"/>
    </sheetView>
  </sheetViews>
  <sheetFormatPr baseColWidth="10" defaultColWidth="11.44140625" defaultRowHeight="14.4" x14ac:dyDescent="0.3"/>
  <cols>
    <col min="1" max="1" width="18.44140625" customWidth="1"/>
    <col min="2" max="2" width="55" style="244" customWidth="1"/>
    <col min="3" max="3" width="15.6640625" customWidth="1"/>
    <col min="4" max="4" width="14.88671875" customWidth="1"/>
    <col min="5" max="5" width="15.109375" customWidth="1"/>
    <col min="6" max="6" width="17.6640625" customWidth="1"/>
    <col min="7" max="7" width="16.5546875" customWidth="1"/>
    <col min="8" max="8" width="16.33203125" customWidth="1"/>
    <col min="9" max="9" width="16.109375" customWidth="1"/>
    <col min="11" max="11" width="24.109375" bestFit="1" customWidth="1"/>
  </cols>
  <sheetData>
    <row r="2" spans="1:9" ht="15" thickBot="1" x14ac:dyDescent="0.35"/>
    <row r="3" spans="1:9" s="244" customFormat="1" ht="29.4" thickBot="1" x14ac:dyDescent="0.35">
      <c r="B3" s="283"/>
      <c r="C3" s="395" t="s">
        <v>0</v>
      </c>
      <c r="D3" s="396" t="s">
        <v>1</v>
      </c>
      <c r="E3" s="397" t="s">
        <v>4</v>
      </c>
      <c r="F3" s="397" t="s">
        <v>312</v>
      </c>
      <c r="G3" s="397" t="s">
        <v>313</v>
      </c>
      <c r="H3" s="397" t="s">
        <v>314</v>
      </c>
      <c r="I3" s="397" t="s">
        <v>315</v>
      </c>
    </row>
    <row r="4" spans="1:9" x14ac:dyDescent="0.3">
      <c r="A4" s="301" t="s">
        <v>6</v>
      </c>
      <c r="B4" s="252" t="s">
        <v>7</v>
      </c>
      <c r="C4" s="248">
        <f>9516-1575-450+69</f>
        <v>7560</v>
      </c>
      <c r="D4" s="257">
        <v>14.69</v>
      </c>
      <c r="E4" s="263">
        <f>C4*D4</f>
        <v>111056.4</v>
      </c>
      <c r="F4" s="317">
        <f>E4/C12</f>
        <v>11.05588850174216</v>
      </c>
      <c r="G4" s="317">
        <f>F4</f>
        <v>11.05588850174216</v>
      </c>
      <c r="H4" s="317">
        <f>G4*1.02</f>
        <v>11.277006271777003</v>
      </c>
      <c r="I4" s="317">
        <v>7</v>
      </c>
    </row>
    <row r="5" spans="1:9" x14ac:dyDescent="0.3">
      <c r="A5" s="301" t="s">
        <v>6</v>
      </c>
      <c r="B5" s="253" t="s">
        <v>12</v>
      </c>
      <c r="C5" s="303">
        <v>460</v>
      </c>
      <c r="D5" s="258">
        <v>13.98</v>
      </c>
      <c r="E5" s="264">
        <f>C5*D5</f>
        <v>6430.8</v>
      </c>
      <c r="F5" s="316">
        <f>E5/C12</f>
        <v>0.64019910403185665</v>
      </c>
      <c r="G5" s="316">
        <f t="shared" ref="G5:G15" si="0">F5</f>
        <v>0.64019910403185665</v>
      </c>
      <c r="H5" s="316">
        <f t="shared" ref="H5:I15" si="1">G5*1.02</f>
        <v>0.6530030861124938</v>
      </c>
      <c r="I5" s="316">
        <f t="shared" si="1"/>
        <v>0.66606314783474374</v>
      </c>
    </row>
    <row r="6" spans="1:9" x14ac:dyDescent="0.3">
      <c r="A6" s="301" t="s">
        <v>6</v>
      </c>
      <c r="B6" s="253" t="s">
        <v>13</v>
      </c>
      <c r="C6" s="249">
        <v>1575</v>
      </c>
      <c r="D6" s="258">
        <v>17.86</v>
      </c>
      <c r="E6" s="264">
        <f>C6*D6</f>
        <v>28129.5</v>
      </c>
      <c r="F6" s="316">
        <f>E6/C12</f>
        <v>2.800348432055749</v>
      </c>
      <c r="G6" s="316">
        <f t="shared" si="0"/>
        <v>2.800348432055749</v>
      </c>
      <c r="H6" s="316">
        <f t="shared" si="1"/>
        <v>2.8563554006968639</v>
      </c>
      <c r="I6" s="316">
        <f t="shared" si="1"/>
        <v>2.9134825087108012</v>
      </c>
    </row>
    <row r="7" spans="1:9" x14ac:dyDescent="0.3">
      <c r="A7" s="301" t="s">
        <v>6</v>
      </c>
      <c r="B7" s="253" t="s">
        <v>14</v>
      </c>
      <c r="C7" s="249">
        <v>450</v>
      </c>
      <c r="D7" s="258">
        <v>19.87</v>
      </c>
      <c r="E7" s="264">
        <f>C7*D7</f>
        <v>8941.5</v>
      </c>
      <c r="F7" s="316">
        <f>E7/C12</f>
        <v>0.89014435042309603</v>
      </c>
      <c r="G7" s="316">
        <f t="shared" si="0"/>
        <v>0.89014435042309603</v>
      </c>
      <c r="H7" s="316">
        <f t="shared" si="1"/>
        <v>0.90794723743155792</v>
      </c>
      <c r="I7" s="316">
        <f t="shared" si="1"/>
        <v>0.92610618218018914</v>
      </c>
    </row>
    <row r="8" spans="1:9" ht="16.5" customHeight="1" x14ac:dyDescent="0.3">
      <c r="B8" s="253" t="s">
        <v>28</v>
      </c>
      <c r="C8" s="249"/>
      <c r="D8" s="259"/>
      <c r="E8" s="265">
        <f>SUM(E4:E7)</f>
        <v>154558.20000000001</v>
      </c>
      <c r="F8" s="316">
        <f>E8/C12</f>
        <v>15.386580388252863</v>
      </c>
      <c r="G8" s="316">
        <f t="shared" si="0"/>
        <v>15.386580388252863</v>
      </c>
      <c r="H8" s="316">
        <f t="shared" si="1"/>
        <v>15.694311996017921</v>
      </c>
      <c r="I8" s="316">
        <f t="shared" si="1"/>
        <v>16.008198235938281</v>
      </c>
    </row>
    <row r="9" spans="1:9" ht="16.5" customHeight="1" x14ac:dyDescent="0.3">
      <c r="B9" s="253" t="s">
        <v>29</v>
      </c>
      <c r="C9" s="249"/>
      <c r="D9" s="259"/>
      <c r="E9" s="294">
        <v>2000</v>
      </c>
      <c r="F9" s="316">
        <f>E9/C12</f>
        <v>0.1991040318566451</v>
      </c>
      <c r="G9" s="316">
        <f t="shared" si="0"/>
        <v>0.1991040318566451</v>
      </c>
      <c r="H9" s="316">
        <f t="shared" si="1"/>
        <v>0.203086112493778</v>
      </c>
      <c r="I9" s="316">
        <f t="shared" si="1"/>
        <v>0.20714783474365356</v>
      </c>
    </row>
    <row r="10" spans="1:9" x14ac:dyDescent="0.3">
      <c r="B10" s="253" t="s">
        <v>30</v>
      </c>
      <c r="C10" s="249"/>
      <c r="D10" s="259"/>
      <c r="E10" s="294">
        <v>6050</v>
      </c>
      <c r="F10" s="316">
        <f>E10/C12</f>
        <v>0.60228969636635143</v>
      </c>
      <c r="G10" s="316">
        <f t="shared" si="0"/>
        <v>0.60228969636635143</v>
      </c>
      <c r="H10" s="316">
        <f t="shared" si="1"/>
        <v>0.61433549029367851</v>
      </c>
      <c r="I10" s="316">
        <f t="shared" si="1"/>
        <v>0.62662220009955205</v>
      </c>
    </row>
    <row r="11" spans="1:9" ht="15" thickBot="1" x14ac:dyDescent="0.35">
      <c r="B11" s="253" t="s">
        <v>31</v>
      </c>
      <c r="C11" s="251"/>
      <c r="D11" s="261"/>
      <c r="E11" s="294">
        <v>2000</v>
      </c>
      <c r="F11" s="316">
        <f>E11/C12</f>
        <v>0.1991040318566451</v>
      </c>
      <c r="G11" s="316">
        <f t="shared" si="0"/>
        <v>0.1991040318566451</v>
      </c>
      <c r="H11" s="316">
        <f t="shared" si="1"/>
        <v>0.203086112493778</v>
      </c>
      <c r="I11" s="316">
        <f t="shared" si="1"/>
        <v>0.20714783474365356</v>
      </c>
    </row>
    <row r="12" spans="1:9" ht="15" thickBot="1" x14ac:dyDescent="0.35">
      <c r="B12" s="287" t="s">
        <v>20</v>
      </c>
      <c r="C12" s="288">
        <f>SUM(C4:C10)</f>
        <v>10045</v>
      </c>
      <c r="D12" s="290"/>
      <c r="E12" s="291">
        <f>+E8+E9+E10+E11</f>
        <v>164608.20000000001</v>
      </c>
      <c r="F12" s="318">
        <f>E12/C12</f>
        <v>16.387078148332506</v>
      </c>
      <c r="G12" s="318">
        <f t="shared" si="0"/>
        <v>16.387078148332506</v>
      </c>
      <c r="H12" s="318">
        <f t="shared" si="1"/>
        <v>16.714819711299157</v>
      </c>
      <c r="I12" s="318">
        <f t="shared" si="1"/>
        <v>17.04911610552514</v>
      </c>
    </row>
    <row r="13" spans="1:9" x14ac:dyDescent="0.3">
      <c r="B13" s="256" t="s">
        <v>311</v>
      </c>
      <c r="C13" s="248"/>
      <c r="D13" s="262"/>
      <c r="E13" s="263">
        <f>E12*10%</f>
        <v>16460.820000000003</v>
      </c>
      <c r="F13" s="316">
        <f>E13/C12</f>
        <v>1.6387078148332508</v>
      </c>
      <c r="G13" s="316">
        <f t="shared" si="0"/>
        <v>1.6387078148332508</v>
      </c>
      <c r="H13" s="316">
        <f t="shared" si="1"/>
        <v>1.6714819711299158</v>
      </c>
      <c r="I13" s="316">
        <f t="shared" si="1"/>
        <v>1.7049116105525142</v>
      </c>
    </row>
    <row r="14" spans="1:9" ht="15" thickBot="1" x14ac:dyDescent="0.35">
      <c r="B14" s="254" t="s">
        <v>24</v>
      </c>
      <c r="C14" s="250"/>
      <c r="D14" s="260"/>
      <c r="E14" s="266">
        <f>E12*6%</f>
        <v>9876.4920000000002</v>
      </c>
      <c r="F14" s="316">
        <f>E14/C12</f>
        <v>0.98322468889995029</v>
      </c>
      <c r="G14" s="316">
        <f t="shared" si="0"/>
        <v>0.98322468889995029</v>
      </c>
      <c r="H14" s="316">
        <f t="shared" si="1"/>
        <v>1.0028891826779494</v>
      </c>
      <c r="I14" s="316">
        <f t="shared" si="1"/>
        <v>1.0229469663315083</v>
      </c>
    </row>
    <row r="15" spans="1:9" ht="15" thickBot="1" x14ac:dyDescent="0.35">
      <c r="B15" s="287" t="s">
        <v>22</v>
      </c>
      <c r="C15" s="288"/>
      <c r="D15" s="290"/>
      <c r="E15" s="291">
        <f>SUM(E13:E14)</f>
        <v>26337.312000000005</v>
      </c>
      <c r="F15" s="318">
        <f>E15/C12</f>
        <v>2.6219325037332011</v>
      </c>
      <c r="G15" s="318">
        <f t="shared" si="0"/>
        <v>2.6219325037332011</v>
      </c>
      <c r="H15" s="318">
        <f t="shared" si="1"/>
        <v>2.6743711538078649</v>
      </c>
      <c r="I15" s="318">
        <f t="shared" si="1"/>
        <v>2.7278585768840222</v>
      </c>
    </row>
    <row r="16" spans="1:9" x14ac:dyDescent="0.3">
      <c r="B16" s="268" t="s">
        <v>25</v>
      </c>
      <c r="C16" s="269"/>
      <c r="D16" s="271"/>
      <c r="E16" s="272">
        <f>+E12+E15</f>
        <v>190945.51200000002</v>
      </c>
      <c r="F16" s="295">
        <f>E16/C12</f>
        <v>19.009010652065705</v>
      </c>
      <c r="G16" s="295">
        <f>+G12+G15</f>
        <v>19.009010652065708</v>
      </c>
      <c r="H16" s="295">
        <f>+H12+H15</f>
        <v>19.389190865107022</v>
      </c>
      <c r="I16" s="295">
        <f>+I12+I15</f>
        <v>19.776974682409161</v>
      </c>
    </row>
    <row r="17" spans="2:9" x14ac:dyDescent="0.3">
      <c r="B17" s="273" t="s">
        <v>26</v>
      </c>
      <c r="C17" s="274"/>
      <c r="D17" s="276"/>
      <c r="E17" s="277">
        <f>E16*21%</f>
        <v>40098.557520000002</v>
      </c>
      <c r="F17" s="296">
        <f>F16*21%</f>
        <v>3.9918922369337979</v>
      </c>
      <c r="G17" s="296">
        <f>G16*21%</f>
        <v>3.9918922369337984</v>
      </c>
      <c r="H17" s="296">
        <f t="shared" ref="H17:I17" si="2">H16*21%</f>
        <v>4.0717300816724746</v>
      </c>
      <c r="I17" s="296">
        <f t="shared" si="2"/>
        <v>4.1531646833059241</v>
      </c>
    </row>
    <row r="18" spans="2:9" ht="15" thickBot="1" x14ac:dyDescent="0.35">
      <c r="B18" s="278" t="s">
        <v>27</v>
      </c>
      <c r="C18" s="279"/>
      <c r="D18" s="281"/>
      <c r="E18" s="282">
        <f>SUM(E16:E17)</f>
        <v>231044.06952000002</v>
      </c>
      <c r="F18" s="297">
        <f>F16*1.21</f>
        <v>23.000902888999502</v>
      </c>
      <c r="G18" s="297">
        <f>G16*1.21</f>
        <v>23.000902888999505</v>
      </c>
      <c r="H18" s="297">
        <f t="shared" ref="H18:I18" si="3">H16*1.21</f>
        <v>23.460920946779495</v>
      </c>
      <c r="I18" s="297">
        <f t="shared" si="3"/>
        <v>23.930139365715085</v>
      </c>
    </row>
    <row r="19" spans="2:9" ht="15" thickBot="1" x14ac:dyDescent="0.35"/>
    <row r="20" spans="2:9" x14ac:dyDescent="0.3">
      <c r="B20" s="244" t="s">
        <v>0</v>
      </c>
      <c r="C20">
        <v>10045</v>
      </c>
      <c r="E20" t="s">
        <v>254</v>
      </c>
      <c r="F20" s="295">
        <f>C20*F16</f>
        <v>190945.51199999999</v>
      </c>
      <c r="G20" s="295">
        <f>C20*G16</f>
        <v>190945.51200000005</v>
      </c>
      <c r="H20" s="295">
        <f>C20*H16</f>
        <v>194764.42224000004</v>
      </c>
      <c r="I20" s="295">
        <f>C20*I16</f>
        <v>198659.71068480003</v>
      </c>
    </row>
    <row r="21" spans="2:9" x14ac:dyDescent="0.3">
      <c r="E21" t="s">
        <v>26</v>
      </c>
      <c r="F21" s="296">
        <f>C20*F17</f>
        <v>40098.557520000002</v>
      </c>
      <c r="G21" s="296">
        <f>C20*G17</f>
        <v>40098.557520000002</v>
      </c>
      <c r="H21" s="296">
        <f>C20*H17</f>
        <v>40900.52867040001</v>
      </c>
      <c r="I21" s="296">
        <f>C20*I17</f>
        <v>41718.539243808009</v>
      </c>
    </row>
    <row r="22" spans="2:9" ht="15" thickBot="1" x14ac:dyDescent="0.35">
      <c r="E22" t="s">
        <v>255</v>
      </c>
      <c r="F22" s="297">
        <f>C20*F18</f>
        <v>231044.06951999999</v>
      </c>
      <c r="G22" s="297">
        <f>C20*G18</f>
        <v>231044.06952000002</v>
      </c>
      <c r="H22" s="297">
        <f>C20*H18</f>
        <v>235664.95091040005</v>
      </c>
      <c r="I22" s="297">
        <f>C20*I18</f>
        <v>240378.24992860804</v>
      </c>
    </row>
    <row r="24" spans="2:9" ht="28.8" x14ac:dyDescent="0.3">
      <c r="B24" s="398" t="s">
        <v>34</v>
      </c>
      <c r="C24" s="400" t="s">
        <v>254</v>
      </c>
      <c r="F24" s="413" t="s">
        <v>316</v>
      </c>
      <c r="G24" s="414"/>
    </row>
    <row r="25" spans="2:9" x14ac:dyDescent="0.3">
      <c r="B25" s="399" t="s">
        <v>256</v>
      </c>
      <c r="C25" s="399">
        <f>F20+G20</f>
        <v>381891.02400000003</v>
      </c>
      <c r="F25" s="399" t="s">
        <v>317</v>
      </c>
      <c r="G25" s="457">
        <f>F20+G20</f>
        <v>381891.02400000003</v>
      </c>
    </row>
    <row r="26" spans="2:9" x14ac:dyDescent="0.3">
      <c r="B26" s="399" t="s">
        <v>257</v>
      </c>
      <c r="C26" s="399">
        <f>H20+I20</f>
        <v>393424.13292480004</v>
      </c>
      <c r="F26" s="399" t="s">
        <v>26</v>
      </c>
      <c r="G26" s="457">
        <f>F21+G21</f>
        <v>80197.115040000004</v>
      </c>
    </row>
    <row r="27" spans="2:9" x14ac:dyDescent="0.3">
      <c r="B27" s="399" t="s">
        <v>258</v>
      </c>
      <c r="C27" s="399">
        <f>(C25+C26)*20%</f>
        <v>155063.03138496002</v>
      </c>
      <c r="F27" s="399" t="s">
        <v>318</v>
      </c>
      <c r="G27" s="457">
        <f>F22+G22</f>
        <v>462088.13904000004</v>
      </c>
    </row>
    <row r="28" spans="2:9" x14ac:dyDescent="0.3">
      <c r="B28" s="403" t="s">
        <v>259</v>
      </c>
      <c r="C28" s="399">
        <f>SUM(C25:C27)</f>
        <v>930378.18830976007</v>
      </c>
    </row>
    <row r="29" spans="2:9" x14ac:dyDescent="0.3">
      <c r="C29" s="232"/>
      <c r="D29" s="232"/>
    </row>
    <row r="30" spans="2:9" x14ac:dyDescent="0.3">
      <c r="B30" s="398" t="s">
        <v>37</v>
      </c>
      <c r="C30" s="401">
        <v>2026</v>
      </c>
      <c r="D30" s="401">
        <v>2027</v>
      </c>
    </row>
    <row r="31" spans="2:9" ht="45" customHeight="1" x14ac:dyDescent="0.3">
      <c r="B31" s="398"/>
      <c r="C31" s="402">
        <f>F22</f>
        <v>231044.06951999999</v>
      </c>
      <c r="D31" s="402">
        <f>G22</f>
        <v>231044.06952000002</v>
      </c>
      <c r="F31" s="243"/>
    </row>
    <row r="33" spans="3:3" x14ac:dyDescent="0.3">
      <c r="C33" s="458">
        <f>C28/4</f>
        <v>232594.54707744002</v>
      </c>
    </row>
    <row r="34" spans="3:3" x14ac:dyDescent="0.3">
      <c r="C34" s="458">
        <f>C33*0.4</f>
        <v>93037.818830976015</v>
      </c>
    </row>
  </sheetData>
  <mergeCells count="1">
    <mergeCell ref="F24:G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85"/>
  <sheetViews>
    <sheetView zoomScale="145" zoomScaleNormal="145" workbookViewId="0">
      <selection activeCell="H73" sqref="H73"/>
    </sheetView>
  </sheetViews>
  <sheetFormatPr baseColWidth="10" defaultColWidth="9.109375" defaultRowHeight="9.6" x14ac:dyDescent="0.2"/>
  <cols>
    <col min="1" max="1" width="3" style="133" bestFit="1" customWidth="1"/>
    <col min="2" max="2" width="30.44140625" style="133" customWidth="1"/>
    <col min="3" max="3" width="9.33203125" style="134" bestFit="1" customWidth="1"/>
    <col min="4" max="4" width="2.44140625" style="133" customWidth="1"/>
    <col min="5" max="5" width="8.5546875" style="133" bestFit="1" customWidth="1"/>
    <col min="6" max="6" width="13.33203125" style="134" customWidth="1"/>
    <col min="7" max="7" width="8.88671875" style="133" customWidth="1"/>
    <col min="8" max="8" width="9.88671875" style="133" customWidth="1"/>
    <col min="9" max="9" width="12.44140625" style="133" bestFit="1" customWidth="1"/>
    <col min="10" max="10" width="2.6640625" style="133" customWidth="1"/>
    <col min="11" max="16384" width="9.109375" style="133"/>
  </cols>
  <sheetData>
    <row r="2" spans="1:10" ht="15.75" customHeight="1" x14ac:dyDescent="0.2">
      <c r="A2" s="315"/>
      <c r="B2" s="431" t="s">
        <v>155</v>
      </c>
      <c r="C2" s="431"/>
      <c r="D2" s="132"/>
      <c r="E2" s="315"/>
      <c r="F2" s="315"/>
      <c r="G2" s="315"/>
      <c r="H2" s="315"/>
      <c r="I2" s="315"/>
      <c r="J2" s="315"/>
    </row>
    <row r="3" spans="1:10" ht="19.2" x14ac:dyDescent="0.2">
      <c r="A3" s="315"/>
      <c r="B3" s="135" t="s">
        <v>61</v>
      </c>
      <c r="C3" s="315" t="s">
        <v>156</v>
      </c>
      <c r="D3" s="132"/>
      <c r="E3" s="315" t="s">
        <v>157</v>
      </c>
      <c r="F3" s="132" t="s">
        <v>158</v>
      </c>
      <c r="G3" s="435" t="s">
        <v>159</v>
      </c>
      <c r="H3" s="435"/>
      <c r="I3" s="435"/>
      <c r="J3" s="315"/>
    </row>
    <row r="4" spans="1:10" x14ac:dyDescent="0.2">
      <c r="A4" s="315"/>
      <c r="B4" s="136" t="s">
        <v>71</v>
      </c>
      <c r="C4" s="137">
        <v>7</v>
      </c>
      <c r="D4" s="132"/>
      <c r="E4" s="137" t="s">
        <v>160</v>
      </c>
      <c r="F4" s="137">
        <f>4.5*5</f>
        <v>22.5</v>
      </c>
      <c r="G4" s="137">
        <v>7</v>
      </c>
      <c r="H4" s="137" t="s">
        <v>161</v>
      </c>
      <c r="I4" s="137" t="s">
        <v>162</v>
      </c>
      <c r="J4" s="315"/>
    </row>
    <row r="5" spans="1:10" x14ac:dyDescent="0.2">
      <c r="A5" s="315"/>
      <c r="B5" s="136" t="s">
        <v>163</v>
      </c>
      <c r="C5" s="137">
        <v>1</v>
      </c>
      <c r="D5" s="132"/>
      <c r="E5" s="137" t="s">
        <v>160</v>
      </c>
      <c r="F5" s="137">
        <f>3*5</f>
        <v>15</v>
      </c>
      <c r="G5" s="137">
        <v>1</v>
      </c>
      <c r="H5" s="137" t="s">
        <v>164</v>
      </c>
      <c r="I5" s="137" t="s">
        <v>165</v>
      </c>
      <c r="J5" s="315"/>
    </row>
    <row r="6" spans="1:10" x14ac:dyDescent="0.2">
      <c r="A6" s="315"/>
      <c r="B6" s="136" t="s">
        <v>166</v>
      </c>
      <c r="C6" s="137">
        <v>1</v>
      </c>
      <c r="D6" s="132"/>
      <c r="E6" s="137" t="s">
        <v>160</v>
      </c>
      <c r="F6" s="137">
        <v>40</v>
      </c>
      <c r="G6" s="137">
        <v>1</v>
      </c>
      <c r="H6" s="137" t="s">
        <v>167</v>
      </c>
      <c r="I6" s="137" t="s">
        <v>165</v>
      </c>
      <c r="J6" s="315"/>
    </row>
    <row r="7" spans="1:10" x14ac:dyDescent="0.2">
      <c r="A7" s="315"/>
      <c r="B7" s="136" t="s">
        <v>168</v>
      </c>
      <c r="C7" s="137">
        <v>1</v>
      </c>
      <c r="D7" s="132"/>
      <c r="E7" s="137" t="s">
        <v>160</v>
      </c>
      <c r="F7" s="137">
        <v>27</v>
      </c>
      <c r="G7" s="137">
        <v>1</v>
      </c>
      <c r="H7" s="137" t="s">
        <v>169</v>
      </c>
      <c r="I7" s="137" t="s">
        <v>165</v>
      </c>
      <c r="J7" s="315"/>
    </row>
    <row r="8" spans="1:10" x14ac:dyDescent="0.2">
      <c r="A8" s="315"/>
      <c r="B8" s="136" t="s">
        <v>170</v>
      </c>
      <c r="C8" s="137">
        <v>2</v>
      </c>
      <c r="D8" s="132"/>
      <c r="E8" s="137" t="s">
        <v>160</v>
      </c>
      <c r="F8" s="137">
        <f>4*5</f>
        <v>20</v>
      </c>
      <c r="G8" s="137">
        <v>2</v>
      </c>
      <c r="H8" s="137" t="s">
        <v>161</v>
      </c>
      <c r="I8" s="137" t="s">
        <v>171</v>
      </c>
      <c r="J8" s="315"/>
    </row>
    <row r="9" spans="1:10" x14ac:dyDescent="0.2">
      <c r="A9" s="315"/>
      <c r="B9" s="136" t="s">
        <v>172</v>
      </c>
      <c r="C9" s="137">
        <v>0</v>
      </c>
      <c r="D9" s="132"/>
      <c r="E9" s="432" t="s">
        <v>173</v>
      </c>
      <c r="F9" s="433"/>
      <c r="G9" s="433"/>
      <c r="H9" s="433"/>
      <c r="I9" s="434"/>
      <c r="J9" s="315"/>
    </row>
    <row r="10" spans="1:10" x14ac:dyDescent="0.2">
      <c r="A10" s="315"/>
      <c r="B10" s="136" t="s">
        <v>174</v>
      </c>
      <c r="C10" s="137">
        <v>1</v>
      </c>
      <c r="D10" s="132"/>
      <c r="E10" s="137" t="s">
        <v>160</v>
      </c>
      <c r="F10" s="137">
        <f>10+6+1+1</f>
        <v>18</v>
      </c>
      <c r="G10" s="137">
        <v>1</v>
      </c>
      <c r="H10" s="137" t="s">
        <v>161</v>
      </c>
      <c r="I10" s="137" t="s">
        <v>175</v>
      </c>
      <c r="J10" s="315"/>
    </row>
    <row r="11" spans="1:10" x14ac:dyDescent="0.2">
      <c r="A11" s="315"/>
      <c r="B11" s="136" t="s">
        <v>176</v>
      </c>
      <c r="C11" s="137">
        <v>1</v>
      </c>
      <c r="D11" s="132"/>
      <c r="E11" s="137" t="s">
        <v>160</v>
      </c>
      <c r="F11" s="137">
        <v>40</v>
      </c>
      <c r="G11" s="137">
        <v>1</v>
      </c>
      <c r="H11" s="137" t="s">
        <v>167</v>
      </c>
      <c r="I11" s="137" t="s">
        <v>165</v>
      </c>
      <c r="J11" s="315"/>
    </row>
    <row r="12" spans="1:10" x14ac:dyDescent="0.2">
      <c r="A12" s="315"/>
      <c r="B12" s="135" t="s">
        <v>177</v>
      </c>
      <c r="C12" s="315">
        <f>+SUM(C4:C11)</f>
        <v>14</v>
      </c>
      <c r="D12" s="132"/>
      <c r="E12" s="315"/>
      <c r="F12" s="315"/>
      <c r="G12" s="315"/>
      <c r="H12" s="315"/>
      <c r="I12" s="315"/>
      <c r="J12" s="315"/>
    </row>
    <row r="13" spans="1:10" ht="3" customHeight="1" x14ac:dyDescent="0.2"/>
    <row r="15" spans="1:10" x14ac:dyDescent="0.2">
      <c r="B15" s="138"/>
    </row>
    <row r="16" spans="1:10" ht="1.5" customHeight="1" x14ac:dyDescent="0.2">
      <c r="B16" s="138"/>
    </row>
    <row r="17" spans="1:12" x14ac:dyDescent="0.2">
      <c r="B17" s="138"/>
    </row>
    <row r="18" spans="1:12" ht="10.199999999999999" x14ac:dyDescent="0.2">
      <c r="A18" s="315"/>
      <c r="B18" s="431" t="s">
        <v>178</v>
      </c>
      <c r="C18" s="431"/>
      <c r="D18" s="315"/>
      <c r="E18" s="315"/>
      <c r="F18" s="315"/>
      <c r="G18" s="315"/>
    </row>
    <row r="19" spans="1:12" x14ac:dyDescent="0.2">
      <c r="A19" s="315"/>
      <c r="B19" s="315" t="s">
        <v>179</v>
      </c>
      <c r="C19" s="315" t="s">
        <v>180</v>
      </c>
      <c r="D19" s="315" t="s">
        <v>181</v>
      </c>
      <c r="E19" s="315" t="s">
        <v>182</v>
      </c>
      <c r="F19" s="315" t="s">
        <v>183</v>
      </c>
      <c r="G19" s="135" t="s">
        <v>184</v>
      </c>
    </row>
    <row r="20" spans="1:12" ht="10.5" customHeight="1" x14ac:dyDescent="0.2">
      <c r="A20" s="139"/>
      <c r="B20" s="140" t="s">
        <v>185</v>
      </c>
      <c r="C20" s="139">
        <v>1446.99</v>
      </c>
      <c r="D20" s="134">
        <v>14</v>
      </c>
      <c r="E20" s="139">
        <f>+D20*C20</f>
        <v>20257.86</v>
      </c>
      <c r="F20" s="202">
        <f>+E20*G20</f>
        <v>26740.375200000002</v>
      </c>
      <c r="G20" s="134">
        <v>1.32</v>
      </c>
    </row>
    <row r="21" spans="1:12" ht="10.5" customHeight="1" x14ac:dyDescent="0.2">
      <c r="A21" s="139"/>
      <c r="B21" s="140" t="s">
        <v>186</v>
      </c>
      <c r="C21" s="139">
        <v>1226.04</v>
      </c>
      <c r="D21" s="134">
        <v>14</v>
      </c>
      <c r="E21" s="139">
        <f>+D21*C21</f>
        <v>17164.559999999998</v>
      </c>
      <c r="F21" s="202">
        <f>+E21*G21</f>
        <v>22657.2192</v>
      </c>
      <c r="G21" s="134">
        <v>1.32</v>
      </c>
      <c r="L21" s="152"/>
    </row>
    <row r="22" spans="1:12" ht="10.5" customHeight="1" x14ac:dyDescent="0.2">
      <c r="A22" s="139"/>
      <c r="B22" s="140" t="s">
        <v>187</v>
      </c>
      <c r="C22" s="139">
        <v>1178.56</v>
      </c>
      <c r="D22" s="134">
        <v>14</v>
      </c>
      <c r="E22" s="139">
        <f>+D22*C22</f>
        <v>16499.84</v>
      </c>
      <c r="F22" s="202">
        <f>+E22*G22</f>
        <v>21779.788800000002</v>
      </c>
      <c r="G22" s="134">
        <v>1.32</v>
      </c>
    </row>
    <row r="23" spans="1:12" x14ac:dyDescent="0.2">
      <c r="A23" s="315"/>
      <c r="B23" s="430" t="s">
        <v>188</v>
      </c>
      <c r="C23" s="430"/>
      <c r="D23" s="430"/>
      <c r="E23" s="430"/>
      <c r="F23" s="430"/>
      <c r="G23" s="430"/>
    </row>
    <row r="24" spans="1:12" ht="33" customHeight="1" x14ac:dyDescent="0.2">
      <c r="C24" s="133"/>
      <c r="F24" s="133"/>
    </row>
    <row r="25" spans="1:12" ht="10.199999999999999" x14ac:dyDescent="0.2">
      <c r="A25" s="315"/>
      <c r="B25" s="144" t="s">
        <v>189</v>
      </c>
      <c r="C25" s="315"/>
      <c r="D25" s="315"/>
      <c r="E25" s="315"/>
      <c r="F25" s="315"/>
      <c r="G25" s="315"/>
      <c r="H25" s="315"/>
      <c r="I25" s="315"/>
    </row>
    <row r="26" spans="1:12" ht="20.399999999999999" customHeight="1" x14ac:dyDescent="0.2">
      <c r="A26" s="315" t="s">
        <v>190</v>
      </c>
      <c r="B26" s="314" t="s">
        <v>191</v>
      </c>
      <c r="C26" s="315" t="s">
        <v>192</v>
      </c>
      <c r="D26" s="315"/>
      <c r="E26" s="315" t="s">
        <v>193</v>
      </c>
      <c r="F26" s="315" t="s">
        <v>194</v>
      </c>
      <c r="G26" s="132" t="s">
        <v>195</v>
      </c>
      <c r="H26" s="315" t="s">
        <v>196</v>
      </c>
      <c r="I26" s="315" t="s">
        <v>197</v>
      </c>
    </row>
    <row r="27" spans="1:12" x14ac:dyDescent="0.2">
      <c r="A27" s="133">
        <v>2</v>
      </c>
      <c r="B27" s="133" t="s">
        <v>198</v>
      </c>
      <c r="C27" s="139">
        <f>+F21</f>
        <v>22657.2192</v>
      </c>
      <c r="E27" s="141">
        <v>1</v>
      </c>
      <c r="F27" s="139">
        <f t="shared" ref="F27:F32" si="0">+E27*C27*A27</f>
        <v>45314.438399999999</v>
      </c>
      <c r="G27" s="139">
        <f>+F27*0.4</f>
        <v>18125.77536</v>
      </c>
      <c r="H27" s="139">
        <f t="shared" ref="H27:H32" si="1">+F27+G27</f>
        <v>63440.213759999999</v>
      </c>
      <c r="I27" s="139" t="s">
        <v>199</v>
      </c>
    </row>
    <row r="28" spans="1:12" x14ac:dyDescent="0.2">
      <c r="A28" s="133">
        <v>0</v>
      </c>
      <c r="B28" s="133" t="s">
        <v>200</v>
      </c>
      <c r="C28" s="139">
        <f>+F22</f>
        <v>21779.788800000002</v>
      </c>
      <c r="E28" s="141">
        <v>1</v>
      </c>
      <c r="F28" s="139">
        <f t="shared" si="0"/>
        <v>0</v>
      </c>
      <c r="G28" s="139">
        <f t="shared" ref="G28:G34" si="2">+F28*0.4</f>
        <v>0</v>
      </c>
      <c r="H28" s="139">
        <f t="shared" si="1"/>
        <v>0</v>
      </c>
      <c r="I28" s="139" t="s">
        <v>199</v>
      </c>
    </row>
    <row r="29" spans="1:12" x14ac:dyDescent="0.2">
      <c r="A29" s="133">
        <v>1</v>
      </c>
      <c r="B29" s="133" t="s">
        <v>201</v>
      </c>
      <c r="C29" s="139">
        <f>+C27</f>
        <v>22657.2192</v>
      </c>
      <c r="E29" s="141">
        <v>0.7</v>
      </c>
      <c r="F29" s="139">
        <f t="shared" si="0"/>
        <v>15860.053439999998</v>
      </c>
      <c r="G29" s="139">
        <f t="shared" si="2"/>
        <v>6344.0213759999997</v>
      </c>
      <c r="H29" s="139">
        <f t="shared" si="1"/>
        <v>22204.074815999997</v>
      </c>
      <c r="I29" s="139" t="s">
        <v>199</v>
      </c>
    </row>
    <row r="30" spans="1:12" x14ac:dyDescent="0.2">
      <c r="A30" s="133">
        <v>3</v>
      </c>
      <c r="B30" s="133" t="s">
        <v>202</v>
      </c>
      <c r="C30" s="139">
        <f>+C29</f>
        <v>22657.2192</v>
      </c>
      <c r="E30" s="141">
        <v>0.5</v>
      </c>
      <c r="F30" s="139">
        <f t="shared" si="0"/>
        <v>33985.828800000003</v>
      </c>
      <c r="G30" s="139">
        <f t="shared" si="2"/>
        <v>13594.331520000002</v>
      </c>
      <c r="H30" s="139">
        <f t="shared" si="1"/>
        <v>47580.160320000003</v>
      </c>
      <c r="I30" s="139" t="s">
        <v>199</v>
      </c>
    </row>
    <row r="31" spans="1:12" x14ac:dyDescent="0.2">
      <c r="A31" s="133">
        <v>7</v>
      </c>
      <c r="B31" s="133" t="s">
        <v>203</v>
      </c>
      <c r="C31" s="139">
        <f>+C28</f>
        <v>21779.788800000002</v>
      </c>
      <c r="E31" s="141">
        <v>0.5</v>
      </c>
      <c r="F31" s="139">
        <f t="shared" si="0"/>
        <v>76229.260800000004</v>
      </c>
      <c r="G31" s="139">
        <f t="shared" si="2"/>
        <v>30491.704320000004</v>
      </c>
      <c r="H31" s="139">
        <f t="shared" si="1"/>
        <v>106720.96512000001</v>
      </c>
      <c r="I31" s="139" t="s">
        <v>199</v>
      </c>
    </row>
    <row r="32" spans="1:12" x14ac:dyDescent="0.2">
      <c r="A32" s="133">
        <v>1</v>
      </c>
      <c r="B32" s="133" t="s">
        <v>204</v>
      </c>
      <c r="C32" s="139">
        <f>+C30</f>
        <v>22657.2192</v>
      </c>
      <c r="E32" s="141">
        <v>0.4</v>
      </c>
      <c r="F32" s="139">
        <f t="shared" si="0"/>
        <v>9062.8876799999998</v>
      </c>
      <c r="G32" s="139">
        <f t="shared" si="2"/>
        <v>3625.155072</v>
      </c>
      <c r="H32" s="139">
        <f t="shared" si="1"/>
        <v>12688.042751999999</v>
      </c>
      <c r="I32" s="139" t="s">
        <v>199</v>
      </c>
    </row>
    <row r="33" spans="1:9" x14ac:dyDescent="0.2">
      <c r="C33" s="139"/>
      <c r="E33" s="141"/>
      <c r="F33" s="139"/>
      <c r="G33" s="139"/>
      <c r="H33" s="139"/>
      <c r="I33" s="139"/>
    </row>
    <row r="34" spans="1:9" x14ac:dyDescent="0.2">
      <c r="A34" s="133">
        <v>1</v>
      </c>
      <c r="B34" s="133" t="s">
        <v>205</v>
      </c>
      <c r="C34" s="139">
        <f>+F20</f>
        <v>26740.375200000002</v>
      </c>
      <c r="E34" s="141">
        <v>1</v>
      </c>
      <c r="F34" s="139">
        <f>+E34*C34*A34</f>
        <v>26740.375200000002</v>
      </c>
      <c r="G34" s="139">
        <f t="shared" si="2"/>
        <v>10696.150080000001</v>
      </c>
      <c r="H34" s="139">
        <f>+F34+G34</f>
        <v>37436.525280000002</v>
      </c>
      <c r="I34" s="139" t="s">
        <v>206</v>
      </c>
    </row>
    <row r="35" spans="1:9" x14ac:dyDescent="0.2">
      <c r="A35" s="133">
        <v>2</v>
      </c>
      <c r="B35" s="133" t="s">
        <v>207</v>
      </c>
      <c r="C35" s="139">
        <v>25674.6</v>
      </c>
      <c r="E35" s="141">
        <v>1</v>
      </c>
      <c r="F35" s="139">
        <f t="shared" ref="F35" si="3">+E35*C35*A35</f>
        <v>51349.2</v>
      </c>
      <c r="G35" s="139">
        <f>+F35*0.4</f>
        <v>20539.68</v>
      </c>
      <c r="H35" s="139">
        <f>+F35</f>
        <v>51349.2</v>
      </c>
      <c r="I35" s="139" t="s">
        <v>206</v>
      </c>
    </row>
    <row r="36" spans="1:9" x14ac:dyDescent="0.2">
      <c r="A36" s="315">
        <f>+SUM(A27:A35)</f>
        <v>17</v>
      </c>
      <c r="B36" s="315"/>
      <c r="C36" s="315"/>
      <c r="D36" s="315"/>
      <c r="E36" s="315"/>
      <c r="F36" s="142">
        <f>+SUM(F27:F35)</f>
        <v>258542.04431999999</v>
      </c>
      <c r="G36" s="143">
        <f>+SUM(G27:G35)</f>
        <v>103416.81772800002</v>
      </c>
      <c r="H36" s="143">
        <f>+SUM(H27:H35)</f>
        <v>341419.18204799999</v>
      </c>
      <c r="I36" s="142"/>
    </row>
    <row r="37" spans="1:9" x14ac:dyDescent="0.2">
      <c r="A37" s="315"/>
      <c r="B37" s="430" t="s">
        <v>208</v>
      </c>
      <c r="C37" s="430"/>
      <c r="D37" s="430"/>
      <c r="E37" s="430"/>
      <c r="F37" s="430"/>
      <c r="G37" s="430"/>
      <c r="H37" s="430"/>
      <c r="I37" s="430"/>
    </row>
    <row r="38" spans="1:9" x14ac:dyDescent="0.2">
      <c r="A38" s="315"/>
      <c r="B38" s="430" t="s">
        <v>209</v>
      </c>
      <c r="C38" s="430"/>
      <c r="D38" s="430"/>
      <c r="E38" s="430"/>
      <c r="F38" s="430"/>
      <c r="G38" s="430"/>
      <c r="H38" s="430"/>
      <c r="I38" s="430"/>
    </row>
    <row r="39" spans="1:9" x14ac:dyDescent="0.2">
      <c r="A39" s="315"/>
      <c r="B39" s="430" t="s">
        <v>210</v>
      </c>
      <c r="C39" s="430"/>
      <c r="D39" s="430"/>
      <c r="E39" s="430"/>
      <c r="F39" s="430"/>
      <c r="G39" s="430"/>
      <c r="H39" s="430"/>
      <c r="I39" s="430"/>
    </row>
    <row r="40" spans="1:9" x14ac:dyDescent="0.2">
      <c r="C40" s="133"/>
      <c r="F40" s="133"/>
    </row>
    <row r="41" spans="1:9" x14ac:dyDescent="0.2">
      <c r="B41" s="204" t="s">
        <v>211</v>
      </c>
      <c r="C41" s="204" t="s">
        <v>212</v>
      </c>
      <c r="F41" s="133"/>
    </row>
    <row r="42" spans="1:9" x14ac:dyDescent="0.2">
      <c r="B42" s="203">
        <f>+F36</f>
        <v>258542.04431999999</v>
      </c>
      <c r="C42" s="203">
        <f>+B42*0.04</f>
        <v>10341.681772800001</v>
      </c>
      <c r="D42" s="133" t="s">
        <v>213</v>
      </c>
      <c r="F42" s="133"/>
    </row>
    <row r="43" spans="1:9" x14ac:dyDescent="0.2">
      <c r="C43" s="133"/>
      <c r="F43" s="133"/>
    </row>
    <row r="44" spans="1:9" x14ac:dyDescent="0.2">
      <c r="C44" s="133"/>
      <c r="F44" s="133"/>
    </row>
    <row r="45" spans="1:9" x14ac:dyDescent="0.2">
      <c r="C45" s="133"/>
      <c r="F45" s="133"/>
    </row>
    <row r="46" spans="1:9" ht="10.199999999999999" x14ac:dyDescent="0.2">
      <c r="A46" s="315"/>
      <c r="B46" s="144" t="s">
        <v>214</v>
      </c>
      <c r="C46" s="315"/>
      <c r="D46" s="315"/>
      <c r="E46" s="315"/>
      <c r="F46" s="315"/>
      <c r="G46" s="315"/>
      <c r="H46" s="315"/>
      <c r="I46" s="315"/>
    </row>
    <row r="47" spans="1:9" ht="18" customHeight="1" x14ac:dyDescent="0.2">
      <c r="A47" s="207" t="s">
        <v>190</v>
      </c>
      <c r="B47" s="208" t="s">
        <v>191</v>
      </c>
      <c r="C47" s="207" t="s">
        <v>192</v>
      </c>
      <c r="D47" s="207"/>
      <c r="E47" s="207" t="s">
        <v>193</v>
      </c>
      <c r="F47" s="207" t="s">
        <v>194</v>
      </c>
      <c r="G47" s="207" t="s">
        <v>195</v>
      </c>
      <c r="H47" s="207" t="s">
        <v>196</v>
      </c>
      <c r="I47" s="315"/>
    </row>
    <row r="48" spans="1:9" x14ac:dyDescent="0.2">
      <c r="A48" s="314"/>
      <c r="B48" s="314" t="s">
        <v>215</v>
      </c>
      <c r="C48" s="314"/>
      <c r="D48" s="314"/>
      <c r="E48" s="314"/>
      <c r="F48" s="314"/>
      <c r="G48" s="314"/>
      <c r="H48" s="145">
        <f>+SUM(H49:H50)</f>
        <v>88785.725279999999</v>
      </c>
    </row>
    <row r="49" spans="1:9" x14ac:dyDescent="0.2">
      <c r="A49" s="133">
        <f t="shared" ref="A49:C50" si="4">+A34</f>
        <v>1</v>
      </c>
      <c r="B49" s="133" t="str">
        <f t="shared" si="4"/>
        <v>Supervisor/encarregat general</v>
      </c>
      <c r="C49" s="139">
        <f t="shared" si="4"/>
        <v>26740.375200000002</v>
      </c>
      <c r="E49" s="141">
        <f t="shared" ref="E49:H50" si="5">+E34</f>
        <v>1</v>
      </c>
      <c r="F49" s="139">
        <f t="shared" si="5"/>
        <v>26740.375200000002</v>
      </c>
      <c r="G49" s="139">
        <f t="shared" si="5"/>
        <v>10696.150080000001</v>
      </c>
      <c r="H49" s="206">
        <f t="shared" si="5"/>
        <v>37436.525280000002</v>
      </c>
      <c r="I49" s="139"/>
    </row>
    <row r="50" spans="1:9" x14ac:dyDescent="0.2">
      <c r="A50" s="133">
        <f t="shared" si="4"/>
        <v>2</v>
      </c>
      <c r="B50" s="133" t="str">
        <f t="shared" si="4"/>
        <v>Administratiu / va</v>
      </c>
      <c r="C50" s="139">
        <f t="shared" si="4"/>
        <v>25674.6</v>
      </c>
      <c r="E50" s="141">
        <f t="shared" si="5"/>
        <v>1</v>
      </c>
      <c r="F50" s="139">
        <f t="shared" si="5"/>
        <v>51349.2</v>
      </c>
      <c r="G50" s="139">
        <f t="shared" si="5"/>
        <v>20539.68</v>
      </c>
      <c r="H50" s="206">
        <f t="shared" si="5"/>
        <v>51349.2</v>
      </c>
      <c r="I50" s="139"/>
    </row>
    <row r="51" spans="1:9" x14ac:dyDescent="0.2">
      <c r="C51" s="133"/>
      <c r="F51" s="133"/>
    </row>
    <row r="52" spans="1:9" x14ac:dyDescent="0.2">
      <c r="A52" s="314"/>
      <c r="B52" s="314" t="s">
        <v>216</v>
      </c>
      <c r="C52" s="314"/>
      <c r="D52" s="314"/>
      <c r="E52" s="314"/>
      <c r="F52" s="314"/>
      <c r="G52" s="314"/>
      <c r="H52" s="145">
        <f>+SUM(H53:H57)</f>
        <v>252633.456768</v>
      </c>
    </row>
    <row r="53" spans="1:9" x14ac:dyDescent="0.2">
      <c r="A53" s="133">
        <f>+A27</f>
        <v>2</v>
      </c>
      <c r="B53" s="133" t="str">
        <f>+B27</f>
        <v>Netejador - oficial 100%</v>
      </c>
      <c r="C53" s="139">
        <f>+C27</f>
        <v>22657.2192</v>
      </c>
      <c r="E53" s="141">
        <f>+E27</f>
        <v>1</v>
      </c>
      <c r="F53" s="139">
        <f>+F27</f>
        <v>45314.438399999999</v>
      </c>
      <c r="G53" s="139">
        <f>+G27</f>
        <v>18125.77536</v>
      </c>
      <c r="H53" s="206">
        <f>+H27</f>
        <v>63440.213759999999</v>
      </c>
      <c r="I53" s="139"/>
    </row>
    <row r="54" spans="1:9" x14ac:dyDescent="0.2">
      <c r="A54" s="133">
        <f>+A29</f>
        <v>1</v>
      </c>
      <c r="B54" s="133" t="str">
        <f>+B29</f>
        <v>Netejador - oficial 70 %</v>
      </c>
      <c r="C54" s="139">
        <f>+C29</f>
        <v>22657.2192</v>
      </c>
      <c r="E54" s="141">
        <f t="shared" ref="E54:H57" si="6">+E29</f>
        <v>0.7</v>
      </c>
      <c r="F54" s="139">
        <f t="shared" si="6"/>
        <v>15860.053439999998</v>
      </c>
      <c r="G54" s="139">
        <f t="shared" si="6"/>
        <v>6344.0213759999997</v>
      </c>
      <c r="H54" s="206">
        <f t="shared" si="6"/>
        <v>22204.074815999997</v>
      </c>
      <c r="I54" s="139"/>
    </row>
    <row r="55" spans="1:9" x14ac:dyDescent="0.2">
      <c r="A55" s="133">
        <f t="shared" ref="A55" si="7">+A30</f>
        <v>3</v>
      </c>
      <c r="B55" s="133" t="str">
        <f t="shared" ref="B55:C57" si="8">+B30</f>
        <v>Netejador - oficial 50 %</v>
      </c>
      <c r="C55" s="139">
        <f t="shared" si="8"/>
        <v>22657.2192</v>
      </c>
      <c r="E55" s="141">
        <f t="shared" si="6"/>
        <v>0.5</v>
      </c>
      <c r="F55" s="139">
        <f t="shared" si="6"/>
        <v>33985.828800000003</v>
      </c>
      <c r="G55" s="139">
        <f t="shared" si="6"/>
        <v>13594.331520000002</v>
      </c>
      <c r="H55" s="206">
        <f t="shared" si="6"/>
        <v>47580.160320000003</v>
      </c>
      <c r="I55" s="139"/>
    </row>
    <row r="56" spans="1:9" x14ac:dyDescent="0.2">
      <c r="A56" s="133">
        <f t="shared" ref="A56" si="9">+A31</f>
        <v>7</v>
      </c>
      <c r="B56" s="133" t="str">
        <f t="shared" si="8"/>
        <v>Netejador - peó especialista 50%</v>
      </c>
      <c r="C56" s="139">
        <f t="shared" si="8"/>
        <v>21779.788800000002</v>
      </c>
      <c r="E56" s="141">
        <f t="shared" si="6"/>
        <v>0.5</v>
      </c>
      <c r="F56" s="139">
        <f t="shared" si="6"/>
        <v>76229.260800000004</v>
      </c>
      <c r="G56" s="139">
        <f t="shared" si="6"/>
        <v>30491.704320000004</v>
      </c>
      <c r="H56" s="206">
        <f t="shared" si="6"/>
        <v>106720.96512000001</v>
      </c>
      <c r="I56" s="139"/>
    </row>
    <row r="57" spans="1:9" x14ac:dyDescent="0.2">
      <c r="A57" s="133">
        <f t="shared" ref="A57" si="10">+A32</f>
        <v>1</v>
      </c>
      <c r="B57" s="133" t="str">
        <f t="shared" si="8"/>
        <v>Netejador - oficial 40 %</v>
      </c>
      <c r="C57" s="139">
        <f t="shared" si="8"/>
        <v>22657.2192</v>
      </c>
      <c r="E57" s="141">
        <f t="shared" si="6"/>
        <v>0.4</v>
      </c>
      <c r="F57" s="139">
        <f t="shared" si="6"/>
        <v>9062.8876799999998</v>
      </c>
      <c r="G57" s="139">
        <f t="shared" si="6"/>
        <v>3625.155072</v>
      </c>
      <c r="H57" s="206">
        <f t="shared" si="6"/>
        <v>12688.042751999999</v>
      </c>
      <c r="I57" s="139"/>
    </row>
    <row r="58" spans="1:9" x14ac:dyDescent="0.2">
      <c r="C58" s="133"/>
      <c r="F58" s="133"/>
    </row>
    <row r="59" spans="1:9" x14ac:dyDescent="0.2">
      <c r="C59" s="133"/>
      <c r="F59" s="133"/>
    </row>
    <row r="60" spans="1:9" x14ac:dyDescent="0.2">
      <c r="C60" s="133"/>
      <c r="F60" s="133"/>
    </row>
    <row r="61" spans="1:9" ht="10.199999999999999" x14ac:dyDescent="0.2">
      <c r="A61" s="315"/>
      <c r="B61" s="144" t="s">
        <v>217</v>
      </c>
      <c r="C61" s="315" t="s">
        <v>218</v>
      </c>
      <c r="D61" s="315" t="s">
        <v>219</v>
      </c>
      <c r="E61" s="315" t="s">
        <v>220</v>
      </c>
      <c r="F61" s="133"/>
    </row>
    <row r="62" spans="1:9" x14ac:dyDescent="0.2">
      <c r="B62" s="133" t="s">
        <v>221</v>
      </c>
      <c r="C62" s="139">
        <v>3000</v>
      </c>
      <c r="D62" s="134">
        <v>1</v>
      </c>
      <c r="E62" s="205">
        <f t="shared" ref="E62" si="11">+C62*D62</f>
        <v>3000</v>
      </c>
      <c r="F62" s="133"/>
    </row>
    <row r="63" spans="1:9" x14ac:dyDescent="0.2">
      <c r="A63" s="315"/>
      <c r="B63" s="315"/>
      <c r="C63" s="315"/>
      <c r="D63" s="315"/>
      <c r="E63" s="142">
        <f>+SUM(E61:E62)</f>
        <v>3000</v>
      </c>
      <c r="F63" s="133"/>
    </row>
    <row r="64" spans="1:9" x14ac:dyDescent="0.2">
      <c r="F64" s="133"/>
    </row>
    <row r="65" spans="1:6" x14ac:dyDescent="0.2">
      <c r="F65" s="133"/>
    </row>
    <row r="66" spans="1:6" x14ac:dyDescent="0.2">
      <c r="F66" s="133"/>
    </row>
    <row r="67" spans="1:6" x14ac:dyDescent="0.2">
      <c r="F67" s="133"/>
    </row>
    <row r="68" spans="1:6" ht="10.199999999999999" x14ac:dyDescent="0.2">
      <c r="A68" s="315"/>
      <c r="B68" s="144" t="s">
        <v>222</v>
      </c>
      <c r="C68" s="315" t="s">
        <v>218</v>
      </c>
      <c r="D68" s="315" t="s">
        <v>219</v>
      </c>
      <c r="E68" s="151" t="s">
        <v>220</v>
      </c>
      <c r="F68" s="133"/>
    </row>
    <row r="69" spans="1:6" x14ac:dyDescent="0.2">
      <c r="B69" s="133" t="s">
        <v>223</v>
      </c>
      <c r="C69" s="139">
        <v>6000</v>
      </c>
      <c r="D69" s="134">
        <v>1</v>
      </c>
      <c r="E69" s="205">
        <f>+C69*D69</f>
        <v>6000</v>
      </c>
      <c r="F69" s="133"/>
    </row>
    <row r="70" spans="1:6" x14ac:dyDescent="0.2">
      <c r="B70" s="133" t="s">
        <v>224</v>
      </c>
      <c r="C70" s="139">
        <v>53</v>
      </c>
      <c r="D70" s="134">
        <v>17</v>
      </c>
      <c r="E70" s="205">
        <f t="shared" ref="E70:E76" si="12">+C70*D70</f>
        <v>901</v>
      </c>
      <c r="F70" s="133"/>
    </row>
    <row r="71" spans="1:6" x14ac:dyDescent="0.2">
      <c r="B71" s="133" t="s">
        <v>225</v>
      </c>
      <c r="C71" s="139">
        <v>23</v>
      </c>
      <c r="D71" s="134">
        <v>17</v>
      </c>
      <c r="E71" s="205">
        <f t="shared" si="12"/>
        <v>391</v>
      </c>
      <c r="F71" s="133"/>
    </row>
    <row r="72" spans="1:6" x14ac:dyDescent="0.2">
      <c r="B72" s="133" t="s">
        <v>226</v>
      </c>
      <c r="C72" s="139">
        <v>650</v>
      </c>
      <c r="D72" s="134">
        <v>1</v>
      </c>
      <c r="E72" s="205">
        <f t="shared" si="12"/>
        <v>650</v>
      </c>
      <c r="F72" s="133"/>
    </row>
    <row r="73" spans="1:6" x14ac:dyDescent="0.2">
      <c r="B73" s="133" t="s">
        <v>227</v>
      </c>
      <c r="C73" s="139">
        <v>223.2</v>
      </c>
      <c r="D73" s="134">
        <v>15</v>
      </c>
      <c r="E73" s="205">
        <f t="shared" si="12"/>
        <v>3348</v>
      </c>
      <c r="F73" s="133"/>
    </row>
    <row r="74" spans="1:6" x14ac:dyDescent="0.2">
      <c r="B74" s="133" t="s">
        <v>228</v>
      </c>
      <c r="C74" s="139">
        <v>750</v>
      </c>
      <c r="D74" s="134">
        <v>1</v>
      </c>
      <c r="E74" s="205">
        <f t="shared" si="12"/>
        <v>750</v>
      </c>
      <c r="F74" s="133"/>
    </row>
    <row r="75" spans="1:6" x14ac:dyDescent="0.2">
      <c r="B75" s="133" t="s">
        <v>229</v>
      </c>
      <c r="C75" s="139">
        <v>1750</v>
      </c>
      <c r="D75" s="134">
        <v>1</v>
      </c>
      <c r="E75" s="205">
        <f t="shared" si="12"/>
        <v>1750</v>
      </c>
      <c r="F75" s="133"/>
    </row>
    <row r="76" spans="1:6" x14ac:dyDescent="0.2">
      <c r="B76" s="133" t="s">
        <v>230</v>
      </c>
      <c r="C76" s="139">
        <v>850</v>
      </c>
      <c r="D76" s="134">
        <v>1</v>
      </c>
      <c r="E76" s="205">
        <f t="shared" si="12"/>
        <v>850</v>
      </c>
      <c r="F76" s="133"/>
    </row>
    <row r="77" spans="1:6" x14ac:dyDescent="0.2">
      <c r="A77" s="315"/>
      <c r="B77" s="315"/>
      <c r="C77" s="315"/>
      <c r="D77" s="315"/>
      <c r="E77" s="142">
        <f>+SUM(E69:E76)</f>
        <v>14640</v>
      </c>
      <c r="F77" s="133"/>
    </row>
    <row r="78" spans="1:6" x14ac:dyDescent="0.2">
      <c r="E78" s="139"/>
      <c r="F78" s="133"/>
    </row>
    <row r="79" spans="1:6" x14ac:dyDescent="0.2">
      <c r="E79" s="139"/>
      <c r="F79" s="133"/>
    </row>
    <row r="80" spans="1:6" x14ac:dyDescent="0.2">
      <c r="E80" s="139"/>
      <c r="F80" s="133"/>
    </row>
    <row r="81" spans="5:5" x14ac:dyDescent="0.2">
      <c r="E81" s="139"/>
    </row>
    <row r="82" spans="5:5" x14ac:dyDescent="0.2">
      <c r="E82" s="139"/>
    </row>
    <row r="83" spans="5:5" x14ac:dyDescent="0.2">
      <c r="E83" s="139"/>
    </row>
    <row r="84" spans="5:5" x14ac:dyDescent="0.2">
      <c r="E84" s="139"/>
    </row>
    <row r="85" spans="5:5" x14ac:dyDescent="0.2">
      <c r="E85" s="139"/>
    </row>
  </sheetData>
  <mergeCells count="8">
    <mergeCell ref="B39:I39"/>
    <mergeCell ref="B38:I38"/>
    <mergeCell ref="B37:I37"/>
    <mergeCell ref="B23:G23"/>
    <mergeCell ref="B2:C2"/>
    <mergeCell ref="E9:I9"/>
    <mergeCell ref="G3:I3"/>
    <mergeCell ref="B18:C18"/>
  </mergeCells>
  <pageMargins left="0.7" right="0.7" top="0.75" bottom="0.75" header="0.3" footer="0.3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F040-F76B-4B68-9087-2DF453C16350}">
  <sheetPr>
    <pageSetUpPr fitToPage="1"/>
  </sheetPr>
  <dimension ref="A2:AL54"/>
  <sheetViews>
    <sheetView zoomScale="85" zoomScaleNormal="85" workbookViewId="0">
      <selection activeCell="W47" sqref="W47"/>
    </sheetView>
  </sheetViews>
  <sheetFormatPr baseColWidth="10" defaultColWidth="9.109375" defaultRowHeight="14.4" x14ac:dyDescent="0.3"/>
  <cols>
    <col min="2" max="2" width="1.5546875" customWidth="1"/>
    <col min="3" max="3" width="37.88671875" customWidth="1"/>
    <col min="4" max="4" width="13.6640625" bestFit="1" customWidth="1"/>
    <col min="5" max="5" width="9.109375" bestFit="1" customWidth="1"/>
    <col min="6" max="6" width="17.33203125" bestFit="1" customWidth="1"/>
    <col min="7" max="7" width="0.6640625" customWidth="1"/>
    <col min="8" max="8" width="3.88671875" customWidth="1"/>
    <col min="9" max="9" width="0.6640625" customWidth="1"/>
    <col min="10" max="10" width="2.6640625" bestFit="1" customWidth="1"/>
    <col min="11" max="11" width="3.88671875" bestFit="1" customWidth="1"/>
    <col min="12" max="12" width="3" bestFit="1" customWidth="1"/>
    <col min="13" max="13" width="2.6640625" bestFit="1" customWidth="1"/>
    <col min="14" max="14" width="3.109375" bestFit="1" customWidth="1"/>
    <col min="15" max="15" width="3" bestFit="1" customWidth="1"/>
    <col min="16" max="16" width="3.44140625" customWidth="1"/>
    <col min="17" max="17" width="0.6640625" customWidth="1"/>
    <col min="18" max="18" width="6.6640625" bestFit="1" customWidth="1"/>
    <col min="19" max="19" width="2" bestFit="1" customWidth="1"/>
    <col min="20" max="20" width="6.6640625" bestFit="1" customWidth="1"/>
    <col min="21" max="21" width="9.88671875" bestFit="1" customWidth="1"/>
    <col min="22" max="22" width="14.6640625" customWidth="1"/>
    <col min="23" max="23" width="14.44140625" bestFit="1" customWidth="1"/>
    <col min="24" max="24" width="0.6640625" customWidth="1"/>
    <col min="25" max="25" width="17.6640625" customWidth="1"/>
    <col min="26" max="26" width="0.6640625" customWidth="1"/>
    <col min="27" max="27" width="35.88671875" style="45" bestFit="1" customWidth="1"/>
    <col min="28" max="28" width="10.44140625" style="45" bestFit="1" customWidth="1"/>
    <col min="29" max="29" width="11.33203125" style="45" customWidth="1"/>
    <col min="30" max="30" width="6" style="45" bestFit="1" customWidth="1"/>
    <col min="31" max="31" width="45.109375" style="45" bestFit="1" customWidth="1"/>
    <col min="32" max="38" width="9.109375" style="45"/>
  </cols>
  <sheetData>
    <row r="2" spans="2:30" ht="17.25" customHeight="1" x14ac:dyDescent="0.3">
      <c r="B2" s="312"/>
      <c r="C2" s="428" t="s">
        <v>58</v>
      </c>
      <c r="D2" s="42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154"/>
      <c r="Z2" s="34"/>
    </row>
    <row r="3" spans="2:30" ht="15.75" customHeight="1" x14ac:dyDescent="0.3">
      <c r="B3" s="312"/>
      <c r="C3" s="428" t="s">
        <v>60</v>
      </c>
      <c r="D3" s="428"/>
      <c r="E3" s="428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154"/>
      <c r="Z3" s="34"/>
    </row>
    <row r="4" spans="2:30" ht="2.25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34"/>
    </row>
    <row r="5" spans="2:30" ht="2.25" customHeight="1" x14ac:dyDescent="0.3">
      <c r="B5" s="4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34"/>
    </row>
    <row r="6" spans="2:30" ht="26.25" customHeight="1" x14ac:dyDescent="0.3">
      <c r="B6" s="312"/>
      <c r="C6" s="156" t="s">
        <v>61</v>
      </c>
      <c r="D6" s="312" t="s">
        <v>62</v>
      </c>
      <c r="E6" s="312" t="s">
        <v>63</v>
      </c>
      <c r="F6" s="312" t="s">
        <v>64</v>
      </c>
      <c r="G6" s="157"/>
      <c r="H6" s="429" t="s">
        <v>65</v>
      </c>
      <c r="I6" s="429"/>
      <c r="J6" s="429"/>
      <c r="K6" s="429"/>
      <c r="L6" s="429"/>
      <c r="M6" s="429"/>
      <c r="N6" s="429"/>
      <c r="O6" s="429"/>
      <c r="P6" s="429"/>
      <c r="Q6" s="157"/>
      <c r="R6" s="429" t="s">
        <v>66</v>
      </c>
      <c r="S6" s="429"/>
      <c r="T6" s="429"/>
      <c r="U6" s="312" t="s">
        <v>67</v>
      </c>
      <c r="V6" s="312" t="s">
        <v>68</v>
      </c>
      <c r="W6" s="312" t="s">
        <v>69</v>
      </c>
      <c r="X6" s="312"/>
      <c r="Y6" s="44" t="s">
        <v>70</v>
      </c>
      <c r="Z6" s="304"/>
    </row>
    <row r="7" spans="2:30" ht="2.25" customHeight="1" x14ac:dyDescent="0.3">
      <c r="B7" s="4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34"/>
    </row>
    <row r="8" spans="2:30" ht="2.25" customHeight="1" x14ac:dyDescent="0.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34"/>
    </row>
    <row r="9" spans="2:30" s="45" customFormat="1" x14ac:dyDescent="0.3">
      <c r="B9" s="312"/>
      <c r="C9" s="211" t="s">
        <v>71</v>
      </c>
      <c r="D9" s="212">
        <v>44</v>
      </c>
      <c r="E9" s="212">
        <v>3</v>
      </c>
      <c r="F9" s="391">
        <v>4</v>
      </c>
      <c r="G9" s="157"/>
      <c r="H9" s="212">
        <v>5</v>
      </c>
      <c r="I9" s="157"/>
      <c r="J9" s="212" t="s">
        <v>72</v>
      </c>
      <c r="K9" s="212" t="s">
        <v>73</v>
      </c>
      <c r="L9" s="212" t="s">
        <v>74</v>
      </c>
      <c r="M9" s="212" t="s">
        <v>75</v>
      </c>
      <c r="N9" s="212" t="s">
        <v>76</v>
      </c>
      <c r="O9" s="212"/>
      <c r="P9" s="212"/>
      <c r="Q9" s="157"/>
      <c r="R9" s="388">
        <v>0.72916666666666663</v>
      </c>
      <c r="S9" s="389" t="s">
        <v>77</v>
      </c>
      <c r="T9" s="390">
        <v>0.89583333333333337</v>
      </c>
      <c r="U9" s="212">
        <f>+F9*E9</f>
        <v>12</v>
      </c>
      <c r="V9" s="47">
        <f>+U9*H9</f>
        <v>60</v>
      </c>
      <c r="W9" s="229">
        <f>+V9*D9</f>
        <v>2640</v>
      </c>
      <c r="X9" s="312"/>
      <c r="Y9" s="229">
        <v>0</v>
      </c>
      <c r="Z9" s="304"/>
      <c r="AB9" s="45">
        <v>3</v>
      </c>
    </row>
    <row r="10" spans="2:30" s="45" customFormat="1" x14ac:dyDescent="0.3">
      <c r="B10" s="312"/>
      <c r="C10" s="211" t="s">
        <v>146</v>
      </c>
      <c r="D10" s="212">
        <v>5</v>
      </c>
      <c r="E10" s="212">
        <v>2</v>
      </c>
      <c r="F10" s="212">
        <v>2</v>
      </c>
      <c r="G10" s="157"/>
      <c r="H10" s="212">
        <v>2</v>
      </c>
      <c r="I10" s="157"/>
      <c r="J10" s="212"/>
      <c r="K10" s="212" t="s">
        <v>73</v>
      </c>
      <c r="L10" s="212"/>
      <c r="M10" s="212" t="s">
        <v>75</v>
      </c>
      <c r="N10" s="212"/>
      <c r="O10" s="212"/>
      <c r="P10" s="212"/>
      <c r="Q10" s="157"/>
      <c r="R10" s="215"/>
      <c r="S10" s="313" t="s">
        <v>147</v>
      </c>
      <c r="T10" s="216"/>
      <c r="U10" s="212">
        <f>+F10*E10</f>
        <v>4</v>
      </c>
      <c r="V10" s="212">
        <f>+U10*H10</f>
        <v>8</v>
      </c>
      <c r="W10" s="229">
        <f>+V10*D10</f>
        <v>40</v>
      </c>
      <c r="X10" s="312"/>
      <c r="Y10" s="229">
        <v>0</v>
      </c>
      <c r="Z10" s="304"/>
    </row>
    <row r="11" spans="2:30" s="45" customFormat="1" x14ac:dyDescent="0.3">
      <c r="B11" s="312"/>
      <c r="C11" s="50"/>
      <c r="D11" s="50"/>
      <c r="E11" s="50"/>
      <c r="F11" s="50"/>
      <c r="G11" s="312"/>
      <c r="H11" s="50"/>
      <c r="I11" s="312"/>
      <c r="J11" s="50"/>
      <c r="K11" s="50"/>
      <c r="L11" s="50"/>
      <c r="M11" s="50"/>
      <c r="N11" s="50"/>
      <c r="O11" s="50"/>
      <c r="P11" s="50"/>
      <c r="Q11" s="312"/>
      <c r="R11" s="50"/>
      <c r="S11" s="50"/>
      <c r="T11" s="50"/>
      <c r="U11" s="50"/>
      <c r="V11" s="50"/>
      <c r="W11" s="227"/>
      <c r="X11" s="312"/>
      <c r="Y11" s="227"/>
      <c r="Z11" s="304"/>
    </row>
    <row r="12" spans="2:30" s="45" customFormat="1" x14ac:dyDescent="0.3">
      <c r="B12" s="312"/>
      <c r="C12" s="211" t="s">
        <v>87</v>
      </c>
      <c r="D12" s="212">
        <v>48</v>
      </c>
      <c r="E12" s="212">
        <v>1</v>
      </c>
      <c r="F12" s="392">
        <v>1.528</v>
      </c>
      <c r="G12" s="157"/>
      <c r="H12" s="212">
        <v>5</v>
      </c>
      <c r="I12" s="157"/>
      <c r="J12" s="212" t="s">
        <v>72</v>
      </c>
      <c r="K12" s="212" t="s">
        <v>73</v>
      </c>
      <c r="L12" s="212" t="s">
        <v>74</v>
      </c>
      <c r="M12" s="212" t="s">
        <v>75</v>
      </c>
      <c r="N12" s="212" t="s">
        <v>76</v>
      </c>
      <c r="O12" s="212"/>
      <c r="P12" s="212"/>
      <c r="Q12" s="157"/>
      <c r="R12" s="215">
        <v>0.27083333333333331</v>
      </c>
      <c r="S12" s="313" t="s">
        <v>77</v>
      </c>
      <c r="T12" s="216">
        <v>0.33333333333333331</v>
      </c>
      <c r="U12" s="387">
        <f t="shared" ref="U12:U13" si="0">+F12*E12</f>
        <v>1.528</v>
      </c>
      <c r="V12" s="212">
        <f t="shared" ref="V12:V13" si="1">+U12*H12</f>
        <v>7.6400000000000006</v>
      </c>
      <c r="W12" s="229">
        <f t="shared" ref="W12:W13" si="2">+V12*D12</f>
        <v>366.72</v>
      </c>
      <c r="X12" s="312"/>
      <c r="Y12" s="229">
        <v>10</v>
      </c>
      <c r="Z12" s="304"/>
      <c r="AB12" s="45">
        <v>1.5</v>
      </c>
      <c r="AD12" s="45">
        <v>1</v>
      </c>
    </row>
    <row r="13" spans="2:30" s="45" customFormat="1" x14ac:dyDescent="0.3">
      <c r="B13" s="312"/>
      <c r="C13" s="211" t="s">
        <v>88</v>
      </c>
      <c r="D13" s="212">
        <v>52</v>
      </c>
      <c r="E13" s="212">
        <v>1</v>
      </c>
      <c r="F13" s="392">
        <v>1.528</v>
      </c>
      <c r="G13" s="157"/>
      <c r="H13" s="212">
        <v>5</v>
      </c>
      <c r="I13" s="157"/>
      <c r="J13" s="212" t="s">
        <v>72</v>
      </c>
      <c r="K13" s="212" t="s">
        <v>73</v>
      </c>
      <c r="L13" s="212" t="s">
        <v>74</v>
      </c>
      <c r="M13" s="212" t="s">
        <v>75</v>
      </c>
      <c r="N13" s="212" t="s">
        <v>76</v>
      </c>
      <c r="O13" s="212"/>
      <c r="P13" s="212"/>
      <c r="Q13" s="157"/>
      <c r="R13" s="215">
        <v>0.25</v>
      </c>
      <c r="S13" s="313" t="s">
        <v>77</v>
      </c>
      <c r="T13" s="216">
        <v>0.3125</v>
      </c>
      <c r="U13" s="387">
        <f t="shared" si="0"/>
        <v>1.528</v>
      </c>
      <c r="V13" s="212">
        <f t="shared" si="1"/>
        <v>7.6400000000000006</v>
      </c>
      <c r="W13" s="229">
        <f t="shared" si="2"/>
        <v>397.28000000000003</v>
      </c>
      <c r="X13" s="312"/>
      <c r="Y13" s="229">
        <v>10</v>
      </c>
      <c r="Z13" s="304"/>
      <c r="AB13" s="45">
        <v>1.5</v>
      </c>
    </row>
    <row r="14" spans="2:30" s="45" customFormat="1" ht="9.75" customHeight="1" x14ac:dyDescent="0.3">
      <c r="B14" s="312"/>
      <c r="C14" s="50"/>
      <c r="D14" s="50"/>
      <c r="E14" s="50"/>
      <c r="F14" s="50"/>
      <c r="G14" s="312"/>
      <c r="H14" s="50"/>
      <c r="I14" s="312"/>
      <c r="J14" s="50"/>
      <c r="K14" s="50"/>
      <c r="L14" s="50"/>
      <c r="M14" s="50"/>
      <c r="N14" s="50"/>
      <c r="O14" s="50"/>
      <c r="P14" s="50"/>
      <c r="Q14" s="312"/>
      <c r="R14" s="50"/>
      <c r="S14" s="50"/>
      <c r="T14" s="50"/>
      <c r="U14" s="50"/>
      <c r="V14" s="50"/>
      <c r="W14" s="227"/>
      <c r="X14" s="312"/>
      <c r="Y14" s="227"/>
      <c r="Z14" s="304"/>
      <c r="AB14" s="104"/>
    </row>
    <row r="15" spans="2:30" s="45" customFormat="1" x14ac:dyDescent="0.3">
      <c r="B15" s="312"/>
      <c r="C15" s="211" t="s">
        <v>89</v>
      </c>
      <c r="D15" s="212">
        <v>48</v>
      </c>
      <c r="E15" s="212">
        <v>1</v>
      </c>
      <c r="F15" s="212">
        <v>3.6</v>
      </c>
      <c r="G15" s="157"/>
      <c r="H15" s="212">
        <v>3</v>
      </c>
      <c r="I15" s="157"/>
      <c r="J15" s="212"/>
      <c r="K15" s="212" t="s">
        <v>73</v>
      </c>
      <c r="L15" s="212"/>
      <c r="M15" s="212" t="s">
        <v>75</v>
      </c>
      <c r="N15" s="212" t="s">
        <v>76</v>
      </c>
      <c r="O15" s="212"/>
      <c r="P15" s="212"/>
      <c r="Q15" s="157"/>
      <c r="R15" s="215">
        <v>0.66666666666666663</v>
      </c>
      <c r="S15" s="313" t="s">
        <v>77</v>
      </c>
      <c r="T15" s="216">
        <v>0.81944444444444453</v>
      </c>
      <c r="U15" s="212">
        <f t="shared" ref="U15:U20" si="3">+F15*E15</f>
        <v>3.6</v>
      </c>
      <c r="V15" s="212">
        <f t="shared" ref="V15:V20" si="4">+U15*H15</f>
        <v>10.8</v>
      </c>
      <c r="W15" s="229">
        <f t="shared" ref="W15:W20" si="5">+V15*D15</f>
        <v>518.40000000000009</v>
      </c>
      <c r="X15" s="312"/>
      <c r="Y15" s="229">
        <v>14</v>
      </c>
      <c r="Z15" s="304"/>
    </row>
    <row r="16" spans="2:30" s="45" customFormat="1" x14ac:dyDescent="0.3">
      <c r="B16" s="312"/>
      <c r="C16" s="217" t="s">
        <v>90</v>
      </c>
      <c r="D16" s="218">
        <v>52</v>
      </c>
      <c r="E16" s="218">
        <v>1</v>
      </c>
      <c r="F16" s="218">
        <v>2.25</v>
      </c>
      <c r="G16" s="157"/>
      <c r="H16" s="218">
        <v>5</v>
      </c>
      <c r="I16" s="157"/>
      <c r="J16" s="218" t="s">
        <v>72</v>
      </c>
      <c r="K16" s="218" t="s">
        <v>73</v>
      </c>
      <c r="L16" s="218" t="s">
        <v>74</v>
      </c>
      <c r="M16" s="218" t="s">
        <v>75</v>
      </c>
      <c r="N16" s="218" t="s">
        <v>76</v>
      </c>
      <c r="O16" s="218"/>
      <c r="P16" s="218"/>
      <c r="Q16" s="225"/>
      <c r="R16" s="224">
        <v>0.33333333333333331</v>
      </c>
      <c r="S16" s="219" t="s">
        <v>77</v>
      </c>
      <c r="T16" s="220">
        <v>0.42708333333333331</v>
      </c>
      <c r="U16" s="218">
        <f t="shared" si="3"/>
        <v>2.25</v>
      </c>
      <c r="V16" s="218">
        <f t="shared" si="4"/>
        <v>11.25</v>
      </c>
      <c r="W16" s="230">
        <f t="shared" si="5"/>
        <v>585</v>
      </c>
      <c r="X16" s="312"/>
      <c r="Y16" s="230">
        <v>0</v>
      </c>
      <c r="Z16" s="304"/>
    </row>
    <row r="17" spans="2:26" s="45" customFormat="1" x14ac:dyDescent="0.3">
      <c r="B17" s="312"/>
      <c r="C17" s="211" t="s">
        <v>91</v>
      </c>
      <c r="D17" s="212">
        <v>52</v>
      </c>
      <c r="E17" s="212">
        <v>1</v>
      </c>
      <c r="F17" s="212">
        <v>1</v>
      </c>
      <c r="G17" s="157"/>
      <c r="H17" s="212">
        <v>1</v>
      </c>
      <c r="I17" s="157"/>
      <c r="J17" s="212"/>
      <c r="K17" s="212"/>
      <c r="L17" s="212"/>
      <c r="M17" s="212"/>
      <c r="N17" s="212"/>
      <c r="O17" s="212" t="s">
        <v>92</v>
      </c>
      <c r="P17" s="212"/>
      <c r="Q17" s="226"/>
      <c r="R17" s="223">
        <v>0.38541666666666669</v>
      </c>
      <c r="S17" s="213" t="s">
        <v>77</v>
      </c>
      <c r="T17" s="214">
        <v>0.42708333333333331</v>
      </c>
      <c r="U17" s="212">
        <f t="shared" si="3"/>
        <v>1</v>
      </c>
      <c r="V17" s="212">
        <f t="shared" si="4"/>
        <v>1</v>
      </c>
      <c r="W17" s="229">
        <f t="shared" si="5"/>
        <v>52</v>
      </c>
      <c r="X17" s="312"/>
      <c r="Y17" s="229">
        <v>0</v>
      </c>
      <c r="Z17" s="304"/>
    </row>
    <row r="18" spans="2:26" s="45" customFormat="1" x14ac:dyDescent="0.3">
      <c r="B18" s="312"/>
      <c r="C18" s="211" t="s">
        <v>93</v>
      </c>
      <c r="D18" s="212">
        <v>48</v>
      </c>
      <c r="E18" s="212">
        <v>1</v>
      </c>
      <c r="F18" s="212">
        <v>0.6</v>
      </c>
      <c r="G18" s="157"/>
      <c r="H18" s="212">
        <v>3</v>
      </c>
      <c r="I18" s="157"/>
      <c r="J18" s="212"/>
      <c r="K18" s="212" t="s">
        <v>73</v>
      </c>
      <c r="L18" s="212"/>
      <c r="M18" s="212" t="s">
        <v>75</v>
      </c>
      <c r="N18" s="212" t="s">
        <v>76</v>
      </c>
      <c r="O18" s="212"/>
      <c r="P18" s="212"/>
      <c r="Q18" s="157"/>
      <c r="R18" s="215">
        <v>0.625</v>
      </c>
      <c r="S18" s="313" t="s">
        <v>77</v>
      </c>
      <c r="T18" s="216">
        <v>0.65277777777777779</v>
      </c>
      <c r="U18" s="212">
        <f t="shared" si="3"/>
        <v>0.6</v>
      </c>
      <c r="V18" s="212">
        <f t="shared" si="4"/>
        <v>1.7999999999999998</v>
      </c>
      <c r="W18" s="229">
        <f t="shared" si="5"/>
        <v>86.399999999999991</v>
      </c>
      <c r="X18" s="312"/>
      <c r="Y18" s="229">
        <v>7</v>
      </c>
      <c r="Z18" s="304"/>
    </row>
    <row r="19" spans="2:26" s="45" customFormat="1" x14ac:dyDescent="0.3">
      <c r="B19" s="312"/>
      <c r="C19" s="211" t="s">
        <v>94</v>
      </c>
      <c r="D19" s="212">
        <v>48</v>
      </c>
      <c r="E19" s="212">
        <v>1</v>
      </c>
      <c r="F19" s="212">
        <v>2.8</v>
      </c>
      <c r="G19" s="157"/>
      <c r="H19" s="212">
        <v>3</v>
      </c>
      <c r="I19" s="157"/>
      <c r="J19" s="212"/>
      <c r="K19" s="212" t="s">
        <v>73</v>
      </c>
      <c r="L19" s="212"/>
      <c r="M19" s="212" t="s">
        <v>75</v>
      </c>
      <c r="N19" s="212" t="s">
        <v>76</v>
      </c>
      <c r="O19" s="212"/>
      <c r="P19" s="212"/>
      <c r="Q19" s="157"/>
      <c r="R19" s="215">
        <v>0.33333333333333331</v>
      </c>
      <c r="S19" s="313" t="s">
        <v>77</v>
      </c>
      <c r="T19" s="216">
        <v>0.4513888888888889</v>
      </c>
      <c r="U19" s="212">
        <f t="shared" si="3"/>
        <v>2.8</v>
      </c>
      <c r="V19" s="212">
        <f t="shared" si="4"/>
        <v>8.3999999999999986</v>
      </c>
      <c r="W19" s="229">
        <f t="shared" si="5"/>
        <v>403.19999999999993</v>
      </c>
      <c r="X19" s="312"/>
      <c r="Y19" s="229">
        <v>7</v>
      </c>
      <c r="Z19" s="304"/>
    </row>
    <row r="20" spans="2:26" s="45" customFormat="1" x14ac:dyDescent="0.3">
      <c r="B20" s="312"/>
      <c r="C20" s="221" t="s">
        <v>95</v>
      </c>
      <c r="D20" s="222">
        <v>48</v>
      </c>
      <c r="E20" s="222">
        <v>1</v>
      </c>
      <c r="F20" s="222">
        <v>2</v>
      </c>
      <c r="G20" s="157"/>
      <c r="H20" s="222">
        <v>3</v>
      </c>
      <c r="I20" s="157"/>
      <c r="J20" s="222"/>
      <c r="K20" s="222" t="s">
        <v>73</v>
      </c>
      <c r="L20" s="222"/>
      <c r="M20" s="222" t="s">
        <v>75</v>
      </c>
      <c r="N20" s="222" t="s">
        <v>76</v>
      </c>
      <c r="O20" s="222"/>
      <c r="P20" s="212"/>
      <c r="Q20" s="157"/>
      <c r="R20" s="215">
        <v>0.25</v>
      </c>
      <c r="S20" s="313" t="s">
        <v>77</v>
      </c>
      <c r="T20" s="216">
        <v>0.33333333333333331</v>
      </c>
      <c r="U20" s="222">
        <f t="shared" si="3"/>
        <v>2</v>
      </c>
      <c r="V20" s="222">
        <f t="shared" si="4"/>
        <v>6</v>
      </c>
      <c r="W20" s="231">
        <f t="shared" si="5"/>
        <v>288</v>
      </c>
      <c r="X20" s="312"/>
      <c r="Y20" s="231">
        <v>7</v>
      </c>
      <c r="Z20" s="304"/>
    </row>
    <row r="21" spans="2:26" s="45" customFormat="1" x14ac:dyDescent="0.3">
      <c r="B21" s="312"/>
      <c r="C21" s="50"/>
      <c r="D21" s="54"/>
      <c r="E21" s="54"/>
      <c r="F21" s="54"/>
      <c r="G21" s="312"/>
      <c r="H21" s="54"/>
      <c r="I21" s="312"/>
      <c r="J21" s="54"/>
      <c r="K21" s="54"/>
      <c r="L21" s="54"/>
      <c r="M21" s="54"/>
      <c r="N21" s="54"/>
      <c r="O21" s="54"/>
      <c r="P21" s="54"/>
      <c r="Q21" s="312"/>
      <c r="R21" s="174"/>
      <c r="S21" s="54"/>
      <c r="T21" s="175"/>
      <c r="U21" s="54"/>
      <c r="V21" s="54"/>
      <c r="W21" s="228"/>
      <c r="X21" s="312"/>
      <c r="Y21" s="228"/>
      <c r="Z21" s="304"/>
    </row>
    <row r="22" spans="2:26" s="237" customFormat="1" ht="15.9" customHeight="1" x14ac:dyDescent="0.3">
      <c r="B22" s="312"/>
      <c r="C22" s="240" t="s">
        <v>148</v>
      </c>
      <c r="D22" s="234">
        <v>48</v>
      </c>
      <c r="E22" s="234">
        <v>2</v>
      </c>
      <c r="F22" s="234">
        <v>2</v>
      </c>
      <c r="G22" s="234"/>
      <c r="H22" s="234">
        <v>5</v>
      </c>
      <c r="I22" s="234"/>
      <c r="J22" s="234" t="s">
        <v>72</v>
      </c>
      <c r="K22" s="234" t="s">
        <v>73</v>
      </c>
      <c r="L22" s="234" t="s">
        <v>74</v>
      </c>
      <c r="M22" s="234" t="s">
        <v>75</v>
      </c>
      <c r="N22" s="234" t="s">
        <v>76</v>
      </c>
      <c r="O22" s="234"/>
      <c r="P22" s="234"/>
      <c r="Q22" s="234"/>
      <c r="R22" s="235">
        <v>0.4375</v>
      </c>
      <c r="S22" s="234" t="s">
        <v>77</v>
      </c>
      <c r="T22" s="235">
        <v>0.52083333333333337</v>
      </c>
      <c r="U22" s="234">
        <f t="shared" ref="U22:U27" si="6">+F22*E22</f>
        <v>4</v>
      </c>
      <c r="V22" s="234">
        <f>+U22*H22</f>
        <v>20</v>
      </c>
      <c r="W22" s="236">
        <f>+V22*D22</f>
        <v>960</v>
      </c>
      <c r="X22" s="312"/>
      <c r="Y22" s="236"/>
      <c r="Z22" s="304"/>
    </row>
    <row r="23" spans="2:26" s="45" customFormat="1" x14ac:dyDescent="0.3">
      <c r="B23" s="312"/>
      <c r="C23" s="211" t="s">
        <v>149</v>
      </c>
      <c r="D23" s="212">
        <v>52</v>
      </c>
      <c r="E23" s="212">
        <v>2</v>
      </c>
      <c r="F23" s="212">
        <v>2</v>
      </c>
      <c r="G23" s="157"/>
      <c r="H23" s="212">
        <v>5</v>
      </c>
      <c r="I23" s="157"/>
      <c r="J23" s="212" t="s">
        <v>72</v>
      </c>
      <c r="K23" s="212" t="s">
        <v>73</v>
      </c>
      <c r="L23" s="212" t="s">
        <v>74</v>
      </c>
      <c r="M23" s="212" t="s">
        <v>75</v>
      </c>
      <c r="N23" s="212" t="s">
        <v>76</v>
      </c>
      <c r="O23" s="212"/>
      <c r="P23" s="212"/>
      <c r="Q23" s="157"/>
      <c r="R23" s="215">
        <v>0.52083333333333337</v>
      </c>
      <c r="S23" s="313" t="s">
        <v>77</v>
      </c>
      <c r="T23" s="216">
        <v>0.60416666666666663</v>
      </c>
      <c r="U23" s="212">
        <f t="shared" si="6"/>
        <v>4</v>
      </c>
      <c r="V23" s="212">
        <f>+U23*H23</f>
        <v>20</v>
      </c>
      <c r="W23" s="229">
        <f t="shared" ref="W23:W27" si="7">+V23*D23</f>
        <v>1040</v>
      </c>
      <c r="X23" s="312"/>
      <c r="Y23" s="229">
        <v>0</v>
      </c>
      <c r="Z23" s="304"/>
    </row>
    <row r="24" spans="2:26" s="45" customFormat="1" x14ac:dyDescent="0.3">
      <c r="B24" s="312"/>
      <c r="C24" s="211" t="s">
        <v>150</v>
      </c>
      <c r="D24" s="212">
        <v>52</v>
      </c>
      <c r="E24" s="212">
        <v>2</v>
      </c>
      <c r="F24" s="212">
        <v>2</v>
      </c>
      <c r="G24" s="157"/>
      <c r="H24" s="212">
        <v>5</v>
      </c>
      <c r="I24" s="157"/>
      <c r="J24" s="212" t="s">
        <v>72</v>
      </c>
      <c r="K24" s="212" t="s">
        <v>73</v>
      </c>
      <c r="L24" s="212" t="s">
        <v>74</v>
      </c>
      <c r="M24" s="212" t="s">
        <v>75</v>
      </c>
      <c r="N24" s="212" t="s">
        <v>76</v>
      </c>
      <c r="O24" s="212"/>
      <c r="P24" s="212"/>
      <c r="Q24" s="157"/>
      <c r="R24" s="215">
        <v>0.83333333333333337</v>
      </c>
      <c r="S24" s="313" t="s">
        <v>77</v>
      </c>
      <c r="T24" s="216">
        <v>0.91666666666666663</v>
      </c>
      <c r="U24" s="212">
        <f t="shared" si="6"/>
        <v>4</v>
      </c>
      <c r="V24" s="212">
        <f t="shared" ref="V24:V26" si="8">+U24*H24</f>
        <v>20</v>
      </c>
      <c r="W24" s="229">
        <f t="shared" si="7"/>
        <v>1040</v>
      </c>
      <c r="X24" s="312"/>
      <c r="Y24" s="229">
        <v>0</v>
      </c>
      <c r="Z24" s="304"/>
    </row>
    <row r="25" spans="2:26" s="45" customFormat="1" x14ac:dyDescent="0.3">
      <c r="B25" s="312"/>
      <c r="C25" s="211" t="s">
        <v>151</v>
      </c>
      <c r="D25" s="212">
        <v>42</v>
      </c>
      <c r="E25" s="212">
        <v>1</v>
      </c>
      <c r="F25" s="212">
        <v>2</v>
      </c>
      <c r="G25" s="157"/>
      <c r="H25" s="212">
        <v>1</v>
      </c>
      <c r="I25" s="157"/>
      <c r="J25" s="212"/>
      <c r="K25" s="212"/>
      <c r="L25" s="212"/>
      <c r="M25" s="212"/>
      <c r="N25" s="212"/>
      <c r="O25" s="212" t="s">
        <v>92</v>
      </c>
      <c r="P25" s="212"/>
      <c r="Q25" s="157"/>
      <c r="R25" s="215">
        <v>0.29166666666666669</v>
      </c>
      <c r="S25" s="313" t="s">
        <v>77</v>
      </c>
      <c r="T25" s="216">
        <v>0.375</v>
      </c>
      <c r="U25" s="212">
        <f t="shared" si="6"/>
        <v>2</v>
      </c>
      <c r="V25" s="212">
        <f t="shared" si="8"/>
        <v>2</v>
      </c>
      <c r="W25" s="229">
        <f t="shared" si="7"/>
        <v>84</v>
      </c>
      <c r="X25" s="312"/>
      <c r="Y25" s="229"/>
      <c r="Z25" s="304"/>
    </row>
    <row r="26" spans="2:26" s="45" customFormat="1" x14ac:dyDescent="0.3">
      <c r="B26" s="312"/>
      <c r="C26" s="211" t="s">
        <v>152</v>
      </c>
      <c r="D26" s="212">
        <v>52</v>
      </c>
      <c r="E26" s="212">
        <v>1</v>
      </c>
      <c r="F26" s="212">
        <v>3</v>
      </c>
      <c r="G26" s="157"/>
      <c r="H26" s="212">
        <v>1</v>
      </c>
      <c r="I26" s="157"/>
      <c r="J26" s="212"/>
      <c r="K26" s="212"/>
      <c r="L26" s="212"/>
      <c r="M26" s="212"/>
      <c r="N26" s="212"/>
      <c r="O26" s="212" t="s">
        <v>92</v>
      </c>
      <c r="P26" s="212"/>
      <c r="Q26" s="157"/>
      <c r="R26" s="215">
        <v>0.70833333333333337</v>
      </c>
      <c r="S26" s="313" t="s">
        <v>77</v>
      </c>
      <c r="T26" s="216">
        <v>0.83333333333333337</v>
      </c>
      <c r="U26" s="212">
        <f t="shared" si="6"/>
        <v>3</v>
      </c>
      <c r="V26" s="212">
        <f t="shared" si="8"/>
        <v>3</v>
      </c>
      <c r="W26" s="229">
        <f t="shared" si="7"/>
        <v>156</v>
      </c>
      <c r="X26" s="312"/>
      <c r="Y26" s="229">
        <v>0</v>
      </c>
      <c r="Z26" s="304"/>
    </row>
    <row r="27" spans="2:26" s="45" customFormat="1" x14ac:dyDescent="0.3">
      <c r="B27" s="312"/>
      <c r="C27" s="211" t="s">
        <v>153</v>
      </c>
      <c r="D27" s="212">
        <v>14</v>
      </c>
      <c r="E27" s="212">
        <v>1</v>
      </c>
      <c r="F27" s="212">
        <v>2</v>
      </c>
      <c r="G27" s="157"/>
      <c r="H27" s="212">
        <v>1</v>
      </c>
      <c r="I27" s="157"/>
      <c r="J27" s="212"/>
      <c r="K27" s="212"/>
      <c r="L27" s="212"/>
      <c r="M27" s="212"/>
      <c r="N27" s="212"/>
      <c r="O27" s="212"/>
      <c r="P27" s="212" t="s">
        <v>100</v>
      </c>
      <c r="Q27" s="157"/>
      <c r="R27" s="215">
        <v>0.75</v>
      </c>
      <c r="S27" s="313" t="s">
        <v>77</v>
      </c>
      <c r="T27" s="216">
        <v>0.83333333333333337</v>
      </c>
      <c r="U27" s="212">
        <f t="shared" si="6"/>
        <v>2</v>
      </c>
      <c r="V27" s="212">
        <f t="shared" ref="V27" si="9">+U27*H27</f>
        <v>2</v>
      </c>
      <c r="W27" s="229">
        <f t="shared" si="7"/>
        <v>28</v>
      </c>
      <c r="X27" s="312"/>
      <c r="Y27" s="229">
        <v>0</v>
      </c>
      <c r="Z27" s="304"/>
    </row>
    <row r="28" spans="2:26" s="45" customFormat="1" ht="9.75" customHeight="1" x14ac:dyDescent="0.3">
      <c r="B28" s="312"/>
      <c r="C28" s="50"/>
      <c r="D28" s="54"/>
      <c r="E28" s="54"/>
      <c r="F28" s="54"/>
      <c r="G28" s="312"/>
      <c r="H28" s="54"/>
      <c r="I28" s="312"/>
      <c r="J28" s="54"/>
      <c r="K28" s="54"/>
      <c r="L28" s="54"/>
      <c r="M28" s="54"/>
      <c r="N28" s="54"/>
      <c r="O28" s="54"/>
      <c r="P28" s="54"/>
      <c r="Q28" s="312"/>
      <c r="R28" s="174"/>
      <c r="S28" s="54"/>
      <c r="T28" s="175"/>
      <c r="U28" s="54"/>
      <c r="V28" s="54"/>
      <c r="W28" s="228"/>
      <c r="X28" s="312"/>
      <c r="Y28" s="228"/>
      <c r="Z28" s="304"/>
    </row>
    <row r="29" spans="2:26" s="45" customFormat="1" x14ac:dyDescent="0.3">
      <c r="B29" s="312"/>
      <c r="C29" s="211" t="s">
        <v>101</v>
      </c>
      <c r="D29" s="212">
        <v>48</v>
      </c>
      <c r="E29" s="212">
        <v>1</v>
      </c>
      <c r="F29" s="212">
        <v>2</v>
      </c>
      <c r="G29" s="157"/>
      <c r="H29" s="212">
        <v>3</v>
      </c>
      <c r="I29" s="157"/>
      <c r="J29" s="212"/>
      <c r="K29" s="212" t="s">
        <v>73</v>
      </c>
      <c r="L29" s="212"/>
      <c r="M29" s="212" t="s">
        <v>75</v>
      </c>
      <c r="N29" s="212" t="s">
        <v>76</v>
      </c>
      <c r="O29" s="212"/>
      <c r="P29" s="212"/>
      <c r="Q29" s="157"/>
      <c r="R29" s="215">
        <v>0.625</v>
      </c>
      <c r="S29" s="313" t="s">
        <v>77</v>
      </c>
      <c r="T29" s="216">
        <v>0.70833333333333337</v>
      </c>
      <c r="U29" s="212">
        <f t="shared" ref="U29:U32" si="10">+F29*E29</f>
        <v>2</v>
      </c>
      <c r="V29" s="212">
        <f t="shared" ref="V29:V32" si="11">+U29*H29</f>
        <v>6</v>
      </c>
      <c r="W29" s="229">
        <f t="shared" ref="W29:W32" si="12">+V29*D29</f>
        <v>288</v>
      </c>
      <c r="X29" s="312"/>
      <c r="Y29" s="229">
        <v>7</v>
      </c>
      <c r="Z29" s="304"/>
    </row>
    <row r="30" spans="2:26" s="45" customFormat="1" x14ac:dyDescent="0.3">
      <c r="B30" s="312"/>
      <c r="C30" s="211" t="s">
        <v>102</v>
      </c>
      <c r="D30" s="212">
        <v>48</v>
      </c>
      <c r="E30" s="212">
        <v>1</v>
      </c>
      <c r="F30" s="212">
        <v>2</v>
      </c>
      <c r="G30" s="157"/>
      <c r="H30" s="212">
        <v>3</v>
      </c>
      <c r="I30" s="157"/>
      <c r="J30" s="212"/>
      <c r="K30" s="212" t="s">
        <v>73</v>
      </c>
      <c r="L30" s="212"/>
      <c r="M30" s="212" t="s">
        <v>75</v>
      </c>
      <c r="N30" s="212" t="s">
        <v>76</v>
      </c>
      <c r="O30" s="212"/>
      <c r="P30" s="212"/>
      <c r="Q30" s="157"/>
      <c r="R30" s="215">
        <v>0.625</v>
      </c>
      <c r="S30" s="313" t="s">
        <v>77</v>
      </c>
      <c r="T30" s="216">
        <v>0.70833333333333337</v>
      </c>
      <c r="U30" s="212">
        <f t="shared" si="10"/>
        <v>2</v>
      </c>
      <c r="V30" s="212">
        <f t="shared" si="11"/>
        <v>6</v>
      </c>
      <c r="W30" s="229">
        <f t="shared" si="12"/>
        <v>288</v>
      </c>
      <c r="X30" s="312"/>
      <c r="Y30" s="229">
        <v>7</v>
      </c>
      <c r="Z30" s="304"/>
    </row>
    <row r="31" spans="2:26" s="45" customFormat="1" x14ac:dyDescent="0.3">
      <c r="B31" s="312"/>
      <c r="C31" s="211" t="s">
        <v>103</v>
      </c>
      <c r="D31" s="212">
        <v>48</v>
      </c>
      <c r="E31" s="212">
        <v>1</v>
      </c>
      <c r="F31" s="212">
        <v>1</v>
      </c>
      <c r="G31" s="157"/>
      <c r="H31" s="212">
        <v>1</v>
      </c>
      <c r="I31" s="157"/>
      <c r="J31" s="212"/>
      <c r="K31" s="212"/>
      <c r="L31" s="212"/>
      <c r="M31" s="212" t="s">
        <v>75</v>
      </c>
      <c r="N31" s="212"/>
      <c r="O31" s="212"/>
      <c r="P31" s="212"/>
      <c r="Q31" s="157"/>
      <c r="R31" s="215">
        <v>0.33333333333333331</v>
      </c>
      <c r="S31" s="313" t="s">
        <v>77</v>
      </c>
      <c r="T31" s="216">
        <v>0.375</v>
      </c>
      <c r="U31" s="212">
        <f t="shared" si="10"/>
        <v>1</v>
      </c>
      <c r="V31" s="212">
        <f t="shared" si="11"/>
        <v>1</v>
      </c>
      <c r="W31" s="229">
        <f t="shared" si="12"/>
        <v>48</v>
      </c>
      <c r="X31" s="312"/>
      <c r="Y31" s="229">
        <v>0</v>
      </c>
      <c r="Z31" s="304"/>
    </row>
    <row r="32" spans="2:26" s="45" customFormat="1" x14ac:dyDescent="0.3">
      <c r="B32" s="312"/>
      <c r="C32" s="211" t="s">
        <v>104</v>
      </c>
      <c r="D32" s="212">
        <v>48</v>
      </c>
      <c r="E32" s="212">
        <v>1</v>
      </c>
      <c r="F32" s="212">
        <v>1</v>
      </c>
      <c r="G32" s="157"/>
      <c r="H32" s="212">
        <v>1</v>
      </c>
      <c r="I32" s="157"/>
      <c r="J32" s="212"/>
      <c r="K32" s="212"/>
      <c r="L32" s="212"/>
      <c r="M32" s="212" t="s">
        <v>75</v>
      </c>
      <c r="N32" s="212"/>
      <c r="O32" s="212"/>
      <c r="P32" s="212"/>
      <c r="Q32" s="157"/>
      <c r="R32" s="215">
        <v>0.375</v>
      </c>
      <c r="S32" s="313" t="s">
        <v>77</v>
      </c>
      <c r="T32" s="216">
        <v>0.41666666666666669</v>
      </c>
      <c r="U32" s="212">
        <f t="shared" si="10"/>
        <v>1</v>
      </c>
      <c r="V32" s="212">
        <f t="shared" si="11"/>
        <v>1</v>
      </c>
      <c r="W32" s="229">
        <f t="shared" si="12"/>
        <v>48</v>
      </c>
      <c r="X32" s="312"/>
      <c r="Y32" s="229">
        <v>0</v>
      </c>
      <c r="Z32" s="304"/>
    </row>
    <row r="33" spans="1:28" s="45" customFormat="1" ht="9.75" customHeight="1" x14ac:dyDescent="0.3">
      <c r="B33" s="312"/>
      <c r="C33" s="50"/>
      <c r="D33" s="54"/>
      <c r="E33" s="54"/>
      <c r="F33" s="54"/>
      <c r="G33" s="312"/>
      <c r="H33" s="54"/>
      <c r="I33" s="312"/>
      <c r="J33" s="54"/>
      <c r="K33" s="54"/>
      <c r="L33" s="54"/>
      <c r="M33" s="54"/>
      <c r="N33" s="54"/>
      <c r="O33" s="54"/>
      <c r="P33" s="54"/>
      <c r="Q33" s="312"/>
      <c r="R33" s="174"/>
      <c r="S33" s="54"/>
      <c r="T33" s="175"/>
      <c r="U33" s="54"/>
      <c r="V33" s="54"/>
      <c r="W33" s="228"/>
      <c r="X33" s="312"/>
      <c r="Y33" s="228"/>
      <c r="Z33" s="304"/>
    </row>
    <row r="34" spans="1:28" s="45" customFormat="1" x14ac:dyDescent="0.3">
      <c r="B34" s="312"/>
      <c r="C34" s="211" t="s">
        <v>137</v>
      </c>
      <c r="D34" s="212">
        <v>42</v>
      </c>
      <c r="E34" s="212">
        <v>1</v>
      </c>
      <c r="F34" s="212">
        <v>1</v>
      </c>
      <c r="G34" s="157"/>
      <c r="H34" s="212">
        <v>1</v>
      </c>
      <c r="I34" s="157"/>
      <c r="J34" s="212" t="s">
        <v>72</v>
      </c>
      <c r="K34" s="212"/>
      <c r="L34" s="212"/>
      <c r="M34" s="212"/>
      <c r="N34" s="212"/>
      <c r="O34" s="212"/>
      <c r="P34" s="212"/>
      <c r="Q34" s="157"/>
      <c r="R34" s="215">
        <v>0.375</v>
      </c>
      <c r="S34" s="313" t="s">
        <v>77</v>
      </c>
      <c r="T34" s="216">
        <v>0.41666666666666669</v>
      </c>
      <c r="U34" s="212">
        <f t="shared" ref="U34:U35" si="13">+F34*E34</f>
        <v>1</v>
      </c>
      <c r="V34" s="212">
        <f t="shared" ref="V34:V35" si="14">+U34*H34</f>
        <v>1</v>
      </c>
      <c r="W34" s="229">
        <f t="shared" ref="W34:W35" si="15">+V34*D34</f>
        <v>42</v>
      </c>
      <c r="X34" s="312"/>
      <c r="Y34" s="229">
        <v>0</v>
      </c>
      <c r="Z34" s="304"/>
    </row>
    <row r="35" spans="1:28" s="45" customFormat="1" x14ac:dyDescent="0.3">
      <c r="B35" s="312"/>
      <c r="C35" s="211" t="s">
        <v>107</v>
      </c>
      <c r="D35" s="212">
        <v>42</v>
      </c>
      <c r="E35" s="212">
        <v>1</v>
      </c>
      <c r="F35" s="212">
        <v>0.5</v>
      </c>
      <c r="G35" s="157"/>
      <c r="H35" s="212">
        <v>1</v>
      </c>
      <c r="I35" s="157"/>
      <c r="J35" s="212" t="s">
        <v>72</v>
      </c>
      <c r="K35" s="212"/>
      <c r="L35" s="212"/>
      <c r="M35" s="212"/>
      <c r="N35" s="212"/>
      <c r="O35" s="212"/>
      <c r="P35" s="212"/>
      <c r="Q35" s="157"/>
      <c r="R35" s="215">
        <v>0.41666666666666669</v>
      </c>
      <c r="S35" s="313" t="s">
        <v>77</v>
      </c>
      <c r="T35" s="216">
        <v>0.4375</v>
      </c>
      <c r="U35" s="212">
        <f t="shared" si="13"/>
        <v>0.5</v>
      </c>
      <c r="V35" s="212">
        <f t="shared" si="14"/>
        <v>0.5</v>
      </c>
      <c r="W35" s="229">
        <f t="shared" si="15"/>
        <v>21</v>
      </c>
      <c r="X35" s="312"/>
      <c r="Y35" s="229">
        <v>0</v>
      </c>
      <c r="Z35" s="304"/>
    </row>
    <row r="36" spans="1:28" s="45" customFormat="1" ht="9.75" customHeight="1" x14ac:dyDescent="0.3">
      <c r="B36" s="312"/>
      <c r="C36" s="50"/>
      <c r="D36" s="54"/>
      <c r="E36" s="54"/>
      <c r="F36" s="54"/>
      <c r="G36" s="312"/>
      <c r="H36" s="54"/>
      <c r="I36" s="312"/>
      <c r="J36" s="54"/>
      <c r="K36" s="54"/>
      <c r="L36" s="54"/>
      <c r="M36" s="54"/>
      <c r="N36" s="54"/>
      <c r="O36" s="54"/>
      <c r="P36" s="54"/>
      <c r="Q36" s="312"/>
      <c r="R36" s="174"/>
      <c r="S36" s="54"/>
      <c r="T36" s="175"/>
      <c r="U36" s="54"/>
      <c r="V36" s="54"/>
      <c r="W36" s="228"/>
      <c r="X36" s="312"/>
      <c r="Y36" s="228"/>
      <c r="Z36" s="304"/>
    </row>
    <row r="37" spans="1:28" s="45" customFormat="1" x14ac:dyDescent="0.3">
      <c r="B37" s="312"/>
      <c r="C37" s="211" t="s">
        <v>108</v>
      </c>
      <c r="D37" s="212">
        <v>48</v>
      </c>
      <c r="E37" s="212">
        <v>1</v>
      </c>
      <c r="F37" s="212">
        <v>2</v>
      </c>
      <c r="G37" s="157"/>
      <c r="H37" s="212">
        <v>1</v>
      </c>
      <c r="I37" s="157"/>
      <c r="J37" s="212" t="s">
        <v>72</v>
      </c>
      <c r="K37" s="212"/>
      <c r="L37" s="212"/>
      <c r="M37" s="212"/>
      <c r="N37" s="212"/>
      <c r="O37" s="212"/>
      <c r="P37" s="212"/>
      <c r="Q37" s="157"/>
      <c r="R37" s="215">
        <v>0.45833333333333331</v>
      </c>
      <c r="S37" s="313" t="s">
        <v>77</v>
      </c>
      <c r="T37" s="216">
        <v>0.54166666666666663</v>
      </c>
      <c r="U37" s="212">
        <f t="shared" ref="U37" si="16">+F37*E37</f>
        <v>2</v>
      </c>
      <c r="V37" s="212">
        <f t="shared" ref="V37" si="17">+U37*H37</f>
        <v>2</v>
      </c>
      <c r="W37" s="239">
        <f t="shared" ref="W37" si="18">+V37*D37</f>
        <v>96</v>
      </c>
      <c r="X37" s="312"/>
      <c r="Y37" s="229">
        <v>0</v>
      </c>
      <c r="Z37" s="304"/>
    </row>
    <row r="38" spans="1:28" s="45" customFormat="1" x14ac:dyDescent="0.3">
      <c r="B38" s="312"/>
      <c r="C38" s="211" t="s">
        <v>109</v>
      </c>
      <c r="D38" s="436" t="s">
        <v>110</v>
      </c>
      <c r="E38" s="437"/>
      <c r="F38" s="438"/>
      <c r="G38" s="157"/>
      <c r="H38" s="212"/>
      <c r="I38" s="157"/>
      <c r="J38" s="212"/>
      <c r="K38" s="212"/>
      <c r="L38" s="212"/>
      <c r="M38" s="212"/>
      <c r="N38" s="212"/>
      <c r="O38" s="212"/>
      <c r="P38" s="212"/>
      <c r="Q38" s="157"/>
      <c r="R38" s="215"/>
      <c r="S38" s="313"/>
      <c r="T38" s="216"/>
      <c r="U38" s="212"/>
      <c r="V38" s="212"/>
      <c r="W38" s="229"/>
      <c r="X38" s="312"/>
      <c r="Y38" s="229">
        <v>0</v>
      </c>
      <c r="Z38" s="304"/>
    </row>
    <row r="39" spans="1:28" s="45" customFormat="1" x14ac:dyDescent="0.3">
      <c r="B39" s="312"/>
      <c r="C39" s="211" t="s">
        <v>111</v>
      </c>
      <c r="D39" s="436" t="s">
        <v>110</v>
      </c>
      <c r="E39" s="437"/>
      <c r="F39" s="438"/>
      <c r="G39" s="157"/>
      <c r="H39" s="212"/>
      <c r="I39" s="157"/>
      <c r="J39" s="212"/>
      <c r="K39" s="212"/>
      <c r="L39" s="212"/>
      <c r="M39" s="212"/>
      <c r="N39" s="212"/>
      <c r="O39" s="212"/>
      <c r="P39" s="212"/>
      <c r="Q39" s="157"/>
      <c r="R39" s="215"/>
      <c r="S39" s="313"/>
      <c r="T39" s="216"/>
      <c r="U39" s="212"/>
      <c r="V39" s="212"/>
      <c r="W39" s="229"/>
      <c r="X39" s="312"/>
      <c r="Y39" s="229">
        <v>0</v>
      </c>
      <c r="Z39" s="304"/>
    </row>
    <row r="40" spans="1:28" s="45" customFormat="1" x14ac:dyDescent="0.3">
      <c r="B40" s="312"/>
      <c r="C40" s="211" t="s">
        <v>112</v>
      </c>
      <c r="D40" s="436" t="s">
        <v>110</v>
      </c>
      <c r="E40" s="437"/>
      <c r="F40" s="438"/>
      <c r="G40" s="157"/>
      <c r="H40" s="212"/>
      <c r="I40" s="157"/>
      <c r="J40" s="212"/>
      <c r="K40" s="212"/>
      <c r="L40" s="212"/>
      <c r="M40" s="212"/>
      <c r="N40" s="212"/>
      <c r="O40" s="212"/>
      <c r="P40" s="212"/>
      <c r="Q40" s="157"/>
      <c r="R40" s="215"/>
      <c r="S40" s="313"/>
      <c r="T40" s="216"/>
      <c r="U40" s="212"/>
      <c r="V40" s="212"/>
      <c r="W40" s="229"/>
      <c r="X40" s="312"/>
      <c r="Y40" s="229">
        <v>0</v>
      </c>
      <c r="Z40" s="304"/>
    </row>
    <row r="41" spans="1:28" s="45" customFormat="1" ht="9.75" customHeight="1" x14ac:dyDescent="0.3">
      <c r="B41" s="312"/>
      <c r="C41" s="50"/>
      <c r="D41" s="54"/>
      <c r="E41" s="54"/>
      <c r="F41" s="54"/>
      <c r="G41" s="312"/>
      <c r="H41" s="54"/>
      <c r="I41" s="54"/>
      <c r="J41" s="54"/>
      <c r="K41" s="54"/>
      <c r="L41" s="54"/>
      <c r="M41" s="54"/>
      <c r="N41" s="54"/>
      <c r="O41" s="54"/>
      <c r="P41" s="54"/>
      <c r="Q41" s="312"/>
      <c r="R41" s="174"/>
      <c r="S41" s="54"/>
      <c r="T41" s="175"/>
      <c r="U41" s="54"/>
      <c r="V41" s="54"/>
      <c r="W41" s="228"/>
      <c r="X41" s="312"/>
      <c r="Y41" s="228"/>
      <c r="Z41" s="304"/>
    </row>
    <row r="42" spans="1:28" s="45" customFormat="1" x14ac:dyDescent="0.3">
      <c r="B42" s="323"/>
      <c r="C42" s="332"/>
      <c r="D42" s="327"/>
      <c r="E42" s="331"/>
      <c r="F42" s="331"/>
      <c r="G42" s="312"/>
      <c r="H42" s="54"/>
      <c r="I42" s="54"/>
      <c r="J42" s="54"/>
      <c r="K42" s="54"/>
      <c r="L42" s="54"/>
      <c r="M42" s="54"/>
      <c r="N42" s="54"/>
      <c r="O42" s="54"/>
      <c r="P42" s="54"/>
      <c r="Q42" s="312"/>
      <c r="R42" s="174"/>
      <c r="S42" s="54"/>
      <c r="T42" s="175"/>
      <c r="U42" s="177" t="s">
        <v>116</v>
      </c>
      <c r="V42" s="54"/>
      <c r="W42" s="178">
        <f>+SUM(W9:W41)</f>
        <v>9516</v>
      </c>
      <c r="X42" s="179"/>
      <c r="Y42" s="178">
        <f>+SUM(Y9:Y41)</f>
        <v>69</v>
      </c>
      <c r="Z42" s="304"/>
      <c r="AA42" s="105"/>
    </row>
    <row r="43" spans="1:28" s="45" customFormat="1" ht="1.5" customHeight="1" x14ac:dyDescent="0.3">
      <c r="A43" s="333"/>
      <c r="B43" s="327"/>
      <c r="C43" s="321"/>
      <c r="D43" s="319"/>
      <c r="E43" s="321"/>
      <c r="F43" s="322"/>
      <c r="G43" s="54"/>
      <c r="H43" s="180"/>
      <c r="I43" s="180"/>
      <c r="J43" s="180"/>
      <c r="K43" s="180"/>
      <c r="L43" s="180"/>
      <c r="M43" s="180"/>
      <c r="N43" s="180"/>
      <c r="O43" s="180"/>
      <c r="P43" s="180"/>
      <c r="Q43" s="157"/>
      <c r="R43" s="181"/>
      <c r="S43" s="180"/>
      <c r="T43" s="182"/>
      <c r="U43" s="180"/>
      <c r="V43" s="180"/>
      <c r="W43" s="183"/>
      <c r="X43" s="184"/>
      <c r="Y43" s="183"/>
      <c r="Z43" s="304"/>
      <c r="AA43" s="105"/>
    </row>
    <row r="44" spans="1:28" s="45" customFormat="1" x14ac:dyDescent="0.3">
      <c r="A44" s="334"/>
      <c r="B44" s="331"/>
      <c r="C44" s="332"/>
      <c r="D44" s="323"/>
      <c r="E44" s="323"/>
      <c r="F44" s="332"/>
      <c r="G44" s="312"/>
      <c r="H44" s="54"/>
      <c r="I44" s="54"/>
      <c r="J44" s="54"/>
      <c r="K44" s="54"/>
      <c r="L44" s="54"/>
      <c r="M44" s="54"/>
      <c r="N44" s="54"/>
      <c r="O44" s="54"/>
      <c r="P44" s="54"/>
      <c r="Q44" s="312"/>
      <c r="R44" s="174"/>
      <c r="S44" s="54"/>
      <c r="T44" s="175"/>
      <c r="U44" s="177" t="s">
        <v>117</v>
      </c>
      <c r="V44" s="185" t="s">
        <v>118</v>
      </c>
      <c r="W44" s="178">
        <v>460</v>
      </c>
      <c r="X44" s="179"/>
      <c r="Y44" s="178"/>
      <c r="Z44" s="304"/>
      <c r="AA44" s="238"/>
    </row>
    <row r="45" spans="1:28" s="45" customFormat="1" ht="3" customHeight="1" x14ac:dyDescent="0.3">
      <c r="A45" s="334"/>
      <c r="B45" s="327"/>
      <c r="C45" s="321"/>
      <c r="D45" s="321"/>
      <c r="E45" s="321"/>
      <c r="F45" s="324"/>
      <c r="G45" s="312"/>
      <c r="H45" s="54"/>
      <c r="I45" s="54"/>
      <c r="J45" s="54"/>
      <c r="K45" s="54"/>
      <c r="L45" s="54"/>
      <c r="M45" s="54"/>
      <c r="N45" s="54"/>
      <c r="O45" s="54"/>
      <c r="P45" s="54"/>
      <c r="Q45" s="312"/>
      <c r="R45" s="174"/>
      <c r="S45" s="54"/>
      <c r="T45" s="175"/>
      <c r="U45" s="186"/>
      <c r="V45" s="54"/>
      <c r="W45" s="183"/>
      <c r="X45" s="179"/>
      <c r="Y45" s="178"/>
      <c r="Z45" s="304"/>
      <c r="AA45" s="105"/>
    </row>
    <row r="46" spans="1:28" s="45" customFormat="1" x14ac:dyDescent="0.3">
      <c r="A46" s="320"/>
      <c r="B46" s="327"/>
      <c r="C46" s="332"/>
      <c r="D46" s="323"/>
      <c r="E46" s="331"/>
      <c r="F46" s="322"/>
      <c r="G46" s="312"/>
      <c r="H46" s="54"/>
      <c r="I46" s="54"/>
      <c r="J46" s="54"/>
      <c r="K46" s="54"/>
      <c r="L46" s="54"/>
      <c r="M46" s="54"/>
      <c r="N46" s="54"/>
      <c r="O46" s="54"/>
      <c r="P46" s="54"/>
      <c r="Q46" s="312"/>
      <c r="R46" s="174"/>
      <c r="S46" s="54"/>
      <c r="T46" s="175"/>
      <c r="U46" s="177" t="s">
        <v>119</v>
      </c>
      <c r="V46" s="54"/>
      <c r="W46" s="153">
        <f>+SUM(W42:Y45)</f>
        <v>10045</v>
      </c>
      <c r="X46" s="179"/>
      <c r="Y46" s="178"/>
      <c r="Z46" s="304"/>
      <c r="AA46" s="241"/>
    </row>
    <row r="47" spans="1:28" s="45" customFormat="1" x14ac:dyDescent="0.3">
      <c r="B47" s="331"/>
      <c r="C47" s="319"/>
      <c r="D47" s="319"/>
      <c r="E47" s="319"/>
      <c r="F47" s="33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12"/>
      <c r="R47" s="174"/>
      <c r="S47" s="54"/>
      <c r="T47" s="175"/>
      <c r="U47" s="177" t="s">
        <v>121</v>
      </c>
      <c r="V47" s="54"/>
      <c r="W47" s="187">
        <f>'Proposta DEFINITIVA'!F18</f>
        <v>23.000902888999502</v>
      </c>
      <c r="X47" s="312"/>
      <c r="Y47" s="188"/>
      <c r="Z47" s="304"/>
      <c r="AA47" s="105" t="s">
        <v>154</v>
      </c>
      <c r="AB47" s="45">
        <v>221742.45</v>
      </c>
    </row>
    <row r="48" spans="1:28" s="45" customFormat="1" ht="1.5" customHeight="1" x14ac:dyDescent="0.3">
      <c r="B48" s="325"/>
      <c r="C48" s="319"/>
      <c r="D48" s="319"/>
      <c r="E48" s="319"/>
      <c r="F48" s="326"/>
      <c r="G48" s="54"/>
      <c r="H48" s="180"/>
      <c r="I48" s="180"/>
      <c r="J48" s="180"/>
      <c r="K48" s="180"/>
      <c r="L48" s="180"/>
      <c r="M48" s="180"/>
      <c r="N48" s="180"/>
      <c r="O48" s="180"/>
      <c r="P48" s="180"/>
      <c r="Q48" s="157"/>
      <c r="R48" s="181"/>
      <c r="S48" s="180"/>
      <c r="T48" s="182"/>
      <c r="U48" s="180"/>
      <c r="V48" s="180"/>
      <c r="W48" s="189"/>
      <c r="X48" s="157"/>
      <c r="Y48" s="189"/>
      <c r="Z48" s="304"/>
      <c r="AA48" s="105"/>
    </row>
    <row r="49" spans="2:27" s="45" customFormat="1" x14ac:dyDescent="0.3">
      <c r="B49" s="328"/>
      <c r="C49" s="329"/>
      <c r="D49" s="329"/>
      <c r="E49" s="329"/>
      <c r="F49" s="330"/>
      <c r="G49" s="54"/>
      <c r="H49" s="54"/>
      <c r="I49" s="54"/>
      <c r="J49" s="190"/>
      <c r="K49" s="190"/>
      <c r="L49" s="190"/>
      <c r="M49" s="190"/>
      <c r="N49" s="190"/>
      <c r="O49" s="190"/>
      <c r="P49" s="190"/>
      <c r="Q49" s="191"/>
      <c r="R49" s="192"/>
      <c r="S49" s="190"/>
      <c r="T49" s="193"/>
      <c r="U49" s="194"/>
      <c r="V49" s="195" t="s">
        <v>123</v>
      </c>
      <c r="W49" s="196">
        <f>+W47*W46</f>
        <v>231044.06951999999</v>
      </c>
      <c r="X49" s="312"/>
      <c r="Y49" s="197" t="s">
        <v>124</v>
      </c>
      <c r="Z49" s="304"/>
      <c r="AA49" s="241"/>
    </row>
    <row r="50" spans="2:27" s="45" customFormat="1" x14ac:dyDescent="0.3">
      <c r="B50" s="319"/>
      <c r="C50" s="319"/>
      <c r="D50" s="319"/>
      <c r="E50" s="319"/>
      <c r="F50" s="319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12"/>
      <c r="R50" s="174"/>
      <c r="S50" s="54"/>
      <c r="T50" s="175"/>
      <c r="U50" s="54"/>
      <c r="V50" s="177" t="s">
        <v>126</v>
      </c>
      <c r="W50" s="198">
        <f>+'Dades Contracte'!F21</f>
        <v>279579.72000000003</v>
      </c>
      <c r="X50" s="312"/>
      <c r="Y50" s="199" t="s">
        <v>127</v>
      </c>
      <c r="Z50" s="304"/>
      <c r="AA50" s="105"/>
    </row>
    <row r="51" spans="2:27" s="45" customFormat="1" x14ac:dyDescent="0.3">
      <c r="G51" s="5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200" t="s">
        <v>129</v>
      </c>
      <c r="W51" s="198">
        <f>+W49-W50</f>
        <v>-48535.65048000004</v>
      </c>
      <c r="X51" s="312"/>
      <c r="Y51" s="201">
        <f>+W51/W50</f>
        <v>-0.17360218573793562</v>
      </c>
      <c r="Z51" s="304"/>
    </row>
    <row r="52" spans="2:27" s="45" customFormat="1" x14ac:dyDescent="0.3">
      <c r="B52"/>
      <c r="C52"/>
      <c r="D52"/>
      <c r="E52"/>
      <c r="F5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/>
    </row>
    <row r="53" spans="2:27" x14ac:dyDescent="0.3">
      <c r="C53">
        <f>10*4</f>
        <v>40</v>
      </c>
    </row>
    <row r="54" spans="2:27" x14ac:dyDescent="0.3">
      <c r="W54">
        <v>200</v>
      </c>
    </row>
  </sheetData>
  <mergeCells count="7">
    <mergeCell ref="R6:T6"/>
    <mergeCell ref="D38:F38"/>
    <mergeCell ref="D39:F39"/>
    <mergeCell ref="D40:F40"/>
    <mergeCell ref="C2:D2"/>
    <mergeCell ref="C3:E3"/>
    <mergeCell ref="H6:P6"/>
  </mergeCells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D17"/>
  <sheetViews>
    <sheetView zoomScale="150" zoomScaleNormal="150" workbookViewId="0">
      <selection activeCell="E32" sqref="E32"/>
    </sheetView>
  </sheetViews>
  <sheetFormatPr baseColWidth="10" defaultColWidth="9.109375" defaultRowHeight="9.6" x14ac:dyDescent="0.2"/>
  <cols>
    <col min="1" max="1" width="2.44140625" style="133" bestFit="1" customWidth="1"/>
    <col min="2" max="2" width="31.33203125" style="133" customWidth="1"/>
    <col min="3" max="3" width="10.109375" style="133" customWidth="1"/>
    <col min="4" max="4" width="5" style="133" bestFit="1" customWidth="1"/>
    <col min="5" max="5" width="10.44140625" style="133" bestFit="1" customWidth="1"/>
    <col min="6" max="6" width="11.33203125" style="133" customWidth="1"/>
    <col min="7" max="7" width="6" style="133" bestFit="1" customWidth="1"/>
    <col min="8" max="8" width="45.109375" style="133" bestFit="1" customWidth="1"/>
    <col min="9" max="16384" width="9.109375" style="133"/>
  </cols>
  <sheetData>
    <row r="2" spans="1:4" x14ac:dyDescent="0.2">
      <c r="A2" s="315"/>
      <c r="B2" s="439" t="s">
        <v>58</v>
      </c>
      <c r="C2" s="439"/>
      <c r="D2" s="132"/>
    </row>
    <row r="3" spans="1:4" x14ac:dyDescent="0.2">
      <c r="A3" s="315"/>
      <c r="B3" s="439" t="s">
        <v>231</v>
      </c>
      <c r="C3" s="439"/>
      <c r="D3" s="132"/>
    </row>
    <row r="4" spans="1:4" x14ac:dyDescent="0.2">
      <c r="A4" s="315"/>
      <c r="B4" s="135"/>
      <c r="C4" s="151" t="s">
        <v>232</v>
      </c>
      <c r="D4" s="132"/>
    </row>
    <row r="5" spans="1:4" x14ac:dyDescent="0.2">
      <c r="A5" s="315" t="s">
        <v>233</v>
      </c>
      <c r="B5" s="135" t="s">
        <v>35</v>
      </c>
      <c r="C5" s="145">
        <f>+SUM(C6:C8)</f>
        <v>315633.45676800003</v>
      </c>
      <c r="D5" s="209">
        <f>+C5/$C$16</f>
        <v>0.63942091569318671</v>
      </c>
    </row>
    <row r="6" spans="1:4" x14ac:dyDescent="0.2">
      <c r="A6" s="315" t="s">
        <v>234</v>
      </c>
      <c r="B6" s="136" t="s">
        <v>216</v>
      </c>
      <c r="C6" s="146">
        <f>+'Taula Personal Propi'!H52</f>
        <v>252633.456768</v>
      </c>
      <c r="D6" s="210">
        <f t="shared" ref="D6:D8" si="0">+C6/$C$16</f>
        <v>0.51179338817705156</v>
      </c>
    </row>
    <row r="7" spans="1:4" x14ac:dyDescent="0.2">
      <c r="A7" s="315" t="s">
        <v>235</v>
      </c>
      <c r="B7" s="147" t="s">
        <v>236</v>
      </c>
      <c r="C7" s="146">
        <v>60000</v>
      </c>
      <c r="D7" s="210">
        <f t="shared" si="0"/>
        <v>0.12155002620584296</v>
      </c>
    </row>
    <row r="8" spans="1:4" x14ac:dyDescent="0.2">
      <c r="A8" s="315" t="s">
        <v>237</v>
      </c>
      <c r="B8" s="147" t="s">
        <v>238</v>
      </c>
      <c r="C8" s="146">
        <f>+'Taula Personal Propi'!E63</f>
        <v>3000</v>
      </c>
      <c r="D8" s="210">
        <f t="shared" si="0"/>
        <v>6.0775013102921478E-3</v>
      </c>
    </row>
    <row r="9" spans="1:4" ht="9.75" customHeight="1" x14ac:dyDescent="0.2">
      <c r="A9" s="315"/>
      <c r="B9" s="148"/>
      <c r="C9" s="149"/>
      <c r="D9" s="315"/>
    </row>
    <row r="10" spans="1:4" x14ac:dyDescent="0.2">
      <c r="A10" s="315" t="s">
        <v>239</v>
      </c>
      <c r="B10" s="135" t="s">
        <v>36</v>
      </c>
      <c r="C10" s="145">
        <f>+SUM(C11:C13)</f>
        <v>141425.72528000001</v>
      </c>
      <c r="D10" s="209">
        <f>+C10/$C$16</f>
        <v>0.28650501023273917</v>
      </c>
    </row>
    <row r="11" spans="1:4" x14ac:dyDescent="0.2">
      <c r="A11" s="315" t="s">
        <v>240</v>
      </c>
      <c r="B11" s="136" t="s">
        <v>215</v>
      </c>
      <c r="C11" s="146">
        <f>+'Taula Personal Propi'!H48</f>
        <v>88785.725279999999</v>
      </c>
      <c r="D11" s="210">
        <f t="shared" ref="D11:D13" si="1">+C11/$C$16</f>
        <v>0.17986512057481288</v>
      </c>
    </row>
    <row r="12" spans="1:4" x14ac:dyDescent="0.2">
      <c r="A12" s="315" t="s">
        <v>241</v>
      </c>
      <c r="B12" s="147" t="s">
        <v>242</v>
      </c>
      <c r="C12" s="146">
        <v>38000</v>
      </c>
      <c r="D12" s="210">
        <f t="shared" si="1"/>
        <v>7.6981683263700543E-2</v>
      </c>
    </row>
    <row r="13" spans="1:4" x14ac:dyDescent="0.2">
      <c r="A13" s="315" t="s">
        <v>243</v>
      </c>
      <c r="B13" s="147" t="s">
        <v>244</v>
      </c>
      <c r="C13" s="146">
        <f>+'Taula Personal Propi'!E77</f>
        <v>14640</v>
      </c>
      <c r="D13" s="210">
        <f t="shared" si="1"/>
        <v>2.9658206394225683E-2</v>
      </c>
    </row>
    <row r="14" spans="1:4" x14ac:dyDescent="0.2">
      <c r="A14" s="315"/>
      <c r="B14" s="135" t="s">
        <v>245</v>
      </c>
      <c r="C14" s="145">
        <f>+C10+C5</f>
        <v>457059.18204800005</v>
      </c>
      <c r="D14" s="209">
        <f>+C14/$C$16</f>
        <v>0.92592592592592593</v>
      </c>
    </row>
    <row r="15" spans="1:4" x14ac:dyDescent="0.2">
      <c r="A15" s="315"/>
      <c r="B15" s="147" t="s">
        <v>246</v>
      </c>
      <c r="C15" s="146">
        <f>0.08*C14</f>
        <v>36564.734563840007</v>
      </c>
      <c r="D15" s="210">
        <f t="shared" ref="D15" si="2">+C15/$C$16</f>
        <v>7.4074074074074084E-2</v>
      </c>
    </row>
    <row r="16" spans="1:4" ht="9.75" customHeight="1" x14ac:dyDescent="0.2">
      <c r="A16" s="315"/>
      <c r="B16" s="135" t="s">
        <v>247</v>
      </c>
      <c r="C16" s="150">
        <f>+C14+C15</f>
        <v>493623.91661184008</v>
      </c>
      <c r="D16" s="315"/>
    </row>
    <row r="17" spans="1:4" ht="4.2" customHeight="1" x14ac:dyDescent="0.2">
      <c r="A17" s="315"/>
      <c r="B17" s="148"/>
      <c r="C17" s="149"/>
      <c r="D17" s="315"/>
    </row>
  </sheetData>
  <mergeCells count="2">
    <mergeCell ref="B2:C2"/>
    <mergeCell ref="B3:C3"/>
  </mergeCells>
  <pageMargins left="0.7" right="0.7" top="0.75" bottom="0.75" header="0.3" footer="0.3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0F60-C55F-4473-BB1C-71183FC7D5FE}">
  <dimension ref="B2:K31"/>
  <sheetViews>
    <sheetView workbookViewId="0">
      <selection activeCell="J5" sqref="J5"/>
    </sheetView>
  </sheetViews>
  <sheetFormatPr baseColWidth="10" defaultColWidth="11.44140625" defaultRowHeight="14.4" x14ac:dyDescent="0.3"/>
  <cols>
    <col min="2" max="2" width="23.109375" customWidth="1"/>
  </cols>
  <sheetData>
    <row r="2" spans="2:11" x14ac:dyDescent="0.3">
      <c r="B2" t="s">
        <v>248</v>
      </c>
      <c r="J2" t="s">
        <v>249</v>
      </c>
    </row>
    <row r="3" spans="2:11" x14ac:dyDescent="0.3">
      <c r="B3">
        <v>51569.17</v>
      </c>
      <c r="C3" t="s">
        <v>250</v>
      </c>
      <c r="J3">
        <v>10012.5</v>
      </c>
      <c r="K3" t="s">
        <v>250</v>
      </c>
    </row>
    <row r="4" spans="2:11" x14ac:dyDescent="0.3">
      <c r="B4" s="242">
        <v>1313899.22</v>
      </c>
      <c r="C4" t="s">
        <v>33</v>
      </c>
      <c r="J4" s="243">
        <v>453304</v>
      </c>
      <c r="K4" t="s">
        <v>33</v>
      </c>
    </row>
    <row r="5" spans="2:11" x14ac:dyDescent="0.3">
      <c r="B5" s="242">
        <f>B4/B3</f>
        <v>25.478386020174458</v>
      </c>
      <c r="C5" t="s">
        <v>251</v>
      </c>
      <c r="J5" s="243">
        <f>J4/J3/2</f>
        <v>22.636903870162296</v>
      </c>
      <c r="K5" t="s">
        <v>251</v>
      </c>
    </row>
    <row r="6" spans="2:11" x14ac:dyDescent="0.3">
      <c r="B6" s="242">
        <f>B5/1.21</f>
        <v>21.056517372045008</v>
      </c>
      <c r="C6" t="s">
        <v>252</v>
      </c>
      <c r="J6" s="243">
        <f>J5/1.21</f>
        <v>18.708185016663055</v>
      </c>
      <c r="K6" t="s">
        <v>252</v>
      </c>
    </row>
    <row r="31" spans="2:2" x14ac:dyDescent="0.3">
      <c r="B31" t="s">
        <v>253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4858-A1B1-4503-AECF-ECE6028498AC}">
  <dimension ref="A2:AQ72"/>
  <sheetViews>
    <sheetView zoomScale="90" zoomScaleNormal="90" workbookViewId="0">
      <selection activeCell="L13" sqref="L13:M13"/>
    </sheetView>
  </sheetViews>
  <sheetFormatPr baseColWidth="10" defaultColWidth="9.109375" defaultRowHeight="14.4" x14ac:dyDescent="0.3"/>
  <cols>
    <col min="1" max="1" width="1.5546875" customWidth="1"/>
    <col min="2" max="2" width="40.33203125" bestFit="1" customWidth="1"/>
    <col min="3" max="3" width="19.6640625" customWidth="1"/>
    <col min="4" max="4" width="17" customWidth="1"/>
    <col min="5" max="5" width="17.33203125" bestFit="1" customWidth="1"/>
    <col min="6" max="6" width="0.6640625" customWidth="1"/>
    <col min="7" max="7" width="3.88671875" customWidth="1"/>
    <col min="8" max="8" width="0.6640625" customWidth="1"/>
    <col min="9" max="9" width="2.6640625" bestFit="1" customWidth="1"/>
    <col min="10" max="10" width="3.88671875" bestFit="1" customWidth="1"/>
    <col min="11" max="11" width="3" bestFit="1" customWidth="1"/>
    <col min="12" max="12" width="2.6640625" bestFit="1" customWidth="1"/>
    <col min="13" max="13" width="3.109375" bestFit="1" customWidth="1"/>
    <col min="14" max="14" width="3" bestFit="1" customWidth="1"/>
    <col min="15" max="15" width="3.44140625" customWidth="1"/>
    <col min="16" max="16" width="0.6640625" customWidth="1"/>
    <col min="17" max="17" width="6.6640625" bestFit="1" customWidth="1"/>
    <col min="18" max="18" width="2" bestFit="1" customWidth="1"/>
    <col min="19" max="19" width="6.6640625" bestFit="1" customWidth="1"/>
    <col min="20" max="20" width="9.88671875" bestFit="1" customWidth="1"/>
    <col min="21" max="21" width="14.6640625" customWidth="1"/>
    <col min="22" max="22" width="14.44140625" bestFit="1" customWidth="1"/>
    <col min="23" max="23" width="0.6640625" customWidth="1"/>
    <col min="24" max="24" width="17.6640625" customWidth="1"/>
    <col min="25" max="25" width="0.6640625" customWidth="1"/>
    <col min="26" max="26" width="43" style="45" customWidth="1"/>
    <col min="27" max="27" width="18" style="45" bestFit="1" customWidth="1"/>
    <col min="28" max="28" width="12.88671875" style="45" customWidth="1"/>
    <col min="29" max="29" width="11" style="45" customWidth="1"/>
    <col min="30" max="30" width="10.5546875" style="45" customWidth="1"/>
    <col min="31" max="32" width="16.44140625" style="45" customWidth="1"/>
    <col min="33" max="33" width="18.33203125" style="45" customWidth="1"/>
    <col min="34" max="34" width="14.33203125" style="45" customWidth="1"/>
    <col min="35" max="35" width="15.88671875" style="45" customWidth="1"/>
    <col min="36" max="36" width="14" style="45" customWidth="1"/>
    <col min="37" max="37" width="12.109375" style="45" customWidth="1"/>
    <col min="38" max="38" width="16.88671875" customWidth="1"/>
    <col min="39" max="39" width="13.6640625" customWidth="1"/>
    <col min="40" max="40" width="17.6640625" customWidth="1"/>
    <col min="41" max="41" width="16.88671875" customWidth="1"/>
    <col min="42" max="42" width="15.44140625" customWidth="1"/>
    <col min="43" max="43" width="24.88671875" bestFit="1" customWidth="1"/>
  </cols>
  <sheetData>
    <row r="2" spans="2:43" ht="18" x14ac:dyDescent="0.35">
      <c r="Z2" s="376" t="s">
        <v>309</v>
      </c>
      <c r="AA2" s="377">
        <v>220000</v>
      </c>
      <c r="AB2"/>
      <c r="AC2" s="335"/>
      <c r="AD2" s="335"/>
      <c r="AE2" s="335"/>
      <c r="AF2" s="335"/>
      <c r="AG2" s="335"/>
      <c r="AH2"/>
      <c r="AI2"/>
      <c r="AJ2"/>
      <c r="AK2"/>
    </row>
    <row r="3" spans="2:43" ht="18" x14ac:dyDescent="0.35">
      <c r="Z3" s="376" t="s">
        <v>307</v>
      </c>
      <c r="AA3" s="377">
        <f>AN16</f>
        <v>162893.81104560001</v>
      </c>
      <c r="AB3" s="385" t="s">
        <v>306</v>
      </c>
      <c r="AC3" s="335"/>
      <c r="AD3" s="335"/>
      <c r="AE3" s="335"/>
      <c r="AF3" s="335"/>
      <c r="AG3" s="335"/>
      <c r="AH3"/>
      <c r="AI3"/>
      <c r="AJ3"/>
      <c r="AK3"/>
    </row>
    <row r="4" spans="2:43" ht="18" x14ac:dyDescent="0.35">
      <c r="Z4" s="376" t="s">
        <v>308</v>
      </c>
      <c r="AA4" s="377">
        <f>AF16</f>
        <v>77014.689839999992</v>
      </c>
      <c r="AB4" s="385" t="s">
        <v>305</v>
      </c>
      <c r="AC4" s="335"/>
      <c r="AD4" s="335"/>
      <c r="AE4" s="335"/>
      <c r="AF4" s="335"/>
      <c r="AG4" s="335"/>
      <c r="AH4"/>
      <c r="AI4"/>
      <c r="AJ4"/>
      <c r="AK4"/>
    </row>
    <row r="5" spans="2:43" ht="18.600000000000001" thickBot="1" x14ac:dyDescent="0.4">
      <c r="Z5" s="384" t="s">
        <v>310</v>
      </c>
      <c r="AA5" s="378">
        <f>AA2-AA3-AA4</f>
        <v>-19908.500885600006</v>
      </c>
      <c r="AB5" s="386" t="s">
        <v>304</v>
      </c>
      <c r="AC5" s="335"/>
      <c r="AD5" s="335"/>
      <c r="AE5" s="335"/>
      <c r="AF5" s="335"/>
      <c r="AG5" s="335"/>
      <c r="AH5"/>
      <c r="AI5"/>
      <c r="AJ5"/>
      <c r="AK5"/>
    </row>
    <row r="6" spans="2:43" ht="18.600000000000001" thickBot="1" x14ac:dyDescent="0.4">
      <c r="B6" s="375" t="s">
        <v>260</v>
      </c>
      <c r="C6" t="s">
        <v>261</v>
      </c>
      <c r="D6" s="405" t="s">
        <v>319</v>
      </c>
      <c r="E6" s="406" t="s">
        <v>0</v>
      </c>
      <c r="Z6" s="379" t="s">
        <v>262</v>
      </c>
      <c r="AA6" s="380">
        <f>V67</f>
        <v>231044.06951999999</v>
      </c>
      <c r="AB6" s="335"/>
      <c r="AC6" s="335"/>
      <c r="AD6" s="335"/>
      <c r="AE6" s="335"/>
      <c r="AF6" s="335"/>
      <c r="AG6" s="335"/>
      <c r="AH6" s="446" t="s">
        <v>263</v>
      </c>
      <c r="AI6" s="447"/>
      <c r="AJ6"/>
      <c r="AK6"/>
    </row>
    <row r="7" spans="2:43" s="338" customFormat="1" ht="44.25" customHeight="1" thickBot="1" x14ac:dyDescent="0.35">
      <c r="B7" s="336" t="s">
        <v>89</v>
      </c>
      <c r="C7" s="337">
        <v>5.6103896103896114E-2</v>
      </c>
      <c r="D7" s="407">
        <f>Z33</f>
        <v>5.44766708701135E-2</v>
      </c>
      <c r="E7" s="408">
        <f>V33+X33</f>
        <v>532.40000000000009</v>
      </c>
      <c r="Z7" s="383" t="s">
        <v>303</v>
      </c>
      <c r="AA7" s="339" t="s">
        <v>264</v>
      </c>
      <c r="AB7" s="339" t="s">
        <v>265</v>
      </c>
      <c r="AC7" s="339" t="s">
        <v>266</v>
      </c>
      <c r="AD7" s="339" t="s">
        <v>267</v>
      </c>
      <c r="AE7" s="339" t="s">
        <v>268</v>
      </c>
      <c r="AF7" s="340" t="s">
        <v>269</v>
      </c>
      <c r="AG7" s="381" t="s">
        <v>302</v>
      </c>
      <c r="AH7" s="341" t="s">
        <v>270</v>
      </c>
      <c r="AI7" s="341" t="s">
        <v>271</v>
      </c>
      <c r="AJ7" s="342" t="s">
        <v>272</v>
      </c>
      <c r="AK7" s="343"/>
      <c r="AL7" s="339" t="s">
        <v>264</v>
      </c>
      <c r="AM7" s="339" t="s">
        <v>273</v>
      </c>
      <c r="AN7" s="339" t="s">
        <v>274</v>
      </c>
      <c r="AO7" s="339" t="s">
        <v>275</v>
      </c>
      <c r="AP7" s="343" t="s">
        <v>276</v>
      </c>
    </row>
    <row r="8" spans="2:43" x14ac:dyDescent="0.3">
      <c r="B8" s="299" t="s">
        <v>95</v>
      </c>
      <c r="C8" s="344">
        <v>3.1168831168831169E-2</v>
      </c>
      <c r="D8" s="409">
        <f>Z38</f>
        <v>3.0264817150063052E-2</v>
      </c>
      <c r="E8" s="25">
        <f>V38+X38</f>
        <v>295</v>
      </c>
      <c r="Z8" s="345" t="s">
        <v>277</v>
      </c>
      <c r="AA8" s="346">
        <f>D12</f>
        <v>6.6939890710382519E-2</v>
      </c>
      <c r="AB8" s="347" t="s">
        <v>278</v>
      </c>
      <c r="AC8" s="348" t="s">
        <v>279</v>
      </c>
      <c r="AD8" s="349" t="s">
        <v>280</v>
      </c>
      <c r="AE8" s="350">
        <f>AA8*$AA$6</f>
        <v>15466.06476295082</v>
      </c>
      <c r="AF8" s="351">
        <f>AE8/12*4</f>
        <v>5155.3549209836065</v>
      </c>
      <c r="AG8" s="382">
        <v>220250000955</v>
      </c>
      <c r="AH8" s="352">
        <v>15166.67</v>
      </c>
      <c r="AI8" s="352">
        <v>15166.67</v>
      </c>
      <c r="AJ8" s="353"/>
      <c r="AK8" s="448" t="s">
        <v>281</v>
      </c>
      <c r="AL8" s="354">
        <v>6.8940000000000001E-2</v>
      </c>
      <c r="AM8" s="355">
        <f>AM16*AL8</f>
        <v>1403.7514542000001</v>
      </c>
      <c r="AN8" s="355">
        <f>AM8*8</f>
        <v>11230.011633600001</v>
      </c>
      <c r="AO8" s="355">
        <f>AF8+AN8</f>
        <v>16385.366554583608</v>
      </c>
      <c r="AP8" s="356">
        <f>AH8-AO8</f>
        <v>-1218.6965545836083</v>
      </c>
      <c r="AQ8" s="357" t="s">
        <v>282</v>
      </c>
    </row>
    <row r="9" spans="2:43" x14ac:dyDescent="0.3">
      <c r="B9" s="299" t="s">
        <v>283</v>
      </c>
      <c r="C9" s="344">
        <v>5.4112554112554112E-2</v>
      </c>
      <c r="D9" s="409">
        <f>Z30+Z31</f>
        <v>8.0285834384195037E-2</v>
      </c>
      <c r="E9" s="25">
        <f>V30+X30+V31+X31</f>
        <v>784</v>
      </c>
      <c r="Z9" s="345" t="s">
        <v>283</v>
      </c>
      <c r="AA9" s="346">
        <f>D9</f>
        <v>8.0285834384195037E-2</v>
      </c>
      <c r="AB9" s="451" t="s">
        <v>278</v>
      </c>
      <c r="AC9" s="451">
        <v>2310</v>
      </c>
      <c r="AD9" s="452" t="s">
        <v>280</v>
      </c>
      <c r="AE9" s="350">
        <f t="shared" ref="AE9:AE15" si="0">AA9*$AA$6</f>
        <v>18549.565900933165</v>
      </c>
      <c r="AF9" s="351">
        <f t="shared" ref="AF9:AF15" si="1">AE9/12*4</f>
        <v>6183.1886336443886</v>
      </c>
      <c r="AG9" s="444">
        <v>220250000956</v>
      </c>
      <c r="AH9" s="454">
        <v>13961.9</v>
      </c>
      <c r="AI9" s="454">
        <v>13961.9</v>
      </c>
      <c r="AJ9" s="455"/>
      <c r="AK9" s="449"/>
      <c r="AL9" s="354">
        <v>5.4109999999999998E-2</v>
      </c>
      <c r="AM9" s="355">
        <f>AM16*AL9</f>
        <v>1101.7840323</v>
      </c>
      <c r="AN9" s="355">
        <f t="shared" ref="AN9:AN15" si="2">AM9*8</f>
        <v>8814.2722584000003</v>
      </c>
      <c r="AO9" s="355">
        <f t="shared" ref="AO9:AO15" si="3">AF9+AN9</f>
        <v>14997.46089204439</v>
      </c>
      <c r="AP9" s="440">
        <f>(AH9-(AO9+AO10))</f>
        <v>-3257.8839078073161</v>
      </c>
      <c r="AQ9" s="442" t="s">
        <v>282</v>
      </c>
    </row>
    <row r="10" spans="2:43" x14ac:dyDescent="0.3">
      <c r="B10" s="299" t="s">
        <v>284</v>
      </c>
      <c r="C10" s="344">
        <v>0.11538961038961038</v>
      </c>
      <c r="D10" s="409">
        <f>Z37+Z47+Z48+Z52+Z53+Z55</f>
        <v>0.11960907944514501</v>
      </c>
      <c r="E10" s="25">
        <f>V37+X37+V47+X47+V48+X48+V52+X52+V53+X53+V55+X55</f>
        <v>1159.1999999999998</v>
      </c>
      <c r="Z10" s="345" t="s">
        <v>285</v>
      </c>
      <c r="AA10" s="346">
        <f>D13</f>
        <v>9.0794451450189138E-3</v>
      </c>
      <c r="AB10" s="451"/>
      <c r="AC10" s="451"/>
      <c r="AD10" s="453"/>
      <c r="AE10" s="350">
        <f t="shared" si="0"/>
        <v>2097.7519552887761</v>
      </c>
      <c r="AF10" s="351">
        <f t="shared" si="1"/>
        <v>699.25065176292537</v>
      </c>
      <c r="AG10" s="445"/>
      <c r="AH10" s="454"/>
      <c r="AI10" s="454"/>
      <c r="AJ10" s="456"/>
      <c r="AK10" s="449"/>
      <c r="AL10" s="354">
        <v>9.3500000000000007E-3</v>
      </c>
      <c r="AM10" s="355">
        <f>AM16*AL10</f>
        <v>190.38404550000001</v>
      </c>
      <c r="AN10" s="355">
        <f t="shared" si="2"/>
        <v>1523.0723640000001</v>
      </c>
      <c r="AO10" s="355">
        <f t="shared" si="3"/>
        <v>2222.3230157629255</v>
      </c>
      <c r="AP10" s="441"/>
      <c r="AQ10" s="443"/>
    </row>
    <row r="11" spans="2:43" x14ac:dyDescent="0.3">
      <c r="B11" s="299" t="s">
        <v>286</v>
      </c>
      <c r="C11" s="344">
        <v>0.31861471861471863</v>
      </c>
      <c r="D11" s="409">
        <f>Z27+Z28</f>
        <v>0.28163093736864231</v>
      </c>
      <c r="E11" s="25">
        <f>+V27+X27+V28+X28</f>
        <v>2680</v>
      </c>
      <c r="Z11" s="345" t="s">
        <v>287</v>
      </c>
      <c r="AA11" s="346">
        <f>D11</f>
        <v>0.28163093736864231</v>
      </c>
      <c r="AB11" s="347" t="s">
        <v>278</v>
      </c>
      <c r="AC11" s="348" t="s">
        <v>288</v>
      </c>
      <c r="AD11" s="358" t="s">
        <v>280</v>
      </c>
      <c r="AE11" s="350">
        <f t="shared" si="0"/>
        <v>65069.157872383359</v>
      </c>
      <c r="AF11" s="351">
        <f t="shared" si="1"/>
        <v>21689.719290794452</v>
      </c>
      <c r="AG11" s="382">
        <v>220250000957</v>
      </c>
      <c r="AH11" s="359">
        <v>70095.240000000005</v>
      </c>
      <c r="AI11" s="359">
        <v>178528.57</v>
      </c>
      <c r="AJ11" s="353"/>
      <c r="AK11" s="449"/>
      <c r="AL11" s="354">
        <v>0.31861</v>
      </c>
      <c r="AM11" s="355">
        <f>AM16*AL11</f>
        <v>6487.5145173000001</v>
      </c>
      <c r="AN11" s="355">
        <f t="shared" si="2"/>
        <v>51900.116138400001</v>
      </c>
      <c r="AO11" s="355">
        <f t="shared" si="3"/>
        <v>73589.835429194456</v>
      </c>
      <c r="AP11" s="356">
        <f t="shared" ref="AP11:AP15" si="4">AH11-AO11</f>
        <v>-3494.5954291944508</v>
      </c>
      <c r="AQ11" t="s">
        <v>289</v>
      </c>
    </row>
    <row r="12" spans="2:43" x14ac:dyDescent="0.3">
      <c r="B12" s="299" t="s">
        <v>90</v>
      </c>
      <c r="C12" s="344">
        <v>6.8939393939393939E-2</v>
      </c>
      <c r="D12" s="409">
        <f>Z34+Z35</f>
        <v>6.6939890710382519E-2</v>
      </c>
      <c r="E12" s="25">
        <f>+V34+X34+V35+X35</f>
        <v>637</v>
      </c>
      <c r="Z12" s="345" t="s">
        <v>290</v>
      </c>
      <c r="AA12" s="346">
        <f>D8</f>
        <v>3.0264817150063052E-2</v>
      </c>
      <c r="AB12" s="347" t="s">
        <v>278</v>
      </c>
      <c r="AC12" s="348" t="s">
        <v>291</v>
      </c>
      <c r="AD12" s="358" t="s">
        <v>280</v>
      </c>
      <c r="AE12" s="350">
        <f t="shared" si="0"/>
        <v>6992.5065176292555</v>
      </c>
      <c r="AF12" s="351">
        <f t="shared" si="1"/>
        <v>2330.8355058764187</v>
      </c>
      <c r="AG12" s="382">
        <v>220250000958</v>
      </c>
      <c r="AH12" s="359">
        <v>6857.14</v>
      </c>
      <c r="AI12" s="359">
        <v>178528.57</v>
      </c>
      <c r="AJ12" s="353"/>
      <c r="AK12" s="449"/>
      <c r="AL12" s="354">
        <v>3.117E-2</v>
      </c>
      <c r="AM12" s="355">
        <f>AM16*AL12</f>
        <v>634.68135810000001</v>
      </c>
      <c r="AN12" s="355">
        <f t="shared" si="2"/>
        <v>5077.4508648000001</v>
      </c>
      <c r="AO12" s="355">
        <f t="shared" si="3"/>
        <v>7408.2863706764183</v>
      </c>
      <c r="AP12" s="356">
        <f t="shared" si="4"/>
        <v>-551.14637067641797</v>
      </c>
      <c r="AQ12" t="s">
        <v>289</v>
      </c>
    </row>
    <row r="13" spans="2:43" x14ac:dyDescent="0.3">
      <c r="B13" s="299" t="s">
        <v>93</v>
      </c>
      <c r="C13" s="344">
        <v>9.3506493506493489E-3</v>
      </c>
      <c r="D13" s="409">
        <f>Z36</f>
        <v>9.0794451450189138E-3</v>
      </c>
      <c r="E13" s="25">
        <f>+V36+X36</f>
        <v>93.399999999999991</v>
      </c>
      <c r="Z13" s="345" t="s">
        <v>292</v>
      </c>
      <c r="AA13" s="360">
        <f>D10</f>
        <v>0.11960907944514501</v>
      </c>
      <c r="AB13" s="361" t="s">
        <v>278</v>
      </c>
      <c r="AC13" s="362" t="s">
        <v>293</v>
      </c>
      <c r="AD13" s="358" t="s">
        <v>280</v>
      </c>
      <c r="AE13" s="350">
        <f t="shared" si="0"/>
        <v>27634.968466547285</v>
      </c>
      <c r="AF13" s="351">
        <f t="shared" si="1"/>
        <v>9211.6561555157623</v>
      </c>
      <c r="AG13" s="382">
        <v>220250000959</v>
      </c>
      <c r="AH13" s="359">
        <v>25385.71</v>
      </c>
      <c r="AI13" s="359">
        <v>178528.57</v>
      </c>
      <c r="AJ13" s="363">
        <f>AH13-AE13</f>
        <v>-2249.2584665472859</v>
      </c>
      <c r="AK13" s="449"/>
      <c r="AL13" s="364">
        <v>0.11539000000000001</v>
      </c>
      <c r="AM13" s="355">
        <f>AM16*AL13</f>
        <v>2349.5631026999999</v>
      </c>
      <c r="AN13" s="355">
        <f t="shared" si="2"/>
        <v>18796.5048216</v>
      </c>
      <c r="AO13" s="355">
        <f t="shared" si="3"/>
        <v>28008.16097711576</v>
      </c>
      <c r="AP13" s="356">
        <f t="shared" si="4"/>
        <v>-2622.4509771157609</v>
      </c>
      <c r="AQ13" t="s">
        <v>289</v>
      </c>
    </row>
    <row r="14" spans="2:43" x14ac:dyDescent="0.3">
      <c r="B14" s="299" t="s">
        <v>294</v>
      </c>
      <c r="C14" s="344">
        <v>0.34632034632034636</v>
      </c>
      <c r="D14" s="409">
        <f>Z40+Z41+Z42+Z44+Z43+Z45+Z49+Z50</f>
        <v>0.35771332492643965</v>
      </c>
      <c r="E14" s="25">
        <f>+V40+X40+V41+X41+V42+X42+V43+X43+V44+X44+V45+X45+V49+X49+V50+X50</f>
        <v>3404</v>
      </c>
      <c r="Z14" s="345" t="s">
        <v>295</v>
      </c>
      <c r="AA14" s="346">
        <f>D14</f>
        <v>0.35771332492643965</v>
      </c>
      <c r="AB14" s="347" t="s">
        <v>278</v>
      </c>
      <c r="AC14" s="348" t="s">
        <v>296</v>
      </c>
      <c r="AD14" s="348" t="s">
        <v>280</v>
      </c>
      <c r="AE14" s="350">
        <f t="shared" si="0"/>
        <v>82647.542312534672</v>
      </c>
      <c r="AF14" s="351">
        <f t="shared" si="1"/>
        <v>27549.180770844891</v>
      </c>
      <c r="AG14" s="382">
        <v>220250000960</v>
      </c>
      <c r="AH14" s="359">
        <v>76190.48</v>
      </c>
      <c r="AI14" s="359">
        <v>178528.57</v>
      </c>
      <c r="AJ14" s="363">
        <f>AH14-AE14</f>
        <v>-6457.0623125346756</v>
      </c>
      <c r="AK14" s="449"/>
      <c r="AL14" s="354">
        <v>0.34632000000000002</v>
      </c>
      <c r="AM14" s="355">
        <f>AM16*AL14</f>
        <v>7051.7435976000006</v>
      </c>
      <c r="AN14" s="355">
        <f t="shared" si="2"/>
        <v>56413.948780800005</v>
      </c>
      <c r="AO14" s="355">
        <f t="shared" si="3"/>
        <v>83963.129551644903</v>
      </c>
      <c r="AP14" s="356">
        <f t="shared" si="4"/>
        <v>-7772.6495516449068</v>
      </c>
      <c r="AQ14" t="s">
        <v>289</v>
      </c>
    </row>
    <row r="15" spans="2:43" ht="15" thickBot="1" x14ac:dyDescent="0.35">
      <c r="B15" s="299" t="s">
        <v>297</v>
      </c>
      <c r="C15" s="344">
        <v>0</v>
      </c>
      <c r="D15" s="410"/>
      <c r="Z15" s="345" t="s">
        <v>298</v>
      </c>
      <c r="AA15" s="346">
        <f>D7</f>
        <v>5.44766708701135E-2</v>
      </c>
      <c r="AB15" s="347" t="s">
        <v>278</v>
      </c>
      <c r="AC15" s="3">
        <v>9200</v>
      </c>
      <c r="AD15" s="348" t="s">
        <v>280</v>
      </c>
      <c r="AE15" s="350">
        <f t="shared" si="0"/>
        <v>12586.511731732662</v>
      </c>
      <c r="AF15" s="351">
        <f t="shared" si="1"/>
        <v>4195.5039105775541</v>
      </c>
      <c r="AG15" s="382">
        <v>220250000961</v>
      </c>
      <c r="AH15" s="365">
        <v>12342.86</v>
      </c>
      <c r="AI15" s="365">
        <v>22729.15</v>
      </c>
      <c r="AJ15" s="353"/>
      <c r="AK15" s="450"/>
      <c r="AL15" s="354">
        <v>5.6099999999999997E-2</v>
      </c>
      <c r="AM15" s="355">
        <f>AM16*AL15</f>
        <v>1142.304273</v>
      </c>
      <c r="AN15" s="355">
        <f t="shared" si="2"/>
        <v>9138.4341839999997</v>
      </c>
      <c r="AO15" s="355">
        <f t="shared" si="3"/>
        <v>13333.938094577554</v>
      </c>
      <c r="AP15" s="356">
        <f t="shared" si="4"/>
        <v>-991.0780945775532</v>
      </c>
      <c r="AQ15" t="s">
        <v>289</v>
      </c>
    </row>
    <row r="16" spans="2:43" x14ac:dyDescent="0.3">
      <c r="B16" s="299" t="s">
        <v>299</v>
      </c>
      <c r="C16">
        <v>1</v>
      </c>
      <c r="D16" s="411">
        <f>SUM(D7:D15)</f>
        <v>1</v>
      </c>
      <c r="E16" s="412">
        <f>SUM(E7:E15)</f>
        <v>9585</v>
      </c>
      <c r="Z16"/>
      <c r="AA16"/>
      <c r="AB16"/>
      <c r="AC16"/>
      <c r="AD16"/>
      <c r="AE16" s="366">
        <f>SUM(AE8:AE15)</f>
        <v>231044.06951999999</v>
      </c>
      <c r="AF16" s="366">
        <f>SUM(AF8:AF15)</f>
        <v>77014.689839999992</v>
      </c>
      <c r="AG16" s="366"/>
      <c r="AH16" s="394">
        <f>SUM(AH8:AH15)</f>
        <v>220000</v>
      </c>
      <c r="AI16" s="357"/>
      <c r="AJ16" s="357"/>
      <c r="AK16" s="357"/>
      <c r="AM16" s="366">
        <v>20361.93</v>
      </c>
      <c r="AN16" s="367">
        <f>SUM(AN8:AN15)</f>
        <v>162893.81104560001</v>
      </c>
      <c r="AO16" s="367">
        <f>SUM(AO8:AO15)</f>
        <v>239908.50088560002</v>
      </c>
      <c r="AP16" s="368">
        <f>SUM(AP8:AP15)</f>
        <v>-19908.500885600013</v>
      </c>
    </row>
    <row r="17" spans="1:37" x14ac:dyDescent="0.3">
      <c r="AD17"/>
      <c r="AE17"/>
      <c r="AF17"/>
      <c r="AG17"/>
      <c r="AH17"/>
      <c r="AI17"/>
      <c r="AJ17"/>
      <c r="AK17"/>
    </row>
    <row r="18" spans="1:37" x14ac:dyDescent="0.3">
      <c r="AD18"/>
      <c r="AE18" s="369"/>
      <c r="AF18" s="369"/>
      <c r="AG18" s="369"/>
      <c r="AH18" s="243">
        <f>AH16-AF16</f>
        <v>142985.31015999999</v>
      </c>
      <c r="AI18"/>
      <c r="AJ18"/>
      <c r="AK18"/>
    </row>
    <row r="19" spans="1:37" x14ac:dyDescent="0.3">
      <c r="AD19"/>
      <c r="AE19" s="369"/>
      <c r="AF19" s="369"/>
      <c r="AG19" s="369"/>
      <c r="AH19"/>
      <c r="AI19"/>
      <c r="AJ19"/>
      <c r="AK19"/>
    </row>
    <row r="20" spans="1:37" ht="17.25" customHeight="1" x14ac:dyDescent="0.3">
      <c r="A20" s="312"/>
      <c r="B20" s="428" t="s">
        <v>58</v>
      </c>
      <c r="C20" s="428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153" t="s">
        <v>300</v>
      </c>
      <c r="Y20" s="34"/>
      <c r="AD20" s="232"/>
      <c r="AE20" s="370"/>
      <c r="AF20" s="370"/>
      <c r="AG20" s="370">
        <v>2025</v>
      </c>
      <c r="AH20" s="242">
        <v>21804.46</v>
      </c>
      <c r="AI20" s="242">
        <f>AH20*12</f>
        <v>261653.52</v>
      </c>
      <c r="AJ20" s="393">
        <f>AH16-AI20</f>
        <v>-41653.51999999999</v>
      </c>
      <c r="AK20"/>
    </row>
    <row r="21" spans="1:37" ht="15.75" customHeight="1" x14ac:dyDescent="0.3">
      <c r="A21" s="312"/>
      <c r="B21" s="428" t="s">
        <v>60</v>
      </c>
      <c r="C21" s="428"/>
      <c r="D21" s="428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154">
        <v>45572</v>
      </c>
      <c r="Y21" s="34"/>
      <c r="AD21" s="232"/>
      <c r="AE21" s="371"/>
      <c r="AF21" s="371"/>
      <c r="AG21" s="371"/>
      <c r="AH21"/>
      <c r="AI21"/>
      <c r="AJ21"/>
      <c r="AK21"/>
    </row>
    <row r="22" spans="1:37" ht="2.2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34"/>
    </row>
    <row r="23" spans="1:37" ht="2.25" customHeight="1" x14ac:dyDescent="0.3">
      <c r="A23" s="4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34"/>
    </row>
    <row r="24" spans="1:37" ht="26.25" customHeight="1" x14ac:dyDescent="0.3">
      <c r="A24" s="312"/>
      <c r="B24" s="156" t="s">
        <v>61</v>
      </c>
      <c r="C24" s="312" t="s">
        <v>62</v>
      </c>
      <c r="D24" s="312" t="s">
        <v>63</v>
      </c>
      <c r="E24" s="312" t="s">
        <v>64</v>
      </c>
      <c r="F24" s="157"/>
      <c r="G24" s="429" t="s">
        <v>65</v>
      </c>
      <c r="H24" s="429"/>
      <c r="I24" s="429"/>
      <c r="J24" s="429"/>
      <c r="K24" s="429"/>
      <c r="L24" s="429"/>
      <c r="M24" s="429"/>
      <c r="N24" s="429"/>
      <c r="O24" s="429"/>
      <c r="P24" s="157"/>
      <c r="Q24" s="429" t="s">
        <v>66</v>
      </c>
      <c r="R24" s="429"/>
      <c r="S24" s="429"/>
      <c r="T24" s="312" t="s">
        <v>67</v>
      </c>
      <c r="U24" s="312" t="s">
        <v>68</v>
      </c>
      <c r="V24" s="312" t="s">
        <v>69</v>
      </c>
      <c r="W24" s="312"/>
      <c r="X24" s="44" t="s">
        <v>70</v>
      </c>
      <c r="Y24" s="304"/>
      <c r="Z24" s="372" t="s">
        <v>301</v>
      </c>
      <c r="AA24" s="372" t="s">
        <v>61</v>
      </c>
    </row>
    <row r="25" spans="1:37" ht="2.25" customHeight="1" x14ac:dyDescent="0.3">
      <c r="A25" s="44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34"/>
      <c r="Z25" s="372"/>
      <c r="AA25" s="372"/>
    </row>
    <row r="26" spans="1:37" ht="2.2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34"/>
      <c r="Z26" s="372"/>
      <c r="AA26" s="372"/>
    </row>
    <row r="27" spans="1:37" s="45" customFormat="1" x14ac:dyDescent="0.3">
      <c r="A27" s="312"/>
      <c r="B27" s="211" t="s">
        <v>71</v>
      </c>
      <c r="C27" s="212">
        <v>44</v>
      </c>
      <c r="D27" s="212">
        <v>3</v>
      </c>
      <c r="E27" s="212">
        <v>4</v>
      </c>
      <c r="F27" s="157"/>
      <c r="G27" s="212">
        <v>5</v>
      </c>
      <c r="H27" s="157"/>
      <c r="I27" s="212" t="s">
        <v>72</v>
      </c>
      <c r="J27" s="212" t="s">
        <v>73</v>
      </c>
      <c r="K27" s="212" t="s">
        <v>74</v>
      </c>
      <c r="L27" s="212" t="s">
        <v>75</v>
      </c>
      <c r="M27" s="212" t="s">
        <v>76</v>
      </c>
      <c r="N27" s="212"/>
      <c r="O27" s="212"/>
      <c r="P27" s="157"/>
      <c r="Q27" s="215">
        <v>0.77083333333333337</v>
      </c>
      <c r="R27" s="313" t="s">
        <v>77</v>
      </c>
      <c r="S27" s="216">
        <v>0.89583333333333337</v>
      </c>
      <c r="T27" s="212">
        <f>+E27*D27</f>
        <v>12</v>
      </c>
      <c r="U27" s="47">
        <f>+T27*G27</f>
        <v>60</v>
      </c>
      <c r="V27" s="229">
        <f>+U27*C27</f>
        <v>2640</v>
      </c>
      <c r="W27" s="312"/>
      <c r="X27" s="229">
        <v>0</v>
      </c>
      <c r="Y27" s="304"/>
      <c r="Z27" s="373">
        <f>V27/$V$60</f>
        <v>0.27742749054224464</v>
      </c>
      <c r="AA27" s="372" t="s">
        <v>286</v>
      </c>
    </row>
    <row r="28" spans="1:37" s="45" customFormat="1" x14ac:dyDescent="0.3">
      <c r="A28" s="312"/>
      <c r="B28" s="211" t="s">
        <v>146</v>
      </c>
      <c r="C28" s="212">
        <v>5</v>
      </c>
      <c r="D28" s="212">
        <v>2</v>
      </c>
      <c r="E28" s="212">
        <v>2</v>
      </c>
      <c r="F28" s="157"/>
      <c r="G28" s="212">
        <v>2</v>
      </c>
      <c r="H28" s="157"/>
      <c r="I28" s="212"/>
      <c r="J28" s="212" t="s">
        <v>73</v>
      </c>
      <c r="K28" s="212"/>
      <c r="L28" s="212" t="s">
        <v>75</v>
      </c>
      <c r="M28" s="212"/>
      <c r="N28" s="212"/>
      <c r="O28" s="212"/>
      <c r="P28" s="157"/>
      <c r="Q28" s="215"/>
      <c r="R28" s="313" t="s">
        <v>147</v>
      </c>
      <c r="S28" s="216"/>
      <c r="T28" s="212">
        <f>+E28*D28</f>
        <v>4</v>
      </c>
      <c r="U28" s="212">
        <f>+T28*G28</f>
        <v>8</v>
      </c>
      <c r="V28" s="229">
        <f>+U28*C28</f>
        <v>40</v>
      </c>
      <c r="W28" s="312"/>
      <c r="X28" s="229">
        <v>0</v>
      </c>
      <c r="Y28" s="304"/>
      <c r="Z28" s="373">
        <f>V28/$V$60</f>
        <v>4.2034468263976461E-3</v>
      </c>
      <c r="AA28" s="372" t="s">
        <v>286</v>
      </c>
    </row>
    <row r="29" spans="1:37" s="45" customFormat="1" x14ac:dyDescent="0.3">
      <c r="A29" s="312"/>
      <c r="B29" s="50"/>
      <c r="C29" s="50"/>
      <c r="D29" s="50"/>
      <c r="E29" s="50"/>
      <c r="F29" s="312"/>
      <c r="G29" s="50"/>
      <c r="H29" s="312"/>
      <c r="I29" s="50"/>
      <c r="J29" s="50"/>
      <c r="K29" s="50"/>
      <c r="L29" s="50"/>
      <c r="M29" s="50"/>
      <c r="N29" s="50"/>
      <c r="O29" s="50"/>
      <c r="P29" s="312"/>
      <c r="Q29" s="50"/>
      <c r="R29" s="50"/>
      <c r="S29" s="50"/>
      <c r="T29" s="50"/>
      <c r="U29" s="50"/>
      <c r="V29" s="227"/>
      <c r="W29" s="312"/>
      <c r="X29" s="227"/>
      <c r="Y29" s="304"/>
      <c r="Z29" s="372"/>
      <c r="AA29" s="372"/>
    </row>
    <row r="30" spans="1:37" s="45" customFormat="1" x14ac:dyDescent="0.3">
      <c r="A30" s="312"/>
      <c r="B30" s="211" t="s">
        <v>87</v>
      </c>
      <c r="C30" s="212">
        <v>48</v>
      </c>
      <c r="D30" s="212">
        <v>1</v>
      </c>
      <c r="E30" s="212">
        <v>1.528</v>
      </c>
      <c r="F30" s="157"/>
      <c r="G30" s="212">
        <v>5</v>
      </c>
      <c r="H30" s="157"/>
      <c r="I30" s="212" t="s">
        <v>72</v>
      </c>
      <c r="J30" s="212" t="s">
        <v>73</v>
      </c>
      <c r="K30" s="212" t="s">
        <v>74</v>
      </c>
      <c r="L30" s="212" t="s">
        <v>75</v>
      </c>
      <c r="M30" s="212" t="s">
        <v>76</v>
      </c>
      <c r="N30" s="212"/>
      <c r="O30" s="212"/>
      <c r="P30" s="157"/>
      <c r="Q30" s="215">
        <v>0.27083333333333331</v>
      </c>
      <c r="R30" s="313" t="s">
        <v>77</v>
      </c>
      <c r="S30" s="216">
        <v>0.33333333333333331</v>
      </c>
      <c r="T30" s="212">
        <f t="shared" ref="T30:T31" si="5">+E30*D30</f>
        <v>1.528</v>
      </c>
      <c r="U30" s="404">
        <f t="shared" ref="U30:U31" si="6">+T30*G30</f>
        <v>7.6400000000000006</v>
      </c>
      <c r="V30" s="229">
        <f t="shared" ref="V30:V31" si="7">+U30*C30</f>
        <v>366.72</v>
      </c>
      <c r="W30" s="312"/>
      <c r="X30" s="229">
        <v>10</v>
      </c>
      <c r="Y30" s="304"/>
      <c r="Z30" s="373">
        <f>V30/$V$60</f>
        <v>3.8537200504413623E-2</v>
      </c>
      <c r="AA30" s="372" t="s">
        <v>283</v>
      </c>
    </row>
    <row r="31" spans="1:37" s="45" customFormat="1" x14ac:dyDescent="0.3">
      <c r="A31" s="312"/>
      <c r="B31" s="211" t="s">
        <v>88</v>
      </c>
      <c r="C31" s="212">
        <v>52</v>
      </c>
      <c r="D31" s="212">
        <v>1</v>
      </c>
      <c r="E31" s="212">
        <v>1.528</v>
      </c>
      <c r="F31" s="157"/>
      <c r="G31" s="212">
        <v>5</v>
      </c>
      <c r="H31" s="157"/>
      <c r="I31" s="212" t="s">
        <v>72</v>
      </c>
      <c r="J31" s="212" t="s">
        <v>73</v>
      </c>
      <c r="K31" s="212" t="s">
        <v>74</v>
      </c>
      <c r="L31" s="212" t="s">
        <v>75</v>
      </c>
      <c r="M31" s="212" t="s">
        <v>76</v>
      </c>
      <c r="N31" s="212"/>
      <c r="O31" s="212"/>
      <c r="P31" s="157"/>
      <c r="Q31" s="215">
        <v>0.25</v>
      </c>
      <c r="R31" s="313" t="s">
        <v>77</v>
      </c>
      <c r="S31" s="216">
        <v>0.3125</v>
      </c>
      <c r="T31" s="212">
        <f t="shared" si="5"/>
        <v>1.528</v>
      </c>
      <c r="U31" s="212">
        <f t="shared" si="6"/>
        <v>7.6400000000000006</v>
      </c>
      <c r="V31" s="229">
        <f t="shared" si="7"/>
        <v>397.28000000000003</v>
      </c>
      <c r="W31" s="312"/>
      <c r="X31" s="229">
        <v>10</v>
      </c>
      <c r="Y31" s="304"/>
      <c r="Z31" s="373">
        <f>V31/$V$60</f>
        <v>4.1748633879781422E-2</v>
      </c>
      <c r="AA31" s="372" t="s">
        <v>283</v>
      </c>
    </row>
    <row r="32" spans="1:37" s="45" customFormat="1" ht="9.75" customHeight="1" x14ac:dyDescent="0.3">
      <c r="A32" s="312"/>
      <c r="B32" s="50"/>
      <c r="C32" s="50"/>
      <c r="D32" s="50"/>
      <c r="E32" s="50"/>
      <c r="F32" s="312"/>
      <c r="G32" s="50"/>
      <c r="H32" s="312"/>
      <c r="I32" s="50"/>
      <c r="J32" s="50"/>
      <c r="K32" s="50"/>
      <c r="L32" s="50"/>
      <c r="M32" s="50"/>
      <c r="N32" s="50"/>
      <c r="O32" s="50"/>
      <c r="P32" s="312"/>
      <c r="Q32" s="50"/>
      <c r="R32" s="50"/>
      <c r="S32" s="50"/>
      <c r="T32" s="50"/>
      <c r="U32" s="50"/>
      <c r="V32" s="227"/>
      <c r="W32" s="312"/>
      <c r="X32" s="227"/>
      <c r="Y32" s="304"/>
      <c r="Z32" s="372"/>
      <c r="AA32" s="372"/>
    </row>
    <row r="33" spans="1:27" s="45" customFormat="1" x14ac:dyDescent="0.3">
      <c r="A33" s="312"/>
      <c r="B33" s="211" t="s">
        <v>89</v>
      </c>
      <c r="C33" s="212">
        <v>48</v>
      </c>
      <c r="D33" s="212">
        <v>1</v>
      </c>
      <c r="E33" s="212">
        <v>3.6</v>
      </c>
      <c r="F33" s="157"/>
      <c r="G33" s="212">
        <v>3</v>
      </c>
      <c r="H33" s="157"/>
      <c r="I33" s="212"/>
      <c r="J33" s="212" t="s">
        <v>73</v>
      </c>
      <c r="K33" s="212"/>
      <c r="L33" s="212" t="s">
        <v>75</v>
      </c>
      <c r="M33" s="212" t="s">
        <v>76</v>
      </c>
      <c r="N33" s="212"/>
      <c r="O33" s="212"/>
      <c r="P33" s="157"/>
      <c r="Q33" s="215">
        <v>0.66666666666666663</v>
      </c>
      <c r="R33" s="313" t="s">
        <v>77</v>
      </c>
      <c r="S33" s="216">
        <v>0.81944444444444453</v>
      </c>
      <c r="T33" s="212">
        <f t="shared" ref="T33:T38" si="8">+E33*D33</f>
        <v>3.6</v>
      </c>
      <c r="U33" s="212">
        <f t="shared" ref="U33:U38" si="9">+T33*G33</f>
        <v>10.8</v>
      </c>
      <c r="V33" s="229">
        <f t="shared" ref="V33:V38" si="10">+U33*C33</f>
        <v>518.40000000000009</v>
      </c>
      <c r="W33" s="312"/>
      <c r="X33" s="229">
        <v>14</v>
      </c>
      <c r="Y33" s="304"/>
      <c r="Z33" s="373">
        <f t="shared" ref="Z33:Z38" si="11">V33/$V$60</f>
        <v>5.44766708701135E-2</v>
      </c>
      <c r="AA33" s="372" t="s">
        <v>89</v>
      </c>
    </row>
    <row r="34" spans="1:27" s="45" customFormat="1" x14ac:dyDescent="0.3">
      <c r="A34" s="312"/>
      <c r="B34" s="217" t="s">
        <v>90</v>
      </c>
      <c r="C34" s="218">
        <v>52</v>
      </c>
      <c r="D34" s="218">
        <v>1</v>
      </c>
      <c r="E34" s="218">
        <v>2.25</v>
      </c>
      <c r="F34" s="157"/>
      <c r="G34" s="218">
        <v>5</v>
      </c>
      <c r="H34" s="157"/>
      <c r="I34" s="218" t="s">
        <v>72</v>
      </c>
      <c r="J34" s="218" t="s">
        <v>73</v>
      </c>
      <c r="K34" s="218" t="s">
        <v>74</v>
      </c>
      <c r="L34" s="218" t="s">
        <v>75</v>
      </c>
      <c r="M34" s="218" t="s">
        <v>76</v>
      </c>
      <c r="N34" s="218"/>
      <c r="O34" s="218"/>
      <c r="P34" s="225"/>
      <c r="Q34" s="224">
        <v>0.33333333333333331</v>
      </c>
      <c r="R34" s="219" t="s">
        <v>77</v>
      </c>
      <c r="S34" s="220">
        <v>0.42708333333333331</v>
      </c>
      <c r="T34" s="218">
        <f t="shared" si="8"/>
        <v>2.25</v>
      </c>
      <c r="U34" s="218">
        <f t="shared" si="9"/>
        <v>11.25</v>
      </c>
      <c r="V34" s="230">
        <f t="shared" si="10"/>
        <v>585</v>
      </c>
      <c r="W34" s="312"/>
      <c r="X34" s="230">
        <v>0</v>
      </c>
      <c r="Y34" s="304"/>
      <c r="Z34" s="373">
        <f t="shared" si="11"/>
        <v>6.1475409836065573E-2</v>
      </c>
      <c r="AA34" s="372" t="s">
        <v>90</v>
      </c>
    </row>
    <row r="35" spans="1:27" s="45" customFormat="1" x14ac:dyDescent="0.3">
      <c r="A35" s="312"/>
      <c r="B35" s="211" t="s">
        <v>91</v>
      </c>
      <c r="C35" s="212">
        <v>52</v>
      </c>
      <c r="D35" s="212">
        <v>1</v>
      </c>
      <c r="E35" s="212">
        <v>1</v>
      </c>
      <c r="F35" s="157"/>
      <c r="G35" s="212">
        <v>1</v>
      </c>
      <c r="H35" s="157"/>
      <c r="I35" s="212"/>
      <c r="J35" s="212"/>
      <c r="K35" s="212"/>
      <c r="L35" s="212"/>
      <c r="M35" s="212"/>
      <c r="N35" s="212" t="s">
        <v>92</v>
      </c>
      <c r="O35" s="212"/>
      <c r="P35" s="226"/>
      <c r="Q35" s="223">
        <v>0.33333333333333331</v>
      </c>
      <c r="R35" s="213" t="s">
        <v>77</v>
      </c>
      <c r="S35" s="214">
        <v>0.375</v>
      </c>
      <c r="T35" s="212">
        <f t="shared" si="8"/>
        <v>1</v>
      </c>
      <c r="U35" s="212">
        <f t="shared" si="9"/>
        <v>1</v>
      </c>
      <c r="V35" s="229">
        <f t="shared" si="10"/>
        <v>52</v>
      </c>
      <c r="W35" s="312"/>
      <c r="X35" s="229">
        <v>0</v>
      </c>
      <c r="Y35" s="304"/>
      <c r="Z35" s="373">
        <f t="shared" si="11"/>
        <v>5.4644808743169399E-3</v>
      </c>
      <c r="AA35" s="372" t="s">
        <v>90</v>
      </c>
    </row>
    <row r="36" spans="1:27" s="45" customFormat="1" x14ac:dyDescent="0.3">
      <c r="A36" s="312"/>
      <c r="B36" s="211" t="s">
        <v>93</v>
      </c>
      <c r="C36" s="212">
        <v>48</v>
      </c>
      <c r="D36" s="212">
        <v>1</v>
      </c>
      <c r="E36" s="212">
        <v>0.6</v>
      </c>
      <c r="F36" s="157"/>
      <c r="G36" s="212">
        <v>3</v>
      </c>
      <c r="H36" s="157"/>
      <c r="I36" s="212"/>
      <c r="J36" s="212" t="s">
        <v>73</v>
      </c>
      <c r="K36" s="212"/>
      <c r="L36" s="212" t="s">
        <v>75</v>
      </c>
      <c r="M36" s="212" t="s">
        <v>76</v>
      </c>
      <c r="N36" s="212"/>
      <c r="O36" s="212"/>
      <c r="P36" s="157"/>
      <c r="Q36" s="215">
        <v>0.625</v>
      </c>
      <c r="R36" s="313" t="s">
        <v>77</v>
      </c>
      <c r="S36" s="216">
        <v>0.65277777777777779</v>
      </c>
      <c r="T36" s="212">
        <f t="shared" si="8"/>
        <v>0.6</v>
      </c>
      <c r="U36" s="212">
        <f t="shared" si="9"/>
        <v>1.7999999999999998</v>
      </c>
      <c r="V36" s="229">
        <f t="shared" si="10"/>
        <v>86.399999999999991</v>
      </c>
      <c r="W36" s="312"/>
      <c r="X36" s="229">
        <v>7</v>
      </c>
      <c r="Y36" s="304"/>
      <c r="Z36" s="373">
        <f t="shared" si="11"/>
        <v>9.0794451450189138E-3</v>
      </c>
      <c r="AA36" s="372" t="s">
        <v>93</v>
      </c>
    </row>
    <row r="37" spans="1:27" s="45" customFormat="1" x14ac:dyDescent="0.3">
      <c r="A37" s="312"/>
      <c r="B37" s="211" t="s">
        <v>94</v>
      </c>
      <c r="C37" s="212">
        <v>48</v>
      </c>
      <c r="D37" s="212">
        <v>1</v>
      </c>
      <c r="E37" s="212">
        <v>2.8</v>
      </c>
      <c r="F37" s="157"/>
      <c r="G37" s="212">
        <v>3</v>
      </c>
      <c r="H37" s="157"/>
      <c r="I37" s="212"/>
      <c r="J37" s="212" t="s">
        <v>73</v>
      </c>
      <c r="K37" s="212"/>
      <c r="L37" s="212" t="s">
        <v>75</v>
      </c>
      <c r="M37" s="212" t="s">
        <v>76</v>
      </c>
      <c r="N37" s="212"/>
      <c r="O37" s="212"/>
      <c r="P37" s="157"/>
      <c r="Q37" s="215">
        <v>0.33333333333333331</v>
      </c>
      <c r="R37" s="313" t="s">
        <v>77</v>
      </c>
      <c r="S37" s="216">
        <v>0.4513888888888889</v>
      </c>
      <c r="T37" s="212">
        <f t="shared" si="8"/>
        <v>2.8</v>
      </c>
      <c r="U37" s="212">
        <f t="shared" si="9"/>
        <v>8.3999999999999986</v>
      </c>
      <c r="V37" s="229">
        <f t="shared" si="10"/>
        <v>403.19999999999993</v>
      </c>
      <c r="W37" s="312"/>
      <c r="X37" s="229">
        <v>7</v>
      </c>
      <c r="Y37" s="304"/>
      <c r="Z37" s="373">
        <f t="shared" si="11"/>
        <v>4.2370744010088265E-2</v>
      </c>
      <c r="AA37" s="372" t="s">
        <v>284</v>
      </c>
    </row>
    <row r="38" spans="1:27" s="45" customFormat="1" x14ac:dyDescent="0.3">
      <c r="A38" s="312"/>
      <c r="B38" s="221" t="s">
        <v>95</v>
      </c>
      <c r="C38" s="222">
        <v>48</v>
      </c>
      <c r="D38" s="222">
        <v>1</v>
      </c>
      <c r="E38" s="222">
        <v>2</v>
      </c>
      <c r="F38" s="157"/>
      <c r="G38" s="222">
        <v>3</v>
      </c>
      <c r="H38" s="157"/>
      <c r="I38" s="222"/>
      <c r="J38" s="222" t="s">
        <v>73</v>
      </c>
      <c r="K38" s="222"/>
      <c r="L38" s="222" t="s">
        <v>75</v>
      </c>
      <c r="M38" s="222" t="s">
        <v>76</v>
      </c>
      <c r="N38" s="222"/>
      <c r="O38" s="212"/>
      <c r="P38" s="157"/>
      <c r="Q38" s="215">
        <v>0.25</v>
      </c>
      <c r="R38" s="313" t="s">
        <v>77</v>
      </c>
      <c r="S38" s="216">
        <v>0.33333333333333331</v>
      </c>
      <c r="T38" s="222">
        <f t="shared" si="8"/>
        <v>2</v>
      </c>
      <c r="U38" s="222">
        <f t="shared" si="9"/>
        <v>6</v>
      </c>
      <c r="V38" s="231">
        <f t="shared" si="10"/>
        <v>288</v>
      </c>
      <c r="W38" s="312"/>
      <c r="X38" s="231">
        <v>7</v>
      </c>
      <c r="Y38" s="304"/>
      <c r="Z38" s="373">
        <f t="shared" si="11"/>
        <v>3.0264817150063052E-2</v>
      </c>
      <c r="AA38" s="372" t="s">
        <v>95</v>
      </c>
    </row>
    <row r="39" spans="1:27" s="45" customFormat="1" ht="9.75" customHeight="1" x14ac:dyDescent="0.3">
      <c r="A39" s="312"/>
      <c r="B39" s="50"/>
      <c r="C39" s="54"/>
      <c r="D39" s="54"/>
      <c r="E39" s="54"/>
      <c r="F39" s="312"/>
      <c r="G39" s="54"/>
      <c r="H39" s="312"/>
      <c r="I39" s="54"/>
      <c r="J39" s="54"/>
      <c r="K39" s="54"/>
      <c r="L39" s="54"/>
      <c r="M39" s="54"/>
      <c r="N39" s="54"/>
      <c r="O39" s="54"/>
      <c r="P39" s="312"/>
      <c r="Q39" s="174"/>
      <c r="R39" s="54"/>
      <c r="S39" s="175"/>
      <c r="T39" s="54"/>
      <c r="U39" s="54"/>
      <c r="V39" s="228"/>
      <c r="W39" s="312"/>
      <c r="X39" s="228"/>
      <c r="Y39" s="304"/>
      <c r="Z39" s="372"/>
      <c r="AA39" s="372"/>
    </row>
    <row r="40" spans="1:27" s="45" customFormat="1" x14ac:dyDescent="0.3">
      <c r="A40" s="312"/>
      <c r="B40" s="240" t="s">
        <v>148</v>
      </c>
      <c r="C40" s="234">
        <v>48</v>
      </c>
      <c r="D40" s="234">
        <v>2</v>
      </c>
      <c r="E40" s="234">
        <v>2</v>
      </c>
      <c r="F40" s="157"/>
      <c r="G40" s="234">
        <v>5</v>
      </c>
      <c r="H40" s="234"/>
      <c r="I40" s="234" t="s">
        <v>72</v>
      </c>
      <c r="J40" s="234" t="s">
        <v>73</v>
      </c>
      <c r="K40" s="234" t="s">
        <v>74</v>
      </c>
      <c r="L40" s="234" t="s">
        <v>75</v>
      </c>
      <c r="M40" s="234" t="s">
        <v>76</v>
      </c>
      <c r="N40" s="234"/>
      <c r="O40" s="234"/>
      <c r="P40" s="234"/>
      <c r="Q40" s="235">
        <v>0.4375</v>
      </c>
      <c r="R40" s="234" t="s">
        <v>77</v>
      </c>
      <c r="S40" s="235">
        <v>0.52083333333333337</v>
      </c>
      <c r="T40" s="212">
        <f t="shared" ref="T40:T45" si="12">+E40*D40</f>
        <v>4</v>
      </c>
      <c r="U40" s="212">
        <f t="shared" ref="U40:U45" si="13">+T40*G40</f>
        <v>20</v>
      </c>
      <c r="V40" s="229">
        <f t="shared" ref="V40:V45" si="14">+U40*C40</f>
        <v>960</v>
      </c>
      <c r="W40" s="312"/>
      <c r="X40" s="229">
        <v>0</v>
      </c>
      <c r="Y40" s="304"/>
      <c r="Z40" s="373">
        <f>V40/$V$60</f>
        <v>0.10088272383354351</v>
      </c>
      <c r="AA40" s="372" t="s">
        <v>294</v>
      </c>
    </row>
    <row r="41" spans="1:27" s="45" customFormat="1" x14ac:dyDescent="0.3">
      <c r="A41" s="312"/>
      <c r="B41" s="211" t="s">
        <v>149</v>
      </c>
      <c r="C41" s="212">
        <v>52</v>
      </c>
      <c r="D41" s="212">
        <v>2</v>
      </c>
      <c r="E41" s="212">
        <v>2</v>
      </c>
      <c r="F41" s="157"/>
      <c r="G41" s="212">
        <v>5</v>
      </c>
      <c r="H41" s="157"/>
      <c r="I41" s="212" t="s">
        <v>72</v>
      </c>
      <c r="J41" s="212" t="s">
        <v>73</v>
      </c>
      <c r="K41" s="212" t="s">
        <v>74</v>
      </c>
      <c r="L41" s="212" t="s">
        <v>75</v>
      </c>
      <c r="M41" s="212" t="s">
        <v>76</v>
      </c>
      <c r="N41" s="212"/>
      <c r="O41" s="212"/>
      <c r="P41" s="157"/>
      <c r="Q41" s="215">
        <v>0.52083333333333337</v>
      </c>
      <c r="R41" s="313" t="s">
        <v>77</v>
      </c>
      <c r="S41" s="216">
        <v>0.60416666666666663</v>
      </c>
      <c r="T41" s="212">
        <f t="shared" si="12"/>
        <v>4</v>
      </c>
      <c r="U41" s="212">
        <f t="shared" si="13"/>
        <v>20</v>
      </c>
      <c r="V41" s="229">
        <f t="shared" si="14"/>
        <v>1040</v>
      </c>
      <c r="W41" s="312"/>
      <c r="X41" s="229">
        <v>0</v>
      </c>
      <c r="Y41" s="304"/>
      <c r="Z41" s="373">
        <f t="shared" ref="Z41:Z45" si="15">V41/$V$60</f>
        <v>0.10928961748633879</v>
      </c>
      <c r="AA41" s="372" t="s">
        <v>294</v>
      </c>
    </row>
    <row r="42" spans="1:27" s="45" customFormat="1" x14ac:dyDescent="0.3">
      <c r="A42" s="312"/>
      <c r="B42" s="211" t="s">
        <v>150</v>
      </c>
      <c r="C42" s="212">
        <v>52</v>
      </c>
      <c r="D42" s="212">
        <v>2</v>
      </c>
      <c r="E42" s="212">
        <v>2</v>
      </c>
      <c r="F42" s="157"/>
      <c r="G42" s="212">
        <v>5</v>
      </c>
      <c r="H42" s="157"/>
      <c r="I42" s="212" t="s">
        <v>72</v>
      </c>
      <c r="J42" s="212" t="s">
        <v>73</v>
      </c>
      <c r="K42" s="212" t="s">
        <v>74</v>
      </c>
      <c r="L42" s="212" t="s">
        <v>75</v>
      </c>
      <c r="M42" s="212" t="s">
        <v>76</v>
      </c>
      <c r="N42" s="212"/>
      <c r="O42" s="212"/>
      <c r="P42" s="157"/>
      <c r="Q42" s="215">
        <v>0.83333333333333337</v>
      </c>
      <c r="R42" s="313" t="s">
        <v>77</v>
      </c>
      <c r="S42" s="216">
        <v>0.91666666666666663</v>
      </c>
      <c r="T42" s="212">
        <f t="shared" si="12"/>
        <v>4</v>
      </c>
      <c r="U42" s="212">
        <f t="shared" si="13"/>
        <v>20</v>
      </c>
      <c r="V42" s="229">
        <f t="shared" si="14"/>
        <v>1040</v>
      </c>
      <c r="W42" s="312"/>
      <c r="X42" s="229">
        <v>0</v>
      </c>
      <c r="Y42" s="304"/>
      <c r="Z42" s="373">
        <f t="shared" si="15"/>
        <v>0.10928961748633879</v>
      </c>
      <c r="AA42" s="372" t="s">
        <v>294</v>
      </c>
    </row>
    <row r="43" spans="1:27" s="45" customFormat="1" x14ac:dyDescent="0.3">
      <c r="A43" s="312"/>
      <c r="B43" s="211" t="s">
        <v>151</v>
      </c>
      <c r="C43" s="212">
        <v>42</v>
      </c>
      <c r="D43" s="212">
        <v>1</v>
      </c>
      <c r="E43" s="212">
        <v>2</v>
      </c>
      <c r="F43" s="157"/>
      <c r="G43" s="212">
        <v>1</v>
      </c>
      <c r="H43" s="157"/>
      <c r="I43" s="212"/>
      <c r="J43" s="212"/>
      <c r="K43" s="212"/>
      <c r="L43" s="212"/>
      <c r="M43" s="212"/>
      <c r="N43" s="212" t="s">
        <v>92</v>
      </c>
      <c r="O43" s="212"/>
      <c r="P43" s="157"/>
      <c r="Q43" s="215">
        <v>0.29166666666666669</v>
      </c>
      <c r="R43" s="313" t="s">
        <v>77</v>
      </c>
      <c r="S43" s="216">
        <v>0.375</v>
      </c>
      <c r="T43" s="212">
        <f t="shared" si="12"/>
        <v>2</v>
      </c>
      <c r="U43" s="212">
        <f t="shared" si="13"/>
        <v>2</v>
      </c>
      <c r="V43" s="229">
        <f t="shared" si="14"/>
        <v>84</v>
      </c>
      <c r="W43" s="312"/>
      <c r="X43" s="229">
        <v>0</v>
      </c>
      <c r="Y43" s="304"/>
      <c r="Z43" s="373">
        <f t="shared" si="15"/>
        <v>8.8272383354350576E-3</v>
      </c>
      <c r="AA43" s="372" t="s">
        <v>294</v>
      </c>
    </row>
    <row r="44" spans="1:27" s="45" customFormat="1" x14ac:dyDescent="0.3">
      <c r="A44" s="312"/>
      <c r="B44" s="211" t="s">
        <v>152</v>
      </c>
      <c r="C44" s="212">
        <v>52</v>
      </c>
      <c r="D44" s="212">
        <v>1</v>
      </c>
      <c r="E44" s="212">
        <v>3</v>
      </c>
      <c r="F44" s="157"/>
      <c r="G44" s="212">
        <v>1</v>
      </c>
      <c r="H44" s="157"/>
      <c r="I44" s="212"/>
      <c r="J44" s="212"/>
      <c r="K44" s="212"/>
      <c r="L44" s="212"/>
      <c r="M44" s="212"/>
      <c r="N44" s="212" t="s">
        <v>92</v>
      </c>
      <c r="O44" s="212"/>
      <c r="P44" s="157"/>
      <c r="Q44" s="215">
        <v>0.70833333333333337</v>
      </c>
      <c r="R44" s="313" t="s">
        <v>77</v>
      </c>
      <c r="S44" s="216">
        <v>0.83333333333333337</v>
      </c>
      <c r="T44" s="212">
        <f t="shared" si="12"/>
        <v>3</v>
      </c>
      <c r="U44" s="212">
        <f t="shared" si="13"/>
        <v>3</v>
      </c>
      <c r="V44" s="229">
        <f t="shared" si="14"/>
        <v>156</v>
      </c>
      <c r="W44" s="312"/>
      <c r="X44" s="229">
        <v>0</v>
      </c>
      <c r="Y44" s="304"/>
      <c r="Z44" s="373">
        <f t="shared" si="15"/>
        <v>1.6393442622950821E-2</v>
      </c>
      <c r="AA44" s="372" t="s">
        <v>294</v>
      </c>
    </row>
    <row r="45" spans="1:27" s="45" customFormat="1" x14ac:dyDescent="0.3">
      <c r="A45" s="312"/>
      <c r="B45" s="211" t="s">
        <v>153</v>
      </c>
      <c r="C45" s="212">
        <v>14</v>
      </c>
      <c r="D45" s="212">
        <v>1</v>
      </c>
      <c r="E45" s="212">
        <v>2</v>
      </c>
      <c r="F45" s="157"/>
      <c r="G45" s="212">
        <v>1</v>
      </c>
      <c r="H45" s="157"/>
      <c r="I45" s="212"/>
      <c r="J45" s="212"/>
      <c r="K45" s="212"/>
      <c r="L45" s="212"/>
      <c r="M45" s="212"/>
      <c r="N45" s="212"/>
      <c r="O45" s="212" t="s">
        <v>100</v>
      </c>
      <c r="P45" s="157"/>
      <c r="Q45" s="215">
        <v>0.75</v>
      </c>
      <c r="R45" s="313" t="s">
        <v>77</v>
      </c>
      <c r="S45" s="216">
        <v>0.83333333333333337</v>
      </c>
      <c r="T45" s="212">
        <f t="shared" si="12"/>
        <v>2</v>
      </c>
      <c r="U45" s="212">
        <f t="shared" si="13"/>
        <v>2</v>
      </c>
      <c r="V45" s="229">
        <f t="shared" si="14"/>
        <v>28</v>
      </c>
      <c r="W45" s="312"/>
      <c r="X45" s="229">
        <v>0</v>
      </c>
      <c r="Y45" s="304"/>
      <c r="Z45" s="373">
        <f t="shared" si="15"/>
        <v>2.9424127784783522E-3</v>
      </c>
      <c r="AA45" s="372" t="s">
        <v>294</v>
      </c>
    </row>
    <row r="46" spans="1:27" s="45" customFormat="1" ht="9.75" customHeight="1" x14ac:dyDescent="0.3">
      <c r="A46" s="312"/>
      <c r="B46" s="50"/>
      <c r="C46" s="54"/>
      <c r="D46" s="54"/>
      <c r="E46" s="54"/>
      <c r="F46" s="312"/>
      <c r="G46" s="54"/>
      <c r="H46" s="312"/>
      <c r="I46" s="54"/>
      <c r="J46" s="54"/>
      <c r="K46" s="54"/>
      <c r="L46" s="54"/>
      <c r="M46" s="54"/>
      <c r="N46" s="54"/>
      <c r="O46" s="54"/>
      <c r="P46" s="312"/>
      <c r="Q46" s="174"/>
      <c r="R46" s="54"/>
      <c r="S46" s="175"/>
      <c r="T46" s="54"/>
      <c r="U46" s="54"/>
      <c r="V46" s="228"/>
      <c r="W46" s="312"/>
      <c r="X46" s="228"/>
      <c r="Y46" s="304"/>
      <c r="Z46" s="372"/>
      <c r="AA46" s="372"/>
    </row>
    <row r="47" spans="1:27" s="45" customFormat="1" x14ac:dyDescent="0.3">
      <c r="A47" s="312"/>
      <c r="B47" s="211" t="s">
        <v>101</v>
      </c>
      <c r="C47" s="212">
        <v>48</v>
      </c>
      <c r="D47" s="212">
        <v>1</v>
      </c>
      <c r="E47" s="212">
        <v>2</v>
      </c>
      <c r="F47" s="157"/>
      <c r="G47" s="212">
        <v>3</v>
      </c>
      <c r="H47" s="157"/>
      <c r="I47" s="212"/>
      <c r="J47" s="212" t="s">
        <v>73</v>
      </c>
      <c r="K47" s="212"/>
      <c r="L47" s="212" t="s">
        <v>75</v>
      </c>
      <c r="M47" s="212" t="s">
        <v>76</v>
      </c>
      <c r="N47" s="212"/>
      <c r="O47" s="212"/>
      <c r="P47" s="157"/>
      <c r="Q47" s="215">
        <v>0.625</v>
      </c>
      <c r="R47" s="313" t="s">
        <v>77</v>
      </c>
      <c r="S47" s="216">
        <v>0.70833333333333337</v>
      </c>
      <c r="T47" s="212">
        <f t="shared" ref="T47:T50" si="16">+E47*D47</f>
        <v>2</v>
      </c>
      <c r="U47" s="212">
        <f t="shared" ref="U47:U50" si="17">+T47*G47</f>
        <v>6</v>
      </c>
      <c r="V47" s="229">
        <f t="shared" ref="V47:V50" si="18">+U47*C47</f>
        <v>288</v>
      </c>
      <c r="W47" s="312"/>
      <c r="X47" s="229">
        <v>7</v>
      </c>
      <c r="Y47" s="304"/>
      <c r="Z47" s="373">
        <f>V47/$V$60</f>
        <v>3.0264817150063052E-2</v>
      </c>
      <c r="AA47" s="372" t="s">
        <v>284</v>
      </c>
    </row>
    <row r="48" spans="1:27" s="45" customFormat="1" x14ac:dyDescent="0.3">
      <c r="A48" s="312"/>
      <c r="B48" s="211" t="s">
        <v>102</v>
      </c>
      <c r="C48" s="212">
        <v>48</v>
      </c>
      <c r="D48" s="212">
        <v>1</v>
      </c>
      <c r="E48" s="212">
        <v>2</v>
      </c>
      <c r="F48" s="157"/>
      <c r="G48" s="212">
        <v>3</v>
      </c>
      <c r="H48" s="157"/>
      <c r="I48" s="212"/>
      <c r="J48" s="212" t="s">
        <v>73</v>
      </c>
      <c r="K48" s="212"/>
      <c r="L48" s="212" t="s">
        <v>75</v>
      </c>
      <c r="M48" s="212" t="s">
        <v>76</v>
      </c>
      <c r="N48" s="212"/>
      <c r="O48" s="212"/>
      <c r="P48" s="157"/>
      <c r="Q48" s="215">
        <v>0.625</v>
      </c>
      <c r="R48" s="313" t="s">
        <v>77</v>
      </c>
      <c r="S48" s="216">
        <v>0.70833333333333337</v>
      </c>
      <c r="T48" s="212">
        <f t="shared" si="16"/>
        <v>2</v>
      </c>
      <c r="U48" s="212">
        <f t="shared" si="17"/>
        <v>6</v>
      </c>
      <c r="V48" s="229">
        <f t="shared" si="18"/>
        <v>288</v>
      </c>
      <c r="W48" s="312"/>
      <c r="X48" s="229">
        <v>7</v>
      </c>
      <c r="Y48" s="304"/>
      <c r="Z48" s="373">
        <f>V48/$V$60</f>
        <v>3.0264817150063052E-2</v>
      </c>
      <c r="AA48" s="372" t="s">
        <v>284</v>
      </c>
    </row>
    <row r="49" spans="1:27" s="45" customFormat="1" x14ac:dyDescent="0.3">
      <c r="A49" s="312"/>
      <c r="B49" s="211" t="s">
        <v>103</v>
      </c>
      <c r="C49" s="212">
        <v>48</v>
      </c>
      <c r="D49" s="212">
        <v>1</v>
      </c>
      <c r="E49" s="212">
        <v>1</v>
      </c>
      <c r="F49" s="157"/>
      <c r="G49" s="212">
        <v>1</v>
      </c>
      <c r="H49" s="157"/>
      <c r="I49" s="212"/>
      <c r="J49" s="212"/>
      <c r="K49" s="212"/>
      <c r="L49" s="212" t="s">
        <v>75</v>
      </c>
      <c r="M49" s="212"/>
      <c r="N49" s="212"/>
      <c r="O49" s="212"/>
      <c r="P49" s="157"/>
      <c r="Q49" s="215">
        <v>0.33333333333333331</v>
      </c>
      <c r="R49" s="313" t="s">
        <v>77</v>
      </c>
      <c r="S49" s="216">
        <v>0.375</v>
      </c>
      <c r="T49" s="212">
        <f t="shared" si="16"/>
        <v>1</v>
      </c>
      <c r="U49" s="212">
        <f t="shared" si="17"/>
        <v>1</v>
      </c>
      <c r="V49" s="229">
        <f t="shared" si="18"/>
        <v>48</v>
      </c>
      <c r="W49" s="312"/>
      <c r="X49" s="229">
        <v>0</v>
      </c>
      <c r="Y49" s="304"/>
      <c r="Z49" s="373">
        <f>V49/$V$60</f>
        <v>5.0441361916771753E-3</v>
      </c>
      <c r="AA49" s="372" t="s">
        <v>294</v>
      </c>
    </row>
    <row r="50" spans="1:27" s="45" customFormat="1" x14ac:dyDescent="0.3">
      <c r="A50" s="312"/>
      <c r="B50" s="211" t="s">
        <v>104</v>
      </c>
      <c r="C50" s="212">
        <v>48</v>
      </c>
      <c r="D50" s="212">
        <v>1</v>
      </c>
      <c r="E50" s="212">
        <v>1</v>
      </c>
      <c r="F50" s="157"/>
      <c r="G50" s="212">
        <v>1</v>
      </c>
      <c r="H50" s="157"/>
      <c r="I50" s="212"/>
      <c r="J50" s="212"/>
      <c r="K50" s="212"/>
      <c r="L50" s="212" t="s">
        <v>75</v>
      </c>
      <c r="M50" s="212"/>
      <c r="N50" s="212"/>
      <c r="O50" s="212"/>
      <c r="P50" s="157"/>
      <c r="Q50" s="215">
        <v>0.375</v>
      </c>
      <c r="R50" s="313" t="s">
        <v>77</v>
      </c>
      <c r="S50" s="216">
        <v>0.41666666666666669</v>
      </c>
      <c r="T50" s="212">
        <f t="shared" si="16"/>
        <v>1</v>
      </c>
      <c r="U50" s="212">
        <f t="shared" si="17"/>
        <v>1</v>
      </c>
      <c r="V50" s="229">
        <f t="shared" si="18"/>
        <v>48</v>
      </c>
      <c r="W50" s="312"/>
      <c r="X50" s="229">
        <v>0</v>
      </c>
      <c r="Y50" s="304"/>
      <c r="Z50" s="373">
        <f>V50/$V$60</f>
        <v>5.0441361916771753E-3</v>
      </c>
      <c r="AA50" s="372" t="s">
        <v>294</v>
      </c>
    </row>
    <row r="51" spans="1:27" s="45" customFormat="1" ht="9.75" customHeight="1" x14ac:dyDescent="0.3">
      <c r="A51" s="312"/>
      <c r="B51" s="50"/>
      <c r="C51" s="54"/>
      <c r="D51" s="54"/>
      <c r="E51" s="54"/>
      <c r="F51" s="312"/>
      <c r="G51" s="54"/>
      <c r="H51" s="312"/>
      <c r="I51" s="54"/>
      <c r="J51" s="54"/>
      <c r="K51" s="54"/>
      <c r="L51" s="54"/>
      <c r="M51" s="54"/>
      <c r="N51" s="54"/>
      <c r="O51" s="54"/>
      <c r="P51" s="312"/>
      <c r="Q51" s="174"/>
      <c r="R51" s="54"/>
      <c r="S51" s="175"/>
      <c r="T51" s="54"/>
      <c r="U51" s="54"/>
      <c r="V51" s="228"/>
      <c r="W51" s="312"/>
      <c r="X51" s="228"/>
      <c r="Y51" s="304"/>
      <c r="Z51" s="372"/>
      <c r="AA51" s="372"/>
    </row>
    <row r="52" spans="1:27" s="45" customFormat="1" x14ac:dyDescent="0.3">
      <c r="A52" s="312"/>
      <c r="B52" s="211" t="s">
        <v>137</v>
      </c>
      <c r="C52" s="212">
        <v>42</v>
      </c>
      <c r="D52" s="212">
        <v>1</v>
      </c>
      <c r="E52" s="212">
        <v>1</v>
      </c>
      <c r="F52" s="157"/>
      <c r="G52" s="212">
        <v>1</v>
      </c>
      <c r="H52" s="157"/>
      <c r="I52" s="212"/>
      <c r="J52" s="212" t="s">
        <v>73</v>
      </c>
      <c r="K52" s="212"/>
      <c r="L52" s="212"/>
      <c r="M52" s="212"/>
      <c r="N52" s="212"/>
      <c r="O52" s="212"/>
      <c r="P52" s="157"/>
      <c r="Q52" s="215">
        <v>0.375</v>
      </c>
      <c r="R52" s="313" t="s">
        <v>77</v>
      </c>
      <c r="S52" s="216">
        <v>0.41666666666666669</v>
      </c>
      <c r="T52" s="212">
        <f t="shared" ref="T52:T53" si="19">+E52*D52</f>
        <v>1</v>
      </c>
      <c r="U52" s="212">
        <f t="shared" ref="U52:U53" si="20">+T52*G52</f>
        <v>1</v>
      </c>
      <c r="V52" s="229">
        <f t="shared" ref="V52:V53" si="21">+U52*C52</f>
        <v>42</v>
      </c>
      <c r="W52" s="312"/>
      <c r="X52" s="229">
        <v>0</v>
      </c>
      <c r="Y52" s="304"/>
      <c r="Z52" s="373">
        <f>V52/$V$60</f>
        <v>4.4136191677175288E-3</v>
      </c>
      <c r="AA52" s="372" t="s">
        <v>284</v>
      </c>
    </row>
    <row r="53" spans="1:27" s="45" customFormat="1" x14ac:dyDescent="0.3">
      <c r="A53" s="312"/>
      <c r="B53" s="211" t="s">
        <v>107</v>
      </c>
      <c r="C53" s="212">
        <v>42</v>
      </c>
      <c r="D53" s="212">
        <v>1</v>
      </c>
      <c r="E53" s="212">
        <v>0.5</v>
      </c>
      <c r="F53" s="157"/>
      <c r="G53" s="212">
        <v>1</v>
      </c>
      <c r="H53" s="157"/>
      <c r="I53" s="212"/>
      <c r="J53" s="212" t="s">
        <v>73</v>
      </c>
      <c r="K53" s="212"/>
      <c r="L53" s="212"/>
      <c r="M53" s="212"/>
      <c r="N53" s="212"/>
      <c r="O53" s="212"/>
      <c r="P53" s="157"/>
      <c r="Q53" s="215">
        <v>0.41666666666666669</v>
      </c>
      <c r="R53" s="313" t="s">
        <v>77</v>
      </c>
      <c r="S53" s="216">
        <v>0.4375</v>
      </c>
      <c r="T53" s="212">
        <f t="shared" si="19"/>
        <v>0.5</v>
      </c>
      <c r="U53" s="212">
        <f t="shared" si="20"/>
        <v>0.5</v>
      </c>
      <c r="V53" s="229">
        <f t="shared" si="21"/>
        <v>21</v>
      </c>
      <c r="W53" s="312"/>
      <c r="X53" s="229">
        <v>0</v>
      </c>
      <c r="Y53" s="304"/>
      <c r="Z53" s="373">
        <f>V53/$V$60</f>
        <v>2.2068095838587644E-3</v>
      </c>
      <c r="AA53" s="372" t="s">
        <v>284</v>
      </c>
    </row>
    <row r="54" spans="1:27" s="45" customFormat="1" ht="9.75" customHeight="1" x14ac:dyDescent="0.3">
      <c r="A54" s="312"/>
      <c r="B54" s="50"/>
      <c r="C54" s="54"/>
      <c r="D54" s="54"/>
      <c r="E54" s="54"/>
      <c r="F54" s="312"/>
      <c r="G54" s="54"/>
      <c r="H54" s="312"/>
      <c r="I54" s="54"/>
      <c r="J54" s="54"/>
      <c r="K54" s="54"/>
      <c r="L54" s="54"/>
      <c r="M54" s="54"/>
      <c r="N54" s="54"/>
      <c r="O54" s="54"/>
      <c r="P54" s="312"/>
      <c r="Q54" s="174"/>
      <c r="R54" s="54"/>
      <c r="S54" s="175"/>
      <c r="T54" s="54"/>
      <c r="U54" s="54"/>
      <c r="V54" s="228"/>
      <c r="W54" s="312"/>
      <c r="X54" s="228"/>
      <c r="Y54" s="304"/>
      <c r="Z54" s="372"/>
      <c r="AA54" s="372"/>
    </row>
    <row r="55" spans="1:27" s="45" customFormat="1" x14ac:dyDescent="0.3">
      <c r="A55" s="312"/>
      <c r="B55" s="211" t="s">
        <v>108</v>
      </c>
      <c r="C55" s="212">
        <v>48</v>
      </c>
      <c r="D55" s="212">
        <v>1</v>
      </c>
      <c r="E55" s="212">
        <v>2</v>
      </c>
      <c r="F55" s="157"/>
      <c r="G55" s="212">
        <v>1</v>
      </c>
      <c r="H55" s="157"/>
      <c r="I55" s="212" t="s">
        <v>72</v>
      </c>
      <c r="J55" s="212"/>
      <c r="K55" s="212"/>
      <c r="L55" s="212"/>
      <c r="M55" s="212"/>
      <c r="N55" s="212"/>
      <c r="O55" s="212"/>
      <c r="P55" s="157"/>
      <c r="Q55" s="215">
        <v>0.45833333333333331</v>
      </c>
      <c r="R55" s="313" t="s">
        <v>77</v>
      </c>
      <c r="S55" s="216">
        <v>0.54166666666666663</v>
      </c>
      <c r="T55" s="212">
        <f t="shared" ref="T55" si="22">+E55*D55</f>
        <v>2</v>
      </c>
      <c r="U55" s="212">
        <f t="shared" ref="U55" si="23">+T55*G55</f>
        <v>2</v>
      </c>
      <c r="V55" s="229">
        <f t="shared" ref="V55" si="24">+U55*C55</f>
        <v>96</v>
      </c>
      <c r="W55" s="312"/>
      <c r="X55" s="229">
        <v>0</v>
      </c>
      <c r="Y55" s="304"/>
      <c r="Z55" s="373">
        <f>V55/$V$60</f>
        <v>1.0088272383354351E-2</v>
      </c>
      <c r="AA55" s="372" t="s">
        <v>284</v>
      </c>
    </row>
    <row r="56" spans="1:27" s="45" customFormat="1" x14ac:dyDescent="0.3">
      <c r="A56" s="312"/>
      <c r="B56" s="211" t="s">
        <v>109</v>
      </c>
      <c r="C56" s="436" t="s">
        <v>110</v>
      </c>
      <c r="D56" s="437"/>
      <c r="E56" s="438"/>
      <c r="F56" s="157"/>
      <c r="G56" s="212"/>
      <c r="H56" s="157"/>
      <c r="I56" s="212"/>
      <c r="J56" s="212"/>
      <c r="K56" s="212"/>
      <c r="L56" s="212"/>
      <c r="M56" s="212"/>
      <c r="N56" s="212"/>
      <c r="O56" s="212"/>
      <c r="P56" s="157"/>
      <c r="Q56" s="215"/>
      <c r="R56" s="313"/>
      <c r="S56" s="216"/>
      <c r="T56" s="212"/>
      <c r="U56" s="212"/>
      <c r="V56" s="229"/>
      <c r="W56" s="312"/>
      <c r="X56" s="229">
        <v>0</v>
      </c>
      <c r="Y56" s="304"/>
      <c r="Z56" s="374"/>
      <c r="AA56" s="372"/>
    </row>
    <row r="57" spans="1:27" s="45" customFormat="1" x14ac:dyDescent="0.3">
      <c r="A57" s="312"/>
      <c r="B57" s="211" t="s">
        <v>111</v>
      </c>
      <c r="C57" s="436" t="s">
        <v>110</v>
      </c>
      <c r="D57" s="437"/>
      <c r="E57" s="438"/>
      <c r="F57" s="157"/>
      <c r="G57" s="212"/>
      <c r="H57" s="157"/>
      <c r="I57" s="212"/>
      <c r="J57" s="212"/>
      <c r="K57" s="212"/>
      <c r="L57" s="212"/>
      <c r="M57" s="212"/>
      <c r="N57" s="212"/>
      <c r="O57" s="212"/>
      <c r="P57" s="157"/>
      <c r="Q57" s="215"/>
      <c r="R57" s="313"/>
      <c r="S57" s="216"/>
      <c r="T57" s="212"/>
      <c r="U57" s="212"/>
      <c r="V57" s="229"/>
      <c r="W57" s="312"/>
      <c r="X57" s="229">
        <v>0</v>
      </c>
      <c r="Y57" s="304"/>
      <c r="Z57" s="374"/>
      <c r="AA57" s="372"/>
    </row>
    <row r="58" spans="1:27" s="45" customFormat="1" x14ac:dyDescent="0.3">
      <c r="A58" s="312"/>
      <c r="B58" s="211" t="s">
        <v>112</v>
      </c>
      <c r="C58" s="436" t="s">
        <v>110</v>
      </c>
      <c r="D58" s="437"/>
      <c r="E58" s="438"/>
      <c r="F58" s="157"/>
      <c r="G58" s="212"/>
      <c r="H58" s="157"/>
      <c r="I58" s="212"/>
      <c r="J58" s="212"/>
      <c r="K58" s="212"/>
      <c r="L58" s="212"/>
      <c r="M58" s="212"/>
      <c r="N58" s="212"/>
      <c r="O58" s="212"/>
      <c r="P58" s="157"/>
      <c r="Q58" s="215"/>
      <c r="R58" s="313"/>
      <c r="S58" s="216"/>
      <c r="T58" s="212"/>
      <c r="U58" s="212"/>
      <c r="V58" s="229"/>
      <c r="W58" s="312"/>
      <c r="X58" s="229">
        <v>0</v>
      </c>
      <c r="Y58" s="304"/>
      <c r="Z58" s="374"/>
      <c r="AA58" s="372"/>
    </row>
    <row r="59" spans="1:27" s="45" customFormat="1" ht="9.75" customHeight="1" x14ac:dyDescent="0.3">
      <c r="A59" s="54"/>
      <c r="B59" s="54"/>
      <c r="C59" s="54"/>
      <c r="D59" s="54"/>
      <c r="E59" s="54"/>
      <c r="F59" s="312"/>
      <c r="G59" s="54"/>
      <c r="H59" s="54"/>
      <c r="I59" s="54"/>
      <c r="J59" s="54"/>
      <c r="K59" s="54"/>
      <c r="L59" s="54"/>
      <c r="M59" s="54"/>
      <c r="N59" s="54"/>
      <c r="O59" s="54"/>
      <c r="P59" s="312"/>
      <c r="Q59" s="174"/>
      <c r="R59" s="54"/>
      <c r="S59" s="175"/>
      <c r="T59" s="54"/>
      <c r="U59" s="54"/>
      <c r="V59" s="176"/>
      <c r="W59" s="312"/>
      <c r="X59" s="54"/>
      <c r="Y59" s="304"/>
      <c r="Z59" s="105"/>
    </row>
    <row r="60" spans="1:27" s="45" customFormat="1" x14ac:dyDescent="0.3">
      <c r="F60" s="312"/>
      <c r="G60" s="54"/>
      <c r="H60" s="54"/>
      <c r="I60" s="54"/>
      <c r="J60" s="54"/>
      <c r="K60" s="54"/>
      <c r="L60" s="54"/>
      <c r="M60" s="54"/>
      <c r="N60" s="54"/>
      <c r="O60" s="54"/>
      <c r="P60" s="312"/>
      <c r="Q60" s="174"/>
      <c r="R60" s="54"/>
      <c r="S60" s="175"/>
      <c r="T60" s="177" t="s">
        <v>116</v>
      </c>
      <c r="U60" s="54"/>
      <c r="V60" s="178">
        <f>+SUM(V27:V59)</f>
        <v>9516</v>
      </c>
      <c r="W60" s="179"/>
      <c r="X60" s="178">
        <f>+SUM(X27:X59)</f>
        <v>69</v>
      </c>
      <c r="Y60" s="304"/>
      <c r="Z60" s="238">
        <f>+V60+X60</f>
        <v>9585</v>
      </c>
    </row>
    <row r="61" spans="1:27" s="45" customFormat="1" ht="1.5" customHeight="1" x14ac:dyDescent="0.3">
      <c r="F61" s="54"/>
      <c r="G61" s="180"/>
      <c r="H61" s="180"/>
      <c r="I61" s="180"/>
      <c r="J61" s="180"/>
      <c r="K61" s="180"/>
      <c r="L61" s="180"/>
      <c r="M61" s="180"/>
      <c r="N61" s="180"/>
      <c r="O61" s="180"/>
      <c r="P61" s="157"/>
      <c r="Q61" s="181"/>
      <c r="R61" s="180"/>
      <c r="S61" s="182"/>
      <c r="T61" s="180"/>
      <c r="U61" s="180"/>
      <c r="V61" s="183"/>
      <c r="W61" s="184"/>
      <c r="X61" s="183"/>
      <c r="Y61" s="304"/>
      <c r="Z61" s="105"/>
    </row>
    <row r="62" spans="1:27" s="45" customFormat="1" x14ac:dyDescent="0.3">
      <c r="F62" s="312"/>
      <c r="G62" s="54"/>
      <c r="H62" s="54"/>
      <c r="I62" s="54"/>
      <c r="J62" s="54"/>
      <c r="K62" s="54"/>
      <c r="L62" s="54"/>
      <c r="M62" s="54"/>
      <c r="N62" s="54"/>
      <c r="O62" s="54"/>
      <c r="P62" s="312"/>
      <c r="Q62" s="174"/>
      <c r="R62" s="54"/>
      <c r="S62" s="175"/>
      <c r="T62" s="177" t="s">
        <v>117</v>
      </c>
      <c r="U62" s="185" t="s">
        <v>118</v>
      </c>
      <c r="V62" s="178">
        <v>460</v>
      </c>
      <c r="W62" s="179"/>
      <c r="X62" s="178"/>
      <c r="Y62" s="304"/>
      <c r="Z62" s="105"/>
    </row>
    <row r="63" spans="1:27" s="45" customFormat="1" ht="3" customHeight="1" x14ac:dyDescent="0.3">
      <c r="F63" s="312"/>
      <c r="G63" s="54"/>
      <c r="H63" s="54"/>
      <c r="I63" s="54"/>
      <c r="J63" s="54"/>
      <c r="K63" s="54"/>
      <c r="L63" s="54"/>
      <c r="M63" s="54"/>
      <c r="N63" s="54"/>
      <c r="O63" s="54"/>
      <c r="P63" s="312"/>
      <c r="Q63" s="174"/>
      <c r="R63" s="54"/>
      <c r="S63" s="175"/>
      <c r="T63" s="186"/>
      <c r="U63" s="54"/>
      <c r="V63" s="183"/>
      <c r="W63" s="179"/>
      <c r="X63" s="178"/>
      <c r="Y63" s="304"/>
      <c r="Z63" s="105"/>
    </row>
    <row r="64" spans="1:27" s="45" customFormat="1" x14ac:dyDescent="0.3">
      <c r="F64" s="312"/>
      <c r="G64" s="54"/>
      <c r="H64" s="54"/>
      <c r="I64" s="54"/>
      <c r="J64" s="54"/>
      <c r="K64" s="54"/>
      <c r="L64" s="54"/>
      <c r="M64" s="54"/>
      <c r="N64" s="54"/>
      <c r="O64" s="54"/>
      <c r="P64" s="312"/>
      <c r="Q64" s="174"/>
      <c r="R64" s="54"/>
      <c r="S64" s="175"/>
      <c r="T64" s="177" t="s">
        <v>119</v>
      </c>
      <c r="U64" s="54"/>
      <c r="V64" s="153">
        <f>+SUM(V60:X63)</f>
        <v>10045</v>
      </c>
      <c r="W64" s="179"/>
      <c r="X64" s="178"/>
      <c r="Y64" s="304"/>
      <c r="Z64" s="105"/>
    </row>
    <row r="65" spans="1:26" s="45" customFormat="1" x14ac:dyDescent="0.3"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312"/>
      <c r="Q65" s="174"/>
      <c r="R65" s="54"/>
      <c r="S65" s="175"/>
      <c r="T65" s="177" t="s">
        <v>121</v>
      </c>
      <c r="U65" s="54"/>
      <c r="V65" s="187">
        <f>'Proposta DEFINITIVA'!F18</f>
        <v>23.000902888999502</v>
      </c>
      <c r="W65" s="312"/>
      <c r="X65" s="188"/>
      <c r="Y65" s="304"/>
      <c r="Z65" s="105"/>
    </row>
    <row r="66" spans="1:26" s="45" customFormat="1" ht="1.5" customHeight="1" x14ac:dyDescent="0.3">
      <c r="F66" s="54"/>
      <c r="G66" s="180"/>
      <c r="H66" s="180"/>
      <c r="I66" s="180"/>
      <c r="J66" s="180"/>
      <c r="K66" s="180"/>
      <c r="L66" s="180"/>
      <c r="M66" s="180"/>
      <c r="N66" s="180"/>
      <c r="O66" s="180"/>
      <c r="P66" s="157"/>
      <c r="Q66" s="181"/>
      <c r="R66" s="180"/>
      <c r="S66" s="182"/>
      <c r="T66" s="180"/>
      <c r="U66" s="180"/>
      <c r="V66" s="189"/>
      <c r="W66" s="157"/>
      <c r="X66" s="189"/>
      <c r="Y66" s="304"/>
      <c r="Z66" s="105"/>
    </row>
    <row r="67" spans="1:26" s="45" customFormat="1" x14ac:dyDescent="0.3">
      <c r="F67" s="54"/>
      <c r="G67" s="54"/>
      <c r="H67" s="54"/>
      <c r="I67" s="190"/>
      <c r="J67" s="190"/>
      <c r="K67" s="190"/>
      <c r="L67" s="190"/>
      <c r="M67" s="190"/>
      <c r="N67" s="190"/>
      <c r="O67" s="190"/>
      <c r="P67" s="191"/>
      <c r="Q67" s="192"/>
      <c r="R67" s="190"/>
      <c r="S67" s="193"/>
      <c r="T67" s="194"/>
      <c r="U67" s="195" t="s">
        <v>123</v>
      </c>
      <c r="V67" s="196">
        <f>V64*V65</f>
        <v>231044.06951999999</v>
      </c>
      <c r="W67" s="312"/>
      <c r="X67" s="197" t="s">
        <v>124</v>
      </c>
      <c r="Y67" s="304"/>
      <c r="Z67" s="105"/>
    </row>
    <row r="68" spans="1:26" s="45" customFormat="1" x14ac:dyDescent="0.3"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312"/>
      <c r="Q68" s="174"/>
      <c r="R68" s="54"/>
      <c r="S68" s="175"/>
      <c r="T68" s="54"/>
      <c r="U68" s="177" t="s">
        <v>126</v>
      </c>
      <c r="V68" s="198">
        <f>+'[1]Dades Contracte'!F21</f>
        <v>279579.72000000003</v>
      </c>
      <c r="W68" s="312"/>
      <c r="X68" s="199" t="s">
        <v>127</v>
      </c>
      <c r="Y68" s="304"/>
      <c r="Z68" s="105"/>
    </row>
    <row r="69" spans="1:26" s="45" customFormat="1" x14ac:dyDescent="0.3">
      <c r="F69" s="5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200" t="s">
        <v>129</v>
      </c>
      <c r="V69" s="198">
        <f>+V67-V68</f>
        <v>-48535.65048000004</v>
      </c>
      <c r="W69" s="312"/>
      <c r="X69" s="201">
        <f>+V69/V68</f>
        <v>-0.17360218573793562</v>
      </c>
      <c r="Y69" s="304"/>
    </row>
    <row r="70" spans="1:26" s="45" customFormat="1" x14ac:dyDescent="0.3">
      <c r="A70"/>
      <c r="B70"/>
      <c r="C70"/>
      <c r="D70"/>
      <c r="E7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/>
    </row>
    <row r="71" spans="1:26" x14ac:dyDescent="0.3">
      <c r="B71">
        <f>10*4</f>
        <v>40</v>
      </c>
    </row>
    <row r="72" spans="1:26" x14ac:dyDescent="0.3">
      <c r="V72">
        <v>200</v>
      </c>
    </row>
  </sheetData>
  <mergeCells count="18">
    <mergeCell ref="AH6:AI6"/>
    <mergeCell ref="AK8:AK15"/>
    <mergeCell ref="AB9:AB10"/>
    <mergeCell ref="AC9:AC10"/>
    <mergeCell ref="AD9:AD10"/>
    <mergeCell ref="AH9:AH10"/>
    <mergeCell ref="AI9:AI10"/>
    <mergeCell ref="AJ9:AJ10"/>
    <mergeCell ref="C56:E56"/>
    <mergeCell ref="C57:E57"/>
    <mergeCell ref="C58:E58"/>
    <mergeCell ref="AP9:AP10"/>
    <mergeCell ref="AQ9:AQ10"/>
    <mergeCell ref="B20:C20"/>
    <mergeCell ref="B21:D21"/>
    <mergeCell ref="G24:O24"/>
    <mergeCell ref="Q24:S24"/>
    <mergeCell ref="AG9:A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AE90-866F-4250-8BB2-60CEE9DA443A}">
  <dimension ref="A2:K32"/>
  <sheetViews>
    <sheetView workbookViewId="0">
      <selection activeCell="K29" sqref="K29"/>
    </sheetView>
  </sheetViews>
  <sheetFormatPr baseColWidth="10" defaultColWidth="11.44140625" defaultRowHeight="14.4" x14ac:dyDescent="0.3"/>
  <cols>
    <col min="1" max="1" width="18.44140625" customWidth="1"/>
    <col min="2" max="2" width="55" style="244" customWidth="1"/>
    <col min="7" max="7" width="16.5546875" customWidth="1"/>
    <col min="8" max="8" width="13.33203125" customWidth="1"/>
    <col min="10" max="10" width="11.5546875" bestFit="1" customWidth="1"/>
    <col min="11" max="11" width="26" customWidth="1"/>
  </cols>
  <sheetData>
    <row r="2" spans="1:11" ht="15" thickBot="1" x14ac:dyDescent="0.35">
      <c r="J2">
        <v>11045</v>
      </c>
    </row>
    <row r="3" spans="1:11" ht="15" thickBot="1" x14ac:dyDescent="0.35">
      <c r="B3" s="283"/>
      <c r="C3" s="284" t="s">
        <v>0</v>
      </c>
      <c r="D3" s="284" t="s">
        <v>1</v>
      </c>
      <c r="E3" s="284" t="s">
        <v>2</v>
      </c>
      <c r="F3" s="285" t="s">
        <v>3</v>
      </c>
      <c r="G3" s="286" t="s">
        <v>4</v>
      </c>
      <c r="H3" s="286" t="s">
        <v>5</v>
      </c>
    </row>
    <row r="4" spans="1:11" x14ac:dyDescent="0.3">
      <c r="A4" s="301" t="s">
        <v>6</v>
      </c>
      <c r="B4" s="252" t="s">
        <v>7</v>
      </c>
      <c r="C4" s="248">
        <f>'Taula v05'!W46</f>
        <v>10045</v>
      </c>
      <c r="D4" s="13">
        <v>13.98</v>
      </c>
      <c r="E4" s="13"/>
      <c r="F4" s="257">
        <f>SUM(D4:E4)</f>
        <v>13.98</v>
      </c>
      <c r="G4" s="263">
        <f>C4*F4</f>
        <v>140429.1</v>
      </c>
      <c r="H4" s="292"/>
    </row>
    <row r="5" spans="1:11" x14ac:dyDescent="0.3">
      <c r="A5" s="301"/>
      <c r="B5" s="256" t="s">
        <v>8</v>
      </c>
      <c r="C5" s="248">
        <v>1012.5</v>
      </c>
      <c r="D5" s="13">
        <v>13.98</v>
      </c>
      <c r="E5" s="13">
        <v>0.49</v>
      </c>
      <c r="F5" s="257">
        <f>SUM(D5:E5)</f>
        <v>14.47</v>
      </c>
      <c r="G5" s="263">
        <f>C5*F5</f>
        <v>14650.875</v>
      </c>
      <c r="H5" s="293"/>
      <c r="J5" s="299">
        <f>SUM(C5:C15)</f>
        <v>10597.5</v>
      </c>
      <c r="K5" t="s">
        <v>9</v>
      </c>
    </row>
    <row r="6" spans="1:11" x14ac:dyDescent="0.3">
      <c r="A6" s="301"/>
      <c r="B6" s="256" t="s">
        <v>8</v>
      </c>
      <c r="C6" s="248">
        <v>1350</v>
      </c>
      <c r="D6" s="13">
        <v>13.98</v>
      </c>
      <c r="E6" s="13">
        <f>0.49*2</f>
        <v>0.98</v>
      </c>
      <c r="F6" s="257">
        <f>+D6+E6</f>
        <v>14.96</v>
      </c>
      <c r="G6" s="263">
        <f t="shared" ref="G6:G15" si="0">C6*F6</f>
        <v>20196</v>
      </c>
      <c r="H6" s="293"/>
      <c r="J6" s="300">
        <f>SUM(G5:G15)</f>
        <v>155639.02499999999</v>
      </c>
      <c r="K6" t="s">
        <v>10</v>
      </c>
    </row>
    <row r="7" spans="1:11" x14ac:dyDescent="0.3">
      <c r="A7" s="301"/>
      <c r="B7" s="256" t="s">
        <v>8</v>
      </c>
      <c r="C7" s="248">
        <v>1575</v>
      </c>
      <c r="D7" s="13">
        <v>13.98</v>
      </c>
      <c r="E7" s="13">
        <f>0.49*2</f>
        <v>0.98</v>
      </c>
      <c r="F7" s="257">
        <f>+D7+E7</f>
        <v>14.96</v>
      </c>
      <c r="G7" s="263">
        <f t="shared" si="0"/>
        <v>23562</v>
      </c>
      <c r="H7" s="293"/>
      <c r="J7" s="302">
        <f>J6/J5</f>
        <v>14.686390658174098</v>
      </c>
      <c r="K7" t="s">
        <v>11</v>
      </c>
    </row>
    <row r="8" spans="1:11" x14ac:dyDescent="0.3">
      <c r="A8" s="301"/>
      <c r="B8" s="256" t="s">
        <v>8</v>
      </c>
      <c r="C8" s="248">
        <v>922.5</v>
      </c>
      <c r="D8" s="13">
        <v>13.98</v>
      </c>
      <c r="E8" s="13"/>
      <c r="F8" s="257">
        <f>+D8+E8</f>
        <v>13.98</v>
      </c>
      <c r="G8" s="263">
        <f t="shared" si="0"/>
        <v>12896.550000000001</v>
      </c>
      <c r="H8" s="293"/>
    </row>
    <row r="9" spans="1:11" x14ac:dyDescent="0.3">
      <c r="A9" s="301"/>
      <c r="B9" s="256" t="s">
        <v>8</v>
      </c>
      <c r="C9" s="248">
        <v>1012.5</v>
      </c>
      <c r="D9" s="13">
        <v>13.98</v>
      </c>
      <c r="E9" s="13">
        <f>4*0.49</f>
        <v>1.96</v>
      </c>
      <c r="F9" s="257">
        <f>SUM(D9:E9)</f>
        <v>15.940000000000001</v>
      </c>
      <c r="G9" s="263">
        <f t="shared" si="0"/>
        <v>16139.250000000002</v>
      </c>
      <c r="H9" s="293"/>
      <c r="J9" s="243">
        <f>+G4+G17</f>
        <v>146859.9</v>
      </c>
    </row>
    <row r="10" spans="1:11" x14ac:dyDescent="0.3">
      <c r="A10" s="301"/>
      <c r="B10" s="256" t="s">
        <v>8</v>
      </c>
      <c r="C10" s="248">
        <v>315</v>
      </c>
      <c r="D10" s="13">
        <v>13.98</v>
      </c>
      <c r="E10" s="13">
        <v>0.49</v>
      </c>
      <c r="F10" s="257">
        <f t="shared" ref="F10:F11" si="1">SUM(D10:E10)</f>
        <v>14.47</v>
      </c>
      <c r="G10" s="263">
        <f t="shared" si="0"/>
        <v>4558.05</v>
      </c>
      <c r="H10" s="293"/>
      <c r="J10">
        <f>+C4+C17</f>
        <v>10505</v>
      </c>
    </row>
    <row r="11" spans="1:11" x14ac:dyDescent="0.3">
      <c r="A11" s="301"/>
      <c r="B11" s="256" t="s">
        <v>8</v>
      </c>
      <c r="C11" s="248">
        <v>1012.5</v>
      </c>
      <c r="D11" s="13">
        <v>13.98</v>
      </c>
      <c r="E11" s="13"/>
      <c r="F11" s="257">
        <f t="shared" si="1"/>
        <v>13.98</v>
      </c>
      <c r="G11" s="263">
        <f t="shared" si="0"/>
        <v>14154.75</v>
      </c>
      <c r="H11" s="293"/>
      <c r="J11" s="300">
        <f>J9/J10</f>
        <v>13.979999999999999</v>
      </c>
      <c r="K11" t="s">
        <v>11</v>
      </c>
    </row>
    <row r="12" spans="1:11" x14ac:dyDescent="0.3">
      <c r="A12" s="301"/>
      <c r="B12" s="256" t="s">
        <v>8</v>
      </c>
      <c r="C12" s="248">
        <v>450</v>
      </c>
      <c r="D12" s="13">
        <v>13.98</v>
      </c>
      <c r="E12" s="13"/>
      <c r="F12" s="257">
        <f>SUM(D12:E12)</f>
        <v>13.98</v>
      </c>
      <c r="G12" s="263">
        <f t="shared" si="0"/>
        <v>6291</v>
      </c>
      <c r="H12" s="293"/>
    </row>
    <row r="13" spans="1:11" x14ac:dyDescent="0.3">
      <c r="A13" s="301"/>
      <c r="B13" s="256" t="s">
        <v>8</v>
      </c>
      <c r="C13" s="248">
        <v>1012.5</v>
      </c>
      <c r="D13" s="13">
        <v>13.98</v>
      </c>
      <c r="E13" s="13">
        <f>4*0.49</f>
        <v>1.96</v>
      </c>
      <c r="F13" s="257">
        <f>SUM(D13:E13)</f>
        <v>15.940000000000001</v>
      </c>
      <c r="G13" s="263">
        <f t="shared" si="0"/>
        <v>16139.250000000002</v>
      </c>
      <c r="H13" s="293"/>
      <c r="J13" s="299"/>
    </row>
    <row r="14" spans="1:11" x14ac:dyDescent="0.3">
      <c r="A14" s="301"/>
      <c r="B14" s="256" t="s">
        <v>8</v>
      </c>
      <c r="C14" s="248">
        <v>922.5</v>
      </c>
      <c r="D14" s="13">
        <v>13.98</v>
      </c>
      <c r="E14" s="13"/>
      <c r="F14" s="257">
        <f>D14+E14</f>
        <v>13.98</v>
      </c>
      <c r="G14" s="263">
        <f t="shared" si="0"/>
        <v>12896.550000000001</v>
      </c>
      <c r="H14" s="293"/>
    </row>
    <row r="15" spans="1:11" x14ac:dyDescent="0.3">
      <c r="A15" s="301"/>
      <c r="B15" s="256" t="s">
        <v>8</v>
      </c>
      <c r="C15" s="248">
        <v>1012.5</v>
      </c>
      <c r="D15" s="13">
        <v>13.98</v>
      </c>
      <c r="E15" s="13"/>
      <c r="F15" s="257">
        <f>D15+E15</f>
        <v>13.98</v>
      </c>
      <c r="G15" s="263">
        <f t="shared" si="0"/>
        <v>14154.75</v>
      </c>
      <c r="H15" s="293"/>
    </row>
    <row r="16" spans="1:11" x14ac:dyDescent="0.3">
      <c r="B16" s="256"/>
      <c r="C16" s="248"/>
      <c r="D16" s="13"/>
      <c r="E16" s="13"/>
      <c r="F16" s="257"/>
      <c r="G16" s="263"/>
      <c r="H16" s="293"/>
    </row>
    <row r="17" spans="1:10" x14ac:dyDescent="0.3">
      <c r="A17" s="301" t="s">
        <v>6</v>
      </c>
      <c r="B17" s="253" t="s">
        <v>12</v>
      </c>
      <c r="C17" s="249">
        <f>'Taula v05'!W44</f>
        <v>460</v>
      </c>
      <c r="D17" s="2">
        <v>13.98</v>
      </c>
      <c r="E17" s="2"/>
      <c r="F17" s="258">
        <f>SUM(D17:E17)</f>
        <v>13.98</v>
      </c>
      <c r="G17" s="264">
        <f>C17*F17</f>
        <v>6430.8</v>
      </c>
      <c r="H17" s="293"/>
      <c r="J17" s="298"/>
    </row>
    <row r="18" spans="1:10" x14ac:dyDescent="0.3">
      <c r="A18" s="301" t="s">
        <v>6</v>
      </c>
      <c r="B18" s="253" t="s">
        <v>13</v>
      </c>
      <c r="C18" s="249">
        <v>1575</v>
      </c>
      <c r="D18" s="2">
        <v>14.55</v>
      </c>
      <c r="E18" s="245">
        <f>(26.5/4)*0.5</f>
        <v>3.3125</v>
      </c>
      <c r="F18" s="258">
        <f>SUM(D18:E18)</f>
        <v>17.862500000000001</v>
      </c>
      <c r="G18" s="264">
        <f>C18*F18</f>
        <v>28133.4375</v>
      </c>
      <c r="H18" s="293"/>
    </row>
    <row r="19" spans="1:10" x14ac:dyDescent="0.3">
      <c r="A19" s="301" t="s">
        <v>6</v>
      </c>
      <c r="B19" s="253" t="s">
        <v>14</v>
      </c>
      <c r="C19" s="249">
        <v>450</v>
      </c>
      <c r="D19" s="246">
        <v>16.100000000000001</v>
      </c>
      <c r="E19" s="245">
        <f>(26.9/4)*0.56</f>
        <v>3.766</v>
      </c>
      <c r="F19" s="258">
        <f>SUM(D19:E19)</f>
        <v>19.866</v>
      </c>
      <c r="G19" s="264">
        <f>C19*F19</f>
        <v>8939.7000000000007</v>
      </c>
      <c r="H19" s="293"/>
    </row>
    <row r="20" spans="1:10" x14ac:dyDescent="0.3">
      <c r="B20" s="253" t="s">
        <v>15</v>
      </c>
      <c r="C20" s="249"/>
      <c r="D20" s="2"/>
      <c r="E20" s="2"/>
      <c r="F20" s="259"/>
      <c r="G20" s="265">
        <f>SUM(G4:G19)</f>
        <v>339572.0625</v>
      </c>
      <c r="H20" s="293"/>
    </row>
    <row r="21" spans="1:10" x14ac:dyDescent="0.3">
      <c r="B21" s="253" t="s">
        <v>16</v>
      </c>
      <c r="C21" s="249"/>
      <c r="D21" s="2"/>
      <c r="E21" s="2"/>
      <c r="F21" s="259"/>
      <c r="G21" s="264">
        <f>G20*2.5%</f>
        <v>8489.3015625000007</v>
      </c>
      <c r="H21" s="293"/>
    </row>
    <row r="22" spans="1:10" x14ac:dyDescent="0.3">
      <c r="B22" s="253" t="s">
        <v>17</v>
      </c>
      <c r="C22" s="249"/>
      <c r="D22" s="2"/>
      <c r="E22" s="2"/>
      <c r="F22" s="259"/>
      <c r="G22" s="264">
        <f>G20*1.7%</f>
        <v>5772.7250625000006</v>
      </c>
      <c r="H22" s="293"/>
    </row>
    <row r="23" spans="1:10" x14ac:dyDescent="0.3">
      <c r="B23" s="253" t="s">
        <v>18</v>
      </c>
      <c r="C23" s="249"/>
      <c r="D23" s="2"/>
      <c r="E23" s="2"/>
      <c r="F23" s="259"/>
      <c r="G23" s="264">
        <f>G20*8%</f>
        <v>27165.764999999999</v>
      </c>
      <c r="H23" s="293"/>
    </row>
    <row r="24" spans="1:10" ht="15" thickBot="1" x14ac:dyDescent="0.35">
      <c r="B24" s="254" t="s">
        <v>19</v>
      </c>
      <c r="C24" s="250"/>
      <c r="D24" s="8"/>
      <c r="E24" s="8"/>
      <c r="F24" s="260"/>
      <c r="G24" s="266">
        <f>G20*1.4%</f>
        <v>4754.0088749999995</v>
      </c>
      <c r="H24" s="293"/>
    </row>
    <row r="25" spans="1:10" ht="15" thickBot="1" x14ac:dyDescent="0.35">
      <c r="B25" s="287" t="s">
        <v>20</v>
      </c>
      <c r="C25" s="288"/>
      <c r="D25" s="289"/>
      <c r="E25" s="289"/>
      <c r="F25" s="290"/>
      <c r="G25" s="291">
        <f>+G20+G21+G22+G23+G24</f>
        <v>385753.86300000001</v>
      </c>
      <c r="H25" s="293"/>
    </row>
    <row r="26" spans="1:10" ht="29.4" thickBot="1" x14ac:dyDescent="0.35">
      <c r="B26" s="255" t="s">
        <v>21</v>
      </c>
      <c r="C26" s="251"/>
      <c r="D26" s="247"/>
      <c r="E26" s="247"/>
      <c r="F26" s="261"/>
      <c r="G26" s="267">
        <f>G25*1.25%</f>
        <v>4821.9232875000007</v>
      </c>
      <c r="H26" s="293"/>
    </row>
    <row r="27" spans="1:10" ht="15" thickBot="1" x14ac:dyDescent="0.35">
      <c r="B27" s="287" t="s">
        <v>22</v>
      </c>
      <c r="C27" s="288"/>
      <c r="D27" s="289"/>
      <c r="E27" s="289"/>
      <c r="F27" s="290"/>
      <c r="G27" s="291">
        <f>SUM(G26)</f>
        <v>4821.9232875000007</v>
      </c>
      <c r="H27" s="293"/>
    </row>
    <row r="28" spans="1:10" x14ac:dyDescent="0.3">
      <c r="B28" s="256" t="s">
        <v>23</v>
      </c>
      <c r="C28" s="248"/>
      <c r="D28" s="13"/>
      <c r="E28" s="13"/>
      <c r="F28" s="262"/>
      <c r="G28" s="263">
        <f>(G25+G27)*5%</f>
        <v>19528.789314375001</v>
      </c>
      <c r="H28" s="293"/>
    </row>
    <row r="29" spans="1:10" ht="15" thickBot="1" x14ac:dyDescent="0.35">
      <c r="B29" s="254" t="s">
        <v>24</v>
      </c>
      <c r="C29" s="250"/>
      <c r="D29" s="8"/>
      <c r="E29" s="8"/>
      <c r="F29" s="260"/>
      <c r="G29" s="266">
        <f>(G25+G27)*6%</f>
        <v>23434.547177249999</v>
      </c>
      <c r="H29" s="293"/>
    </row>
    <row r="30" spans="1:10" x14ac:dyDescent="0.3">
      <c r="B30" s="268" t="s">
        <v>25</v>
      </c>
      <c r="C30" s="269"/>
      <c r="D30" s="270"/>
      <c r="E30" s="270"/>
      <c r="F30" s="271"/>
      <c r="G30" s="272">
        <f>+G25+G27+G28+G29</f>
        <v>433539.122779125</v>
      </c>
      <c r="H30" s="295">
        <f>H32/1.21</f>
        <v>34.600089607272551</v>
      </c>
    </row>
    <row r="31" spans="1:10" x14ac:dyDescent="0.3">
      <c r="B31" s="273" t="s">
        <v>26</v>
      </c>
      <c r="C31" s="274"/>
      <c r="D31" s="275"/>
      <c r="E31" s="275"/>
      <c r="F31" s="276"/>
      <c r="G31" s="277">
        <f>G30*21%</f>
        <v>91043.215783616251</v>
      </c>
      <c r="H31" s="296">
        <f>H30*21%</f>
        <v>7.2660188175272351</v>
      </c>
    </row>
    <row r="32" spans="1:10" ht="15" thickBot="1" x14ac:dyDescent="0.35">
      <c r="B32" s="278" t="s">
        <v>27</v>
      </c>
      <c r="C32" s="279"/>
      <c r="D32" s="280"/>
      <c r="E32" s="280"/>
      <c r="F32" s="281"/>
      <c r="G32" s="282">
        <f>SUM(G30:G31)</f>
        <v>524582.33856274129</v>
      </c>
      <c r="H32" s="297">
        <f>G32/(C4+C17+C18+C19)</f>
        <v>41.866108424799783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8ADE-3643-41E5-A465-66E3B77B0419}">
  <dimension ref="A2:J22"/>
  <sheetViews>
    <sheetView workbookViewId="0">
      <selection activeCell="C21" sqref="C21"/>
    </sheetView>
  </sheetViews>
  <sheetFormatPr baseColWidth="10" defaultColWidth="11.44140625" defaultRowHeight="14.4" x14ac:dyDescent="0.3"/>
  <cols>
    <col min="1" max="1" width="18.44140625" customWidth="1"/>
    <col min="2" max="2" width="55" style="244" customWidth="1"/>
    <col min="3" max="3" width="14.88671875" customWidth="1"/>
    <col min="4" max="4" width="11.44140625" bestFit="1" customWidth="1"/>
    <col min="5" max="5" width="16.5546875" customWidth="1"/>
    <col min="6" max="6" width="13.33203125" customWidth="1"/>
    <col min="9" max="9" width="26" customWidth="1"/>
  </cols>
  <sheetData>
    <row r="2" spans="1:8" ht="15" thickBot="1" x14ac:dyDescent="0.35"/>
    <row r="3" spans="1:8" ht="15" thickBot="1" x14ac:dyDescent="0.35">
      <c r="B3" s="283"/>
      <c r="C3" s="284" t="s">
        <v>0</v>
      </c>
      <c r="D3" s="285" t="s">
        <v>1</v>
      </c>
      <c r="E3" s="286" t="s">
        <v>4</v>
      </c>
      <c r="F3" s="286" t="s">
        <v>5</v>
      </c>
    </row>
    <row r="4" spans="1:8" x14ac:dyDescent="0.3">
      <c r="A4" s="301" t="s">
        <v>6</v>
      </c>
      <c r="B4" s="252" t="s">
        <v>7</v>
      </c>
      <c r="C4" s="248">
        <f>9516-1575-450+69</f>
        <v>7560</v>
      </c>
      <c r="D4" s="257">
        <v>14.69</v>
      </c>
      <c r="E4" s="263">
        <f>C4*D4</f>
        <v>111056.4</v>
      </c>
      <c r="F4" s="292"/>
    </row>
    <row r="5" spans="1:8" x14ac:dyDescent="0.3">
      <c r="A5" s="301" t="s">
        <v>6</v>
      </c>
      <c r="B5" s="253" t="s">
        <v>12</v>
      </c>
      <c r="C5" s="303">
        <v>730</v>
      </c>
      <c r="D5" s="258">
        <v>13.98</v>
      </c>
      <c r="E5" s="264">
        <f>C5*D5</f>
        <v>10205.4</v>
      </c>
      <c r="F5" s="293"/>
      <c r="H5" s="298"/>
    </row>
    <row r="6" spans="1:8" x14ac:dyDescent="0.3">
      <c r="A6" s="301" t="s">
        <v>6</v>
      </c>
      <c r="B6" s="253" t="s">
        <v>13</v>
      </c>
      <c r="C6" s="249">
        <v>1575</v>
      </c>
      <c r="D6" s="258">
        <v>17.86</v>
      </c>
      <c r="E6" s="264">
        <f>C6*D6</f>
        <v>28129.5</v>
      </c>
      <c r="F6" s="293"/>
    </row>
    <row r="7" spans="1:8" x14ac:dyDescent="0.3">
      <c r="A7" s="301" t="s">
        <v>6</v>
      </c>
      <c r="B7" s="253" t="s">
        <v>14</v>
      </c>
      <c r="C7" s="249">
        <v>450</v>
      </c>
      <c r="D7" s="258">
        <v>19.87</v>
      </c>
      <c r="E7" s="264">
        <f>C7*D7</f>
        <v>8941.5</v>
      </c>
      <c r="F7" s="293"/>
    </row>
    <row r="8" spans="1:8" ht="16.5" customHeight="1" x14ac:dyDescent="0.3">
      <c r="B8" s="253" t="s">
        <v>28</v>
      </c>
      <c r="C8" s="249"/>
      <c r="D8" s="259"/>
      <c r="E8" s="265">
        <f>SUM(E4:E7)</f>
        <v>158332.79999999999</v>
      </c>
      <c r="F8" s="293"/>
    </row>
    <row r="9" spans="1:8" ht="16.5" customHeight="1" x14ac:dyDescent="0.3">
      <c r="B9" s="253" t="s">
        <v>29</v>
      </c>
      <c r="C9" s="249"/>
      <c r="D9" s="259"/>
      <c r="E9" s="264">
        <f>E8*1.31%</f>
        <v>2074.1596799999998</v>
      </c>
      <c r="F9" s="293"/>
    </row>
    <row r="10" spans="1:8" x14ac:dyDescent="0.3">
      <c r="B10" s="253" t="s">
        <v>30</v>
      </c>
      <c r="C10" s="249"/>
      <c r="D10" s="259"/>
      <c r="E10" s="264">
        <f>E8*2%</f>
        <v>3166.6559999999999</v>
      </c>
      <c r="F10" s="293"/>
    </row>
    <row r="11" spans="1:8" ht="15" thickBot="1" x14ac:dyDescent="0.35">
      <c r="B11" s="253" t="s">
        <v>31</v>
      </c>
      <c r="C11" s="251"/>
      <c r="D11" s="261"/>
      <c r="E11" s="264">
        <f>E8*1%</f>
        <v>1583.328</v>
      </c>
      <c r="F11" s="293"/>
    </row>
    <row r="12" spans="1:8" ht="15" thickBot="1" x14ac:dyDescent="0.35">
      <c r="B12" s="287" t="s">
        <v>20</v>
      </c>
      <c r="C12" s="288">
        <f>SUM(C4:C10)</f>
        <v>10315</v>
      </c>
      <c r="D12" s="290"/>
      <c r="E12" s="291">
        <f>+E8+E9+E10+E11</f>
        <v>165156.94368</v>
      </c>
      <c r="F12" s="293"/>
    </row>
    <row r="13" spans="1:8" x14ac:dyDescent="0.3">
      <c r="B13" s="256" t="s">
        <v>23</v>
      </c>
      <c r="C13" s="248"/>
      <c r="D13" s="262"/>
      <c r="E13" s="263">
        <f>E12*5%</f>
        <v>8257.8471840000002</v>
      </c>
      <c r="F13" s="293"/>
    </row>
    <row r="14" spans="1:8" ht="15" thickBot="1" x14ac:dyDescent="0.35">
      <c r="B14" s="254" t="s">
        <v>24</v>
      </c>
      <c r="C14" s="250"/>
      <c r="D14" s="260"/>
      <c r="E14" s="266">
        <f>E12*6%</f>
        <v>9909.4166207999988</v>
      </c>
      <c r="F14" s="293"/>
    </row>
    <row r="15" spans="1:8" ht="15" thickBot="1" x14ac:dyDescent="0.35">
      <c r="B15" s="287" t="s">
        <v>22</v>
      </c>
      <c r="C15" s="288"/>
      <c r="D15" s="290"/>
      <c r="E15" s="291">
        <f>SUM(E13:E14)</f>
        <v>18167.263804800001</v>
      </c>
      <c r="F15" s="293"/>
    </row>
    <row r="16" spans="1:8" x14ac:dyDescent="0.3">
      <c r="B16" s="268" t="s">
        <v>25</v>
      </c>
      <c r="C16" s="269"/>
      <c r="D16" s="271"/>
      <c r="E16" s="272">
        <f>+E12+E15</f>
        <v>183324.20748479999</v>
      </c>
      <c r="F16" s="295">
        <f>E16/C12</f>
        <v>17.772584341715948</v>
      </c>
    </row>
    <row r="17" spans="2:10" x14ac:dyDescent="0.3">
      <c r="B17" s="273" t="s">
        <v>26</v>
      </c>
      <c r="C17" s="274"/>
      <c r="D17" s="276"/>
      <c r="E17" s="277">
        <f>E16*21%</f>
        <v>38498.083571807998</v>
      </c>
      <c r="F17" s="296">
        <f>F16*21%</f>
        <v>3.7322427117603492</v>
      </c>
    </row>
    <row r="18" spans="2:10" ht="15" thickBot="1" x14ac:dyDescent="0.35">
      <c r="B18" s="278" t="s">
        <v>27</v>
      </c>
      <c r="C18" s="279"/>
      <c r="D18" s="281"/>
      <c r="E18" s="282">
        <f>SUM(E16:E17)</f>
        <v>221822.291056608</v>
      </c>
      <c r="F18" s="297">
        <f>F16*1.21</f>
        <v>21.504827053476298</v>
      </c>
    </row>
    <row r="20" spans="2:10" x14ac:dyDescent="0.3">
      <c r="B20" s="244" t="s">
        <v>32</v>
      </c>
    </row>
    <row r="21" spans="2:10" x14ac:dyDescent="0.3">
      <c r="B21" s="244" t="s">
        <v>33</v>
      </c>
      <c r="C21" s="243">
        <f>E18*2</f>
        <v>443644.58211321599</v>
      </c>
      <c r="G21" s="243"/>
    </row>
    <row r="22" spans="2:10" x14ac:dyDescent="0.3">
      <c r="B22" s="244" t="s">
        <v>34</v>
      </c>
      <c r="C22" s="243">
        <f>(E16*4)*1.2</f>
        <v>879956.19592703995</v>
      </c>
      <c r="J22" s="2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F5A5-F16D-4E31-A159-22E4E8C51762}">
  <dimension ref="A2:G22"/>
  <sheetViews>
    <sheetView workbookViewId="0">
      <selection activeCell="B28" sqref="B28"/>
    </sheetView>
  </sheetViews>
  <sheetFormatPr baseColWidth="10" defaultColWidth="11.44140625" defaultRowHeight="14.4" x14ac:dyDescent="0.3"/>
  <cols>
    <col min="1" max="1" width="18.44140625" customWidth="1"/>
    <col min="2" max="2" width="55" style="244" customWidth="1"/>
    <col min="3" max="3" width="13.5546875" customWidth="1"/>
    <col min="5" max="5" width="16.5546875" customWidth="1"/>
    <col min="6" max="6" width="13.33203125" customWidth="1"/>
    <col min="8" max="8" width="26" customWidth="1"/>
    <col min="9" max="9" width="27.109375" customWidth="1"/>
  </cols>
  <sheetData>
    <row r="2" spans="1:7" ht="15" thickBot="1" x14ac:dyDescent="0.35"/>
    <row r="3" spans="1:7" ht="15" thickBot="1" x14ac:dyDescent="0.35">
      <c r="B3" s="283"/>
      <c r="C3" s="284" t="s">
        <v>0</v>
      </c>
      <c r="D3" s="285" t="s">
        <v>1</v>
      </c>
      <c r="E3" s="286" t="s">
        <v>4</v>
      </c>
      <c r="F3" s="286" t="s">
        <v>5</v>
      </c>
    </row>
    <row r="4" spans="1:7" x14ac:dyDescent="0.3">
      <c r="A4" s="301" t="s">
        <v>6</v>
      </c>
      <c r="B4" s="252" t="s">
        <v>7</v>
      </c>
      <c r="C4" s="248">
        <f>9516-1575-450+69</f>
        <v>7560</v>
      </c>
      <c r="D4" s="257">
        <v>14.69</v>
      </c>
      <c r="E4" s="263">
        <f>C4*D4</f>
        <v>111056.4</v>
      </c>
      <c r="F4" s="292"/>
    </row>
    <row r="5" spans="1:7" x14ac:dyDescent="0.3">
      <c r="A5" s="301" t="s">
        <v>6</v>
      </c>
      <c r="B5" s="253" t="s">
        <v>12</v>
      </c>
      <c r="C5" s="303">
        <v>265</v>
      </c>
      <c r="D5" s="258">
        <v>13.98</v>
      </c>
      <c r="E5" s="264">
        <f>C5*D5</f>
        <v>3704.7000000000003</v>
      </c>
      <c r="F5" s="293"/>
      <c r="G5" s="298"/>
    </row>
    <row r="6" spans="1:7" x14ac:dyDescent="0.3">
      <c r="A6" s="301" t="s">
        <v>6</v>
      </c>
      <c r="B6" s="253" t="s">
        <v>13</v>
      </c>
      <c r="C6" s="249">
        <v>1575</v>
      </c>
      <c r="D6" s="258">
        <v>17.86</v>
      </c>
      <c r="E6" s="264">
        <f>C6*D6</f>
        <v>28129.5</v>
      </c>
      <c r="F6" s="293"/>
    </row>
    <row r="7" spans="1:7" x14ac:dyDescent="0.3">
      <c r="A7" s="301" t="s">
        <v>6</v>
      </c>
      <c r="B7" s="253" t="s">
        <v>14</v>
      </c>
      <c r="C7" s="249">
        <v>450</v>
      </c>
      <c r="D7" s="258">
        <v>19.87</v>
      </c>
      <c r="E7" s="264">
        <f>C7*D7</f>
        <v>8941.5</v>
      </c>
      <c r="F7" s="293"/>
    </row>
    <row r="8" spans="1:7" ht="16.5" customHeight="1" x14ac:dyDescent="0.3">
      <c r="B8" s="253" t="s">
        <v>28</v>
      </c>
      <c r="C8" s="249"/>
      <c r="D8" s="259"/>
      <c r="E8" s="265">
        <f>SUM(E4:E7)</f>
        <v>151832.09999999998</v>
      </c>
      <c r="F8" s="293"/>
    </row>
    <row r="9" spans="1:7" ht="16.5" customHeight="1" x14ac:dyDescent="0.3">
      <c r="B9" s="253" t="s">
        <v>29</v>
      </c>
      <c r="C9" s="249"/>
      <c r="D9" s="259"/>
      <c r="E9" s="294">
        <v>2600</v>
      </c>
      <c r="F9" s="293"/>
    </row>
    <row r="10" spans="1:7" x14ac:dyDescent="0.3">
      <c r="B10" s="253" t="s">
        <v>30</v>
      </c>
      <c r="C10" s="249"/>
      <c r="D10" s="259"/>
      <c r="E10" s="294">
        <v>8000</v>
      </c>
      <c r="F10" s="293"/>
    </row>
    <row r="11" spans="1:7" ht="15" thickBot="1" x14ac:dyDescent="0.35">
      <c r="B11" s="253" t="s">
        <v>31</v>
      </c>
      <c r="C11" s="251"/>
      <c r="D11" s="261"/>
      <c r="E11" s="294">
        <v>2600</v>
      </c>
      <c r="F11" s="293"/>
    </row>
    <row r="12" spans="1:7" ht="15" thickBot="1" x14ac:dyDescent="0.35">
      <c r="B12" s="287" t="s">
        <v>20</v>
      </c>
      <c r="C12" s="288">
        <f>SUM(C4:C10)</f>
        <v>9850</v>
      </c>
      <c r="D12" s="290"/>
      <c r="E12" s="291">
        <f>+E8+E9+E10+E11</f>
        <v>165032.09999999998</v>
      </c>
      <c r="F12" s="293"/>
    </row>
    <row r="13" spans="1:7" x14ac:dyDescent="0.3">
      <c r="B13" s="256" t="s">
        <v>23</v>
      </c>
      <c r="C13" s="248"/>
      <c r="D13" s="262"/>
      <c r="E13" s="263">
        <f>E12*5%</f>
        <v>8251.6049999999996</v>
      </c>
      <c r="F13" s="293"/>
    </row>
    <row r="14" spans="1:7" ht="15" thickBot="1" x14ac:dyDescent="0.35">
      <c r="B14" s="254" t="s">
        <v>24</v>
      </c>
      <c r="C14" s="250"/>
      <c r="D14" s="260"/>
      <c r="E14" s="266">
        <f>E12*6%</f>
        <v>9901.9259999999977</v>
      </c>
      <c r="F14" s="293"/>
    </row>
    <row r="15" spans="1:7" ht="15" thickBot="1" x14ac:dyDescent="0.35">
      <c r="B15" s="287" t="s">
        <v>22</v>
      </c>
      <c r="C15" s="288"/>
      <c r="D15" s="290"/>
      <c r="E15" s="291">
        <f>SUM(E13:E14)</f>
        <v>18153.530999999995</v>
      </c>
      <c r="F15" s="293"/>
    </row>
    <row r="16" spans="1:7" x14ac:dyDescent="0.3">
      <c r="B16" s="268" t="s">
        <v>25</v>
      </c>
      <c r="C16" s="269"/>
      <c r="D16" s="271"/>
      <c r="E16" s="272">
        <f>+E12+E15</f>
        <v>183185.63099999996</v>
      </c>
      <c r="F16" s="295">
        <f>E16/C12</f>
        <v>18.597525989847711</v>
      </c>
    </row>
    <row r="17" spans="2:6" x14ac:dyDescent="0.3">
      <c r="B17" s="273" t="s">
        <v>26</v>
      </c>
      <c r="C17" s="274"/>
      <c r="D17" s="276"/>
      <c r="E17" s="277">
        <f>E16*21%</f>
        <v>38468.982509999994</v>
      </c>
      <c r="F17" s="296">
        <f>F16*21%</f>
        <v>3.9054804578680189</v>
      </c>
    </row>
    <row r="18" spans="2:6" ht="15" thickBot="1" x14ac:dyDescent="0.35">
      <c r="B18" s="278" t="s">
        <v>27</v>
      </c>
      <c r="C18" s="279"/>
      <c r="D18" s="281"/>
      <c r="E18" s="282">
        <f>SUM(E16:E17)</f>
        <v>221654.61350999997</v>
      </c>
      <c r="F18" s="297">
        <f>F16*1.21</f>
        <v>22.50300644771573</v>
      </c>
    </row>
    <row r="20" spans="2:6" x14ac:dyDescent="0.3">
      <c r="B20" s="244" t="s">
        <v>0</v>
      </c>
    </row>
    <row r="21" spans="2:6" x14ac:dyDescent="0.3">
      <c r="B21" s="244">
        <v>10315</v>
      </c>
      <c r="C21" s="243">
        <f>10315*22.5</f>
        <v>232087.5</v>
      </c>
      <c r="F21" s="243"/>
    </row>
    <row r="22" spans="2:6" x14ac:dyDescent="0.3">
      <c r="B22" s="244">
        <v>9850</v>
      </c>
      <c r="C22" s="243">
        <f>9850*22.5</f>
        <v>221625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4"/>
  <sheetViews>
    <sheetView workbookViewId="0">
      <selection activeCell="F23" sqref="F23"/>
    </sheetView>
  </sheetViews>
  <sheetFormatPr baseColWidth="10" defaultColWidth="9.109375" defaultRowHeight="14.4" x14ac:dyDescent="0.3"/>
  <cols>
    <col min="2" max="2" width="15.33203125" customWidth="1"/>
    <col min="3" max="3" width="10.6640625" bestFit="1" customWidth="1"/>
    <col min="4" max="4" width="18.88671875" bestFit="1" customWidth="1"/>
    <col min="6" max="6" width="13.109375" customWidth="1"/>
  </cols>
  <sheetData>
    <row r="3" spans="2:8" s="232" customFormat="1" x14ac:dyDescent="0.3">
      <c r="B3" s="232" t="s">
        <v>38</v>
      </c>
      <c r="C3" s="232" t="s">
        <v>39</v>
      </c>
    </row>
    <row r="4" spans="2:8" x14ac:dyDescent="0.3">
      <c r="F4" t="s">
        <v>40</v>
      </c>
    </row>
    <row r="5" spans="2:8" x14ac:dyDescent="0.3">
      <c r="C5" s="24">
        <v>44187</v>
      </c>
      <c r="D5" t="s">
        <v>41</v>
      </c>
      <c r="F5" s="25">
        <f>345630.44*1.21</f>
        <v>418212.83240000001</v>
      </c>
      <c r="G5" t="s">
        <v>42</v>
      </c>
    </row>
    <row r="6" spans="2:8" x14ac:dyDescent="0.3">
      <c r="C6" s="24">
        <v>44252</v>
      </c>
      <c r="D6" t="s">
        <v>43</v>
      </c>
      <c r="F6" s="25">
        <v>14994.32</v>
      </c>
      <c r="G6" t="s">
        <v>42</v>
      </c>
    </row>
    <row r="7" spans="2:8" x14ac:dyDescent="0.3">
      <c r="C7" s="24">
        <v>44883</v>
      </c>
      <c r="D7" t="s">
        <v>44</v>
      </c>
      <c r="F7" s="25">
        <v>244343.07</v>
      </c>
      <c r="G7" t="s">
        <v>42</v>
      </c>
      <c r="H7" t="s">
        <v>45</v>
      </c>
    </row>
    <row r="8" spans="2:8" x14ac:dyDescent="0.3">
      <c r="C8" s="24">
        <v>44523</v>
      </c>
      <c r="D8" t="s">
        <v>46</v>
      </c>
      <c r="F8" s="25">
        <v>20242.330000000002</v>
      </c>
      <c r="G8" t="s">
        <v>42</v>
      </c>
    </row>
    <row r="9" spans="2:8" x14ac:dyDescent="0.3">
      <c r="C9" s="24">
        <v>45224</v>
      </c>
      <c r="D9" t="s">
        <v>47</v>
      </c>
      <c r="F9" s="25">
        <v>244343.07</v>
      </c>
      <c r="G9" t="s">
        <v>42</v>
      </c>
      <c r="H9" t="s">
        <v>45</v>
      </c>
    </row>
    <row r="10" spans="2:8" x14ac:dyDescent="0.3">
      <c r="F10" s="25"/>
    </row>
    <row r="11" spans="2:8" x14ac:dyDescent="0.3">
      <c r="F11" s="25"/>
    </row>
    <row r="13" spans="2:8" x14ac:dyDescent="0.3">
      <c r="B13" t="s">
        <v>48</v>
      </c>
    </row>
    <row r="14" spans="2:8" x14ac:dyDescent="0.3">
      <c r="B14" t="s">
        <v>49</v>
      </c>
      <c r="C14" s="106">
        <v>10967</v>
      </c>
      <c r="D14" t="s">
        <v>50</v>
      </c>
    </row>
    <row r="15" spans="2:8" x14ac:dyDescent="0.3">
      <c r="C15" s="106">
        <v>125</v>
      </c>
      <c r="D15" t="s">
        <v>51</v>
      </c>
    </row>
    <row r="16" spans="2:8" x14ac:dyDescent="0.3">
      <c r="C16" s="106">
        <v>800</v>
      </c>
      <c r="D16" t="s">
        <v>52</v>
      </c>
    </row>
    <row r="17" spans="3:6" x14ac:dyDescent="0.3">
      <c r="C17" s="106">
        <v>1080</v>
      </c>
      <c r="D17" t="s">
        <v>53</v>
      </c>
    </row>
    <row r="18" spans="3:6" x14ac:dyDescent="0.3">
      <c r="C18" s="106">
        <f>+SUM(C14:C17)</f>
        <v>12972</v>
      </c>
      <c r="D18" t="s">
        <v>54</v>
      </c>
    </row>
    <row r="20" spans="3:6" x14ac:dyDescent="0.3">
      <c r="F20" s="25"/>
    </row>
    <row r="21" spans="3:6" x14ac:dyDescent="0.3">
      <c r="C21" s="232" t="s">
        <v>55</v>
      </c>
      <c r="D21" s="232"/>
      <c r="E21" s="232"/>
      <c r="F21" s="233">
        <f>+F9+F6+F8</f>
        <v>279579.72000000003</v>
      </c>
    </row>
    <row r="22" spans="3:6" x14ac:dyDescent="0.3">
      <c r="D22" t="s">
        <v>56</v>
      </c>
      <c r="F22" s="25">
        <f>+C18</f>
        <v>12972</v>
      </c>
    </row>
    <row r="23" spans="3:6" x14ac:dyDescent="0.3">
      <c r="D23" t="s">
        <v>57</v>
      </c>
      <c r="F23" s="25">
        <f>+F21/F22</f>
        <v>21.552553191489363</v>
      </c>
    </row>
    <row r="24" spans="3:6" x14ac:dyDescent="0.3">
      <c r="F24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58"/>
  <sheetViews>
    <sheetView topLeftCell="A28" workbookViewId="0">
      <selection activeCell="V49" sqref="V49"/>
    </sheetView>
  </sheetViews>
  <sheetFormatPr baseColWidth="10" defaultColWidth="9.109375" defaultRowHeight="14.4" x14ac:dyDescent="0.3"/>
  <cols>
    <col min="1" max="1" width="1.5546875" customWidth="1"/>
    <col min="2" max="2" width="37.88671875" customWidth="1"/>
    <col min="3" max="3" width="13.6640625" bestFit="1" customWidth="1"/>
    <col min="4" max="4" width="9.109375" bestFit="1" customWidth="1"/>
    <col min="5" max="5" width="20.109375" customWidth="1"/>
    <col min="6" max="6" width="0.6640625" customWidth="1"/>
    <col min="7" max="7" width="3.88671875" customWidth="1"/>
    <col min="8" max="8" width="0.6640625" customWidth="1"/>
    <col min="9" max="9" width="2.6640625" bestFit="1" customWidth="1"/>
    <col min="10" max="10" width="3.88671875" bestFit="1" customWidth="1"/>
    <col min="11" max="11" width="3" bestFit="1" customWidth="1"/>
    <col min="12" max="12" width="2.6640625" bestFit="1" customWidth="1"/>
    <col min="13" max="13" width="3.109375" bestFit="1" customWidth="1"/>
    <col min="14" max="14" width="3" bestFit="1" customWidth="1"/>
    <col min="15" max="15" width="3.44140625" customWidth="1"/>
    <col min="16" max="16" width="0.6640625" customWidth="1"/>
    <col min="17" max="17" width="6.6640625" bestFit="1" customWidth="1"/>
    <col min="18" max="18" width="2" bestFit="1" customWidth="1"/>
    <col min="19" max="19" width="6.6640625" bestFit="1" customWidth="1"/>
    <col min="20" max="20" width="9.88671875" bestFit="1" customWidth="1"/>
    <col min="21" max="21" width="14.6640625" customWidth="1"/>
    <col min="22" max="22" width="14.44140625" bestFit="1" customWidth="1"/>
    <col min="23" max="23" width="0.6640625" customWidth="1"/>
    <col min="24" max="24" width="17.6640625" customWidth="1"/>
    <col min="25" max="25" width="0.6640625" customWidth="1"/>
    <col min="26" max="26" width="31.6640625" style="45" customWidth="1"/>
    <col min="27" max="27" width="10.44140625" style="45" bestFit="1" customWidth="1"/>
    <col min="28" max="28" width="11.33203125" style="45" customWidth="1"/>
    <col min="29" max="29" width="6" style="45" bestFit="1" customWidth="1"/>
    <col min="30" max="30" width="45.109375" style="45" bestFit="1" customWidth="1"/>
    <col min="31" max="37" width="9.109375" style="45"/>
  </cols>
  <sheetData>
    <row r="2" spans="1:30" ht="17.25" customHeight="1" x14ac:dyDescent="0.3">
      <c r="A2" s="304"/>
      <c r="B2" s="426" t="s">
        <v>58</v>
      </c>
      <c r="C2" s="426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25" t="s">
        <v>59</v>
      </c>
      <c r="Y2" s="34"/>
    </row>
    <row r="3" spans="1:30" ht="15.75" customHeight="1" x14ac:dyDescent="0.3">
      <c r="A3" s="304"/>
      <c r="B3" s="427" t="s">
        <v>60</v>
      </c>
      <c r="C3" s="427"/>
      <c r="D3" s="427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9">
        <v>45533</v>
      </c>
      <c r="Y3" s="34"/>
    </row>
    <row r="4" spans="1:30" ht="2.25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30" ht="2.25" customHeigh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34"/>
    </row>
    <row r="6" spans="1:30" ht="26.25" customHeight="1" x14ac:dyDescent="0.3">
      <c r="A6" s="304"/>
      <c r="B6" s="33" t="s">
        <v>61</v>
      </c>
      <c r="C6" s="304" t="s">
        <v>62</v>
      </c>
      <c r="D6" s="304" t="s">
        <v>63</v>
      </c>
      <c r="E6" s="304" t="s">
        <v>64</v>
      </c>
      <c r="F6" s="55"/>
      <c r="G6" s="425" t="s">
        <v>65</v>
      </c>
      <c r="H6" s="425"/>
      <c r="I6" s="425"/>
      <c r="J6" s="425"/>
      <c r="K6" s="425"/>
      <c r="L6" s="425"/>
      <c r="M6" s="425"/>
      <c r="N6" s="425"/>
      <c r="O6" s="425"/>
      <c r="P6" s="55"/>
      <c r="Q6" s="425" t="s">
        <v>66</v>
      </c>
      <c r="R6" s="425"/>
      <c r="S6" s="425"/>
      <c r="T6" s="304" t="s">
        <v>67</v>
      </c>
      <c r="U6" s="304" t="s">
        <v>68</v>
      </c>
      <c r="V6" s="304" t="s">
        <v>69</v>
      </c>
      <c r="W6" s="304"/>
      <c r="X6" s="44" t="s">
        <v>70</v>
      </c>
      <c r="Y6" s="304"/>
    </row>
    <row r="7" spans="1:30" ht="2.25" customHeight="1" x14ac:dyDescent="0.3">
      <c r="A7" s="3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34"/>
    </row>
    <row r="8" spans="1:30" ht="2.2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30" x14ac:dyDescent="0.3">
      <c r="A9" s="304"/>
      <c r="B9" s="13" t="s">
        <v>71</v>
      </c>
      <c r="C9" s="14">
        <v>47</v>
      </c>
      <c r="D9" s="14">
        <v>6</v>
      </c>
      <c r="E9" s="14">
        <v>4.5</v>
      </c>
      <c r="F9" s="304"/>
      <c r="G9" s="14">
        <v>5</v>
      </c>
      <c r="H9" s="304"/>
      <c r="I9" s="47" t="s">
        <v>72</v>
      </c>
      <c r="J9" s="47" t="s">
        <v>73</v>
      </c>
      <c r="K9" s="47" t="s">
        <v>74</v>
      </c>
      <c r="L9" s="47" t="s">
        <v>75</v>
      </c>
      <c r="M9" s="47" t="s">
        <v>76</v>
      </c>
      <c r="N9" s="47"/>
      <c r="O9" s="48"/>
      <c r="P9" s="304"/>
      <c r="Q9" s="29">
        <v>0.72916666666666663</v>
      </c>
      <c r="R9" s="15" t="s">
        <v>77</v>
      </c>
      <c r="S9" s="16">
        <v>0.91666666666666663</v>
      </c>
      <c r="T9" s="14">
        <f t="shared" ref="T9:T14" si="0">+E9*D9</f>
        <v>27</v>
      </c>
      <c r="U9" s="14">
        <f t="shared" ref="U9:U14" si="1">+T9*G9</f>
        <v>135</v>
      </c>
      <c r="V9" s="17">
        <f t="shared" ref="V9:V14" si="2">+U9*C9</f>
        <v>6345</v>
      </c>
      <c r="W9" s="304"/>
      <c r="X9" s="14"/>
      <c r="Y9" s="304"/>
    </row>
    <row r="10" spans="1:30" x14ac:dyDescent="0.3">
      <c r="A10" s="304"/>
      <c r="B10" s="80" t="s">
        <v>78</v>
      </c>
      <c r="C10" s="81">
        <v>40</v>
      </c>
      <c r="D10" s="81">
        <v>1</v>
      </c>
      <c r="E10" s="81">
        <v>4</v>
      </c>
      <c r="F10" s="304"/>
      <c r="G10" s="81">
        <v>5</v>
      </c>
      <c r="H10" s="304"/>
      <c r="I10" s="82" t="s">
        <v>72</v>
      </c>
      <c r="J10" s="82" t="s">
        <v>73</v>
      </c>
      <c r="K10" s="82" t="s">
        <v>74</v>
      </c>
      <c r="L10" s="82" t="s">
        <v>75</v>
      </c>
      <c r="M10" s="82" t="s">
        <v>76</v>
      </c>
      <c r="N10" s="82"/>
      <c r="O10" s="83"/>
      <c r="P10" s="304"/>
      <c r="Q10" s="84"/>
      <c r="R10" s="85"/>
      <c r="S10" s="86"/>
      <c r="T10" s="81">
        <f t="shared" si="0"/>
        <v>4</v>
      </c>
      <c r="U10" s="81">
        <f t="shared" si="1"/>
        <v>20</v>
      </c>
      <c r="V10" s="87">
        <f t="shared" si="2"/>
        <v>800</v>
      </c>
      <c r="W10" s="304"/>
      <c r="X10" s="81"/>
      <c r="Y10" s="304"/>
      <c r="AA10" s="46">
        <v>44252</v>
      </c>
      <c r="AB10" s="103">
        <v>14994.32</v>
      </c>
      <c r="AC10" s="45" t="s">
        <v>79</v>
      </c>
      <c r="AD10" s="45" t="s">
        <v>80</v>
      </c>
    </row>
    <row r="11" spans="1:30" x14ac:dyDescent="0.3">
      <c r="A11" s="304"/>
      <c r="B11" s="96" t="s">
        <v>81</v>
      </c>
      <c r="C11" s="85">
        <v>42</v>
      </c>
      <c r="D11" s="85">
        <v>1</v>
      </c>
      <c r="E11" s="85">
        <v>3</v>
      </c>
      <c r="F11" s="97"/>
      <c r="G11" s="85">
        <v>5</v>
      </c>
      <c r="H11" s="97"/>
      <c r="I11" s="82" t="s">
        <v>72</v>
      </c>
      <c r="J11" s="82" t="s">
        <v>73</v>
      </c>
      <c r="K11" s="82" t="s">
        <v>74</v>
      </c>
      <c r="L11" s="82" t="s">
        <v>75</v>
      </c>
      <c r="M11" s="82" t="s">
        <v>76</v>
      </c>
      <c r="N11" s="82"/>
      <c r="O11" s="83"/>
      <c r="P11" s="304"/>
      <c r="Q11" s="84"/>
      <c r="R11" s="85"/>
      <c r="S11" s="86"/>
      <c r="T11" s="81">
        <f t="shared" si="0"/>
        <v>3</v>
      </c>
      <c r="U11" s="81">
        <f t="shared" si="1"/>
        <v>15</v>
      </c>
      <c r="V11" s="87">
        <f t="shared" si="2"/>
        <v>630</v>
      </c>
      <c r="W11" s="304"/>
      <c r="X11" s="81"/>
      <c r="Y11" s="304"/>
      <c r="AA11" s="46">
        <v>44523</v>
      </c>
      <c r="AB11" s="103">
        <v>20242.330000000002</v>
      </c>
      <c r="AC11" s="45" t="s">
        <v>79</v>
      </c>
      <c r="AD11" s="45" t="s">
        <v>82</v>
      </c>
    </row>
    <row r="12" spans="1:30" x14ac:dyDescent="0.3">
      <c r="A12" s="304"/>
      <c r="B12" s="98"/>
      <c r="C12" s="99">
        <v>2</v>
      </c>
      <c r="D12" s="99">
        <v>1</v>
      </c>
      <c r="E12" s="99">
        <v>4</v>
      </c>
      <c r="F12" s="304"/>
      <c r="G12" s="99">
        <v>5</v>
      </c>
      <c r="H12" s="304"/>
      <c r="I12" s="82" t="s">
        <v>72</v>
      </c>
      <c r="J12" s="82" t="s">
        <v>73</v>
      </c>
      <c r="K12" s="82" t="s">
        <v>74</v>
      </c>
      <c r="L12" s="82" t="s">
        <v>75</v>
      </c>
      <c r="M12" s="82" t="s">
        <v>76</v>
      </c>
      <c r="N12" s="82"/>
      <c r="O12" s="83"/>
      <c r="P12" s="304"/>
      <c r="Q12" s="84"/>
      <c r="R12" s="85"/>
      <c r="S12" s="86"/>
      <c r="T12" s="81">
        <f t="shared" si="0"/>
        <v>4</v>
      </c>
      <c r="U12" s="81">
        <f t="shared" si="1"/>
        <v>20</v>
      </c>
      <c r="V12" s="87">
        <f t="shared" si="2"/>
        <v>40</v>
      </c>
      <c r="W12" s="304"/>
      <c r="X12" s="81"/>
      <c r="Y12" s="304"/>
      <c r="Z12" s="46"/>
      <c r="AB12" s="103"/>
      <c r="AD12" s="45" t="s">
        <v>83</v>
      </c>
    </row>
    <row r="13" spans="1:30" x14ac:dyDescent="0.3">
      <c r="A13" s="304"/>
      <c r="B13" s="100"/>
      <c r="C13" s="101">
        <v>41</v>
      </c>
      <c r="D13" s="101">
        <v>1</v>
      </c>
      <c r="E13" s="101">
        <v>2</v>
      </c>
      <c r="F13" s="102"/>
      <c r="G13" s="101">
        <v>5</v>
      </c>
      <c r="H13" s="102"/>
      <c r="I13" s="82" t="s">
        <v>72</v>
      </c>
      <c r="J13" s="82" t="s">
        <v>73</v>
      </c>
      <c r="K13" s="82" t="s">
        <v>74</v>
      </c>
      <c r="L13" s="82" t="s">
        <v>75</v>
      </c>
      <c r="M13" s="82" t="s">
        <v>76</v>
      </c>
      <c r="N13" s="82"/>
      <c r="O13" s="83"/>
      <c r="P13" s="304"/>
      <c r="Q13" s="84"/>
      <c r="R13" s="85"/>
      <c r="S13" s="86"/>
      <c r="T13" s="81">
        <f t="shared" si="0"/>
        <v>2</v>
      </c>
      <c r="U13" s="81">
        <f t="shared" si="1"/>
        <v>10</v>
      </c>
      <c r="V13" s="87">
        <f t="shared" si="2"/>
        <v>410</v>
      </c>
      <c r="W13" s="304"/>
      <c r="X13" s="81"/>
      <c r="Y13" s="304"/>
      <c r="Z13" s="46"/>
      <c r="AB13" s="103"/>
      <c r="AD13" s="45" t="s">
        <v>84</v>
      </c>
    </row>
    <row r="14" spans="1:30" x14ac:dyDescent="0.3">
      <c r="A14" s="304"/>
      <c r="B14" s="88" t="s">
        <v>85</v>
      </c>
      <c r="C14" s="89">
        <v>47</v>
      </c>
      <c r="D14" s="89">
        <v>4</v>
      </c>
      <c r="E14" s="89">
        <v>4</v>
      </c>
      <c r="F14" s="304"/>
      <c r="G14" s="89">
        <v>5</v>
      </c>
      <c r="H14" s="304"/>
      <c r="I14" s="90" t="s">
        <v>72</v>
      </c>
      <c r="J14" s="90" t="s">
        <v>73</v>
      </c>
      <c r="K14" s="90" t="s">
        <v>74</v>
      </c>
      <c r="L14" s="90" t="s">
        <v>75</v>
      </c>
      <c r="M14" s="90" t="s">
        <v>76</v>
      </c>
      <c r="N14" s="90"/>
      <c r="O14" s="91"/>
      <c r="P14" s="304"/>
      <c r="Q14" s="92">
        <v>0.72916666666666663</v>
      </c>
      <c r="R14" s="93" t="s">
        <v>77</v>
      </c>
      <c r="S14" s="94">
        <v>0.89583333333333337</v>
      </c>
      <c r="T14" s="89">
        <f t="shared" si="0"/>
        <v>16</v>
      </c>
      <c r="U14" s="89">
        <f t="shared" si="1"/>
        <v>80</v>
      </c>
      <c r="V14" s="95">
        <f t="shared" si="2"/>
        <v>3760</v>
      </c>
      <c r="W14" s="304"/>
      <c r="X14" s="89"/>
      <c r="Y14" s="304"/>
      <c r="Z14" s="45" t="s">
        <v>86</v>
      </c>
    </row>
    <row r="15" spans="1:30" x14ac:dyDescent="0.3">
      <c r="A15" s="304"/>
      <c r="B15" s="7"/>
      <c r="C15" s="7"/>
      <c r="D15" s="7"/>
      <c r="E15" s="7"/>
      <c r="F15" s="304"/>
      <c r="G15" s="7"/>
      <c r="H15" s="304"/>
      <c r="I15" s="50"/>
      <c r="J15" s="50"/>
      <c r="K15" s="50"/>
      <c r="L15" s="50"/>
      <c r="M15" s="50"/>
      <c r="N15" s="50"/>
      <c r="O15" s="50"/>
      <c r="P15" s="304"/>
      <c r="Q15" s="7"/>
      <c r="R15" s="7"/>
      <c r="S15" s="7"/>
      <c r="T15" s="7"/>
      <c r="U15" s="7"/>
      <c r="V15" s="7"/>
      <c r="W15" s="304"/>
      <c r="X15" s="7"/>
      <c r="Y15" s="304"/>
    </row>
    <row r="16" spans="1:30" x14ac:dyDescent="0.3">
      <c r="A16" s="304"/>
      <c r="B16" s="2" t="s">
        <v>87</v>
      </c>
      <c r="C16" s="3">
        <v>48</v>
      </c>
      <c r="D16" s="3">
        <v>1</v>
      </c>
      <c r="E16" s="3">
        <v>1.5</v>
      </c>
      <c r="F16" s="304"/>
      <c r="G16" s="3">
        <v>5</v>
      </c>
      <c r="H16" s="304"/>
      <c r="I16" s="51" t="s">
        <v>72</v>
      </c>
      <c r="J16" s="51" t="s">
        <v>73</v>
      </c>
      <c r="K16" s="51" t="s">
        <v>74</v>
      </c>
      <c r="L16" s="51" t="s">
        <v>75</v>
      </c>
      <c r="M16" s="51" t="s">
        <v>76</v>
      </c>
      <c r="N16" s="51"/>
      <c r="O16" s="306"/>
      <c r="P16" s="304"/>
      <c r="Q16" s="30">
        <v>0.27083333333333331</v>
      </c>
      <c r="R16" s="309" t="s">
        <v>77</v>
      </c>
      <c r="S16" s="6">
        <v>0.33333333333333331</v>
      </c>
      <c r="T16" s="3">
        <f>+E16*D16</f>
        <v>1.5</v>
      </c>
      <c r="U16" s="3">
        <f>+T16*G16</f>
        <v>7.5</v>
      </c>
      <c r="V16" s="5">
        <f>+U16*C16</f>
        <v>360</v>
      </c>
      <c r="W16" s="304"/>
      <c r="X16" s="3">
        <v>10</v>
      </c>
      <c r="Y16" s="304"/>
    </row>
    <row r="17" spans="1:27" x14ac:dyDescent="0.3">
      <c r="A17" s="304"/>
      <c r="B17" s="2" t="s">
        <v>88</v>
      </c>
      <c r="C17" s="3">
        <v>52</v>
      </c>
      <c r="D17" s="3">
        <v>1</v>
      </c>
      <c r="E17" s="3">
        <v>1.5</v>
      </c>
      <c r="F17" s="304"/>
      <c r="G17" s="3">
        <v>5</v>
      </c>
      <c r="H17" s="304"/>
      <c r="I17" s="51" t="s">
        <v>72</v>
      </c>
      <c r="J17" s="51" t="s">
        <v>73</v>
      </c>
      <c r="K17" s="51" t="s">
        <v>74</v>
      </c>
      <c r="L17" s="51" t="s">
        <v>75</v>
      </c>
      <c r="M17" s="51" t="s">
        <v>76</v>
      </c>
      <c r="N17" s="51"/>
      <c r="O17" s="306"/>
      <c r="P17" s="304"/>
      <c r="Q17" s="30">
        <v>0.25</v>
      </c>
      <c r="R17" s="309" t="s">
        <v>77</v>
      </c>
      <c r="S17" s="6">
        <v>0.3125</v>
      </c>
      <c r="T17" s="3">
        <f>+E17*D17</f>
        <v>1.5</v>
      </c>
      <c r="U17" s="3">
        <f>+T17*G17</f>
        <v>7.5</v>
      </c>
      <c r="V17" s="5">
        <f>+U17*C17</f>
        <v>390</v>
      </c>
      <c r="W17" s="304"/>
      <c r="X17" s="3">
        <v>10</v>
      </c>
      <c r="Y17" s="304"/>
    </row>
    <row r="18" spans="1:27" ht="9.75" customHeight="1" x14ac:dyDescent="0.3">
      <c r="A18" s="304"/>
      <c r="B18" s="7"/>
      <c r="C18" s="7"/>
      <c r="D18" s="7"/>
      <c r="E18" s="7"/>
      <c r="F18" s="304"/>
      <c r="G18" s="7"/>
      <c r="H18" s="304"/>
      <c r="I18" s="50"/>
      <c r="J18" s="50"/>
      <c r="K18" s="50"/>
      <c r="L18" s="50"/>
      <c r="M18" s="50"/>
      <c r="N18" s="50"/>
      <c r="O18" s="50"/>
      <c r="P18" s="304"/>
      <c r="Q18" s="7"/>
      <c r="R18" s="7"/>
      <c r="S18" s="7"/>
      <c r="T18" s="7"/>
      <c r="U18" s="7"/>
      <c r="V18" s="7"/>
      <c r="W18" s="304"/>
      <c r="X18" s="7"/>
      <c r="Y18" s="304"/>
      <c r="AA18" s="104"/>
    </row>
    <row r="19" spans="1:27" x14ac:dyDescent="0.3">
      <c r="A19" s="304"/>
      <c r="B19" s="2" t="s">
        <v>89</v>
      </c>
      <c r="C19" s="3">
        <v>52</v>
      </c>
      <c r="D19" s="3">
        <v>1</v>
      </c>
      <c r="E19" s="3">
        <v>3.6</v>
      </c>
      <c r="F19" s="304"/>
      <c r="G19" s="3">
        <v>5</v>
      </c>
      <c r="H19" s="304"/>
      <c r="I19" s="51" t="s">
        <v>72</v>
      </c>
      <c r="J19" s="51" t="s">
        <v>73</v>
      </c>
      <c r="K19" s="51" t="s">
        <v>74</v>
      </c>
      <c r="L19" s="51" t="s">
        <v>75</v>
      </c>
      <c r="M19" s="51" t="s">
        <v>76</v>
      </c>
      <c r="N19" s="51"/>
      <c r="O19" s="306"/>
      <c r="P19" s="304"/>
      <c r="Q19" s="30">
        <v>0.66666666666666663</v>
      </c>
      <c r="R19" s="309" t="s">
        <v>77</v>
      </c>
      <c r="S19" s="6">
        <v>0.81944444444444453</v>
      </c>
      <c r="T19" s="3">
        <f t="shared" ref="T19:T24" si="3">+E19*D19</f>
        <v>3.6</v>
      </c>
      <c r="U19" s="3">
        <f t="shared" ref="U19:U24" si="4">+T19*G19</f>
        <v>18</v>
      </c>
      <c r="V19" s="5">
        <f t="shared" ref="V19:V24" si="5">+U19*C19</f>
        <v>936</v>
      </c>
      <c r="W19" s="304"/>
      <c r="X19" s="3">
        <v>15</v>
      </c>
      <c r="Y19" s="304"/>
    </row>
    <row r="20" spans="1:27" x14ac:dyDescent="0.3">
      <c r="A20" s="304"/>
      <c r="B20" s="8" t="s">
        <v>90</v>
      </c>
      <c r="C20" s="9">
        <v>52</v>
      </c>
      <c r="D20" s="9">
        <v>1</v>
      </c>
      <c r="E20" s="9">
        <v>2.25</v>
      </c>
      <c r="F20" s="304"/>
      <c r="G20" s="9">
        <v>5</v>
      </c>
      <c r="H20" s="304"/>
      <c r="I20" s="52" t="s">
        <v>72</v>
      </c>
      <c r="J20" s="52" t="s">
        <v>73</v>
      </c>
      <c r="K20" s="52" t="s">
        <v>74</v>
      </c>
      <c r="L20" s="52" t="s">
        <v>75</v>
      </c>
      <c r="M20" s="52" t="s">
        <v>76</v>
      </c>
      <c r="N20" s="52"/>
      <c r="O20" s="53"/>
      <c r="P20" s="304"/>
      <c r="Q20" s="32">
        <v>0.33333333333333331</v>
      </c>
      <c r="R20" s="10" t="s">
        <v>77</v>
      </c>
      <c r="S20" s="11">
        <v>0.42708333333333331</v>
      </c>
      <c r="T20" s="9">
        <f t="shared" si="3"/>
        <v>2.25</v>
      </c>
      <c r="U20" s="9">
        <f t="shared" si="4"/>
        <v>11.25</v>
      </c>
      <c r="V20" s="12">
        <f t="shared" si="5"/>
        <v>585</v>
      </c>
      <c r="W20" s="304"/>
      <c r="X20" s="9">
        <v>15</v>
      </c>
      <c r="Y20" s="304"/>
    </row>
    <row r="21" spans="1:27" x14ac:dyDescent="0.3">
      <c r="A21" s="304"/>
      <c r="B21" s="13" t="s">
        <v>91</v>
      </c>
      <c r="C21" s="14">
        <v>52</v>
      </c>
      <c r="D21" s="14">
        <v>1</v>
      </c>
      <c r="E21" s="14">
        <v>1</v>
      </c>
      <c r="F21" s="304"/>
      <c r="G21" s="14">
        <v>1</v>
      </c>
      <c r="H21" s="304"/>
      <c r="I21" s="47"/>
      <c r="J21" s="47"/>
      <c r="K21" s="47"/>
      <c r="L21" s="47"/>
      <c r="M21" s="47"/>
      <c r="N21" s="47" t="s">
        <v>92</v>
      </c>
      <c r="O21" s="48"/>
      <c r="P21" s="304"/>
      <c r="Q21" s="29">
        <v>0.33333333333333331</v>
      </c>
      <c r="R21" s="15" t="s">
        <v>77</v>
      </c>
      <c r="S21" s="16">
        <v>0.375</v>
      </c>
      <c r="T21" s="14">
        <f t="shared" si="3"/>
        <v>1</v>
      </c>
      <c r="U21" s="14">
        <f t="shared" si="4"/>
        <v>1</v>
      </c>
      <c r="V21" s="17">
        <f t="shared" si="5"/>
        <v>52</v>
      </c>
      <c r="W21" s="304"/>
      <c r="X21" s="14"/>
      <c r="Y21" s="304"/>
    </row>
    <row r="22" spans="1:27" x14ac:dyDescent="0.3">
      <c r="A22" s="304"/>
      <c r="B22" s="2" t="s">
        <v>93</v>
      </c>
      <c r="C22" s="3">
        <v>52</v>
      </c>
      <c r="D22" s="3">
        <v>1</v>
      </c>
      <c r="E22" s="3">
        <v>0.6</v>
      </c>
      <c r="F22" s="304"/>
      <c r="G22" s="9">
        <v>5</v>
      </c>
      <c r="H22" s="304"/>
      <c r="I22" s="51" t="s">
        <v>72</v>
      </c>
      <c r="J22" s="51" t="s">
        <v>73</v>
      </c>
      <c r="K22" s="51" t="s">
        <v>74</v>
      </c>
      <c r="L22" s="51" t="s">
        <v>75</v>
      </c>
      <c r="M22" s="51" t="s">
        <v>76</v>
      </c>
      <c r="N22" s="51"/>
      <c r="O22" s="306"/>
      <c r="P22" s="304"/>
      <c r="Q22" s="30">
        <v>0.625</v>
      </c>
      <c r="R22" s="309" t="s">
        <v>77</v>
      </c>
      <c r="S22" s="6">
        <v>0.65277777777777779</v>
      </c>
      <c r="T22" s="3">
        <f t="shared" si="3"/>
        <v>0.6</v>
      </c>
      <c r="U22" s="3">
        <f t="shared" si="4"/>
        <v>3</v>
      </c>
      <c r="V22" s="5">
        <f t="shared" si="5"/>
        <v>156</v>
      </c>
      <c r="W22" s="304"/>
      <c r="X22" s="3">
        <v>7</v>
      </c>
      <c r="Y22" s="304"/>
    </row>
    <row r="23" spans="1:27" x14ac:dyDescent="0.3">
      <c r="A23" s="304"/>
      <c r="B23" s="2" t="s">
        <v>94</v>
      </c>
      <c r="C23" s="3">
        <v>50</v>
      </c>
      <c r="D23" s="3">
        <v>1</v>
      </c>
      <c r="E23" s="3">
        <v>2.8</v>
      </c>
      <c r="F23" s="304"/>
      <c r="G23" s="23">
        <v>5</v>
      </c>
      <c r="H23" s="304"/>
      <c r="I23" s="51" t="s">
        <v>72</v>
      </c>
      <c r="J23" s="51" t="s">
        <v>73</v>
      </c>
      <c r="K23" s="51" t="s">
        <v>74</v>
      </c>
      <c r="L23" s="51" t="s">
        <v>75</v>
      </c>
      <c r="M23" s="51" t="s">
        <v>76</v>
      </c>
      <c r="N23" s="51"/>
      <c r="O23" s="306"/>
      <c r="P23" s="304"/>
      <c r="Q23" s="30">
        <v>0.33333333333333331</v>
      </c>
      <c r="R23" s="309" t="s">
        <v>77</v>
      </c>
      <c r="S23" s="6">
        <v>0.4513888888888889</v>
      </c>
      <c r="T23" s="3">
        <f t="shared" si="3"/>
        <v>2.8</v>
      </c>
      <c r="U23" s="3">
        <f t="shared" si="4"/>
        <v>14</v>
      </c>
      <c r="V23" s="5">
        <f t="shared" si="5"/>
        <v>700</v>
      </c>
      <c r="W23" s="304"/>
      <c r="X23" s="3">
        <v>20</v>
      </c>
      <c r="Y23" s="304"/>
    </row>
    <row r="24" spans="1:27" x14ac:dyDescent="0.3">
      <c r="A24" s="304"/>
      <c r="B24" s="2" t="s">
        <v>95</v>
      </c>
      <c r="C24" s="3">
        <v>50</v>
      </c>
      <c r="D24" s="3">
        <v>1</v>
      </c>
      <c r="E24" s="3">
        <v>2</v>
      </c>
      <c r="F24" s="304"/>
      <c r="G24" s="3">
        <v>5</v>
      </c>
      <c r="H24" s="304"/>
      <c r="I24" s="51" t="s">
        <v>72</v>
      </c>
      <c r="J24" s="51" t="s">
        <v>73</v>
      </c>
      <c r="K24" s="51" t="s">
        <v>74</v>
      </c>
      <c r="L24" s="51" t="s">
        <v>75</v>
      </c>
      <c r="M24" s="51" t="s">
        <v>76</v>
      </c>
      <c r="N24" s="51"/>
      <c r="O24" s="306"/>
      <c r="P24" s="304"/>
      <c r="Q24" s="30">
        <v>0.25</v>
      </c>
      <c r="R24" s="309" t="s">
        <v>77</v>
      </c>
      <c r="S24" s="6">
        <v>0.33333333333333331</v>
      </c>
      <c r="T24" s="3">
        <f t="shared" si="3"/>
        <v>2</v>
      </c>
      <c r="U24" s="3">
        <f t="shared" si="4"/>
        <v>10</v>
      </c>
      <c r="V24" s="5">
        <f t="shared" si="5"/>
        <v>500</v>
      </c>
      <c r="W24" s="304"/>
      <c r="X24" s="3">
        <v>23</v>
      </c>
      <c r="Y24" s="304"/>
    </row>
    <row r="25" spans="1:27" ht="9.75" customHeight="1" x14ac:dyDescent="0.3">
      <c r="A25" s="304"/>
      <c r="B25" s="7"/>
      <c r="C25" s="35"/>
      <c r="D25" s="35"/>
      <c r="E25" s="35"/>
      <c r="F25" s="304"/>
      <c r="G25" s="35"/>
      <c r="H25" s="304"/>
      <c r="I25" s="54"/>
      <c r="J25" s="54"/>
      <c r="K25" s="54"/>
      <c r="L25" s="54"/>
      <c r="M25" s="54"/>
      <c r="N25" s="54"/>
      <c r="O25" s="54"/>
      <c r="P25" s="304"/>
      <c r="Q25" s="36"/>
      <c r="R25" s="35"/>
      <c r="S25" s="37"/>
      <c r="T25" s="35"/>
      <c r="U25" s="35"/>
      <c r="V25" s="38"/>
      <c r="W25" s="304"/>
      <c r="X25" s="35"/>
      <c r="Y25" s="304"/>
    </row>
    <row r="26" spans="1:27" x14ac:dyDescent="0.3">
      <c r="A26" s="304"/>
      <c r="B26" s="18" t="s">
        <v>96</v>
      </c>
      <c r="C26" s="19">
        <v>52</v>
      </c>
      <c r="D26" s="19">
        <v>2</v>
      </c>
      <c r="E26" s="19">
        <v>2</v>
      </c>
      <c r="F26" s="304"/>
      <c r="G26" s="19">
        <v>5</v>
      </c>
      <c r="H26" s="304"/>
      <c r="I26" s="49" t="s">
        <v>72</v>
      </c>
      <c r="J26" s="49" t="s">
        <v>73</v>
      </c>
      <c r="K26" s="49" t="s">
        <v>74</v>
      </c>
      <c r="L26" s="49" t="s">
        <v>75</v>
      </c>
      <c r="M26" s="49" t="s">
        <v>76</v>
      </c>
      <c r="N26" s="49"/>
      <c r="O26" s="310"/>
      <c r="P26" s="304"/>
      <c r="Q26" s="31">
        <v>0.52083333333333337</v>
      </c>
      <c r="R26" s="305" t="s">
        <v>77</v>
      </c>
      <c r="S26" s="20">
        <v>0.60416666666666663</v>
      </c>
      <c r="T26" s="19">
        <f>+E26*D26</f>
        <v>4</v>
      </c>
      <c r="U26" s="19">
        <f>+T26*G26</f>
        <v>20</v>
      </c>
      <c r="V26" s="21">
        <f>+U26*C26</f>
        <v>1040</v>
      </c>
      <c r="W26" s="304"/>
      <c r="X26" s="19"/>
      <c r="Y26" s="304"/>
    </row>
    <row r="27" spans="1:27" x14ac:dyDescent="0.3">
      <c r="A27" s="304"/>
      <c r="B27" s="18" t="s">
        <v>97</v>
      </c>
      <c r="C27" s="19">
        <v>52</v>
      </c>
      <c r="D27" s="19">
        <v>2</v>
      </c>
      <c r="E27" s="19">
        <v>2</v>
      </c>
      <c r="F27" s="304"/>
      <c r="G27" s="19">
        <v>5</v>
      </c>
      <c r="H27" s="304"/>
      <c r="I27" s="49" t="s">
        <v>72</v>
      </c>
      <c r="J27" s="49" t="s">
        <v>73</v>
      </c>
      <c r="K27" s="49" t="s">
        <v>74</v>
      </c>
      <c r="L27" s="49" t="s">
        <v>75</v>
      </c>
      <c r="M27" s="49" t="s">
        <v>76</v>
      </c>
      <c r="N27" s="49"/>
      <c r="O27" s="310"/>
      <c r="P27" s="304"/>
      <c r="Q27" s="31">
        <v>0.83333333333333337</v>
      </c>
      <c r="R27" s="305" t="s">
        <v>77</v>
      </c>
      <c r="S27" s="20">
        <v>0.91666666666666663</v>
      </c>
      <c r="T27" s="19">
        <f>+E27*D27</f>
        <v>4</v>
      </c>
      <c r="U27" s="19">
        <f>+T27*G27</f>
        <v>20</v>
      </c>
      <c r="V27" s="21">
        <f>+U27*C27</f>
        <v>1040</v>
      </c>
      <c r="W27" s="304"/>
      <c r="X27" s="19"/>
      <c r="Y27" s="304"/>
    </row>
    <row r="28" spans="1:27" x14ac:dyDescent="0.3">
      <c r="A28" s="304"/>
      <c r="B28" s="18" t="s">
        <v>98</v>
      </c>
      <c r="C28" s="19">
        <v>52</v>
      </c>
      <c r="D28" s="19">
        <v>1</v>
      </c>
      <c r="E28" s="19">
        <v>3</v>
      </c>
      <c r="F28" s="304"/>
      <c r="G28" s="19">
        <v>1</v>
      </c>
      <c r="H28" s="304"/>
      <c r="I28" s="49"/>
      <c r="J28" s="49"/>
      <c r="K28" s="49"/>
      <c r="L28" s="49"/>
      <c r="M28" s="49"/>
      <c r="N28" s="49" t="s">
        <v>92</v>
      </c>
      <c r="O28" s="310"/>
      <c r="P28" s="304"/>
      <c r="Q28" s="31">
        <v>0.70833333333333337</v>
      </c>
      <c r="R28" s="305" t="s">
        <v>77</v>
      </c>
      <c r="S28" s="20">
        <v>0.83333333333333337</v>
      </c>
      <c r="T28" s="19">
        <f>+E28*D28</f>
        <v>3</v>
      </c>
      <c r="U28" s="19">
        <f>+T28*G28</f>
        <v>3</v>
      </c>
      <c r="V28" s="21">
        <f>+U28*C28</f>
        <v>156</v>
      </c>
      <c r="W28" s="304"/>
      <c r="X28" s="19"/>
      <c r="Y28" s="304"/>
    </row>
    <row r="29" spans="1:27" x14ac:dyDescent="0.3">
      <c r="A29" s="304"/>
      <c r="B29" s="18" t="s">
        <v>99</v>
      </c>
      <c r="C29" s="19">
        <v>14</v>
      </c>
      <c r="D29" s="19">
        <v>1</v>
      </c>
      <c r="E29" s="19">
        <v>2</v>
      </c>
      <c r="F29" s="304"/>
      <c r="G29" s="19">
        <v>1</v>
      </c>
      <c r="H29" s="304"/>
      <c r="I29" s="49"/>
      <c r="J29" s="49"/>
      <c r="K29" s="49"/>
      <c r="L29" s="49"/>
      <c r="M29" s="49"/>
      <c r="N29" s="49"/>
      <c r="O29" s="310" t="s">
        <v>100</v>
      </c>
      <c r="P29" s="304"/>
      <c r="Q29" s="31">
        <v>0.70833333333333337</v>
      </c>
      <c r="R29" s="305" t="s">
        <v>77</v>
      </c>
      <c r="S29" s="20">
        <v>0.83333333333333337</v>
      </c>
      <c r="T29" s="19">
        <f>+E29*D29</f>
        <v>2</v>
      </c>
      <c r="U29" s="19">
        <f>+T29*G29</f>
        <v>2</v>
      </c>
      <c r="V29" s="21">
        <f>+U29*C29</f>
        <v>28</v>
      </c>
      <c r="W29" s="304"/>
      <c r="X29" s="19"/>
      <c r="Y29" s="304"/>
    </row>
    <row r="30" spans="1:27" ht="9.75" customHeight="1" x14ac:dyDescent="0.3">
      <c r="A30" s="304"/>
      <c r="B30" s="7"/>
      <c r="C30" s="35"/>
      <c r="D30" s="35"/>
      <c r="E30" s="35"/>
      <c r="F30" s="304"/>
      <c r="G30" s="35"/>
      <c r="H30" s="304"/>
      <c r="I30" s="54"/>
      <c r="J30" s="54"/>
      <c r="K30" s="54"/>
      <c r="L30" s="54"/>
      <c r="M30" s="54"/>
      <c r="N30" s="54"/>
      <c r="O30" s="54"/>
      <c r="P30" s="304"/>
      <c r="Q30" s="36"/>
      <c r="R30" s="35"/>
      <c r="S30" s="37"/>
      <c r="T30" s="35"/>
      <c r="U30" s="35"/>
      <c r="V30" s="38"/>
      <c r="W30" s="304"/>
      <c r="X30" s="35"/>
      <c r="Y30" s="304"/>
    </row>
    <row r="31" spans="1:27" x14ac:dyDescent="0.3">
      <c r="A31" s="304"/>
      <c r="B31" s="2" t="s">
        <v>101</v>
      </c>
      <c r="C31" s="3">
        <v>52</v>
      </c>
      <c r="D31" s="3">
        <v>1</v>
      </c>
      <c r="E31" s="3">
        <v>2</v>
      </c>
      <c r="F31" s="304"/>
      <c r="G31" s="3">
        <v>5</v>
      </c>
      <c r="H31" s="304"/>
      <c r="I31" s="51" t="s">
        <v>72</v>
      </c>
      <c r="J31" s="51" t="s">
        <v>73</v>
      </c>
      <c r="K31" s="51" t="s">
        <v>74</v>
      </c>
      <c r="L31" s="51" t="s">
        <v>75</v>
      </c>
      <c r="M31" s="51" t="s">
        <v>76</v>
      </c>
      <c r="N31" s="51"/>
      <c r="O31" s="306"/>
      <c r="P31" s="304"/>
      <c r="Q31" s="30">
        <v>0.625</v>
      </c>
      <c r="R31" s="309" t="s">
        <v>77</v>
      </c>
      <c r="S31" s="6">
        <v>0.70833333333333337</v>
      </c>
      <c r="T31" s="3">
        <f>+E31*D31</f>
        <v>2</v>
      </c>
      <c r="U31" s="3">
        <f>+T31*G31</f>
        <v>10</v>
      </c>
      <c r="V31" s="5">
        <f>+U31*C31</f>
        <v>520</v>
      </c>
      <c r="W31" s="304"/>
      <c r="X31" s="3">
        <v>10</v>
      </c>
      <c r="Y31" s="304"/>
    </row>
    <row r="32" spans="1:27" x14ac:dyDescent="0.3">
      <c r="A32" s="304"/>
      <c r="B32" s="2" t="s">
        <v>102</v>
      </c>
      <c r="C32" s="3">
        <v>48</v>
      </c>
      <c r="D32" s="3">
        <v>1</v>
      </c>
      <c r="E32" s="3">
        <v>2</v>
      </c>
      <c r="F32" s="304"/>
      <c r="G32" s="3">
        <v>3</v>
      </c>
      <c r="H32" s="304"/>
      <c r="I32" s="51" t="s">
        <v>72</v>
      </c>
      <c r="J32" s="51"/>
      <c r="K32" s="51" t="s">
        <v>74</v>
      </c>
      <c r="L32" s="51"/>
      <c r="M32" s="51" t="s">
        <v>76</v>
      </c>
      <c r="N32" s="51"/>
      <c r="O32" s="306"/>
      <c r="P32" s="304"/>
      <c r="Q32" s="30">
        <v>0.625</v>
      </c>
      <c r="R32" s="309" t="s">
        <v>77</v>
      </c>
      <c r="S32" s="6">
        <v>0.70833333333333337</v>
      </c>
      <c r="T32" s="3">
        <f t="shared" ref="T32:T39" si="6">+E32*D32</f>
        <v>2</v>
      </c>
      <c r="U32" s="3">
        <f t="shared" ref="U32:U39" si="7">+T32*G32</f>
        <v>6</v>
      </c>
      <c r="V32" s="5">
        <f>+U32*C32</f>
        <v>288</v>
      </c>
      <c r="W32" s="304"/>
      <c r="X32" s="3">
        <v>15</v>
      </c>
      <c r="Y32" s="304"/>
    </row>
    <row r="33" spans="1:26" x14ac:dyDescent="0.3">
      <c r="A33" s="304"/>
      <c r="B33" s="2" t="s">
        <v>103</v>
      </c>
      <c r="C33" s="3">
        <v>48</v>
      </c>
      <c r="D33" s="3">
        <v>1</v>
      </c>
      <c r="E33" s="3">
        <v>1</v>
      </c>
      <c r="F33" s="304"/>
      <c r="G33" s="3">
        <v>1</v>
      </c>
      <c r="H33" s="304"/>
      <c r="I33" s="51"/>
      <c r="J33" s="51"/>
      <c r="K33" s="51"/>
      <c r="L33" s="51" t="s">
        <v>75</v>
      </c>
      <c r="M33" s="51"/>
      <c r="N33" s="51"/>
      <c r="O33" s="306"/>
      <c r="P33" s="304"/>
      <c r="Q33" s="30">
        <v>0.33333333333333331</v>
      </c>
      <c r="R33" s="309" t="s">
        <v>77</v>
      </c>
      <c r="S33" s="6">
        <v>0.375</v>
      </c>
      <c r="T33" s="3">
        <f>+E33*D33</f>
        <v>1</v>
      </c>
      <c r="U33" s="3">
        <f>+T33*G33</f>
        <v>1</v>
      </c>
      <c r="V33" s="5">
        <f>+U33*C33</f>
        <v>48</v>
      </c>
      <c r="W33" s="304"/>
      <c r="X33" s="3"/>
      <c r="Y33" s="304"/>
    </row>
    <row r="34" spans="1:26" x14ac:dyDescent="0.3">
      <c r="A34" s="304"/>
      <c r="B34" s="2" t="s">
        <v>104</v>
      </c>
      <c r="C34" s="3">
        <v>48</v>
      </c>
      <c r="D34" s="3">
        <v>1</v>
      </c>
      <c r="E34" s="3">
        <v>1</v>
      </c>
      <c r="F34" s="304"/>
      <c r="G34" s="3">
        <v>1</v>
      </c>
      <c r="H34" s="304"/>
      <c r="I34" s="51"/>
      <c r="J34" s="51"/>
      <c r="K34" s="51"/>
      <c r="L34" s="51" t="s">
        <v>75</v>
      </c>
      <c r="M34" s="51"/>
      <c r="N34" s="51"/>
      <c r="O34" s="306"/>
      <c r="P34" s="304"/>
      <c r="Q34" s="30">
        <v>0.375</v>
      </c>
      <c r="R34" s="309" t="s">
        <v>77</v>
      </c>
      <c r="S34" s="6">
        <v>0.41666666666666669</v>
      </c>
      <c r="T34" s="3">
        <f>+E34*D34</f>
        <v>1</v>
      </c>
      <c r="U34" s="3">
        <f>+T34*G34</f>
        <v>1</v>
      </c>
      <c r="V34" s="5">
        <f>+U34*C34</f>
        <v>48</v>
      </c>
      <c r="W34" s="304"/>
      <c r="X34" s="3"/>
      <c r="Y34" s="304"/>
    </row>
    <row r="35" spans="1:26" ht="9.75" customHeight="1" x14ac:dyDescent="0.3">
      <c r="A35" s="304"/>
      <c r="B35" s="7"/>
      <c r="C35" s="35"/>
      <c r="D35" s="35"/>
      <c r="E35" s="35"/>
      <c r="F35" s="304"/>
      <c r="G35" s="35"/>
      <c r="H35" s="304"/>
      <c r="I35" s="54"/>
      <c r="J35" s="54"/>
      <c r="K35" s="54"/>
      <c r="L35" s="54"/>
      <c r="M35" s="54"/>
      <c r="N35" s="54"/>
      <c r="O35" s="54"/>
      <c r="P35" s="304"/>
      <c r="Q35" s="36"/>
      <c r="R35" s="35"/>
      <c r="S35" s="37"/>
      <c r="T35" s="35"/>
      <c r="U35" s="35"/>
      <c r="V35" s="38"/>
      <c r="W35" s="304"/>
      <c r="X35" s="35"/>
      <c r="Y35" s="304"/>
    </row>
    <row r="36" spans="1:26" x14ac:dyDescent="0.3">
      <c r="A36" s="304"/>
      <c r="B36" s="2" t="s">
        <v>105</v>
      </c>
      <c r="C36" s="3">
        <v>52</v>
      </c>
      <c r="D36" s="3">
        <v>1</v>
      </c>
      <c r="E36" s="3">
        <v>0.5</v>
      </c>
      <c r="F36" s="304"/>
      <c r="G36" s="3">
        <v>1</v>
      </c>
      <c r="H36" s="304"/>
      <c r="I36" s="51"/>
      <c r="J36" s="51" t="s">
        <v>73</v>
      </c>
      <c r="K36" s="51"/>
      <c r="L36" s="51"/>
      <c r="M36" s="51"/>
      <c r="N36" s="51"/>
      <c r="O36" s="306"/>
      <c r="P36" s="304"/>
      <c r="Q36" s="30">
        <v>0.375</v>
      </c>
      <c r="R36" s="309" t="s">
        <v>77</v>
      </c>
      <c r="S36" s="6">
        <v>0.39583333333333331</v>
      </c>
      <c r="T36" s="3">
        <f t="shared" si="6"/>
        <v>0.5</v>
      </c>
      <c r="U36" s="3">
        <f t="shared" si="7"/>
        <v>0.5</v>
      </c>
      <c r="V36" s="5">
        <f>+U36*C36</f>
        <v>26</v>
      </c>
      <c r="W36" s="304"/>
      <c r="X36" s="3"/>
      <c r="Y36" s="304"/>
      <c r="Z36" s="45" t="s">
        <v>106</v>
      </c>
    </row>
    <row r="37" spans="1:26" x14ac:dyDescent="0.3">
      <c r="A37" s="304"/>
      <c r="B37" s="2" t="s">
        <v>107</v>
      </c>
      <c r="C37" s="3">
        <v>48</v>
      </c>
      <c r="D37" s="3">
        <v>1</v>
      </c>
      <c r="E37" s="3">
        <v>0.5</v>
      </c>
      <c r="F37" s="304"/>
      <c r="G37" s="3">
        <v>1</v>
      </c>
      <c r="H37" s="304"/>
      <c r="I37" s="51"/>
      <c r="J37" s="51" t="s">
        <v>73</v>
      </c>
      <c r="K37" s="51"/>
      <c r="L37" s="51"/>
      <c r="M37" s="51"/>
      <c r="N37" s="51"/>
      <c r="O37" s="306"/>
      <c r="P37" s="304"/>
      <c r="Q37" s="30">
        <v>0.41666666666666669</v>
      </c>
      <c r="R37" s="309" t="s">
        <v>77</v>
      </c>
      <c r="S37" s="6">
        <v>0.4375</v>
      </c>
      <c r="T37" s="3">
        <f t="shared" si="6"/>
        <v>0.5</v>
      </c>
      <c r="U37" s="3">
        <f t="shared" si="7"/>
        <v>0.5</v>
      </c>
      <c r="V37" s="5">
        <f>+U37*C37</f>
        <v>24</v>
      </c>
      <c r="W37" s="304"/>
      <c r="X37" s="3"/>
      <c r="Y37" s="304"/>
    </row>
    <row r="38" spans="1:26" ht="9.75" customHeight="1" x14ac:dyDescent="0.3">
      <c r="A38" s="304"/>
      <c r="B38" s="7"/>
      <c r="C38" s="35"/>
      <c r="D38" s="35"/>
      <c r="E38" s="35"/>
      <c r="F38" s="304"/>
      <c r="G38" s="35"/>
      <c r="H38" s="304"/>
      <c r="I38" s="35"/>
      <c r="J38" s="35"/>
      <c r="K38" s="35"/>
      <c r="L38" s="35"/>
      <c r="M38" s="35"/>
      <c r="N38" s="35"/>
      <c r="O38" s="35"/>
      <c r="P38" s="304"/>
      <c r="Q38" s="36"/>
      <c r="R38" s="35"/>
      <c r="S38" s="37"/>
      <c r="T38" s="35"/>
      <c r="U38" s="35"/>
      <c r="V38" s="38"/>
      <c r="W38" s="304"/>
      <c r="X38" s="35"/>
      <c r="Y38" s="304"/>
    </row>
    <row r="39" spans="1:26" x14ac:dyDescent="0.3">
      <c r="A39" s="304"/>
      <c r="B39" s="18" t="s">
        <v>108</v>
      </c>
      <c r="C39" s="311">
        <v>48</v>
      </c>
      <c r="D39" s="305">
        <v>1</v>
      </c>
      <c r="E39" s="305">
        <v>0.5</v>
      </c>
      <c r="F39" s="304"/>
      <c r="G39" s="22">
        <v>1</v>
      </c>
      <c r="H39" s="304"/>
      <c r="I39" s="19"/>
      <c r="J39" s="49" t="s">
        <v>73</v>
      </c>
      <c r="K39" s="19"/>
      <c r="L39" s="19"/>
      <c r="M39" s="19"/>
      <c r="N39" s="19"/>
      <c r="O39" s="311"/>
      <c r="P39" s="304"/>
      <c r="Q39" s="31">
        <v>0.45833333333333331</v>
      </c>
      <c r="R39" s="305" t="s">
        <v>77</v>
      </c>
      <c r="S39" s="20">
        <v>0.47916666666666669</v>
      </c>
      <c r="T39" s="19">
        <f t="shared" si="6"/>
        <v>0.5</v>
      </c>
      <c r="U39" s="19">
        <f t="shared" si="7"/>
        <v>0.5</v>
      </c>
      <c r="V39" s="21">
        <f>+U39*C39</f>
        <v>24</v>
      </c>
      <c r="W39" s="304"/>
      <c r="X39" s="3"/>
      <c r="Y39" s="304"/>
    </row>
    <row r="40" spans="1:26" x14ac:dyDescent="0.3">
      <c r="A40" s="304"/>
      <c r="B40" s="2" t="s">
        <v>109</v>
      </c>
      <c r="C40" s="416" t="s">
        <v>110</v>
      </c>
      <c r="D40" s="417"/>
      <c r="E40" s="418"/>
      <c r="F40" s="304"/>
      <c r="G40" s="419"/>
      <c r="H40" s="420"/>
      <c r="I40" s="420"/>
      <c r="J40" s="420"/>
      <c r="K40" s="420"/>
      <c r="L40" s="420"/>
      <c r="M40" s="420"/>
      <c r="N40" s="420"/>
      <c r="O40" s="420"/>
      <c r="P40" s="304"/>
      <c r="Q40" s="30"/>
      <c r="R40" s="309"/>
      <c r="S40" s="4"/>
      <c r="T40" s="3"/>
      <c r="U40" s="3"/>
      <c r="V40" s="5">
        <v>0</v>
      </c>
      <c r="W40" s="304"/>
      <c r="Y40" s="304"/>
    </row>
    <row r="41" spans="1:26" x14ac:dyDescent="0.3">
      <c r="A41" s="304"/>
      <c r="B41" s="2" t="s">
        <v>111</v>
      </c>
      <c r="C41" s="416" t="s">
        <v>110</v>
      </c>
      <c r="D41" s="417"/>
      <c r="E41" s="418"/>
      <c r="F41" s="304"/>
      <c r="G41" s="419"/>
      <c r="H41" s="420"/>
      <c r="I41" s="420"/>
      <c r="J41" s="420"/>
      <c r="K41" s="420"/>
      <c r="L41" s="420"/>
      <c r="M41" s="420"/>
      <c r="N41" s="420"/>
      <c r="O41" s="420"/>
      <c r="P41" s="304"/>
      <c r="Q41" s="30"/>
      <c r="R41" s="309"/>
      <c r="S41" s="4"/>
      <c r="T41" s="3"/>
      <c r="U41" s="3"/>
      <c r="V41" s="5">
        <v>0</v>
      </c>
      <c r="W41" s="304"/>
      <c r="Y41" s="304"/>
    </row>
    <row r="42" spans="1:26" x14ac:dyDescent="0.3">
      <c r="A42" s="304"/>
      <c r="B42" s="18" t="s">
        <v>112</v>
      </c>
      <c r="C42" s="421" t="s">
        <v>110</v>
      </c>
      <c r="D42" s="422"/>
      <c r="E42" s="423"/>
      <c r="F42" s="304"/>
      <c r="G42" s="424"/>
      <c r="H42" s="415"/>
      <c r="I42" s="415"/>
      <c r="J42" s="415"/>
      <c r="K42" s="415"/>
      <c r="L42" s="415"/>
      <c r="M42" s="415"/>
      <c r="N42" s="415"/>
      <c r="O42" s="415"/>
      <c r="P42" s="304"/>
      <c r="Q42" s="31"/>
      <c r="R42" s="305"/>
      <c r="S42" s="22"/>
      <c r="T42" s="19"/>
      <c r="U42" s="19"/>
      <c r="V42" s="21">
        <v>0</v>
      </c>
      <c r="W42" s="304"/>
      <c r="Y42" s="304"/>
    </row>
    <row r="43" spans="1:26" ht="9.75" customHeight="1" x14ac:dyDescent="0.3">
      <c r="A43" s="304"/>
      <c r="B43" s="7"/>
      <c r="C43" s="35"/>
      <c r="D43" s="35"/>
      <c r="E43" s="35"/>
      <c r="F43" s="304"/>
      <c r="G43" s="35"/>
      <c r="H43" s="35"/>
      <c r="I43" s="35"/>
      <c r="J43" s="35"/>
      <c r="K43" s="35"/>
      <c r="L43" s="35"/>
      <c r="M43" s="35"/>
      <c r="N43" s="35"/>
      <c r="O43" s="35"/>
      <c r="P43" s="304"/>
      <c r="Q43" s="36"/>
      <c r="R43" s="35"/>
      <c r="S43" s="37"/>
      <c r="T43" s="35"/>
      <c r="U43" s="35"/>
      <c r="V43" s="38"/>
      <c r="W43" s="304"/>
      <c r="X43" s="35"/>
      <c r="Y43" s="304"/>
    </row>
    <row r="44" spans="1:26" x14ac:dyDescent="0.3">
      <c r="A44" s="304"/>
      <c r="B44" s="18" t="s">
        <v>113</v>
      </c>
      <c r="C44" s="311">
        <v>52</v>
      </c>
      <c r="D44" s="305">
        <v>2</v>
      </c>
      <c r="E44" s="305">
        <v>3</v>
      </c>
      <c r="F44" s="304"/>
      <c r="G44" s="415" t="s">
        <v>114</v>
      </c>
      <c r="H44" s="415"/>
      <c r="I44" s="415"/>
      <c r="J44" s="415"/>
      <c r="K44" s="415"/>
      <c r="L44" s="415"/>
      <c r="M44" s="415"/>
      <c r="N44" s="415"/>
      <c r="O44" s="415"/>
      <c r="P44" s="304"/>
      <c r="Q44" s="31"/>
      <c r="R44" s="305"/>
      <c r="S44" s="20"/>
      <c r="T44" s="19">
        <f t="shared" ref="T44:T45" si="8">+E44*D44</f>
        <v>6</v>
      </c>
      <c r="U44" s="19" t="s">
        <v>114</v>
      </c>
      <c r="V44" s="21">
        <f>12*E44*D44</f>
        <v>72</v>
      </c>
      <c r="W44" s="304"/>
      <c r="X44" s="3"/>
      <c r="Y44" s="304"/>
    </row>
    <row r="45" spans="1:26" x14ac:dyDescent="0.3">
      <c r="A45" s="304"/>
      <c r="B45" s="18" t="s">
        <v>115</v>
      </c>
      <c r="C45" s="311">
        <v>52</v>
      </c>
      <c r="D45" s="305">
        <v>2</v>
      </c>
      <c r="E45" s="305">
        <v>3</v>
      </c>
      <c r="F45" s="304"/>
      <c r="G45" s="415" t="s">
        <v>114</v>
      </c>
      <c r="H45" s="415"/>
      <c r="I45" s="415"/>
      <c r="J45" s="415"/>
      <c r="K45" s="415"/>
      <c r="L45" s="415"/>
      <c r="M45" s="415"/>
      <c r="N45" s="415"/>
      <c r="O45" s="415"/>
      <c r="P45" s="304"/>
      <c r="Q45" s="31"/>
      <c r="R45" s="305"/>
      <c r="S45" s="20"/>
      <c r="T45" s="19">
        <f t="shared" si="8"/>
        <v>6</v>
      </c>
      <c r="U45" s="19" t="s">
        <v>114</v>
      </c>
      <c r="V45" s="21">
        <f>12*E45*D45</f>
        <v>72</v>
      </c>
      <c r="W45" s="304"/>
      <c r="X45" s="3"/>
      <c r="Y45" s="304"/>
      <c r="Z45" s="105"/>
    </row>
    <row r="46" spans="1:26" ht="9.75" customHeight="1" x14ac:dyDescent="0.3">
      <c r="F46" s="304"/>
      <c r="G46" s="35"/>
      <c r="H46" s="35"/>
      <c r="I46" s="35"/>
      <c r="J46" s="35"/>
      <c r="K46" s="35"/>
      <c r="L46" s="35"/>
      <c r="M46" s="35"/>
      <c r="N46" s="35"/>
      <c r="O46" s="35"/>
      <c r="P46" s="304"/>
      <c r="Q46" s="36"/>
      <c r="R46" s="35"/>
      <c r="S46" s="37"/>
      <c r="T46" s="35"/>
      <c r="U46" s="35"/>
      <c r="V46" s="38"/>
      <c r="W46" s="304"/>
      <c r="X46" s="35"/>
      <c r="Y46" s="304"/>
      <c r="Z46" s="105"/>
    </row>
    <row r="47" spans="1:26" ht="15.6" x14ac:dyDescent="0.3">
      <c r="F47" s="304"/>
      <c r="G47" s="35"/>
      <c r="H47" s="35"/>
      <c r="I47" s="35"/>
      <c r="J47" s="35"/>
      <c r="K47" s="35"/>
      <c r="L47" s="35"/>
      <c r="M47" s="35"/>
      <c r="N47" s="35"/>
      <c r="O47" s="35"/>
      <c r="P47" s="304"/>
      <c r="Q47" s="36"/>
      <c r="R47" s="35"/>
      <c r="S47" s="37"/>
      <c r="T47" s="67" t="s">
        <v>116</v>
      </c>
      <c r="U47" s="35"/>
      <c r="V47" s="68">
        <f>+SUM(V9:V46)</f>
        <v>19050</v>
      </c>
      <c r="W47" s="69"/>
      <c r="X47" s="68">
        <f>+SUM(X9:X46)</f>
        <v>125</v>
      </c>
      <c r="Y47" s="304"/>
      <c r="Z47" s="105"/>
    </row>
    <row r="48" spans="1:26" ht="1.5" customHeight="1" x14ac:dyDescent="0.3">
      <c r="F48" s="35"/>
      <c r="G48" s="56"/>
      <c r="H48" s="56"/>
      <c r="I48" s="56"/>
      <c r="J48" s="56"/>
      <c r="K48" s="56"/>
      <c r="L48" s="56"/>
      <c r="M48" s="56"/>
      <c r="N48" s="56"/>
      <c r="O48" s="56"/>
      <c r="P48" s="55"/>
      <c r="Q48" s="57"/>
      <c r="R48" s="56"/>
      <c r="S48" s="58"/>
      <c r="T48" s="56"/>
      <c r="U48" s="56"/>
      <c r="V48" s="70"/>
      <c r="W48" s="71"/>
      <c r="X48" s="70"/>
      <c r="Y48" s="304"/>
      <c r="Z48" s="105"/>
    </row>
    <row r="49" spans="1:26" ht="15.6" x14ac:dyDescent="0.3">
      <c r="F49" s="304"/>
      <c r="G49" s="35"/>
      <c r="H49" s="35"/>
      <c r="I49" s="35"/>
      <c r="J49" s="35"/>
      <c r="K49" s="35"/>
      <c r="L49" s="35"/>
      <c r="M49" s="35"/>
      <c r="N49" s="35"/>
      <c r="O49" s="35"/>
      <c r="P49" s="304"/>
      <c r="Q49" s="36"/>
      <c r="R49" s="35"/>
      <c r="S49" s="37"/>
      <c r="T49" s="67" t="s">
        <v>117</v>
      </c>
      <c r="U49" s="62" t="s">
        <v>118</v>
      </c>
      <c r="V49" s="68">
        <v>200</v>
      </c>
      <c r="W49" s="69"/>
      <c r="X49" s="68"/>
      <c r="Y49" s="304"/>
      <c r="Z49" s="105"/>
    </row>
    <row r="50" spans="1:26" ht="3" customHeight="1" x14ac:dyDescent="0.3">
      <c r="F50" s="304"/>
      <c r="G50" s="35"/>
      <c r="H50" s="35"/>
      <c r="I50" s="35"/>
      <c r="J50" s="35"/>
      <c r="K50" s="35"/>
      <c r="L50" s="35"/>
      <c r="M50" s="35"/>
      <c r="N50" s="35"/>
      <c r="O50" s="35"/>
      <c r="P50" s="304"/>
      <c r="Q50" s="36"/>
      <c r="R50" s="35"/>
      <c r="S50" s="37"/>
      <c r="T50" s="107"/>
      <c r="U50" s="35"/>
      <c r="V50" s="70"/>
      <c r="W50" s="69"/>
      <c r="X50" s="68"/>
      <c r="Y50" s="304"/>
      <c r="Z50" s="105"/>
    </row>
    <row r="51" spans="1:26" ht="15.6" x14ac:dyDescent="0.3">
      <c r="F51" s="304"/>
      <c r="G51" s="35"/>
      <c r="H51" s="35"/>
      <c r="I51" s="35"/>
      <c r="J51" s="35"/>
      <c r="K51" s="35"/>
      <c r="L51" s="35"/>
      <c r="M51" s="35"/>
      <c r="N51" s="35"/>
      <c r="O51" s="35"/>
      <c r="P51" s="304"/>
      <c r="Q51" s="36"/>
      <c r="R51" s="35"/>
      <c r="S51" s="37"/>
      <c r="T51" s="67" t="s">
        <v>119</v>
      </c>
      <c r="U51" s="35"/>
      <c r="V51" s="125">
        <f>+SUM(V47:X50)</f>
        <v>19375</v>
      </c>
      <c r="W51" s="69"/>
      <c r="X51" s="68"/>
      <c r="Y51" s="304"/>
      <c r="Z51" s="105"/>
    </row>
    <row r="52" spans="1:26" ht="15.6" x14ac:dyDescent="0.3">
      <c r="B52" s="42" t="s">
        <v>120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04"/>
      <c r="Q52" s="36"/>
      <c r="R52" s="35"/>
      <c r="S52" s="37"/>
      <c r="T52" s="67" t="s">
        <v>121</v>
      </c>
      <c r="U52" s="35"/>
      <c r="V52" s="79">
        <v>21.5</v>
      </c>
      <c r="W52" s="41"/>
      <c r="X52" s="40"/>
      <c r="Y52" s="304"/>
      <c r="Z52" s="105"/>
    </row>
    <row r="53" spans="1:26" ht="1.5" customHeight="1" x14ac:dyDescent="0.3">
      <c r="F53" s="35"/>
      <c r="G53" s="56"/>
      <c r="H53" s="56"/>
      <c r="I53" s="56"/>
      <c r="J53" s="56"/>
      <c r="K53" s="56"/>
      <c r="L53" s="56"/>
      <c r="M53" s="56"/>
      <c r="N53" s="56"/>
      <c r="O53" s="56"/>
      <c r="P53" s="55"/>
      <c r="Q53" s="57"/>
      <c r="R53" s="56"/>
      <c r="S53" s="58"/>
      <c r="T53" s="56"/>
      <c r="U53" s="56"/>
      <c r="V53" s="59"/>
      <c r="W53" s="60"/>
      <c r="X53" s="59"/>
      <c r="Y53" s="304"/>
      <c r="Z53" s="105"/>
    </row>
    <row r="54" spans="1:26" ht="15.6" x14ac:dyDescent="0.3">
      <c r="A54" s="26"/>
      <c r="B54" t="s">
        <v>122</v>
      </c>
      <c r="F54" s="35"/>
      <c r="G54" s="35"/>
      <c r="H54" s="35"/>
      <c r="I54" s="64"/>
      <c r="J54" s="64"/>
      <c r="K54" s="64"/>
      <c r="L54" s="64"/>
      <c r="M54" s="64"/>
      <c r="N54" s="64"/>
      <c r="O54" s="64"/>
      <c r="P54" s="65"/>
      <c r="Q54" s="66"/>
      <c r="R54" s="64"/>
      <c r="S54" s="74"/>
      <c r="T54" s="75"/>
      <c r="U54" s="76" t="s">
        <v>123</v>
      </c>
      <c r="V54" s="77">
        <f>+V52*V51</f>
        <v>416562.5</v>
      </c>
      <c r="W54" s="41"/>
      <c r="X54" s="73" t="s">
        <v>124</v>
      </c>
      <c r="Y54" s="304"/>
      <c r="Z54" s="105"/>
    </row>
    <row r="55" spans="1:26" ht="15.6" x14ac:dyDescent="0.3">
      <c r="A55" s="28"/>
      <c r="B55" t="s">
        <v>125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04"/>
      <c r="Q55" s="36"/>
      <c r="R55" s="35"/>
      <c r="S55" s="37"/>
      <c r="T55" s="35"/>
      <c r="U55" s="67" t="s">
        <v>126</v>
      </c>
      <c r="V55" s="63">
        <f>+'Dades Contracte'!F21</f>
        <v>279579.72000000003</v>
      </c>
      <c r="W55" s="41"/>
      <c r="X55" s="72" t="s">
        <v>127</v>
      </c>
      <c r="Y55" s="304"/>
      <c r="Z55" s="105"/>
    </row>
    <row r="56" spans="1:26" ht="15.6" x14ac:dyDescent="0.3">
      <c r="A56" s="27"/>
      <c r="B56" t="s">
        <v>128</v>
      </c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61" t="s">
        <v>129</v>
      </c>
      <c r="V56" s="63">
        <f>+V54-V55</f>
        <v>136982.77999999997</v>
      </c>
      <c r="W56" s="41"/>
      <c r="X56" s="78">
        <f>+V56/V55</f>
        <v>0.48995964371092421</v>
      </c>
      <c r="Y56" s="304"/>
    </row>
    <row r="57" spans="1:26" x14ac:dyDescent="0.3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6" x14ac:dyDescent="0.3">
      <c r="B58" t="s">
        <v>130</v>
      </c>
    </row>
  </sheetData>
  <mergeCells count="12">
    <mergeCell ref="Q6:S6"/>
    <mergeCell ref="G44:O44"/>
    <mergeCell ref="B2:C2"/>
    <mergeCell ref="B3:D3"/>
    <mergeCell ref="C40:E40"/>
    <mergeCell ref="G40:O40"/>
    <mergeCell ref="G6:O6"/>
    <mergeCell ref="G45:O45"/>
    <mergeCell ref="C41:E41"/>
    <mergeCell ref="G41:O41"/>
    <mergeCell ref="C42:E42"/>
    <mergeCell ref="G42:O42"/>
  </mergeCells>
  <pageMargins left="0.7" right="0.7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58"/>
  <sheetViews>
    <sheetView workbookViewId="0">
      <selection activeCell="V49" sqref="V49"/>
    </sheetView>
  </sheetViews>
  <sheetFormatPr baseColWidth="10" defaultColWidth="9.109375" defaultRowHeight="14.4" x14ac:dyDescent="0.3"/>
  <cols>
    <col min="1" max="1" width="1.5546875" customWidth="1"/>
    <col min="2" max="2" width="37.88671875" customWidth="1"/>
    <col min="3" max="3" width="13.6640625" bestFit="1" customWidth="1"/>
    <col min="4" max="4" width="9.109375" bestFit="1" customWidth="1"/>
    <col min="5" max="5" width="20.109375" customWidth="1"/>
    <col min="6" max="6" width="0.6640625" customWidth="1"/>
    <col min="7" max="7" width="3.88671875" customWidth="1"/>
    <col min="8" max="8" width="0.6640625" customWidth="1"/>
    <col min="9" max="9" width="2.6640625" bestFit="1" customWidth="1"/>
    <col min="10" max="10" width="3.88671875" bestFit="1" customWidth="1"/>
    <col min="11" max="11" width="3" bestFit="1" customWidth="1"/>
    <col min="12" max="12" width="2.6640625" bestFit="1" customWidth="1"/>
    <col min="13" max="13" width="3.109375" bestFit="1" customWidth="1"/>
    <col min="14" max="14" width="3" bestFit="1" customWidth="1"/>
    <col min="15" max="15" width="3.44140625" customWidth="1"/>
    <col min="16" max="16" width="0.6640625" customWidth="1"/>
    <col min="17" max="17" width="6.6640625" bestFit="1" customWidth="1"/>
    <col min="18" max="18" width="2" bestFit="1" customWidth="1"/>
    <col min="19" max="19" width="6.6640625" bestFit="1" customWidth="1"/>
    <col min="20" max="20" width="9.88671875" bestFit="1" customWidth="1"/>
    <col min="21" max="21" width="14.6640625" customWidth="1"/>
    <col min="22" max="22" width="14.44140625" bestFit="1" customWidth="1"/>
    <col min="23" max="23" width="0.6640625" customWidth="1"/>
    <col min="24" max="24" width="17.6640625" customWidth="1"/>
    <col min="25" max="25" width="0.6640625" customWidth="1"/>
    <col min="26" max="26" width="31.88671875" style="45" bestFit="1" customWidth="1"/>
    <col min="27" max="27" width="10.44140625" style="45" bestFit="1" customWidth="1"/>
    <col min="28" max="28" width="11.33203125" style="45" customWidth="1"/>
    <col min="29" max="29" width="6" style="45" bestFit="1" customWidth="1"/>
    <col min="30" max="30" width="45.109375" style="45" bestFit="1" customWidth="1"/>
    <col min="31" max="37" width="9.109375" style="45"/>
  </cols>
  <sheetData>
    <row r="2" spans="1:30" ht="17.25" customHeight="1" x14ac:dyDescent="0.3">
      <c r="A2" s="304"/>
      <c r="B2" s="426" t="s">
        <v>58</v>
      </c>
      <c r="C2" s="426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25" t="s">
        <v>131</v>
      </c>
      <c r="Y2" s="34"/>
    </row>
    <row r="3" spans="1:30" ht="15.75" customHeight="1" x14ac:dyDescent="0.3">
      <c r="A3" s="304"/>
      <c r="B3" s="427" t="s">
        <v>60</v>
      </c>
      <c r="C3" s="427"/>
      <c r="D3" s="427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9">
        <v>45537</v>
      </c>
      <c r="Y3" s="34"/>
    </row>
    <row r="4" spans="1:30" ht="2.25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30" ht="2.25" customHeigh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34"/>
    </row>
    <row r="6" spans="1:30" ht="26.25" customHeight="1" x14ac:dyDescent="0.3">
      <c r="A6" s="304"/>
      <c r="B6" s="33" t="s">
        <v>61</v>
      </c>
      <c r="C6" s="304" t="s">
        <v>62</v>
      </c>
      <c r="D6" s="304" t="s">
        <v>63</v>
      </c>
      <c r="E6" s="304" t="s">
        <v>64</v>
      </c>
      <c r="F6" s="55"/>
      <c r="G6" s="425" t="s">
        <v>65</v>
      </c>
      <c r="H6" s="425"/>
      <c r="I6" s="425"/>
      <c r="J6" s="425"/>
      <c r="K6" s="425"/>
      <c r="L6" s="425"/>
      <c r="M6" s="425"/>
      <c r="N6" s="425"/>
      <c r="O6" s="425"/>
      <c r="P6" s="55"/>
      <c r="Q6" s="425" t="s">
        <v>66</v>
      </c>
      <c r="R6" s="425"/>
      <c r="S6" s="425"/>
      <c r="T6" s="304" t="s">
        <v>67</v>
      </c>
      <c r="U6" s="304" t="s">
        <v>68</v>
      </c>
      <c r="V6" s="304" t="s">
        <v>69</v>
      </c>
      <c r="W6" s="304"/>
      <c r="X6" s="44" t="s">
        <v>70</v>
      </c>
      <c r="Y6" s="304"/>
    </row>
    <row r="7" spans="1:30" ht="2.25" customHeight="1" x14ac:dyDescent="0.3">
      <c r="A7" s="3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34"/>
    </row>
    <row r="8" spans="1:30" ht="2.2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30" x14ac:dyDescent="0.3">
      <c r="A9" s="304"/>
      <c r="B9" s="13" t="s">
        <v>71</v>
      </c>
      <c r="C9" s="14">
        <v>47</v>
      </c>
      <c r="D9" s="14">
        <v>6</v>
      </c>
      <c r="E9" s="14">
        <v>4.5</v>
      </c>
      <c r="F9" s="304"/>
      <c r="G9" s="14">
        <v>5</v>
      </c>
      <c r="H9" s="304"/>
      <c r="I9" s="47" t="s">
        <v>72</v>
      </c>
      <c r="J9" s="47" t="s">
        <v>73</v>
      </c>
      <c r="K9" s="47" t="s">
        <v>74</v>
      </c>
      <c r="L9" s="47" t="s">
        <v>75</v>
      </c>
      <c r="M9" s="47" t="s">
        <v>76</v>
      </c>
      <c r="N9" s="47"/>
      <c r="O9" s="48"/>
      <c r="P9" s="304"/>
      <c r="Q9" s="29">
        <v>0.72916666666666663</v>
      </c>
      <c r="R9" s="15" t="s">
        <v>77</v>
      </c>
      <c r="S9" s="16">
        <v>0.91666666666666663</v>
      </c>
      <c r="T9" s="14">
        <f t="shared" ref="T9:T14" si="0">+E9*D9</f>
        <v>27</v>
      </c>
      <c r="U9" s="14">
        <f t="shared" ref="U9:U14" si="1">+T9*G9</f>
        <v>135</v>
      </c>
      <c r="V9" s="17">
        <f t="shared" ref="V9:V14" si="2">+U9*C9</f>
        <v>6345</v>
      </c>
      <c r="W9" s="304"/>
      <c r="X9" s="14"/>
      <c r="Y9" s="304"/>
    </row>
    <row r="10" spans="1:30" x14ac:dyDescent="0.3">
      <c r="A10" s="304"/>
      <c r="B10" s="108" t="s">
        <v>78</v>
      </c>
      <c r="C10" s="109">
        <v>40</v>
      </c>
      <c r="D10" s="109">
        <v>1</v>
      </c>
      <c r="E10" s="109">
        <v>4</v>
      </c>
      <c r="F10" s="110"/>
      <c r="G10" s="109">
        <v>5</v>
      </c>
      <c r="H10" s="110"/>
      <c r="I10" s="111" t="s">
        <v>72</v>
      </c>
      <c r="J10" s="111" t="s">
        <v>73</v>
      </c>
      <c r="K10" s="111" t="s">
        <v>74</v>
      </c>
      <c r="L10" s="111" t="s">
        <v>75</v>
      </c>
      <c r="M10" s="111" t="s">
        <v>76</v>
      </c>
      <c r="N10" s="111"/>
      <c r="O10" s="112"/>
      <c r="P10" s="110"/>
      <c r="Q10" s="113"/>
      <c r="R10" s="114"/>
      <c r="S10" s="115"/>
      <c r="T10" s="109">
        <f t="shared" si="0"/>
        <v>4</v>
      </c>
      <c r="U10" s="109">
        <f t="shared" si="1"/>
        <v>20</v>
      </c>
      <c r="V10" s="116">
        <v>0</v>
      </c>
      <c r="W10" s="117"/>
      <c r="X10" s="81"/>
      <c r="Y10" s="304"/>
      <c r="Z10" s="45" t="s">
        <v>132</v>
      </c>
      <c r="AA10" s="46">
        <v>44252</v>
      </c>
      <c r="AB10" s="103">
        <v>14994.32</v>
      </c>
      <c r="AC10" s="45" t="s">
        <v>79</v>
      </c>
      <c r="AD10" s="45" t="s">
        <v>80</v>
      </c>
    </row>
    <row r="11" spans="1:30" x14ac:dyDescent="0.3">
      <c r="A11" s="304"/>
      <c r="B11" s="118" t="s">
        <v>81</v>
      </c>
      <c r="C11" s="114">
        <v>42</v>
      </c>
      <c r="D11" s="114">
        <v>1</v>
      </c>
      <c r="E11" s="114">
        <v>3</v>
      </c>
      <c r="F11" s="119"/>
      <c r="G11" s="114">
        <v>5</v>
      </c>
      <c r="H11" s="119"/>
      <c r="I11" s="111" t="s">
        <v>72</v>
      </c>
      <c r="J11" s="111" t="s">
        <v>73</v>
      </c>
      <c r="K11" s="111" t="s">
        <v>74</v>
      </c>
      <c r="L11" s="111" t="s">
        <v>75</v>
      </c>
      <c r="M11" s="111" t="s">
        <v>76</v>
      </c>
      <c r="N11" s="111"/>
      <c r="O11" s="112"/>
      <c r="P11" s="110"/>
      <c r="Q11" s="113"/>
      <c r="R11" s="114"/>
      <c r="S11" s="115"/>
      <c r="T11" s="109">
        <f t="shared" si="0"/>
        <v>3</v>
      </c>
      <c r="U11" s="109">
        <f t="shared" si="1"/>
        <v>15</v>
      </c>
      <c r="V11" s="116">
        <v>0</v>
      </c>
      <c r="W11" s="117"/>
      <c r="X11" s="81"/>
      <c r="Y11" s="304"/>
      <c r="AA11" s="46">
        <v>44523</v>
      </c>
      <c r="AB11" s="103">
        <v>20242.330000000002</v>
      </c>
      <c r="AC11" s="45" t="s">
        <v>79</v>
      </c>
      <c r="AD11" s="45" t="s">
        <v>82</v>
      </c>
    </row>
    <row r="12" spans="1:30" x14ac:dyDescent="0.3">
      <c r="A12" s="304"/>
      <c r="B12" s="120"/>
      <c r="C12" s="121">
        <v>2</v>
      </c>
      <c r="D12" s="121">
        <v>1</v>
      </c>
      <c r="E12" s="121">
        <v>4</v>
      </c>
      <c r="F12" s="110"/>
      <c r="G12" s="121">
        <v>5</v>
      </c>
      <c r="H12" s="110"/>
      <c r="I12" s="111" t="s">
        <v>72</v>
      </c>
      <c r="J12" s="111" t="s">
        <v>73</v>
      </c>
      <c r="K12" s="111" t="s">
        <v>74</v>
      </c>
      <c r="L12" s="111" t="s">
        <v>75</v>
      </c>
      <c r="M12" s="111" t="s">
        <v>76</v>
      </c>
      <c r="N12" s="111"/>
      <c r="O12" s="112"/>
      <c r="P12" s="110"/>
      <c r="Q12" s="113"/>
      <c r="R12" s="114"/>
      <c r="S12" s="115"/>
      <c r="T12" s="109">
        <f t="shared" si="0"/>
        <v>4</v>
      </c>
      <c r="U12" s="109">
        <f t="shared" si="1"/>
        <v>20</v>
      </c>
      <c r="V12" s="116">
        <v>0</v>
      </c>
      <c r="W12" s="117"/>
      <c r="X12" s="81"/>
      <c r="Y12" s="304"/>
      <c r="Z12" s="46"/>
      <c r="AB12" s="103"/>
      <c r="AD12" s="45" t="s">
        <v>83</v>
      </c>
    </row>
    <row r="13" spans="1:30" x14ac:dyDescent="0.3">
      <c r="A13" s="304"/>
      <c r="B13" s="122"/>
      <c r="C13" s="123">
        <v>41</v>
      </c>
      <c r="D13" s="123">
        <v>1</v>
      </c>
      <c r="E13" s="123">
        <v>2</v>
      </c>
      <c r="F13" s="124"/>
      <c r="G13" s="123">
        <v>5</v>
      </c>
      <c r="H13" s="124"/>
      <c r="I13" s="111" t="s">
        <v>72</v>
      </c>
      <c r="J13" s="111" t="s">
        <v>73</v>
      </c>
      <c r="K13" s="111" t="s">
        <v>74</v>
      </c>
      <c r="L13" s="111" t="s">
        <v>75</v>
      </c>
      <c r="M13" s="111" t="s">
        <v>76</v>
      </c>
      <c r="N13" s="111"/>
      <c r="O13" s="112"/>
      <c r="P13" s="110"/>
      <c r="Q13" s="113"/>
      <c r="R13" s="114"/>
      <c r="S13" s="115"/>
      <c r="T13" s="109">
        <f t="shared" si="0"/>
        <v>2</v>
      </c>
      <c r="U13" s="109">
        <f t="shared" si="1"/>
        <v>10</v>
      </c>
      <c r="V13" s="116">
        <v>0</v>
      </c>
      <c r="W13" s="117"/>
      <c r="X13" s="81"/>
      <c r="Y13" s="304"/>
      <c r="Z13" s="46"/>
      <c r="AB13" s="103"/>
      <c r="AD13" s="45" t="s">
        <v>84</v>
      </c>
    </row>
    <row r="14" spans="1:30" x14ac:dyDescent="0.3">
      <c r="A14" s="304"/>
      <c r="B14" s="88" t="s">
        <v>85</v>
      </c>
      <c r="C14" s="89">
        <v>47</v>
      </c>
      <c r="D14" s="89">
        <v>4</v>
      </c>
      <c r="E14" s="89">
        <v>4</v>
      </c>
      <c r="F14" s="304"/>
      <c r="G14" s="89">
        <v>5</v>
      </c>
      <c r="H14" s="304"/>
      <c r="I14" s="90" t="s">
        <v>72</v>
      </c>
      <c r="J14" s="90" t="s">
        <v>73</v>
      </c>
      <c r="K14" s="90" t="s">
        <v>74</v>
      </c>
      <c r="L14" s="90" t="s">
        <v>75</v>
      </c>
      <c r="M14" s="90" t="s">
        <v>76</v>
      </c>
      <c r="N14" s="90"/>
      <c r="O14" s="91"/>
      <c r="P14" s="304"/>
      <c r="Q14" s="92">
        <v>0.72916666666666663</v>
      </c>
      <c r="R14" s="93" t="s">
        <v>77</v>
      </c>
      <c r="S14" s="94">
        <v>0.89583333333333337</v>
      </c>
      <c r="T14" s="89">
        <f t="shared" si="0"/>
        <v>16</v>
      </c>
      <c r="U14" s="89">
        <f t="shared" si="1"/>
        <v>80</v>
      </c>
      <c r="V14" s="95">
        <f t="shared" si="2"/>
        <v>3760</v>
      </c>
      <c r="W14" s="304"/>
      <c r="X14" s="89"/>
      <c r="Y14" s="304"/>
    </row>
    <row r="15" spans="1:30" x14ac:dyDescent="0.3">
      <c r="A15" s="304"/>
      <c r="B15" s="7"/>
      <c r="C15" s="7"/>
      <c r="D15" s="7"/>
      <c r="E15" s="7"/>
      <c r="F15" s="304"/>
      <c r="G15" s="7"/>
      <c r="H15" s="304"/>
      <c r="I15" s="50"/>
      <c r="J15" s="50"/>
      <c r="K15" s="50"/>
      <c r="L15" s="50"/>
      <c r="M15" s="50"/>
      <c r="N15" s="50"/>
      <c r="O15" s="50"/>
      <c r="P15" s="304"/>
      <c r="Q15" s="7"/>
      <c r="R15" s="7"/>
      <c r="S15" s="7"/>
      <c r="T15" s="7"/>
      <c r="U15" s="7"/>
      <c r="V15" s="7"/>
      <c r="W15" s="304"/>
      <c r="X15" s="7"/>
      <c r="Y15" s="304"/>
    </row>
    <row r="16" spans="1:30" x14ac:dyDescent="0.3">
      <c r="A16" s="304"/>
      <c r="B16" s="2" t="s">
        <v>87</v>
      </c>
      <c r="C16" s="3">
        <v>48</v>
      </c>
      <c r="D16" s="3">
        <v>1</v>
      </c>
      <c r="E16" s="3">
        <v>1.5</v>
      </c>
      <c r="F16" s="304"/>
      <c r="G16" s="3">
        <v>5</v>
      </c>
      <c r="H16" s="304"/>
      <c r="I16" s="51" t="s">
        <v>72</v>
      </c>
      <c r="J16" s="51" t="s">
        <v>73</v>
      </c>
      <c r="K16" s="51" t="s">
        <v>74</v>
      </c>
      <c r="L16" s="51" t="s">
        <v>75</v>
      </c>
      <c r="M16" s="51" t="s">
        <v>76</v>
      </c>
      <c r="N16" s="51"/>
      <c r="O16" s="306"/>
      <c r="P16" s="304"/>
      <c r="Q16" s="30">
        <v>0.27083333333333331</v>
      </c>
      <c r="R16" s="309" t="s">
        <v>77</v>
      </c>
      <c r="S16" s="6">
        <v>0.33333333333333331</v>
      </c>
      <c r="T16" s="3">
        <f>+E16*D16</f>
        <v>1.5</v>
      </c>
      <c r="U16" s="3">
        <f>+T16*G16</f>
        <v>7.5</v>
      </c>
      <c r="V16" s="5">
        <f>+U16*C16</f>
        <v>360</v>
      </c>
      <c r="W16" s="304"/>
      <c r="X16" s="3">
        <v>10</v>
      </c>
      <c r="Y16" s="304"/>
    </row>
    <row r="17" spans="1:27" x14ac:dyDescent="0.3">
      <c r="A17" s="304"/>
      <c r="B17" s="2" t="s">
        <v>88</v>
      </c>
      <c r="C17" s="3">
        <v>52</v>
      </c>
      <c r="D17" s="3">
        <v>1</v>
      </c>
      <c r="E17" s="3">
        <v>1.5</v>
      </c>
      <c r="F17" s="304"/>
      <c r="G17" s="3">
        <v>5</v>
      </c>
      <c r="H17" s="304"/>
      <c r="I17" s="51" t="s">
        <v>72</v>
      </c>
      <c r="J17" s="51" t="s">
        <v>73</v>
      </c>
      <c r="K17" s="51" t="s">
        <v>74</v>
      </c>
      <c r="L17" s="51" t="s">
        <v>75</v>
      </c>
      <c r="M17" s="51" t="s">
        <v>76</v>
      </c>
      <c r="N17" s="51"/>
      <c r="O17" s="306"/>
      <c r="P17" s="304"/>
      <c r="Q17" s="30">
        <v>0.25</v>
      </c>
      <c r="R17" s="309" t="s">
        <v>77</v>
      </c>
      <c r="S17" s="6">
        <v>0.3125</v>
      </c>
      <c r="T17" s="3">
        <f>+E17*D17</f>
        <v>1.5</v>
      </c>
      <c r="U17" s="3">
        <f>+T17*G17</f>
        <v>7.5</v>
      </c>
      <c r="V17" s="5">
        <f>+U17*C17</f>
        <v>390</v>
      </c>
      <c r="W17" s="304"/>
      <c r="X17" s="3">
        <v>10</v>
      </c>
      <c r="Y17" s="304"/>
    </row>
    <row r="18" spans="1:27" ht="9.75" customHeight="1" x14ac:dyDescent="0.3">
      <c r="A18" s="304"/>
      <c r="B18" s="7"/>
      <c r="C18" s="7"/>
      <c r="D18" s="7"/>
      <c r="E18" s="7"/>
      <c r="F18" s="304"/>
      <c r="G18" s="7"/>
      <c r="H18" s="304"/>
      <c r="I18" s="50"/>
      <c r="J18" s="50"/>
      <c r="K18" s="50"/>
      <c r="L18" s="50"/>
      <c r="M18" s="50"/>
      <c r="N18" s="50"/>
      <c r="O18" s="50"/>
      <c r="P18" s="304"/>
      <c r="Q18" s="7"/>
      <c r="R18" s="7"/>
      <c r="S18" s="7"/>
      <c r="T18" s="7"/>
      <c r="U18" s="7"/>
      <c r="V18" s="7"/>
      <c r="W18" s="304"/>
      <c r="X18" s="7"/>
      <c r="Y18" s="304"/>
      <c r="AA18" s="104"/>
    </row>
    <row r="19" spans="1:27" x14ac:dyDescent="0.3">
      <c r="A19" s="304"/>
      <c r="B19" s="2" t="s">
        <v>89</v>
      </c>
      <c r="C19" s="3">
        <v>52</v>
      </c>
      <c r="D19" s="3">
        <v>1</v>
      </c>
      <c r="E19" s="3">
        <v>3.6</v>
      </c>
      <c r="F19" s="304"/>
      <c r="G19" s="3">
        <v>5</v>
      </c>
      <c r="H19" s="304"/>
      <c r="I19" s="51" t="s">
        <v>72</v>
      </c>
      <c r="J19" s="51" t="s">
        <v>73</v>
      </c>
      <c r="K19" s="51" t="s">
        <v>74</v>
      </c>
      <c r="L19" s="51" t="s">
        <v>75</v>
      </c>
      <c r="M19" s="51" t="s">
        <v>76</v>
      </c>
      <c r="N19" s="51"/>
      <c r="O19" s="306"/>
      <c r="P19" s="304"/>
      <c r="Q19" s="30">
        <v>0.66666666666666663</v>
      </c>
      <c r="R19" s="309" t="s">
        <v>77</v>
      </c>
      <c r="S19" s="6">
        <v>0.81944444444444453</v>
      </c>
      <c r="T19" s="3">
        <f t="shared" ref="T19:T24" si="3">+E19*D19</f>
        <v>3.6</v>
      </c>
      <c r="U19" s="3">
        <f t="shared" ref="U19:U24" si="4">+T19*G19</f>
        <v>18</v>
      </c>
      <c r="V19" s="5">
        <f t="shared" ref="V19:V24" si="5">+U19*C19</f>
        <v>936</v>
      </c>
      <c r="W19" s="304"/>
      <c r="X19" s="3">
        <v>15</v>
      </c>
      <c r="Y19" s="304"/>
    </row>
    <row r="20" spans="1:27" x14ac:dyDescent="0.3">
      <c r="A20" s="304"/>
      <c r="B20" s="8" t="s">
        <v>90</v>
      </c>
      <c r="C20" s="9">
        <v>52</v>
      </c>
      <c r="D20" s="9">
        <v>1</v>
      </c>
      <c r="E20" s="9">
        <v>2.25</v>
      </c>
      <c r="F20" s="304"/>
      <c r="G20" s="9">
        <v>5</v>
      </c>
      <c r="H20" s="304"/>
      <c r="I20" s="52" t="s">
        <v>72</v>
      </c>
      <c r="J20" s="52" t="s">
        <v>73</v>
      </c>
      <c r="K20" s="52" t="s">
        <v>74</v>
      </c>
      <c r="L20" s="52" t="s">
        <v>75</v>
      </c>
      <c r="M20" s="52" t="s">
        <v>76</v>
      </c>
      <c r="N20" s="52"/>
      <c r="O20" s="53"/>
      <c r="P20" s="304"/>
      <c r="Q20" s="32">
        <v>0.33333333333333331</v>
      </c>
      <c r="R20" s="10" t="s">
        <v>77</v>
      </c>
      <c r="S20" s="11">
        <v>0.42708333333333331</v>
      </c>
      <c r="T20" s="9">
        <f t="shared" si="3"/>
        <v>2.25</v>
      </c>
      <c r="U20" s="9">
        <f t="shared" si="4"/>
        <v>11.25</v>
      </c>
      <c r="V20" s="12">
        <f t="shared" si="5"/>
        <v>585</v>
      </c>
      <c r="W20" s="304"/>
      <c r="X20" s="9">
        <v>15</v>
      </c>
      <c r="Y20" s="304"/>
    </row>
    <row r="21" spans="1:27" x14ac:dyDescent="0.3">
      <c r="A21" s="304"/>
      <c r="B21" s="13" t="s">
        <v>91</v>
      </c>
      <c r="C21" s="14">
        <v>52</v>
      </c>
      <c r="D21" s="14">
        <v>1</v>
      </c>
      <c r="E21" s="14">
        <v>1</v>
      </c>
      <c r="F21" s="304"/>
      <c r="G21" s="14">
        <v>1</v>
      </c>
      <c r="H21" s="304"/>
      <c r="I21" s="47"/>
      <c r="J21" s="47"/>
      <c r="K21" s="47"/>
      <c r="L21" s="47"/>
      <c r="M21" s="47"/>
      <c r="N21" s="47" t="s">
        <v>92</v>
      </c>
      <c r="O21" s="48"/>
      <c r="P21" s="304"/>
      <c r="Q21" s="29">
        <v>0.33333333333333331</v>
      </c>
      <c r="R21" s="15" t="s">
        <v>77</v>
      </c>
      <c r="S21" s="16">
        <v>0.375</v>
      </c>
      <c r="T21" s="14">
        <f t="shared" si="3"/>
        <v>1</v>
      </c>
      <c r="U21" s="14">
        <f t="shared" si="4"/>
        <v>1</v>
      </c>
      <c r="V21" s="17">
        <f t="shared" si="5"/>
        <v>52</v>
      </c>
      <c r="W21" s="304"/>
      <c r="X21" s="14"/>
      <c r="Y21" s="304"/>
    </row>
    <row r="22" spans="1:27" x14ac:dyDescent="0.3">
      <c r="A22" s="304"/>
      <c r="B22" s="2" t="s">
        <v>93</v>
      </c>
      <c r="C22" s="3">
        <v>52</v>
      </c>
      <c r="D22" s="3">
        <v>1</v>
      </c>
      <c r="E22" s="3">
        <v>0.6</v>
      </c>
      <c r="F22" s="304"/>
      <c r="G22" s="9">
        <v>5</v>
      </c>
      <c r="H22" s="304"/>
      <c r="I22" s="51" t="s">
        <v>72</v>
      </c>
      <c r="J22" s="51" t="s">
        <v>73</v>
      </c>
      <c r="K22" s="51" t="s">
        <v>74</v>
      </c>
      <c r="L22" s="51" t="s">
        <v>75</v>
      </c>
      <c r="M22" s="51" t="s">
        <v>76</v>
      </c>
      <c r="N22" s="51"/>
      <c r="O22" s="306"/>
      <c r="P22" s="304"/>
      <c r="Q22" s="30">
        <v>0.625</v>
      </c>
      <c r="R22" s="309" t="s">
        <v>77</v>
      </c>
      <c r="S22" s="6">
        <v>0.65277777777777779</v>
      </c>
      <c r="T22" s="3">
        <f t="shared" si="3"/>
        <v>0.6</v>
      </c>
      <c r="U22" s="3">
        <f t="shared" si="4"/>
        <v>3</v>
      </c>
      <c r="V22" s="5">
        <f t="shared" si="5"/>
        <v>156</v>
      </c>
      <c r="W22" s="304"/>
      <c r="X22" s="3">
        <v>7</v>
      </c>
      <c r="Y22" s="304"/>
    </row>
    <row r="23" spans="1:27" x14ac:dyDescent="0.3">
      <c r="A23" s="304"/>
      <c r="B23" s="2" t="s">
        <v>94</v>
      </c>
      <c r="C23" s="3">
        <v>50</v>
      </c>
      <c r="D23" s="3">
        <v>1</v>
      </c>
      <c r="E23" s="3">
        <v>2.8</v>
      </c>
      <c r="F23" s="304"/>
      <c r="G23" s="23">
        <v>5</v>
      </c>
      <c r="H23" s="304"/>
      <c r="I23" s="51" t="s">
        <v>72</v>
      </c>
      <c r="J23" s="51" t="s">
        <v>73</v>
      </c>
      <c r="K23" s="51" t="s">
        <v>74</v>
      </c>
      <c r="L23" s="51" t="s">
        <v>75</v>
      </c>
      <c r="M23" s="51" t="s">
        <v>76</v>
      </c>
      <c r="N23" s="51"/>
      <c r="O23" s="306"/>
      <c r="P23" s="304"/>
      <c r="Q23" s="30">
        <v>0.33333333333333331</v>
      </c>
      <c r="R23" s="309" t="s">
        <v>77</v>
      </c>
      <c r="S23" s="6">
        <v>0.4513888888888889</v>
      </c>
      <c r="T23" s="3">
        <f t="shared" si="3"/>
        <v>2.8</v>
      </c>
      <c r="U23" s="3">
        <f t="shared" si="4"/>
        <v>14</v>
      </c>
      <c r="V23" s="5">
        <f t="shared" si="5"/>
        <v>700</v>
      </c>
      <c r="W23" s="304"/>
      <c r="X23" s="3">
        <v>20</v>
      </c>
      <c r="Y23" s="304"/>
    </row>
    <row r="24" spans="1:27" x14ac:dyDescent="0.3">
      <c r="A24" s="304"/>
      <c r="B24" s="2" t="s">
        <v>95</v>
      </c>
      <c r="C24" s="3">
        <v>50</v>
      </c>
      <c r="D24" s="3">
        <v>1</v>
      </c>
      <c r="E24" s="3">
        <v>2</v>
      </c>
      <c r="F24" s="304"/>
      <c r="G24" s="3">
        <v>5</v>
      </c>
      <c r="H24" s="304"/>
      <c r="I24" s="51" t="s">
        <v>72</v>
      </c>
      <c r="J24" s="51" t="s">
        <v>73</v>
      </c>
      <c r="K24" s="51" t="s">
        <v>74</v>
      </c>
      <c r="L24" s="51" t="s">
        <v>75</v>
      </c>
      <c r="M24" s="51" t="s">
        <v>76</v>
      </c>
      <c r="N24" s="51"/>
      <c r="O24" s="306"/>
      <c r="P24" s="304"/>
      <c r="Q24" s="30">
        <v>0.25</v>
      </c>
      <c r="R24" s="309" t="s">
        <v>77</v>
      </c>
      <c r="S24" s="6">
        <v>0.33333333333333331</v>
      </c>
      <c r="T24" s="3">
        <f t="shared" si="3"/>
        <v>2</v>
      </c>
      <c r="U24" s="3">
        <f t="shared" si="4"/>
        <v>10</v>
      </c>
      <c r="V24" s="5">
        <f t="shared" si="5"/>
        <v>500</v>
      </c>
      <c r="W24" s="304"/>
      <c r="X24" s="3">
        <v>23</v>
      </c>
      <c r="Y24" s="304"/>
    </row>
    <row r="25" spans="1:27" ht="9.75" customHeight="1" x14ac:dyDescent="0.3">
      <c r="A25" s="304"/>
      <c r="B25" s="7"/>
      <c r="C25" s="35"/>
      <c r="D25" s="35"/>
      <c r="E25" s="35"/>
      <c r="F25" s="304"/>
      <c r="G25" s="35"/>
      <c r="H25" s="304"/>
      <c r="I25" s="54"/>
      <c r="J25" s="54"/>
      <c r="K25" s="54"/>
      <c r="L25" s="54"/>
      <c r="M25" s="54"/>
      <c r="N25" s="54"/>
      <c r="O25" s="54"/>
      <c r="P25" s="304"/>
      <c r="Q25" s="36"/>
      <c r="R25" s="35"/>
      <c r="S25" s="37"/>
      <c r="T25" s="35"/>
      <c r="U25" s="35"/>
      <c r="V25" s="38"/>
      <c r="W25" s="304"/>
      <c r="X25" s="35"/>
      <c r="Y25" s="304"/>
    </row>
    <row r="26" spans="1:27" x14ac:dyDescent="0.3">
      <c r="A26" s="304"/>
      <c r="B26" s="18" t="s">
        <v>133</v>
      </c>
      <c r="C26" s="19">
        <v>52</v>
      </c>
      <c r="D26" s="19">
        <v>2</v>
      </c>
      <c r="E26" s="19">
        <v>2</v>
      </c>
      <c r="F26" s="304"/>
      <c r="G26" s="19">
        <v>5</v>
      </c>
      <c r="H26" s="304"/>
      <c r="I26" s="49" t="s">
        <v>72</v>
      </c>
      <c r="J26" s="49" t="s">
        <v>73</v>
      </c>
      <c r="K26" s="49" t="s">
        <v>74</v>
      </c>
      <c r="L26" s="49" t="s">
        <v>75</v>
      </c>
      <c r="M26" s="49" t="s">
        <v>76</v>
      </c>
      <c r="N26" s="49"/>
      <c r="O26" s="310"/>
      <c r="P26" s="304"/>
      <c r="Q26" s="31">
        <v>0.52083333333333337</v>
      </c>
      <c r="R26" s="305" t="s">
        <v>77</v>
      </c>
      <c r="S26" s="20">
        <v>0.60416666666666663</v>
      </c>
      <c r="T26" s="19">
        <f>+E26*D26</f>
        <v>4</v>
      </c>
      <c r="U26" s="19">
        <f>+T26*G26</f>
        <v>20</v>
      </c>
      <c r="V26" s="21">
        <f>+U26*C26</f>
        <v>1040</v>
      </c>
      <c r="W26" s="304"/>
      <c r="X26" s="19"/>
      <c r="Y26" s="304"/>
    </row>
    <row r="27" spans="1:27" x14ac:dyDescent="0.3">
      <c r="A27" s="304"/>
      <c r="B27" s="18" t="s">
        <v>134</v>
      </c>
      <c r="C27" s="19">
        <v>52</v>
      </c>
      <c r="D27" s="19">
        <v>2</v>
      </c>
      <c r="E27" s="19">
        <v>2</v>
      </c>
      <c r="F27" s="304"/>
      <c r="G27" s="19">
        <v>5</v>
      </c>
      <c r="H27" s="304"/>
      <c r="I27" s="49" t="s">
        <v>72</v>
      </c>
      <c r="J27" s="49" t="s">
        <v>73</v>
      </c>
      <c r="K27" s="49" t="s">
        <v>74</v>
      </c>
      <c r="L27" s="49" t="s">
        <v>75</v>
      </c>
      <c r="M27" s="49" t="s">
        <v>76</v>
      </c>
      <c r="N27" s="49"/>
      <c r="O27" s="310"/>
      <c r="P27" s="304"/>
      <c r="Q27" s="31">
        <v>0.83333333333333337</v>
      </c>
      <c r="R27" s="305" t="s">
        <v>77</v>
      </c>
      <c r="S27" s="20">
        <v>0.91666666666666663</v>
      </c>
      <c r="T27" s="19">
        <f>+E27*D27</f>
        <v>4</v>
      </c>
      <c r="U27" s="19">
        <f>+T27*G27</f>
        <v>20</v>
      </c>
      <c r="V27" s="21">
        <f>+U27*C27</f>
        <v>1040</v>
      </c>
      <c r="W27" s="304"/>
      <c r="X27" s="19"/>
      <c r="Y27" s="304"/>
    </row>
    <row r="28" spans="1:27" x14ac:dyDescent="0.3">
      <c r="A28" s="304"/>
      <c r="B28" s="18" t="s">
        <v>135</v>
      </c>
      <c r="C28" s="19">
        <v>52</v>
      </c>
      <c r="D28" s="19">
        <v>1</v>
      </c>
      <c r="E28" s="19">
        <v>3</v>
      </c>
      <c r="F28" s="304"/>
      <c r="G28" s="19">
        <v>1</v>
      </c>
      <c r="H28" s="304"/>
      <c r="I28" s="49"/>
      <c r="J28" s="49"/>
      <c r="K28" s="49"/>
      <c r="L28" s="49"/>
      <c r="M28" s="49"/>
      <c r="N28" s="49" t="s">
        <v>92</v>
      </c>
      <c r="O28" s="310"/>
      <c r="P28" s="304"/>
      <c r="Q28" s="31">
        <v>0.70833333333333337</v>
      </c>
      <c r="R28" s="305" t="s">
        <v>77</v>
      </c>
      <c r="S28" s="20">
        <v>0.83333333333333337</v>
      </c>
      <c r="T28" s="19">
        <f>+E28*D28</f>
        <v>3</v>
      </c>
      <c r="U28" s="19">
        <f>+T28*G28</f>
        <v>3</v>
      </c>
      <c r="V28" s="21">
        <f>+U28*C28</f>
        <v>156</v>
      </c>
      <c r="W28" s="304"/>
      <c r="X28" s="19"/>
      <c r="Y28" s="304"/>
    </row>
    <row r="29" spans="1:27" x14ac:dyDescent="0.3">
      <c r="A29" s="304"/>
      <c r="B29" s="18" t="s">
        <v>136</v>
      </c>
      <c r="C29" s="19">
        <v>14</v>
      </c>
      <c r="D29" s="19">
        <v>1</v>
      </c>
      <c r="E29" s="19">
        <v>2</v>
      </c>
      <c r="F29" s="304"/>
      <c r="G29" s="19">
        <v>1</v>
      </c>
      <c r="H29" s="304"/>
      <c r="I29" s="49"/>
      <c r="J29" s="49"/>
      <c r="K29" s="49"/>
      <c r="L29" s="49"/>
      <c r="M29" s="49"/>
      <c r="N29" s="49"/>
      <c r="O29" s="310" t="s">
        <v>100</v>
      </c>
      <c r="P29" s="304"/>
      <c r="Q29" s="31">
        <v>0.70833333333333337</v>
      </c>
      <c r="R29" s="305" t="s">
        <v>77</v>
      </c>
      <c r="S29" s="20">
        <v>0.83333333333333337</v>
      </c>
      <c r="T29" s="19">
        <f>+E29*D29</f>
        <v>2</v>
      </c>
      <c r="U29" s="19">
        <f>+T29*G29</f>
        <v>2</v>
      </c>
      <c r="V29" s="21">
        <f>+U29*C29</f>
        <v>28</v>
      </c>
      <c r="W29" s="304"/>
      <c r="X29" s="19"/>
      <c r="Y29" s="304"/>
    </row>
    <row r="30" spans="1:27" ht="9.75" customHeight="1" x14ac:dyDescent="0.3">
      <c r="A30" s="304"/>
      <c r="B30" s="7"/>
      <c r="C30" s="35"/>
      <c r="D30" s="35"/>
      <c r="E30" s="35"/>
      <c r="F30" s="304"/>
      <c r="G30" s="35"/>
      <c r="H30" s="304"/>
      <c r="I30" s="54"/>
      <c r="J30" s="54"/>
      <c r="K30" s="54"/>
      <c r="L30" s="54"/>
      <c r="M30" s="54"/>
      <c r="N30" s="54"/>
      <c r="O30" s="54"/>
      <c r="P30" s="304"/>
      <c r="Q30" s="36"/>
      <c r="R30" s="35"/>
      <c r="S30" s="37"/>
      <c r="T30" s="35"/>
      <c r="U30" s="35"/>
      <c r="V30" s="38"/>
      <c r="W30" s="304"/>
      <c r="X30" s="35"/>
      <c r="Y30" s="304"/>
    </row>
    <row r="31" spans="1:27" x14ac:dyDescent="0.3">
      <c r="A31" s="304"/>
      <c r="B31" s="2" t="s">
        <v>101</v>
      </c>
      <c r="C31" s="3">
        <v>52</v>
      </c>
      <c r="D31" s="3">
        <v>1</v>
      </c>
      <c r="E31" s="3">
        <v>2</v>
      </c>
      <c r="F31" s="304"/>
      <c r="G31" s="3">
        <v>5</v>
      </c>
      <c r="H31" s="304"/>
      <c r="I31" s="51" t="s">
        <v>72</v>
      </c>
      <c r="J31" s="51" t="s">
        <v>73</v>
      </c>
      <c r="K31" s="51" t="s">
        <v>74</v>
      </c>
      <c r="L31" s="51" t="s">
        <v>75</v>
      </c>
      <c r="M31" s="51" t="s">
        <v>76</v>
      </c>
      <c r="N31" s="51"/>
      <c r="O31" s="306"/>
      <c r="P31" s="304"/>
      <c r="Q31" s="30">
        <v>0.625</v>
      </c>
      <c r="R31" s="309" t="s">
        <v>77</v>
      </c>
      <c r="S31" s="6">
        <v>0.70833333333333337</v>
      </c>
      <c r="T31" s="3">
        <f>+E31*D31</f>
        <v>2</v>
      </c>
      <c r="U31" s="3">
        <f>+T31*G31</f>
        <v>10</v>
      </c>
      <c r="V31" s="5">
        <f>+U31*C31</f>
        <v>520</v>
      </c>
      <c r="W31" s="304"/>
      <c r="X31" s="3">
        <v>10</v>
      </c>
      <c r="Y31" s="304"/>
    </row>
    <row r="32" spans="1:27" x14ac:dyDescent="0.3">
      <c r="A32" s="304"/>
      <c r="B32" s="2" t="s">
        <v>102</v>
      </c>
      <c r="C32" s="3">
        <v>48</v>
      </c>
      <c r="D32" s="3">
        <v>1</v>
      </c>
      <c r="E32" s="3">
        <v>2</v>
      </c>
      <c r="F32" s="304"/>
      <c r="G32" s="3">
        <v>3</v>
      </c>
      <c r="H32" s="304"/>
      <c r="I32" s="51" t="s">
        <v>72</v>
      </c>
      <c r="J32" s="51"/>
      <c r="K32" s="51" t="s">
        <v>74</v>
      </c>
      <c r="L32" s="51"/>
      <c r="M32" s="51" t="s">
        <v>76</v>
      </c>
      <c r="N32" s="51"/>
      <c r="O32" s="306"/>
      <c r="P32" s="304"/>
      <c r="Q32" s="30">
        <v>0.625</v>
      </c>
      <c r="R32" s="309" t="s">
        <v>77</v>
      </c>
      <c r="S32" s="6">
        <v>0.70833333333333337</v>
      </c>
      <c r="T32" s="3">
        <f t="shared" ref="T32:T39" si="6">+E32*D32</f>
        <v>2</v>
      </c>
      <c r="U32" s="3">
        <f t="shared" ref="U32:U39" si="7">+T32*G32</f>
        <v>6</v>
      </c>
      <c r="V32" s="5">
        <f>+U32*C32</f>
        <v>288</v>
      </c>
      <c r="W32" s="304"/>
      <c r="X32" s="3">
        <v>15</v>
      </c>
      <c r="Y32" s="304"/>
    </row>
    <row r="33" spans="1:26" x14ac:dyDescent="0.3">
      <c r="A33" s="304"/>
      <c r="B33" s="2" t="s">
        <v>103</v>
      </c>
      <c r="C33" s="3">
        <v>48</v>
      </c>
      <c r="D33" s="3">
        <v>1</v>
      </c>
      <c r="E33" s="3">
        <v>1</v>
      </c>
      <c r="F33" s="304"/>
      <c r="G33" s="3">
        <v>1</v>
      </c>
      <c r="H33" s="304"/>
      <c r="I33" s="51"/>
      <c r="J33" s="51"/>
      <c r="K33" s="51"/>
      <c r="L33" s="51" t="s">
        <v>75</v>
      </c>
      <c r="M33" s="51"/>
      <c r="N33" s="51"/>
      <c r="O33" s="306"/>
      <c r="P33" s="304"/>
      <c r="Q33" s="30">
        <v>0.33333333333333331</v>
      </c>
      <c r="R33" s="309" t="s">
        <v>77</v>
      </c>
      <c r="S33" s="6">
        <v>0.375</v>
      </c>
      <c r="T33" s="3">
        <f>+E33*D33</f>
        <v>1</v>
      </c>
      <c r="U33" s="3">
        <f>+T33*G33</f>
        <v>1</v>
      </c>
      <c r="V33" s="5">
        <f>+U33*C33</f>
        <v>48</v>
      </c>
      <c r="W33" s="304"/>
      <c r="X33" s="3"/>
      <c r="Y33" s="304"/>
    </row>
    <row r="34" spans="1:26" x14ac:dyDescent="0.3">
      <c r="A34" s="304"/>
      <c r="B34" s="2" t="s">
        <v>104</v>
      </c>
      <c r="C34" s="3">
        <v>48</v>
      </c>
      <c r="D34" s="3">
        <v>1</v>
      </c>
      <c r="E34" s="3">
        <v>1</v>
      </c>
      <c r="F34" s="304"/>
      <c r="G34" s="3">
        <v>1</v>
      </c>
      <c r="H34" s="304"/>
      <c r="I34" s="51"/>
      <c r="J34" s="51"/>
      <c r="K34" s="51"/>
      <c r="L34" s="51" t="s">
        <v>75</v>
      </c>
      <c r="M34" s="51"/>
      <c r="N34" s="51"/>
      <c r="O34" s="306"/>
      <c r="P34" s="304"/>
      <c r="Q34" s="30">
        <v>0.375</v>
      </c>
      <c r="R34" s="309" t="s">
        <v>77</v>
      </c>
      <c r="S34" s="6">
        <v>0.41666666666666669</v>
      </c>
      <c r="T34" s="3">
        <f>+E34*D34</f>
        <v>1</v>
      </c>
      <c r="U34" s="3">
        <f>+T34*G34</f>
        <v>1</v>
      </c>
      <c r="V34" s="5">
        <f>+U34*C34</f>
        <v>48</v>
      </c>
      <c r="W34" s="304"/>
      <c r="X34" s="3"/>
      <c r="Y34" s="304"/>
    </row>
    <row r="35" spans="1:26" ht="9.75" customHeight="1" x14ac:dyDescent="0.3">
      <c r="A35" s="304"/>
      <c r="B35" s="7"/>
      <c r="C35" s="35"/>
      <c r="D35" s="35"/>
      <c r="E35" s="35"/>
      <c r="F35" s="304"/>
      <c r="G35" s="35"/>
      <c r="H35" s="304"/>
      <c r="I35" s="54"/>
      <c r="J35" s="54"/>
      <c r="K35" s="54"/>
      <c r="L35" s="54"/>
      <c r="M35" s="54"/>
      <c r="N35" s="54"/>
      <c r="O35" s="54"/>
      <c r="P35" s="304"/>
      <c r="Q35" s="36"/>
      <c r="R35" s="35"/>
      <c r="S35" s="37"/>
      <c r="T35" s="35"/>
      <c r="U35" s="35"/>
      <c r="V35" s="38"/>
      <c r="W35" s="304"/>
      <c r="X35" s="35"/>
      <c r="Y35" s="304"/>
    </row>
    <row r="36" spans="1:26" x14ac:dyDescent="0.3">
      <c r="A36" s="304"/>
      <c r="B36" s="2" t="s">
        <v>137</v>
      </c>
      <c r="C36" s="3">
        <v>52</v>
      </c>
      <c r="D36" s="3">
        <v>1</v>
      </c>
      <c r="E36" s="3">
        <v>0.5</v>
      </c>
      <c r="F36" s="304"/>
      <c r="G36" s="3">
        <v>1</v>
      </c>
      <c r="H36" s="304"/>
      <c r="I36" s="51"/>
      <c r="J36" s="51" t="s">
        <v>73</v>
      </c>
      <c r="K36" s="51"/>
      <c r="L36" s="51"/>
      <c r="M36" s="51"/>
      <c r="N36" s="51"/>
      <c r="O36" s="306"/>
      <c r="P36" s="304"/>
      <c r="Q36" s="30">
        <v>0.375</v>
      </c>
      <c r="R36" s="309" t="s">
        <v>77</v>
      </c>
      <c r="S36" s="6">
        <v>0.41666666666666669</v>
      </c>
      <c r="T36" s="3">
        <f t="shared" si="6"/>
        <v>0.5</v>
      </c>
      <c r="U36" s="3">
        <f t="shared" si="7"/>
        <v>0.5</v>
      </c>
      <c r="V36" s="5">
        <f>+U36*C36</f>
        <v>26</v>
      </c>
      <c r="W36" s="304"/>
      <c r="X36" s="3"/>
      <c r="Y36" s="304"/>
    </row>
    <row r="37" spans="1:26" x14ac:dyDescent="0.3">
      <c r="A37" s="304"/>
      <c r="B37" s="2" t="s">
        <v>107</v>
      </c>
      <c r="C37" s="3">
        <v>48</v>
      </c>
      <c r="D37" s="3">
        <v>1</v>
      </c>
      <c r="E37" s="3">
        <v>0.5</v>
      </c>
      <c r="F37" s="304"/>
      <c r="G37" s="3">
        <v>1</v>
      </c>
      <c r="H37" s="304"/>
      <c r="I37" s="51"/>
      <c r="J37" s="51" t="s">
        <v>73</v>
      </c>
      <c r="K37" s="51"/>
      <c r="L37" s="51"/>
      <c r="M37" s="51"/>
      <c r="N37" s="51"/>
      <c r="O37" s="306"/>
      <c r="P37" s="304"/>
      <c r="Q37" s="30">
        <v>0.41666666666666669</v>
      </c>
      <c r="R37" s="309" t="s">
        <v>77</v>
      </c>
      <c r="S37" s="6">
        <v>0.4375</v>
      </c>
      <c r="T37" s="3">
        <f t="shared" si="6"/>
        <v>0.5</v>
      </c>
      <c r="U37" s="3">
        <f t="shared" si="7"/>
        <v>0.5</v>
      </c>
      <c r="V37" s="5">
        <f>+U37*C37</f>
        <v>24</v>
      </c>
      <c r="W37" s="304"/>
      <c r="X37" s="3"/>
      <c r="Y37" s="304"/>
    </row>
    <row r="38" spans="1:26" ht="9.75" customHeight="1" x14ac:dyDescent="0.3">
      <c r="A38" s="304"/>
      <c r="B38" s="7"/>
      <c r="C38" s="35"/>
      <c r="D38" s="35"/>
      <c r="E38" s="35"/>
      <c r="F38" s="304"/>
      <c r="G38" s="35"/>
      <c r="H38" s="304"/>
      <c r="I38" s="35"/>
      <c r="J38" s="35"/>
      <c r="K38" s="35"/>
      <c r="L38" s="35"/>
      <c r="M38" s="35"/>
      <c r="N38" s="35"/>
      <c r="O38" s="35"/>
      <c r="P38" s="304"/>
      <c r="Q38" s="36"/>
      <c r="R38" s="35"/>
      <c r="S38" s="37"/>
      <c r="T38" s="35"/>
      <c r="U38" s="35"/>
      <c r="V38" s="38"/>
      <c r="W38" s="304"/>
      <c r="X38" s="35"/>
      <c r="Y38" s="304"/>
    </row>
    <row r="39" spans="1:26" x14ac:dyDescent="0.3">
      <c r="A39" s="304"/>
      <c r="B39" s="18" t="s">
        <v>108</v>
      </c>
      <c r="C39" s="311">
        <v>48</v>
      </c>
      <c r="D39" s="305">
        <v>1</v>
      </c>
      <c r="E39" s="305">
        <v>0.5</v>
      </c>
      <c r="F39" s="304"/>
      <c r="G39" s="22">
        <v>1</v>
      </c>
      <c r="H39" s="304"/>
      <c r="I39" s="19"/>
      <c r="J39" s="49" t="s">
        <v>73</v>
      </c>
      <c r="K39" s="19"/>
      <c r="L39" s="19"/>
      <c r="M39" s="19"/>
      <c r="N39" s="19"/>
      <c r="O39" s="311"/>
      <c r="P39" s="304"/>
      <c r="Q39" s="31">
        <v>0.45833333333333331</v>
      </c>
      <c r="R39" s="305" t="s">
        <v>77</v>
      </c>
      <c r="S39" s="20">
        <v>0.47916666666666669</v>
      </c>
      <c r="T39" s="19">
        <f t="shared" si="6"/>
        <v>0.5</v>
      </c>
      <c r="U39" s="19">
        <f t="shared" si="7"/>
        <v>0.5</v>
      </c>
      <c r="V39" s="21">
        <f>+U39*C39</f>
        <v>24</v>
      </c>
      <c r="W39" s="304"/>
      <c r="X39" s="3"/>
      <c r="Y39" s="304"/>
    </row>
    <row r="40" spans="1:26" x14ac:dyDescent="0.3">
      <c r="A40" s="304"/>
      <c r="B40" s="2" t="s">
        <v>109</v>
      </c>
      <c r="C40" s="416" t="s">
        <v>110</v>
      </c>
      <c r="D40" s="417"/>
      <c r="E40" s="418"/>
      <c r="F40" s="304"/>
      <c r="G40" s="419"/>
      <c r="H40" s="420"/>
      <c r="I40" s="420"/>
      <c r="J40" s="420"/>
      <c r="K40" s="420"/>
      <c r="L40" s="420"/>
      <c r="M40" s="420"/>
      <c r="N40" s="420"/>
      <c r="O40" s="420"/>
      <c r="P40" s="304"/>
      <c r="Q40" s="30"/>
      <c r="R40" s="309"/>
      <c r="S40" s="4"/>
      <c r="T40" s="3"/>
      <c r="U40" s="3"/>
      <c r="V40" s="5">
        <v>0</v>
      </c>
      <c r="W40" s="304"/>
      <c r="Y40" s="304"/>
    </row>
    <row r="41" spans="1:26" x14ac:dyDescent="0.3">
      <c r="A41" s="304"/>
      <c r="B41" s="2" t="s">
        <v>111</v>
      </c>
      <c r="C41" s="416" t="s">
        <v>110</v>
      </c>
      <c r="D41" s="417"/>
      <c r="E41" s="418"/>
      <c r="F41" s="304"/>
      <c r="G41" s="419"/>
      <c r="H41" s="420"/>
      <c r="I41" s="420"/>
      <c r="J41" s="420"/>
      <c r="K41" s="420"/>
      <c r="L41" s="420"/>
      <c r="M41" s="420"/>
      <c r="N41" s="420"/>
      <c r="O41" s="420"/>
      <c r="P41" s="304"/>
      <c r="Q41" s="30"/>
      <c r="R41" s="309"/>
      <c r="S41" s="4"/>
      <c r="T41" s="3"/>
      <c r="U41" s="3"/>
      <c r="V41" s="5">
        <v>0</v>
      </c>
      <c r="W41" s="304"/>
      <c r="Y41" s="304"/>
    </row>
    <row r="42" spans="1:26" x14ac:dyDescent="0.3">
      <c r="A42" s="304"/>
      <c r="B42" s="18" t="s">
        <v>112</v>
      </c>
      <c r="C42" s="421" t="s">
        <v>110</v>
      </c>
      <c r="D42" s="422"/>
      <c r="E42" s="423"/>
      <c r="F42" s="304"/>
      <c r="G42" s="424"/>
      <c r="H42" s="415"/>
      <c r="I42" s="415"/>
      <c r="J42" s="415"/>
      <c r="K42" s="415"/>
      <c r="L42" s="415"/>
      <c r="M42" s="415"/>
      <c r="N42" s="415"/>
      <c r="O42" s="415"/>
      <c r="P42" s="304"/>
      <c r="Q42" s="31"/>
      <c r="R42" s="305"/>
      <c r="S42" s="22"/>
      <c r="T42" s="19"/>
      <c r="U42" s="19"/>
      <c r="V42" s="21">
        <v>0</v>
      </c>
      <c r="W42" s="304"/>
      <c r="Y42" s="304"/>
    </row>
    <row r="43" spans="1:26" ht="9.75" customHeight="1" x14ac:dyDescent="0.3">
      <c r="A43" s="304"/>
      <c r="B43" s="7"/>
      <c r="C43" s="35"/>
      <c r="D43" s="35"/>
      <c r="E43" s="35"/>
      <c r="F43" s="304"/>
      <c r="G43" s="35"/>
      <c r="H43" s="35"/>
      <c r="I43" s="35"/>
      <c r="J43" s="35"/>
      <c r="K43" s="35"/>
      <c r="L43" s="35"/>
      <c r="M43" s="35"/>
      <c r="N43" s="35"/>
      <c r="O43" s="35"/>
      <c r="P43" s="304"/>
      <c r="Q43" s="36"/>
      <c r="R43" s="35"/>
      <c r="S43" s="37"/>
      <c r="T43" s="35"/>
      <c r="U43" s="35"/>
      <c r="V43" s="38"/>
      <c r="W43" s="304"/>
      <c r="X43" s="35"/>
      <c r="Y43" s="304"/>
    </row>
    <row r="44" spans="1:26" x14ac:dyDescent="0.3">
      <c r="A44" s="304"/>
      <c r="B44" s="18" t="s">
        <v>113</v>
      </c>
      <c r="C44" s="311">
        <v>52</v>
      </c>
      <c r="D44" s="305">
        <v>1</v>
      </c>
      <c r="E44" s="305">
        <v>2</v>
      </c>
      <c r="F44" s="304"/>
      <c r="G44" s="415" t="s">
        <v>114</v>
      </c>
      <c r="H44" s="415"/>
      <c r="I44" s="415"/>
      <c r="J44" s="415"/>
      <c r="K44" s="415"/>
      <c r="L44" s="415"/>
      <c r="M44" s="415"/>
      <c r="N44" s="415"/>
      <c r="O44" s="415"/>
      <c r="P44" s="304"/>
      <c r="Q44" s="31"/>
      <c r="R44" s="305"/>
      <c r="S44" s="20"/>
      <c r="T44" s="19">
        <f t="shared" ref="T44:T45" si="8">+E44*D44</f>
        <v>2</v>
      </c>
      <c r="U44" s="19" t="s">
        <v>114</v>
      </c>
      <c r="V44" s="21">
        <f>12*E44*D44</f>
        <v>24</v>
      </c>
      <c r="W44" s="304"/>
      <c r="X44" s="3"/>
      <c r="Y44" s="304"/>
    </row>
    <row r="45" spans="1:26" x14ac:dyDescent="0.3">
      <c r="A45" s="304"/>
      <c r="B45" s="18" t="s">
        <v>115</v>
      </c>
      <c r="C45" s="311">
        <v>52</v>
      </c>
      <c r="D45" s="305">
        <v>1</v>
      </c>
      <c r="E45" s="305">
        <v>2</v>
      </c>
      <c r="F45" s="304"/>
      <c r="G45" s="415" t="s">
        <v>114</v>
      </c>
      <c r="H45" s="415"/>
      <c r="I45" s="415"/>
      <c r="J45" s="415"/>
      <c r="K45" s="415"/>
      <c r="L45" s="415"/>
      <c r="M45" s="415"/>
      <c r="N45" s="415"/>
      <c r="O45" s="415"/>
      <c r="P45" s="304"/>
      <c r="Q45" s="31"/>
      <c r="R45" s="305"/>
      <c r="S45" s="20"/>
      <c r="T45" s="19">
        <f t="shared" si="8"/>
        <v>2</v>
      </c>
      <c r="U45" s="19" t="s">
        <v>114</v>
      </c>
      <c r="V45" s="21">
        <f>12*E45*D45</f>
        <v>24</v>
      </c>
      <c r="W45" s="304"/>
      <c r="X45" s="3"/>
      <c r="Y45" s="304"/>
      <c r="Z45" s="105"/>
    </row>
    <row r="46" spans="1:26" ht="9.75" customHeight="1" x14ac:dyDescent="0.3">
      <c r="F46" s="304"/>
      <c r="G46" s="35"/>
      <c r="H46" s="35"/>
      <c r="I46" s="35"/>
      <c r="J46" s="35"/>
      <c r="K46" s="35"/>
      <c r="L46" s="35"/>
      <c r="M46" s="35"/>
      <c r="N46" s="35"/>
      <c r="O46" s="35"/>
      <c r="P46" s="304"/>
      <c r="Q46" s="36"/>
      <c r="R46" s="35"/>
      <c r="S46" s="37"/>
      <c r="T46" s="35"/>
      <c r="U46" s="35"/>
      <c r="V46" s="38"/>
      <c r="W46" s="304"/>
      <c r="X46" s="35"/>
      <c r="Y46" s="304"/>
      <c r="Z46" s="105"/>
    </row>
    <row r="47" spans="1:26" ht="15.6" x14ac:dyDescent="0.3">
      <c r="F47" s="304"/>
      <c r="G47" s="35"/>
      <c r="H47" s="35"/>
      <c r="I47" s="35"/>
      <c r="J47" s="35"/>
      <c r="K47" s="35"/>
      <c r="L47" s="35"/>
      <c r="M47" s="35"/>
      <c r="N47" s="35"/>
      <c r="O47" s="35"/>
      <c r="P47" s="304"/>
      <c r="Q47" s="36"/>
      <c r="R47" s="35"/>
      <c r="S47" s="37"/>
      <c r="T47" s="67" t="s">
        <v>116</v>
      </c>
      <c r="U47" s="35"/>
      <c r="V47" s="68">
        <f>+SUM(V9:V46)</f>
        <v>17074</v>
      </c>
      <c r="W47" s="69"/>
      <c r="X47" s="68">
        <f>+SUM(X9:X46)</f>
        <v>125</v>
      </c>
      <c r="Y47" s="304"/>
      <c r="Z47" s="105"/>
    </row>
    <row r="48" spans="1:26" ht="1.5" customHeight="1" x14ac:dyDescent="0.3">
      <c r="F48" s="35"/>
      <c r="G48" s="56"/>
      <c r="H48" s="56"/>
      <c r="I48" s="56"/>
      <c r="J48" s="56"/>
      <c r="K48" s="56"/>
      <c r="L48" s="56"/>
      <c r="M48" s="56"/>
      <c r="N48" s="56"/>
      <c r="O48" s="56"/>
      <c r="P48" s="55"/>
      <c r="Q48" s="57"/>
      <c r="R48" s="56"/>
      <c r="S48" s="58"/>
      <c r="T48" s="56"/>
      <c r="U48" s="56"/>
      <c r="V48" s="70"/>
      <c r="W48" s="71"/>
      <c r="X48" s="70"/>
      <c r="Y48" s="304"/>
      <c r="Z48" s="105"/>
    </row>
    <row r="49" spans="1:26" ht="15.6" x14ac:dyDescent="0.3">
      <c r="F49" s="304"/>
      <c r="G49" s="35"/>
      <c r="H49" s="35"/>
      <c r="I49" s="35"/>
      <c r="J49" s="35"/>
      <c r="K49" s="35"/>
      <c r="L49" s="35"/>
      <c r="M49" s="35"/>
      <c r="N49" s="35"/>
      <c r="O49" s="35"/>
      <c r="P49" s="304"/>
      <c r="Q49" s="36"/>
      <c r="R49" s="35"/>
      <c r="S49" s="37"/>
      <c r="T49" s="67" t="s">
        <v>117</v>
      </c>
      <c r="U49" s="62" t="s">
        <v>118</v>
      </c>
      <c r="V49" s="68">
        <v>200</v>
      </c>
      <c r="W49" s="69"/>
      <c r="X49" s="68"/>
      <c r="Y49" s="304"/>
      <c r="Z49" s="105"/>
    </row>
    <row r="50" spans="1:26" ht="3" customHeight="1" x14ac:dyDescent="0.3">
      <c r="F50" s="304"/>
      <c r="G50" s="35"/>
      <c r="H50" s="35"/>
      <c r="I50" s="35"/>
      <c r="J50" s="35"/>
      <c r="K50" s="35"/>
      <c r="L50" s="35"/>
      <c r="M50" s="35"/>
      <c r="N50" s="35"/>
      <c r="O50" s="35"/>
      <c r="P50" s="304"/>
      <c r="Q50" s="36"/>
      <c r="R50" s="35"/>
      <c r="S50" s="37"/>
      <c r="T50" s="107"/>
      <c r="U50" s="35"/>
      <c r="V50" s="70"/>
      <c r="W50" s="69"/>
      <c r="X50" s="68"/>
      <c r="Y50" s="304"/>
      <c r="Z50" s="105"/>
    </row>
    <row r="51" spans="1:26" ht="15.6" x14ac:dyDescent="0.3">
      <c r="F51" s="304"/>
      <c r="G51" s="35"/>
      <c r="H51" s="35"/>
      <c r="I51" s="35"/>
      <c r="J51" s="35"/>
      <c r="K51" s="35"/>
      <c r="L51" s="35"/>
      <c r="M51" s="35"/>
      <c r="N51" s="35"/>
      <c r="O51" s="35"/>
      <c r="P51" s="304"/>
      <c r="Q51" s="36"/>
      <c r="R51" s="35"/>
      <c r="S51" s="37"/>
      <c r="T51" s="67" t="s">
        <v>119</v>
      </c>
      <c r="U51" s="35"/>
      <c r="V51" s="125">
        <f>+SUM(V47:X50)</f>
        <v>17399</v>
      </c>
      <c r="W51" s="69"/>
      <c r="X51" s="68"/>
      <c r="Y51" s="304"/>
      <c r="Z51" s="105"/>
    </row>
    <row r="52" spans="1:26" ht="15.6" x14ac:dyDescent="0.3">
      <c r="B52" s="42" t="s">
        <v>120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04"/>
      <c r="Q52" s="36"/>
      <c r="R52" s="35"/>
      <c r="S52" s="37"/>
      <c r="T52" s="67" t="s">
        <v>121</v>
      </c>
      <c r="U52" s="35"/>
      <c r="V52" s="79">
        <v>21.5</v>
      </c>
      <c r="W52" s="41"/>
      <c r="X52" s="40"/>
      <c r="Y52" s="304"/>
      <c r="Z52" s="105"/>
    </row>
    <row r="53" spans="1:26" ht="1.5" customHeight="1" x14ac:dyDescent="0.3">
      <c r="F53" s="35"/>
      <c r="G53" s="56"/>
      <c r="H53" s="56"/>
      <c r="I53" s="56"/>
      <c r="J53" s="56"/>
      <c r="K53" s="56"/>
      <c r="L53" s="56"/>
      <c r="M53" s="56"/>
      <c r="N53" s="56"/>
      <c r="O53" s="56"/>
      <c r="P53" s="55"/>
      <c r="Q53" s="57"/>
      <c r="R53" s="56"/>
      <c r="S53" s="58"/>
      <c r="T53" s="56"/>
      <c r="U53" s="56"/>
      <c r="V53" s="59"/>
      <c r="W53" s="60"/>
      <c r="X53" s="59"/>
      <c r="Y53" s="304"/>
      <c r="Z53" s="105"/>
    </row>
    <row r="54" spans="1:26" ht="15.6" x14ac:dyDescent="0.3">
      <c r="A54" s="26"/>
      <c r="B54" t="s">
        <v>122</v>
      </c>
      <c r="F54" s="35"/>
      <c r="G54" s="35"/>
      <c r="H54" s="35"/>
      <c r="I54" s="64"/>
      <c r="J54" s="64"/>
      <c r="K54" s="64"/>
      <c r="L54" s="64"/>
      <c r="M54" s="64"/>
      <c r="N54" s="64"/>
      <c r="O54" s="64"/>
      <c r="P54" s="65"/>
      <c r="Q54" s="66"/>
      <c r="R54" s="64"/>
      <c r="S54" s="74"/>
      <c r="T54" s="75"/>
      <c r="U54" s="76" t="s">
        <v>123</v>
      </c>
      <c r="V54" s="77">
        <f>+V52*V51</f>
        <v>374078.5</v>
      </c>
      <c r="W54" s="41"/>
      <c r="X54" s="73" t="s">
        <v>124</v>
      </c>
      <c r="Y54" s="304"/>
      <c r="Z54" s="105"/>
    </row>
    <row r="55" spans="1:26" ht="15.6" x14ac:dyDescent="0.3">
      <c r="A55" s="28"/>
      <c r="B55" t="s">
        <v>125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04"/>
      <c r="Q55" s="36"/>
      <c r="R55" s="35"/>
      <c r="S55" s="37"/>
      <c r="T55" s="35"/>
      <c r="U55" s="67" t="s">
        <v>126</v>
      </c>
      <c r="V55" s="63">
        <f>+'Dades Contracte'!F21</f>
        <v>279579.72000000003</v>
      </c>
      <c r="W55" s="41"/>
      <c r="X55" s="72" t="s">
        <v>127</v>
      </c>
      <c r="Y55" s="304"/>
      <c r="Z55" s="105"/>
    </row>
    <row r="56" spans="1:26" ht="15.6" x14ac:dyDescent="0.3">
      <c r="A56" s="27"/>
      <c r="B56" t="s">
        <v>128</v>
      </c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61" t="s">
        <v>129</v>
      </c>
      <c r="V56" s="63">
        <f>+V54-V55</f>
        <v>94498.77999999997</v>
      </c>
      <c r="W56" s="41"/>
      <c r="X56" s="78">
        <f>+V56/V55</f>
        <v>0.33800298533813528</v>
      </c>
      <c r="Y56" s="304"/>
    </row>
    <row r="57" spans="1:26" x14ac:dyDescent="0.3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6" x14ac:dyDescent="0.3">
      <c r="B58" t="s">
        <v>130</v>
      </c>
    </row>
  </sheetData>
  <mergeCells count="12">
    <mergeCell ref="G45:O45"/>
    <mergeCell ref="B2:C2"/>
    <mergeCell ref="B3:D3"/>
    <mergeCell ref="G6:O6"/>
    <mergeCell ref="Q6:S6"/>
    <mergeCell ref="C40:E40"/>
    <mergeCell ref="G40:O40"/>
    <mergeCell ref="C41:E41"/>
    <mergeCell ref="G41:O41"/>
    <mergeCell ref="C42:E42"/>
    <mergeCell ref="G42:O42"/>
    <mergeCell ref="G44:O44"/>
  </mergeCells>
  <pageMargins left="0.7" right="0.7" top="0.75" bottom="0.75" header="0.3" footer="0.3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K55"/>
  <sheetViews>
    <sheetView workbookViewId="0">
      <selection activeCell="V49" sqref="V49"/>
    </sheetView>
  </sheetViews>
  <sheetFormatPr baseColWidth="10" defaultColWidth="9.109375" defaultRowHeight="14.4" x14ac:dyDescent="0.3"/>
  <cols>
    <col min="1" max="1" width="1.5546875" customWidth="1"/>
    <col min="2" max="2" width="37.88671875" customWidth="1"/>
    <col min="3" max="3" width="13.6640625" bestFit="1" customWidth="1"/>
    <col min="4" max="4" width="9.109375" bestFit="1" customWidth="1"/>
    <col min="5" max="5" width="20.33203125" customWidth="1"/>
    <col min="6" max="6" width="0.6640625" customWidth="1"/>
    <col min="7" max="7" width="3.88671875" customWidth="1"/>
    <col min="8" max="8" width="0.6640625" customWidth="1"/>
    <col min="9" max="9" width="2.6640625" bestFit="1" customWidth="1"/>
    <col min="10" max="10" width="3.88671875" bestFit="1" customWidth="1"/>
    <col min="11" max="11" width="3" bestFit="1" customWidth="1"/>
    <col min="12" max="12" width="2.6640625" bestFit="1" customWidth="1"/>
    <col min="13" max="13" width="3.109375" bestFit="1" customWidth="1"/>
    <col min="14" max="14" width="3" bestFit="1" customWidth="1"/>
    <col min="15" max="15" width="3.44140625" customWidth="1"/>
    <col min="16" max="16" width="0.6640625" customWidth="1"/>
    <col min="17" max="17" width="6.6640625" bestFit="1" customWidth="1"/>
    <col min="18" max="18" width="2" bestFit="1" customWidth="1"/>
    <col min="19" max="19" width="6.6640625" bestFit="1" customWidth="1"/>
    <col min="20" max="20" width="9.88671875" bestFit="1" customWidth="1"/>
    <col min="21" max="21" width="14.6640625" customWidth="1"/>
    <col min="22" max="22" width="14.44140625" bestFit="1" customWidth="1"/>
    <col min="23" max="23" width="0.6640625" customWidth="1"/>
    <col min="24" max="24" width="17.6640625" customWidth="1"/>
    <col min="25" max="25" width="0.6640625" customWidth="1"/>
    <col min="26" max="26" width="35.88671875" style="45" bestFit="1" customWidth="1"/>
    <col min="27" max="27" width="10.44140625" style="45" bestFit="1" customWidth="1"/>
    <col min="28" max="28" width="11.33203125" style="45" customWidth="1"/>
    <col min="29" max="29" width="6" style="45" bestFit="1" customWidth="1"/>
    <col min="30" max="30" width="45.109375" style="45" bestFit="1" customWidth="1"/>
    <col min="31" max="37" width="9.109375" style="45"/>
  </cols>
  <sheetData>
    <row r="2" spans="1:27" ht="17.25" customHeight="1" x14ac:dyDescent="0.3">
      <c r="A2" s="304"/>
      <c r="B2" s="426" t="s">
        <v>58</v>
      </c>
      <c r="C2" s="426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25" t="s">
        <v>138</v>
      </c>
      <c r="Y2" s="34"/>
    </row>
    <row r="3" spans="1:27" ht="15.75" customHeight="1" x14ac:dyDescent="0.3">
      <c r="A3" s="304"/>
      <c r="B3" s="427" t="s">
        <v>60</v>
      </c>
      <c r="C3" s="427"/>
      <c r="D3" s="427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9">
        <v>45538</v>
      </c>
      <c r="Y3" s="34"/>
    </row>
    <row r="4" spans="1:27" ht="2.25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7" ht="2.25" customHeigh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34"/>
    </row>
    <row r="6" spans="1:27" ht="26.25" customHeight="1" x14ac:dyDescent="0.3">
      <c r="A6" s="304"/>
      <c r="B6" s="33" t="s">
        <v>61</v>
      </c>
      <c r="C6" s="304" t="s">
        <v>62</v>
      </c>
      <c r="D6" s="304" t="s">
        <v>63</v>
      </c>
      <c r="E6" s="304" t="s">
        <v>64</v>
      </c>
      <c r="F6" s="55"/>
      <c r="G6" s="425" t="s">
        <v>65</v>
      </c>
      <c r="H6" s="425"/>
      <c r="I6" s="425"/>
      <c r="J6" s="425"/>
      <c r="K6" s="425"/>
      <c r="L6" s="425"/>
      <c r="M6" s="425"/>
      <c r="N6" s="425"/>
      <c r="O6" s="425"/>
      <c r="P6" s="55"/>
      <c r="Q6" s="425" t="s">
        <v>66</v>
      </c>
      <c r="R6" s="425"/>
      <c r="S6" s="425"/>
      <c r="T6" s="304" t="s">
        <v>67</v>
      </c>
      <c r="U6" s="304" t="s">
        <v>68</v>
      </c>
      <c r="V6" s="304" t="s">
        <v>69</v>
      </c>
      <c r="W6" s="304"/>
      <c r="X6" s="44" t="s">
        <v>70</v>
      </c>
      <c r="Y6" s="304"/>
    </row>
    <row r="7" spans="1:27" ht="2.25" customHeight="1" x14ac:dyDescent="0.3">
      <c r="A7" s="3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34"/>
    </row>
    <row r="8" spans="1:27" ht="2.2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7" x14ac:dyDescent="0.3">
      <c r="A9" s="304"/>
      <c r="B9" s="13" t="s">
        <v>71</v>
      </c>
      <c r="C9" s="14">
        <v>47</v>
      </c>
      <c r="D9" s="131">
        <v>4</v>
      </c>
      <c r="E9" s="14">
        <v>4.5</v>
      </c>
      <c r="F9" s="304"/>
      <c r="G9" s="14">
        <v>5</v>
      </c>
      <c r="H9" s="304"/>
      <c r="I9" s="47" t="s">
        <v>72</v>
      </c>
      <c r="J9" s="47" t="s">
        <v>73</v>
      </c>
      <c r="K9" s="47" t="s">
        <v>74</v>
      </c>
      <c r="L9" s="47" t="s">
        <v>75</v>
      </c>
      <c r="M9" s="47" t="s">
        <v>76</v>
      </c>
      <c r="N9" s="47"/>
      <c r="O9" s="48"/>
      <c r="P9" s="304"/>
      <c r="Q9" s="29">
        <v>0.72916666666666663</v>
      </c>
      <c r="R9" s="15" t="s">
        <v>77</v>
      </c>
      <c r="S9" s="16">
        <v>0.91666666666666663</v>
      </c>
      <c r="T9" s="14">
        <f t="shared" ref="T9:T10" si="0">+E9*D9</f>
        <v>18</v>
      </c>
      <c r="U9" s="14">
        <f t="shared" ref="U9:U10" si="1">+T9*G9</f>
        <v>90</v>
      </c>
      <c r="V9" s="17">
        <f t="shared" ref="V9:V10" si="2">+U9*C9</f>
        <v>4230</v>
      </c>
      <c r="W9" s="304"/>
      <c r="X9" s="14"/>
      <c r="Y9" s="304"/>
      <c r="Z9" s="45" t="s">
        <v>139</v>
      </c>
    </row>
    <row r="10" spans="1:27" x14ac:dyDescent="0.3">
      <c r="A10" s="304"/>
      <c r="B10" s="88" t="s">
        <v>85</v>
      </c>
      <c r="C10" s="89">
        <v>47</v>
      </c>
      <c r="D10" s="130">
        <v>3</v>
      </c>
      <c r="E10" s="89">
        <v>4</v>
      </c>
      <c r="F10" s="304"/>
      <c r="G10" s="89">
        <v>5</v>
      </c>
      <c r="H10" s="304"/>
      <c r="I10" s="90" t="s">
        <v>72</v>
      </c>
      <c r="J10" s="90" t="s">
        <v>73</v>
      </c>
      <c r="K10" s="90" t="s">
        <v>74</v>
      </c>
      <c r="L10" s="90" t="s">
        <v>75</v>
      </c>
      <c r="M10" s="90" t="s">
        <v>76</v>
      </c>
      <c r="N10" s="90"/>
      <c r="O10" s="91"/>
      <c r="P10" s="304"/>
      <c r="Q10" s="92">
        <v>0.72916666666666663</v>
      </c>
      <c r="R10" s="93" t="s">
        <v>77</v>
      </c>
      <c r="S10" s="94">
        <v>0.89583333333333337</v>
      </c>
      <c r="T10" s="89">
        <f t="shared" si="0"/>
        <v>12</v>
      </c>
      <c r="U10" s="89">
        <f t="shared" si="1"/>
        <v>60</v>
      </c>
      <c r="V10" s="95">
        <f t="shared" si="2"/>
        <v>2820</v>
      </c>
      <c r="W10" s="304"/>
      <c r="X10" s="89"/>
      <c r="Y10" s="304"/>
      <c r="Z10" s="45" t="s">
        <v>140</v>
      </c>
    </row>
    <row r="11" spans="1:27" x14ac:dyDescent="0.3">
      <c r="A11" s="304"/>
      <c r="B11" s="7"/>
      <c r="C11" s="7"/>
      <c r="D11" s="7"/>
      <c r="E11" s="7"/>
      <c r="F11" s="304"/>
      <c r="G11" s="7"/>
      <c r="H11" s="304"/>
      <c r="I11" s="50"/>
      <c r="J11" s="50"/>
      <c r="K11" s="50"/>
      <c r="L11" s="50"/>
      <c r="M11" s="50"/>
      <c r="N11" s="50"/>
      <c r="O11" s="50"/>
      <c r="P11" s="304"/>
      <c r="Q11" s="7"/>
      <c r="R11" s="7"/>
      <c r="S11" s="7"/>
      <c r="T11" s="7"/>
      <c r="U11" s="7"/>
      <c r="V11" s="7"/>
      <c r="W11" s="304"/>
      <c r="X11" s="7"/>
      <c r="Y11" s="304"/>
    </row>
    <row r="12" spans="1:27" x14ac:dyDescent="0.3">
      <c r="A12" s="304"/>
      <c r="B12" s="2" t="s">
        <v>87</v>
      </c>
      <c r="C12" s="3">
        <v>48</v>
      </c>
      <c r="D12" s="3">
        <v>1</v>
      </c>
      <c r="E12" s="3">
        <v>1.5</v>
      </c>
      <c r="F12" s="304"/>
      <c r="G12" s="3">
        <v>5</v>
      </c>
      <c r="H12" s="304"/>
      <c r="I12" s="51" t="s">
        <v>72</v>
      </c>
      <c r="J12" s="51" t="s">
        <v>73</v>
      </c>
      <c r="K12" s="51" t="s">
        <v>74</v>
      </c>
      <c r="L12" s="51" t="s">
        <v>75</v>
      </c>
      <c r="M12" s="51" t="s">
        <v>76</v>
      </c>
      <c r="N12" s="51"/>
      <c r="O12" s="306"/>
      <c r="P12" s="304"/>
      <c r="Q12" s="30">
        <v>0.27083333333333331</v>
      </c>
      <c r="R12" s="309" t="s">
        <v>77</v>
      </c>
      <c r="S12" s="6">
        <v>0.33333333333333331</v>
      </c>
      <c r="T12" s="3">
        <f>+E12*D12</f>
        <v>1.5</v>
      </c>
      <c r="U12" s="3">
        <f>+T12*G12</f>
        <v>7.5</v>
      </c>
      <c r="V12" s="5">
        <f>+U12*C12</f>
        <v>360</v>
      </c>
      <c r="W12" s="304"/>
      <c r="X12" s="3">
        <v>10</v>
      </c>
      <c r="Y12" s="304"/>
    </row>
    <row r="13" spans="1:27" x14ac:dyDescent="0.3">
      <c r="A13" s="304"/>
      <c r="B13" s="2" t="s">
        <v>88</v>
      </c>
      <c r="C13" s="3">
        <v>52</v>
      </c>
      <c r="D13" s="3">
        <v>1</v>
      </c>
      <c r="E13" s="3">
        <v>1.5</v>
      </c>
      <c r="F13" s="304"/>
      <c r="G13" s="3">
        <v>5</v>
      </c>
      <c r="H13" s="304"/>
      <c r="I13" s="51" t="s">
        <v>72</v>
      </c>
      <c r="J13" s="51" t="s">
        <v>73</v>
      </c>
      <c r="K13" s="51" t="s">
        <v>74</v>
      </c>
      <c r="L13" s="51" t="s">
        <v>75</v>
      </c>
      <c r="M13" s="51" t="s">
        <v>76</v>
      </c>
      <c r="N13" s="51"/>
      <c r="O13" s="306"/>
      <c r="P13" s="304"/>
      <c r="Q13" s="30">
        <v>0.25</v>
      </c>
      <c r="R13" s="309" t="s">
        <v>77</v>
      </c>
      <c r="S13" s="6">
        <v>0.3125</v>
      </c>
      <c r="T13" s="3">
        <f>+E13*D13</f>
        <v>1.5</v>
      </c>
      <c r="U13" s="3">
        <f>+T13*G13</f>
        <v>7.5</v>
      </c>
      <c r="V13" s="5">
        <f>+U13*C13</f>
        <v>390</v>
      </c>
      <c r="W13" s="304"/>
      <c r="X13" s="3">
        <v>10</v>
      </c>
      <c r="Y13" s="304"/>
    </row>
    <row r="14" spans="1:27" ht="9.75" customHeight="1" x14ac:dyDescent="0.3">
      <c r="A14" s="304"/>
      <c r="B14" s="7"/>
      <c r="C14" s="7"/>
      <c r="D14" s="7"/>
      <c r="E14" s="7"/>
      <c r="F14" s="304"/>
      <c r="G14" s="7"/>
      <c r="H14" s="304"/>
      <c r="I14" s="50"/>
      <c r="J14" s="50"/>
      <c r="K14" s="50"/>
      <c r="L14" s="50"/>
      <c r="M14" s="50"/>
      <c r="N14" s="50"/>
      <c r="O14" s="50"/>
      <c r="P14" s="304"/>
      <c r="Q14" s="7"/>
      <c r="R14" s="7"/>
      <c r="S14" s="7"/>
      <c r="T14" s="7"/>
      <c r="U14" s="7"/>
      <c r="V14" s="7"/>
      <c r="W14" s="304"/>
      <c r="X14" s="7"/>
      <c r="Y14" s="304"/>
      <c r="AA14" s="104"/>
    </row>
    <row r="15" spans="1:27" x14ac:dyDescent="0.3">
      <c r="A15" s="304"/>
      <c r="B15" s="2" t="s">
        <v>89</v>
      </c>
      <c r="C15" s="3">
        <v>52</v>
      </c>
      <c r="D15" s="3">
        <v>1</v>
      </c>
      <c r="E15" s="3">
        <v>3.6</v>
      </c>
      <c r="F15" s="304"/>
      <c r="G15" s="3">
        <v>5</v>
      </c>
      <c r="H15" s="304"/>
      <c r="I15" s="51" t="s">
        <v>72</v>
      </c>
      <c r="J15" s="51" t="s">
        <v>73</v>
      </c>
      <c r="K15" s="51" t="s">
        <v>74</v>
      </c>
      <c r="L15" s="51" t="s">
        <v>75</v>
      </c>
      <c r="M15" s="51" t="s">
        <v>76</v>
      </c>
      <c r="N15" s="51"/>
      <c r="O15" s="306"/>
      <c r="P15" s="304"/>
      <c r="Q15" s="30">
        <v>0.66666666666666663</v>
      </c>
      <c r="R15" s="309" t="s">
        <v>77</v>
      </c>
      <c r="S15" s="6">
        <v>0.81944444444444453</v>
      </c>
      <c r="T15" s="3">
        <f t="shared" ref="T15:T20" si="3">+E15*D15</f>
        <v>3.6</v>
      </c>
      <c r="U15" s="3">
        <f t="shared" ref="U15:U20" si="4">+T15*G15</f>
        <v>18</v>
      </c>
      <c r="V15" s="5">
        <f t="shared" ref="V15:V20" si="5">+U15*C15</f>
        <v>936</v>
      </c>
      <c r="W15" s="304"/>
      <c r="X15" s="3">
        <v>15</v>
      </c>
      <c r="Y15" s="304"/>
    </row>
    <row r="16" spans="1:27" x14ac:dyDescent="0.3">
      <c r="A16" s="304"/>
      <c r="B16" s="8" t="s">
        <v>90</v>
      </c>
      <c r="C16" s="9">
        <v>52</v>
      </c>
      <c r="D16" s="9">
        <v>1</v>
      </c>
      <c r="E16" s="9">
        <v>2.25</v>
      </c>
      <c r="F16" s="304"/>
      <c r="G16" s="9">
        <v>5</v>
      </c>
      <c r="H16" s="304"/>
      <c r="I16" s="52" t="s">
        <v>72</v>
      </c>
      <c r="J16" s="52" t="s">
        <v>73</v>
      </c>
      <c r="K16" s="52" t="s">
        <v>74</v>
      </c>
      <c r="L16" s="52" t="s">
        <v>75</v>
      </c>
      <c r="M16" s="52" t="s">
        <v>76</v>
      </c>
      <c r="N16" s="52"/>
      <c r="O16" s="53"/>
      <c r="P16" s="304"/>
      <c r="Q16" s="32">
        <v>0.33333333333333331</v>
      </c>
      <c r="R16" s="10" t="s">
        <v>77</v>
      </c>
      <c r="S16" s="11">
        <v>0.42708333333333331</v>
      </c>
      <c r="T16" s="9">
        <f t="shared" si="3"/>
        <v>2.25</v>
      </c>
      <c r="U16" s="9">
        <f t="shared" si="4"/>
        <v>11.25</v>
      </c>
      <c r="V16" s="12">
        <f t="shared" si="5"/>
        <v>585</v>
      </c>
      <c r="W16" s="304"/>
      <c r="X16" s="9">
        <v>15</v>
      </c>
      <c r="Y16" s="304"/>
    </row>
    <row r="17" spans="1:26" x14ac:dyDescent="0.3">
      <c r="A17" s="304"/>
      <c r="B17" s="13" t="s">
        <v>91</v>
      </c>
      <c r="C17" s="14">
        <v>52</v>
      </c>
      <c r="D17" s="14">
        <v>1</v>
      </c>
      <c r="E17" s="14">
        <v>1</v>
      </c>
      <c r="F17" s="304"/>
      <c r="G17" s="14">
        <v>1</v>
      </c>
      <c r="H17" s="304"/>
      <c r="I17" s="47"/>
      <c r="J17" s="47"/>
      <c r="K17" s="47"/>
      <c r="L17" s="47"/>
      <c r="M17" s="47"/>
      <c r="N17" s="47" t="s">
        <v>92</v>
      </c>
      <c r="O17" s="48"/>
      <c r="P17" s="304"/>
      <c r="Q17" s="29">
        <v>0.33333333333333331</v>
      </c>
      <c r="R17" s="15" t="s">
        <v>77</v>
      </c>
      <c r="S17" s="16">
        <v>0.375</v>
      </c>
      <c r="T17" s="14">
        <f t="shared" si="3"/>
        <v>1</v>
      </c>
      <c r="U17" s="14">
        <f t="shared" si="4"/>
        <v>1</v>
      </c>
      <c r="V17" s="17">
        <f t="shared" si="5"/>
        <v>52</v>
      </c>
      <c r="W17" s="304"/>
      <c r="X17" s="14"/>
      <c r="Y17" s="304"/>
    </row>
    <row r="18" spans="1:26" x14ac:dyDescent="0.3">
      <c r="A18" s="304"/>
      <c r="B18" s="2" t="s">
        <v>93</v>
      </c>
      <c r="C18" s="3">
        <v>52</v>
      </c>
      <c r="D18" s="3">
        <v>1</v>
      </c>
      <c r="E18" s="3">
        <v>0.6</v>
      </c>
      <c r="F18" s="304"/>
      <c r="G18" s="9">
        <v>5</v>
      </c>
      <c r="H18" s="304"/>
      <c r="I18" s="51" t="s">
        <v>72</v>
      </c>
      <c r="J18" s="51" t="s">
        <v>73</v>
      </c>
      <c r="K18" s="51" t="s">
        <v>74</v>
      </c>
      <c r="L18" s="51" t="s">
        <v>75</v>
      </c>
      <c r="M18" s="51" t="s">
        <v>76</v>
      </c>
      <c r="N18" s="51"/>
      <c r="O18" s="306"/>
      <c r="P18" s="304"/>
      <c r="Q18" s="30">
        <v>0.625</v>
      </c>
      <c r="R18" s="309" t="s">
        <v>77</v>
      </c>
      <c r="S18" s="6">
        <v>0.65277777777777779</v>
      </c>
      <c r="T18" s="3">
        <f t="shared" si="3"/>
        <v>0.6</v>
      </c>
      <c r="U18" s="3">
        <f t="shared" si="4"/>
        <v>3</v>
      </c>
      <c r="V18" s="5">
        <f t="shared" si="5"/>
        <v>156</v>
      </c>
      <c r="W18" s="304"/>
      <c r="X18" s="3">
        <v>7</v>
      </c>
      <c r="Y18" s="304"/>
    </row>
    <row r="19" spans="1:26" x14ac:dyDescent="0.3">
      <c r="A19" s="304"/>
      <c r="B19" s="2" t="s">
        <v>94</v>
      </c>
      <c r="C19" s="3">
        <v>50</v>
      </c>
      <c r="D19" s="3">
        <v>1</v>
      </c>
      <c r="E19" s="3">
        <v>2.8</v>
      </c>
      <c r="F19" s="304"/>
      <c r="G19" s="23">
        <v>5</v>
      </c>
      <c r="H19" s="304"/>
      <c r="I19" s="51" t="s">
        <v>72</v>
      </c>
      <c r="J19" s="51" t="s">
        <v>73</v>
      </c>
      <c r="K19" s="51" t="s">
        <v>74</v>
      </c>
      <c r="L19" s="51" t="s">
        <v>75</v>
      </c>
      <c r="M19" s="51" t="s">
        <v>76</v>
      </c>
      <c r="N19" s="51"/>
      <c r="O19" s="306"/>
      <c r="P19" s="304"/>
      <c r="Q19" s="30">
        <v>0.33333333333333331</v>
      </c>
      <c r="R19" s="309" t="s">
        <v>77</v>
      </c>
      <c r="S19" s="6">
        <v>0.4513888888888889</v>
      </c>
      <c r="T19" s="3">
        <f t="shared" si="3"/>
        <v>2.8</v>
      </c>
      <c r="U19" s="3">
        <f t="shared" si="4"/>
        <v>14</v>
      </c>
      <c r="V19" s="5">
        <f t="shared" si="5"/>
        <v>700</v>
      </c>
      <c r="W19" s="304"/>
      <c r="X19" s="3">
        <v>20</v>
      </c>
      <c r="Y19" s="304"/>
    </row>
    <row r="20" spans="1:26" x14ac:dyDescent="0.3">
      <c r="A20" s="304"/>
      <c r="B20" s="2" t="s">
        <v>95</v>
      </c>
      <c r="C20" s="3">
        <v>50</v>
      </c>
      <c r="D20" s="3">
        <v>1</v>
      </c>
      <c r="E20" s="3">
        <v>2</v>
      </c>
      <c r="F20" s="304"/>
      <c r="G20" s="3">
        <v>5</v>
      </c>
      <c r="H20" s="304"/>
      <c r="I20" s="51" t="s">
        <v>72</v>
      </c>
      <c r="J20" s="51" t="s">
        <v>73</v>
      </c>
      <c r="K20" s="51" t="s">
        <v>74</v>
      </c>
      <c r="L20" s="51" t="s">
        <v>75</v>
      </c>
      <c r="M20" s="51" t="s">
        <v>76</v>
      </c>
      <c r="N20" s="51"/>
      <c r="O20" s="306"/>
      <c r="P20" s="304"/>
      <c r="Q20" s="30">
        <v>0.25</v>
      </c>
      <c r="R20" s="309" t="s">
        <v>77</v>
      </c>
      <c r="S20" s="6">
        <v>0.33333333333333331</v>
      </c>
      <c r="T20" s="3">
        <f t="shared" si="3"/>
        <v>2</v>
      </c>
      <c r="U20" s="3">
        <f t="shared" si="4"/>
        <v>10</v>
      </c>
      <c r="V20" s="5">
        <f t="shared" si="5"/>
        <v>500</v>
      </c>
      <c r="W20" s="304"/>
      <c r="X20" s="129">
        <v>10</v>
      </c>
      <c r="Y20" s="304"/>
    </row>
    <row r="21" spans="1:26" ht="9.75" customHeight="1" x14ac:dyDescent="0.3">
      <c r="A21" s="304"/>
      <c r="B21" s="7"/>
      <c r="C21" s="35"/>
      <c r="D21" s="35"/>
      <c r="E21" s="35"/>
      <c r="F21" s="304"/>
      <c r="G21" s="35"/>
      <c r="H21" s="304"/>
      <c r="I21" s="54"/>
      <c r="J21" s="54"/>
      <c r="K21" s="54"/>
      <c r="L21" s="54"/>
      <c r="M21" s="54"/>
      <c r="N21" s="54"/>
      <c r="O21" s="54"/>
      <c r="P21" s="304"/>
      <c r="Q21" s="36"/>
      <c r="R21" s="35"/>
      <c r="S21" s="37"/>
      <c r="T21" s="35"/>
      <c r="U21" s="35"/>
      <c r="V21" s="38"/>
      <c r="W21" s="304"/>
      <c r="X21" s="35"/>
      <c r="Y21" s="304"/>
    </row>
    <row r="22" spans="1:26" x14ac:dyDescent="0.3">
      <c r="A22" s="304"/>
      <c r="B22" s="18" t="s">
        <v>133</v>
      </c>
      <c r="C22" s="19">
        <v>52</v>
      </c>
      <c r="D22" s="19">
        <v>2</v>
      </c>
      <c r="E22" s="19">
        <v>2</v>
      </c>
      <c r="F22" s="304"/>
      <c r="G22" s="19">
        <v>5</v>
      </c>
      <c r="H22" s="304"/>
      <c r="I22" s="49" t="s">
        <v>72</v>
      </c>
      <c r="J22" s="49" t="s">
        <v>73</v>
      </c>
      <c r="K22" s="49" t="s">
        <v>74</v>
      </c>
      <c r="L22" s="49" t="s">
        <v>75</v>
      </c>
      <c r="M22" s="49" t="s">
        <v>76</v>
      </c>
      <c r="N22" s="49"/>
      <c r="O22" s="310"/>
      <c r="P22" s="304"/>
      <c r="Q22" s="31">
        <v>0.52083333333333337</v>
      </c>
      <c r="R22" s="305" t="s">
        <v>77</v>
      </c>
      <c r="S22" s="20">
        <v>0.60416666666666663</v>
      </c>
      <c r="T22" s="19">
        <f>+E22*D22</f>
        <v>4</v>
      </c>
      <c r="U22" s="19">
        <f>+T22*G22</f>
        <v>20</v>
      </c>
      <c r="V22" s="21">
        <f>+U22*C22</f>
        <v>1040</v>
      </c>
      <c r="W22" s="304"/>
      <c r="X22" s="19"/>
      <c r="Y22" s="304"/>
    </row>
    <row r="23" spans="1:26" x14ac:dyDescent="0.3">
      <c r="A23" s="304"/>
      <c r="B23" s="18" t="s">
        <v>134</v>
      </c>
      <c r="C23" s="19">
        <v>52</v>
      </c>
      <c r="D23" s="19">
        <v>2</v>
      </c>
      <c r="E23" s="19">
        <v>2</v>
      </c>
      <c r="F23" s="304"/>
      <c r="G23" s="19">
        <v>5</v>
      </c>
      <c r="H23" s="304"/>
      <c r="I23" s="49" t="s">
        <v>72</v>
      </c>
      <c r="J23" s="49" t="s">
        <v>73</v>
      </c>
      <c r="K23" s="49" t="s">
        <v>74</v>
      </c>
      <c r="L23" s="49" t="s">
        <v>75</v>
      </c>
      <c r="M23" s="49" t="s">
        <v>76</v>
      </c>
      <c r="N23" s="49"/>
      <c r="O23" s="310"/>
      <c r="P23" s="304"/>
      <c r="Q23" s="31">
        <v>0.83333333333333337</v>
      </c>
      <c r="R23" s="305" t="s">
        <v>77</v>
      </c>
      <c r="S23" s="20">
        <v>0.91666666666666663</v>
      </c>
      <c r="T23" s="19">
        <f>+E23*D23</f>
        <v>4</v>
      </c>
      <c r="U23" s="19">
        <f>+T23*G23</f>
        <v>20</v>
      </c>
      <c r="V23" s="21">
        <f>+U23*C23</f>
        <v>1040</v>
      </c>
      <c r="W23" s="304"/>
      <c r="X23" s="19"/>
      <c r="Y23" s="304"/>
    </row>
    <row r="24" spans="1:26" x14ac:dyDescent="0.3">
      <c r="A24" s="304"/>
      <c r="B24" s="18" t="s">
        <v>135</v>
      </c>
      <c r="C24" s="19">
        <v>52</v>
      </c>
      <c r="D24" s="19">
        <v>1</v>
      </c>
      <c r="E24" s="19">
        <v>3</v>
      </c>
      <c r="F24" s="304"/>
      <c r="G24" s="19">
        <v>1</v>
      </c>
      <c r="H24" s="304"/>
      <c r="I24" s="49"/>
      <c r="J24" s="49"/>
      <c r="K24" s="49"/>
      <c r="L24" s="49"/>
      <c r="M24" s="49"/>
      <c r="N24" s="49" t="s">
        <v>92</v>
      </c>
      <c r="O24" s="310"/>
      <c r="P24" s="304"/>
      <c r="Q24" s="126">
        <v>0.70833333333333337</v>
      </c>
      <c r="R24" s="127" t="s">
        <v>77</v>
      </c>
      <c r="S24" s="128">
        <v>0.83333333333333337</v>
      </c>
      <c r="T24" s="19">
        <f>+E24*D24</f>
        <v>3</v>
      </c>
      <c r="U24" s="19">
        <f>+T24*G24</f>
        <v>3</v>
      </c>
      <c r="V24" s="21">
        <f>+U24*C24</f>
        <v>156</v>
      </c>
      <c r="W24" s="304"/>
      <c r="X24" s="19"/>
      <c r="Y24" s="304"/>
      <c r="Z24" s="45" t="s">
        <v>141</v>
      </c>
    </row>
    <row r="25" spans="1:26" x14ac:dyDescent="0.3">
      <c r="A25" s="304"/>
      <c r="B25" s="18" t="s">
        <v>136</v>
      </c>
      <c r="C25" s="19">
        <v>14</v>
      </c>
      <c r="D25" s="19">
        <v>1</v>
      </c>
      <c r="E25" s="19">
        <v>2</v>
      </c>
      <c r="F25" s="304"/>
      <c r="G25" s="19">
        <v>1</v>
      </c>
      <c r="H25" s="304"/>
      <c r="I25" s="49"/>
      <c r="J25" s="49"/>
      <c r="K25" s="49"/>
      <c r="L25" s="49"/>
      <c r="M25" s="49"/>
      <c r="N25" s="49"/>
      <c r="O25" s="310" t="s">
        <v>100</v>
      </c>
      <c r="P25" s="304"/>
      <c r="Q25" s="126">
        <v>0.70833333333333337</v>
      </c>
      <c r="R25" s="127" t="s">
        <v>77</v>
      </c>
      <c r="S25" s="128">
        <v>0.83333333333333337</v>
      </c>
      <c r="T25" s="19">
        <f>+E25*D25</f>
        <v>2</v>
      </c>
      <c r="U25" s="19">
        <f>+T25*G25</f>
        <v>2</v>
      </c>
      <c r="V25" s="21">
        <f>+U25*C25</f>
        <v>28</v>
      </c>
      <c r="W25" s="304"/>
      <c r="X25" s="19"/>
      <c r="Y25" s="304"/>
    </row>
    <row r="26" spans="1:26" ht="9.75" customHeight="1" x14ac:dyDescent="0.3">
      <c r="A26" s="304"/>
      <c r="B26" s="7"/>
      <c r="C26" s="35"/>
      <c r="D26" s="35"/>
      <c r="E26" s="35"/>
      <c r="F26" s="304"/>
      <c r="G26" s="35"/>
      <c r="H26" s="304"/>
      <c r="I26" s="54"/>
      <c r="J26" s="54"/>
      <c r="K26" s="54"/>
      <c r="L26" s="54"/>
      <c r="M26" s="54"/>
      <c r="N26" s="54"/>
      <c r="O26" s="54"/>
      <c r="P26" s="304"/>
      <c r="Q26" s="36"/>
      <c r="R26" s="35"/>
      <c r="S26" s="37"/>
      <c r="T26" s="35"/>
      <c r="U26" s="35"/>
      <c r="V26" s="38"/>
      <c r="W26" s="304"/>
      <c r="X26" s="35"/>
      <c r="Y26" s="304"/>
    </row>
    <row r="27" spans="1:26" x14ac:dyDescent="0.3">
      <c r="A27" s="304"/>
      <c r="B27" s="2" t="s">
        <v>101</v>
      </c>
      <c r="C27" s="3">
        <v>52</v>
      </c>
      <c r="D27" s="3">
        <v>1</v>
      </c>
      <c r="E27" s="3">
        <v>2</v>
      </c>
      <c r="F27" s="304"/>
      <c r="G27" s="3">
        <v>5</v>
      </c>
      <c r="H27" s="304"/>
      <c r="I27" s="51" t="s">
        <v>72</v>
      </c>
      <c r="J27" s="51" t="s">
        <v>73</v>
      </c>
      <c r="K27" s="51" t="s">
        <v>74</v>
      </c>
      <c r="L27" s="51" t="s">
        <v>75</v>
      </c>
      <c r="M27" s="51" t="s">
        <v>76</v>
      </c>
      <c r="N27" s="51"/>
      <c r="O27" s="306"/>
      <c r="P27" s="304"/>
      <c r="Q27" s="30">
        <v>0.625</v>
      </c>
      <c r="R27" s="309" t="s">
        <v>77</v>
      </c>
      <c r="S27" s="6">
        <v>0.70833333333333337</v>
      </c>
      <c r="T27" s="3">
        <f>+E27*D27</f>
        <v>2</v>
      </c>
      <c r="U27" s="3">
        <f>+T27*G27</f>
        <v>10</v>
      </c>
      <c r="V27" s="5">
        <f>+U27*C27</f>
        <v>520</v>
      </c>
      <c r="W27" s="304"/>
      <c r="X27" s="3">
        <v>10</v>
      </c>
      <c r="Y27" s="304"/>
    </row>
    <row r="28" spans="1:26" x14ac:dyDescent="0.3">
      <c r="A28" s="304"/>
      <c r="B28" s="2" t="s">
        <v>102</v>
      </c>
      <c r="C28" s="3">
        <v>48</v>
      </c>
      <c r="D28" s="3">
        <v>1</v>
      </c>
      <c r="E28" s="3">
        <v>2</v>
      </c>
      <c r="F28" s="304"/>
      <c r="G28" s="3">
        <v>3</v>
      </c>
      <c r="H28" s="304"/>
      <c r="I28" s="51" t="s">
        <v>72</v>
      </c>
      <c r="J28" s="51"/>
      <c r="K28" s="51" t="s">
        <v>74</v>
      </c>
      <c r="L28" s="51"/>
      <c r="M28" s="51" t="s">
        <v>76</v>
      </c>
      <c r="N28" s="51"/>
      <c r="O28" s="306"/>
      <c r="P28" s="304"/>
      <c r="Q28" s="30">
        <v>0.625</v>
      </c>
      <c r="R28" s="309" t="s">
        <v>77</v>
      </c>
      <c r="S28" s="6">
        <v>0.70833333333333337</v>
      </c>
      <c r="T28" s="3">
        <f t="shared" ref="T28:T35" si="6">+E28*D28</f>
        <v>2</v>
      </c>
      <c r="U28" s="3">
        <f t="shared" ref="U28:U35" si="7">+T28*G28</f>
        <v>6</v>
      </c>
      <c r="V28" s="5">
        <f>+U28*C28</f>
        <v>288</v>
      </c>
      <c r="W28" s="304"/>
      <c r="X28" s="3">
        <v>15</v>
      </c>
      <c r="Y28" s="304"/>
    </row>
    <row r="29" spans="1:26" x14ac:dyDescent="0.3">
      <c r="A29" s="304"/>
      <c r="B29" s="2" t="s">
        <v>103</v>
      </c>
      <c r="C29" s="3">
        <v>48</v>
      </c>
      <c r="D29" s="3">
        <v>1</v>
      </c>
      <c r="E29" s="3">
        <v>1</v>
      </c>
      <c r="F29" s="304"/>
      <c r="G29" s="3">
        <v>1</v>
      </c>
      <c r="H29" s="304"/>
      <c r="I29" s="51"/>
      <c r="J29" s="51"/>
      <c r="K29" s="51"/>
      <c r="L29" s="51" t="s">
        <v>75</v>
      </c>
      <c r="M29" s="51"/>
      <c r="N29" s="51"/>
      <c r="O29" s="306"/>
      <c r="P29" s="304"/>
      <c r="Q29" s="30">
        <v>0.33333333333333331</v>
      </c>
      <c r="R29" s="309" t="s">
        <v>77</v>
      </c>
      <c r="S29" s="6">
        <v>0.375</v>
      </c>
      <c r="T29" s="3">
        <f>+E29*D29</f>
        <v>1</v>
      </c>
      <c r="U29" s="3">
        <f>+T29*G29</f>
        <v>1</v>
      </c>
      <c r="V29" s="5">
        <f>+U29*C29</f>
        <v>48</v>
      </c>
      <c r="W29" s="304"/>
      <c r="X29" s="3"/>
      <c r="Y29" s="304"/>
    </row>
    <row r="30" spans="1:26" x14ac:dyDescent="0.3">
      <c r="A30" s="304"/>
      <c r="B30" s="2" t="s">
        <v>104</v>
      </c>
      <c r="C30" s="3">
        <v>48</v>
      </c>
      <c r="D30" s="3">
        <v>1</v>
      </c>
      <c r="E30" s="3">
        <v>1</v>
      </c>
      <c r="F30" s="304"/>
      <c r="G30" s="3">
        <v>1</v>
      </c>
      <c r="H30" s="304"/>
      <c r="I30" s="51"/>
      <c r="J30" s="51"/>
      <c r="K30" s="51"/>
      <c r="L30" s="51" t="s">
        <v>75</v>
      </c>
      <c r="M30" s="51"/>
      <c r="N30" s="51"/>
      <c r="O30" s="306"/>
      <c r="P30" s="304"/>
      <c r="Q30" s="30">
        <v>0.375</v>
      </c>
      <c r="R30" s="309" t="s">
        <v>77</v>
      </c>
      <c r="S30" s="6">
        <v>0.41666666666666669</v>
      </c>
      <c r="T30" s="3">
        <f>+E30*D30</f>
        <v>1</v>
      </c>
      <c r="U30" s="3">
        <f>+T30*G30</f>
        <v>1</v>
      </c>
      <c r="V30" s="5">
        <f>+U30*C30</f>
        <v>48</v>
      </c>
      <c r="W30" s="304"/>
      <c r="X30" s="3"/>
      <c r="Y30" s="304"/>
    </row>
    <row r="31" spans="1:26" ht="9.75" customHeight="1" x14ac:dyDescent="0.3">
      <c r="A31" s="304"/>
      <c r="B31" s="7"/>
      <c r="C31" s="35"/>
      <c r="D31" s="35"/>
      <c r="E31" s="35"/>
      <c r="F31" s="304"/>
      <c r="G31" s="35"/>
      <c r="H31" s="304"/>
      <c r="I31" s="54"/>
      <c r="J31" s="54"/>
      <c r="K31" s="54"/>
      <c r="L31" s="54"/>
      <c r="M31" s="54"/>
      <c r="N31" s="54"/>
      <c r="O31" s="54"/>
      <c r="P31" s="304"/>
      <c r="Q31" s="36"/>
      <c r="R31" s="35"/>
      <c r="S31" s="37"/>
      <c r="T31" s="35"/>
      <c r="U31" s="35"/>
      <c r="V31" s="38"/>
      <c r="W31" s="304"/>
      <c r="X31" s="35"/>
      <c r="Y31" s="304"/>
    </row>
    <row r="32" spans="1:26" x14ac:dyDescent="0.3">
      <c r="A32" s="304"/>
      <c r="B32" s="2" t="s">
        <v>137</v>
      </c>
      <c r="C32" s="3">
        <v>52</v>
      </c>
      <c r="D32" s="3">
        <v>1</v>
      </c>
      <c r="E32" s="129">
        <v>1</v>
      </c>
      <c r="F32" s="304"/>
      <c r="G32" s="3">
        <v>1</v>
      </c>
      <c r="H32" s="304"/>
      <c r="I32" s="51"/>
      <c r="J32" s="51" t="s">
        <v>73</v>
      </c>
      <c r="K32" s="51"/>
      <c r="L32" s="51"/>
      <c r="M32" s="51"/>
      <c r="N32" s="51"/>
      <c r="O32" s="306"/>
      <c r="P32" s="304"/>
      <c r="Q32" s="30">
        <v>0.375</v>
      </c>
      <c r="R32" s="309" t="s">
        <v>77</v>
      </c>
      <c r="S32" s="6">
        <v>0.41666666666666669</v>
      </c>
      <c r="T32" s="3">
        <f t="shared" si="6"/>
        <v>1</v>
      </c>
      <c r="U32" s="3">
        <f t="shared" si="7"/>
        <v>1</v>
      </c>
      <c r="V32" s="5">
        <f>+U32*C32</f>
        <v>52</v>
      </c>
      <c r="W32" s="304"/>
      <c r="X32" s="3"/>
      <c r="Y32" s="304"/>
      <c r="Z32" s="45" t="s">
        <v>142</v>
      </c>
    </row>
    <row r="33" spans="1:26" x14ac:dyDescent="0.3">
      <c r="A33" s="304"/>
      <c r="B33" s="2" t="s">
        <v>107</v>
      </c>
      <c r="C33" s="3">
        <v>48</v>
      </c>
      <c r="D33" s="3">
        <v>1</v>
      </c>
      <c r="E33" s="3">
        <v>0.5</v>
      </c>
      <c r="F33" s="304"/>
      <c r="G33" s="3">
        <v>1</v>
      </c>
      <c r="H33" s="304"/>
      <c r="I33" s="51"/>
      <c r="J33" s="51" t="s">
        <v>73</v>
      </c>
      <c r="K33" s="51"/>
      <c r="L33" s="51"/>
      <c r="M33" s="51"/>
      <c r="N33" s="51"/>
      <c r="O33" s="306"/>
      <c r="P33" s="304"/>
      <c r="Q33" s="30">
        <v>0.41666666666666669</v>
      </c>
      <c r="R33" s="309" t="s">
        <v>77</v>
      </c>
      <c r="S33" s="6">
        <v>0.4375</v>
      </c>
      <c r="T33" s="3">
        <f t="shared" si="6"/>
        <v>0.5</v>
      </c>
      <c r="U33" s="3">
        <f t="shared" si="7"/>
        <v>0.5</v>
      </c>
      <c r="V33" s="5">
        <f>+U33*C33</f>
        <v>24</v>
      </c>
      <c r="W33" s="304"/>
      <c r="X33" s="3"/>
      <c r="Y33" s="304"/>
    </row>
    <row r="34" spans="1:26" ht="9.75" customHeight="1" x14ac:dyDescent="0.3">
      <c r="A34" s="304"/>
      <c r="B34" s="7"/>
      <c r="C34" s="35"/>
      <c r="D34" s="35"/>
      <c r="E34" s="35"/>
      <c r="F34" s="304"/>
      <c r="G34" s="35"/>
      <c r="H34" s="304"/>
      <c r="I34" s="35"/>
      <c r="J34" s="35"/>
      <c r="K34" s="35"/>
      <c r="L34" s="35"/>
      <c r="M34" s="35"/>
      <c r="N34" s="35"/>
      <c r="O34" s="35"/>
      <c r="P34" s="304"/>
      <c r="Q34" s="36"/>
      <c r="R34" s="35"/>
      <c r="S34" s="37"/>
      <c r="T34" s="35"/>
      <c r="U34" s="35"/>
      <c r="V34" s="38"/>
      <c r="W34" s="304"/>
      <c r="X34" s="35"/>
      <c r="Y34" s="304"/>
    </row>
    <row r="35" spans="1:26" x14ac:dyDescent="0.3">
      <c r="A35" s="304"/>
      <c r="B35" s="18" t="s">
        <v>108</v>
      </c>
      <c r="C35" s="311">
        <v>48</v>
      </c>
      <c r="D35" s="305">
        <v>1</v>
      </c>
      <c r="E35" s="305">
        <v>0.5</v>
      </c>
      <c r="F35" s="304"/>
      <c r="G35" s="22">
        <v>1</v>
      </c>
      <c r="H35" s="304"/>
      <c r="I35" s="19"/>
      <c r="J35" s="49" t="s">
        <v>73</v>
      </c>
      <c r="K35" s="19"/>
      <c r="L35" s="19"/>
      <c r="M35" s="19"/>
      <c r="N35" s="19"/>
      <c r="O35" s="311"/>
      <c r="P35" s="304"/>
      <c r="Q35" s="31">
        <v>0.45833333333333331</v>
      </c>
      <c r="R35" s="305" t="s">
        <v>77</v>
      </c>
      <c r="S35" s="20">
        <v>0.47916666666666669</v>
      </c>
      <c r="T35" s="19">
        <f t="shared" si="6"/>
        <v>0.5</v>
      </c>
      <c r="U35" s="19">
        <f t="shared" si="7"/>
        <v>0.5</v>
      </c>
      <c r="V35" s="21">
        <f>+U35*C35</f>
        <v>24</v>
      </c>
      <c r="W35" s="304"/>
      <c r="X35" s="3"/>
      <c r="Y35" s="304"/>
    </row>
    <row r="36" spans="1:26" x14ac:dyDescent="0.3">
      <c r="A36" s="304"/>
      <c r="B36" s="2" t="s">
        <v>109</v>
      </c>
      <c r="C36" s="416" t="s">
        <v>110</v>
      </c>
      <c r="D36" s="417"/>
      <c r="E36" s="418"/>
      <c r="F36" s="304"/>
      <c r="G36" s="419"/>
      <c r="H36" s="420"/>
      <c r="I36" s="420"/>
      <c r="J36" s="420"/>
      <c r="K36" s="420"/>
      <c r="L36" s="420"/>
      <c r="M36" s="420"/>
      <c r="N36" s="420"/>
      <c r="O36" s="420"/>
      <c r="P36" s="304"/>
      <c r="Q36" s="30"/>
      <c r="R36" s="309"/>
      <c r="S36" s="4"/>
      <c r="T36" s="3"/>
      <c r="U36" s="3"/>
      <c r="V36" s="5">
        <v>0</v>
      </c>
      <c r="W36" s="304"/>
      <c r="Y36" s="304"/>
    </row>
    <row r="37" spans="1:26" x14ac:dyDescent="0.3">
      <c r="A37" s="304"/>
      <c r="B37" s="2" t="s">
        <v>111</v>
      </c>
      <c r="C37" s="416" t="s">
        <v>110</v>
      </c>
      <c r="D37" s="417"/>
      <c r="E37" s="418"/>
      <c r="F37" s="304"/>
      <c r="G37" s="419"/>
      <c r="H37" s="420"/>
      <c r="I37" s="420"/>
      <c r="J37" s="420"/>
      <c r="K37" s="420"/>
      <c r="L37" s="420"/>
      <c r="M37" s="420"/>
      <c r="N37" s="420"/>
      <c r="O37" s="420"/>
      <c r="P37" s="304"/>
      <c r="Q37" s="30"/>
      <c r="R37" s="309"/>
      <c r="S37" s="4"/>
      <c r="T37" s="3"/>
      <c r="U37" s="3"/>
      <c r="V37" s="5">
        <v>0</v>
      </c>
      <c r="W37" s="304"/>
      <c r="Y37" s="304"/>
    </row>
    <row r="38" spans="1:26" x14ac:dyDescent="0.3">
      <c r="A38" s="304"/>
      <c r="B38" s="18" t="s">
        <v>112</v>
      </c>
      <c r="C38" s="421" t="s">
        <v>110</v>
      </c>
      <c r="D38" s="422"/>
      <c r="E38" s="423"/>
      <c r="F38" s="304"/>
      <c r="G38" s="424"/>
      <c r="H38" s="415"/>
      <c r="I38" s="415"/>
      <c r="J38" s="415"/>
      <c r="K38" s="415"/>
      <c r="L38" s="415"/>
      <c r="M38" s="415"/>
      <c r="N38" s="415"/>
      <c r="O38" s="415"/>
      <c r="P38" s="304"/>
      <c r="Q38" s="31"/>
      <c r="R38" s="305"/>
      <c r="S38" s="22"/>
      <c r="T38" s="19"/>
      <c r="U38" s="19"/>
      <c r="V38" s="21">
        <v>0</v>
      </c>
      <c r="W38" s="304"/>
      <c r="Y38" s="304"/>
    </row>
    <row r="39" spans="1:26" ht="9.75" customHeight="1" x14ac:dyDescent="0.3">
      <c r="A39" s="304"/>
      <c r="B39" s="7"/>
      <c r="C39" s="35"/>
      <c r="D39" s="35"/>
      <c r="E39" s="35"/>
      <c r="F39" s="304"/>
      <c r="G39" s="35"/>
      <c r="H39" s="35"/>
      <c r="I39" s="35"/>
      <c r="J39" s="35"/>
      <c r="K39" s="35"/>
      <c r="L39" s="35"/>
      <c r="M39" s="35"/>
      <c r="N39" s="35"/>
      <c r="O39" s="35"/>
      <c r="P39" s="304"/>
      <c r="Q39" s="36"/>
      <c r="R39" s="35"/>
      <c r="S39" s="37"/>
      <c r="T39" s="35"/>
      <c r="U39" s="35"/>
      <c r="V39" s="38"/>
      <c r="W39" s="304"/>
      <c r="X39" s="35"/>
      <c r="Y39" s="304"/>
    </row>
    <row r="40" spans="1:26" ht="14.4" customHeight="1" x14ac:dyDescent="0.3">
      <c r="A40" s="304"/>
      <c r="B40" s="18" t="s">
        <v>113</v>
      </c>
      <c r="C40" s="311">
        <v>52</v>
      </c>
      <c r="D40" s="129">
        <v>1</v>
      </c>
      <c r="E40" s="129">
        <v>2</v>
      </c>
      <c r="F40" s="304"/>
      <c r="G40" s="22">
        <v>1</v>
      </c>
      <c r="H40" s="304"/>
      <c r="I40" s="49" t="s">
        <v>72</v>
      </c>
      <c r="J40" s="49"/>
      <c r="K40" s="19"/>
      <c r="L40" s="19"/>
      <c r="M40" s="19"/>
      <c r="N40" s="19"/>
      <c r="O40" s="311"/>
      <c r="P40" s="304"/>
      <c r="Q40" s="31"/>
      <c r="R40" s="305"/>
      <c r="S40" s="20"/>
      <c r="T40" s="19">
        <f t="shared" ref="T40:T41" si="8">+E40*D40</f>
        <v>2</v>
      </c>
      <c r="U40" s="19" t="s">
        <v>114</v>
      </c>
      <c r="V40" s="21">
        <f>12*E40*D40</f>
        <v>24</v>
      </c>
      <c r="W40" s="304"/>
      <c r="X40" s="3"/>
      <c r="Y40" s="304"/>
      <c r="Z40" s="45" t="s">
        <v>143</v>
      </c>
    </row>
    <row r="41" spans="1:26" x14ac:dyDescent="0.3">
      <c r="A41" s="304"/>
      <c r="B41" s="18" t="s">
        <v>115</v>
      </c>
      <c r="C41" s="311">
        <v>52</v>
      </c>
      <c r="D41" s="129">
        <v>1</v>
      </c>
      <c r="E41" s="129">
        <v>2</v>
      </c>
      <c r="F41" s="304"/>
      <c r="G41" s="22">
        <v>1</v>
      </c>
      <c r="H41" s="304"/>
      <c r="I41" s="49" t="s">
        <v>72</v>
      </c>
      <c r="J41" s="49"/>
      <c r="K41" s="19"/>
      <c r="L41" s="19"/>
      <c r="M41" s="19"/>
      <c r="N41" s="19"/>
      <c r="O41" s="311"/>
      <c r="P41" s="304"/>
      <c r="Q41" s="31"/>
      <c r="R41" s="305"/>
      <c r="S41" s="20"/>
      <c r="T41" s="19">
        <f t="shared" si="8"/>
        <v>2</v>
      </c>
      <c r="U41" s="19" t="s">
        <v>114</v>
      </c>
      <c r="V41" s="21">
        <f>12*E41*D41</f>
        <v>24</v>
      </c>
      <c r="W41" s="304"/>
      <c r="X41" s="3"/>
      <c r="Y41" s="304"/>
      <c r="Z41" s="45" t="s">
        <v>143</v>
      </c>
    </row>
    <row r="42" spans="1:26" ht="9.75" customHeight="1" x14ac:dyDescent="0.3">
      <c r="F42" s="304"/>
      <c r="G42" s="35"/>
      <c r="H42" s="35"/>
      <c r="I42" s="35"/>
      <c r="J42" s="35"/>
      <c r="K42" s="35"/>
      <c r="L42" s="35"/>
      <c r="M42" s="35"/>
      <c r="N42" s="35"/>
      <c r="O42" s="35"/>
      <c r="P42" s="304"/>
      <c r="Q42" s="36"/>
      <c r="R42" s="35"/>
      <c r="S42" s="37"/>
      <c r="T42" s="35"/>
      <c r="U42" s="35"/>
      <c r="V42" s="38"/>
      <c r="W42" s="304"/>
      <c r="X42" s="35"/>
      <c r="Y42" s="304"/>
      <c r="Z42" s="105"/>
    </row>
    <row r="43" spans="1:26" ht="15.6" x14ac:dyDescent="0.3">
      <c r="F43" s="304"/>
      <c r="G43" s="35"/>
      <c r="H43" s="35"/>
      <c r="I43" s="35"/>
      <c r="J43" s="35"/>
      <c r="K43" s="35"/>
      <c r="L43" s="35"/>
      <c r="M43" s="35"/>
      <c r="N43" s="35"/>
      <c r="O43" s="35"/>
      <c r="P43" s="304"/>
      <c r="Q43" s="36"/>
      <c r="R43" s="35"/>
      <c r="S43" s="37"/>
      <c r="T43" s="67" t="s">
        <v>116</v>
      </c>
      <c r="U43" s="35"/>
      <c r="V43" s="68">
        <f>+SUM(V9:V42)</f>
        <v>14045</v>
      </c>
      <c r="W43" s="69"/>
      <c r="X43" s="68">
        <f>+SUM(X9:X42)</f>
        <v>112</v>
      </c>
      <c r="Y43" s="304"/>
      <c r="Z43" s="105"/>
    </row>
    <row r="44" spans="1:26" ht="1.5" customHeight="1" x14ac:dyDescent="0.3">
      <c r="F44" s="35"/>
      <c r="G44" s="56"/>
      <c r="H44" s="56"/>
      <c r="I44" s="56"/>
      <c r="J44" s="56"/>
      <c r="K44" s="56"/>
      <c r="L44" s="56"/>
      <c r="M44" s="56"/>
      <c r="N44" s="56"/>
      <c r="O44" s="56"/>
      <c r="P44" s="55"/>
      <c r="Q44" s="57"/>
      <c r="R44" s="56"/>
      <c r="S44" s="58"/>
      <c r="T44" s="56"/>
      <c r="U44" s="56"/>
      <c r="V44" s="70"/>
      <c r="W44" s="71"/>
      <c r="X44" s="70"/>
      <c r="Y44" s="304"/>
      <c r="Z44" s="105"/>
    </row>
    <row r="45" spans="1:26" ht="15.6" x14ac:dyDescent="0.3">
      <c r="F45" s="304"/>
      <c r="G45" s="35"/>
      <c r="H45" s="35"/>
      <c r="I45" s="35"/>
      <c r="J45" s="35"/>
      <c r="K45" s="35"/>
      <c r="L45" s="35"/>
      <c r="M45" s="35"/>
      <c r="N45" s="35"/>
      <c r="O45" s="35"/>
      <c r="P45" s="304"/>
      <c r="Q45" s="36"/>
      <c r="R45" s="35"/>
      <c r="S45" s="37"/>
      <c r="T45" s="67" t="s">
        <v>117</v>
      </c>
      <c r="U45" s="62" t="s">
        <v>118</v>
      </c>
      <c r="V45" s="68">
        <v>200</v>
      </c>
      <c r="W45" s="69"/>
      <c r="X45" s="68"/>
      <c r="Y45" s="304"/>
      <c r="Z45" s="105"/>
    </row>
    <row r="46" spans="1:26" ht="3" customHeight="1" x14ac:dyDescent="0.3">
      <c r="F46" s="304"/>
      <c r="G46" s="35"/>
      <c r="H46" s="35"/>
      <c r="I46" s="35"/>
      <c r="J46" s="35"/>
      <c r="K46" s="35"/>
      <c r="L46" s="35"/>
      <c r="M46" s="35"/>
      <c r="N46" s="35"/>
      <c r="O46" s="35"/>
      <c r="P46" s="304"/>
      <c r="Q46" s="36"/>
      <c r="R46" s="35"/>
      <c r="S46" s="37"/>
      <c r="T46" s="107"/>
      <c r="U46" s="35"/>
      <c r="V46" s="70"/>
      <c r="W46" s="69"/>
      <c r="X46" s="68"/>
      <c r="Y46" s="304"/>
      <c r="Z46" s="105"/>
    </row>
    <row r="47" spans="1:26" ht="15.6" x14ac:dyDescent="0.3">
      <c r="F47" s="304"/>
      <c r="G47" s="35"/>
      <c r="H47" s="35"/>
      <c r="I47" s="35"/>
      <c r="J47" s="35"/>
      <c r="K47" s="35"/>
      <c r="L47" s="35"/>
      <c r="M47" s="35"/>
      <c r="N47" s="35"/>
      <c r="O47" s="35"/>
      <c r="P47" s="304"/>
      <c r="Q47" s="36"/>
      <c r="R47" s="35"/>
      <c r="S47" s="37"/>
      <c r="T47" s="67" t="s">
        <v>119</v>
      </c>
      <c r="U47" s="35"/>
      <c r="V47" s="125">
        <f>+SUM(V43:X46)</f>
        <v>14357</v>
      </c>
      <c r="W47" s="69"/>
      <c r="X47" s="68"/>
      <c r="Y47" s="304"/>
      <c r="Z47" s="105"/>
    </row>
    <row r="48" spans="1:26" ht="15.6" x14ac:dyDescent="0.3">
      <c r="B48" s="42" t="s">
        <v>120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04"/>
      <c r="Q48" s="36"/>
      <c r="R48" s="35"/>
      <c r="S48" s="37"/>
      <c r="T48" s="67" t="s">
        <v>121</v>
      </c>
      <c r="U48" s="35"/>
      <c r="V48" s="79">
        <v>21.5</v>
      </c>
      <c r="W48" s="41"/>
      <c r="X48" s="40"/>
      <c r="Y48" s="304"/>
      <c r="Z48" s="105"/>
    </row>
    <row r="49" spans="1:26" ht="1.5" customHeight="1" x14ac:dyDescent="0.3">
      <c r="F49" s="35"/>
      <c r="G49" s="56"/>
      <c r="H49" s="56"/>
      <c r="I49" s="56"/>
      <c r="J49" s="56"/>
      <c r="K49" s="56"/>
      <c r="L49" s="56"/>
      <c r="M49" s="56"/>
      <c r="N49" s="56"/>
      <c r="O49" s="56"/>
      <c r="P49" s="55"/>
      <c r="Q49" s="57"/>
      <c r="R49" s="56"/>
      <c r="S49" s="58"/>
      <c r="T49" s="56"/>
      <c r="U49" s="56"/>
      <c r="V49" s="59"/>
      <c r="W49" s="60"/>
      <c r="X49" s="59"/>
      <c r="Y49" s="304"/>
      <c r="Z49" s="105"/>
    </row>
    <row r="50" spans="1:26" ht="15.6" x14ac:dyDescent="0.3">
      <c r="A50" s="26"/>
      <c r="B50" t="s">
        <v>122</v>
      </c>
      <c r="F50" s="35"/>
      <c r="G50" s="35"/>
      <c r="H50" s="35"/>
      <c r="I50" s="64"/>
      <c r="J50" s="64"/>
      <c r="K50" s="64"/>
      <c r="L50" s="64"/>
      <c r="M50" s="64"/>
      <c r="N50" s="64"/>
      <c r="O50" s="64"/>
      <c r="P50" s="65"/>
      <c r="Q50" s="66"/>
      <c r="R50" s="64"/>
      <c r="S50" s="74"/>
      <c r="T50" s="75"/>
      <c r="U50" s="76" t="s">
        <v>123</v>
      </c>
      <c r="V50" s="77">
        <f>+V48*V47</f>
        <v>308675.5</v>
      </c>
      <c r="W50" s="41"/>
      <c r="X50" s="73" t="s">
        <v>124</v>
      </c>
      <c r="Y50" s="304"/>
      <c r="Z50" s="105"/>
    </row>
    <row r="51" spans="1:26" ht="15.6" x14ac:dyDescent="0.3">
      <c r="A51" s="28"/>
      <c r="B51" t="s">
        <v>125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04"/>
      <c r="Q51" s="36"/>
      <c r="R51" s="35"/>
      <c r="S51" s="37"/>
      <c r="T51" s="35"/>
      <c r="U51" s="67" t="s">
        <v>126</v>
      </c>
      <c r="V51" s="63">
        <f>+'Dades Contracte'!F21</f>
        <v>279579.72000000003</v>
      </c>
      <c r="W51" s="41"/>
      <c r="X51" s="72" t="s">
        <v>127</v>
      </c>
      <c r="Y51" s="304"/>
      <c r="Z51" s="105"/>
    </row>
    <row r="52" spans="1:26" ht="15.6" x14ac:dyDescent="0.3">
      <c r="A52" s="27"/>
      <c r="B52" t="s">
        <v>128</v>
      </c>
      <c r="F52" s="35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61" t="s">
        <v>129</v>
      </c>
      <c r="V52" s="63">
        <f>+V50-V51</f>
        <v>29095.77999999997</v>
      </c>
      <c r="W52" s="41"/>
      <c r="X52" s="78">
        <f>+V52/V51</f>
        <v>0.10406970863265749</v>
      </c>
      <c r="Y52" s="304"/>
    </row>
    <row r="53" spans="1:26" x14ac:dyDescent="0.3">
      <c r="A53" s="129"/>
      <c r="B53" t="s">
        <v>144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5" spans="1:26" x14ac:dyDescent="0.3">
      <c r="B55" t="s">
        <v>130</v>
      </c>
    </row>
  </sheetData>
  <mergeCells count="10">
    <mergeCell ref="Q6:S6"/>
    <mergeCell ref="C36:E36"/>
    <mergeCell ref="G36:O36"/>
    <mergeCell ref="C37:E37"/>
    <mergeCell ref="G37:O37"/>
    <mergeCell ref="C38:E38"/>
    <mergeCell ref="G38:O38"/>
    <mergeCell ref="B2:C2"/>
    <mergeCell ref="B3:D3"/>
    <mergeCell ref="G6:O6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K53"/>
  <sheetViews>
    <sheetView topLeftCell="A22" zoomScaleNormal="100" workbookViewId="0">
      <selection activeCell="V49" sqref="V49"/>
    </sheetView>
  </sheetViews>
  <sheetFormatPr baseColWidth="10" defaultColWidth="9.109375" defaultRowHeight="14.4" x14ac:dyDescent="0.3"/>
  <cols>
    <col min="1" max="1" width="1.5546875" customWidth="1"/>
    <col min="2" max="2" width="37.88671875" customWidth="1"/>
    <col min="3" max="3" width="13.6640625" bestFit="1" customWidth="1"/>
    <col min="4" max="4" width="9.109375" bestFit="1" customWidth="1"/>
    <col min="5" max="5" width="20.33203125" customWidth="1"/>
    <col min="6" max="6" width="0.6640625" customWidth="1"/>
    <col min="7" max="7" width="3.88671875" customWidth="1"/>
    <col min="8" max="8" width="0.6640625" customWidth="1"/>
    <col min="9" max="9" width="2.6640625" bestFit="1" customWidth="1"/>
    <col min="10" max="10" width="3.88671875" bestFit="1" customWidth="1"/>
    <col min="11" max="11" width="3" bestFit="1" customWidth="1"/>
    <col min="12" max="12" width="2.6640625" bestFit="1" customWidth="1"/>
    <col min="13" max="13" width="3.109375" bestFit="1" customWidth="1"/>
    <col min="14" max="14" width="3" bestFit="1" customWidth="1"/>
    <col min="15" max="15" width="3.44140625" customWidth="1"/>
    <col min="16" max="16" width="0.6640625" customWidth="1"/>
    <col min="17" max="17" width="6.6640625" bestFit="1" customWidth="1"/>
    <col min="18" max="18" width="2" bestFit="1" customWidth="1"/>
    <col min="19" max="19" width="6.6640625" bestFit="1" customWidth="1"/>
    <col min="20" max="20" width="9.88671875" bestFit="1" customWidth="1"/>
    <col min="21" max="21" width="14.6640625" customWidth="1"/>
    <col min="22" max="22" width="14.44140625" bestFit="1" customWidth="1"/>
    <col min="23" max="23" width="0.6640625" customWidth="1"/>
    <col min="24" max="24" width="17.6640625" customWidth="1"/>
    <col min="25" max="25" width="0.6640625" customWidth="1"/>
    <col min="26" max="26" width="35.88671875" style="45" bestFit="1" customWidth="1"/>
    <col min="27" max="27" width="10.44140625" style="45" bestFit="1" customWidth="1"/>
    <col min="28" max="28" width="11.33203125" style="45" customWidth="1"/>
    <col min="29" max="29" width="6" style="45" bestFit="1" customWidth="1"/>
    <col min="30" max="30" width="45.109375" style="45" bestFit="1" customWidth="1"/>
    <col min="31" max="37" width="9.109375" style="45"/>
  </cols>
  <sheetData>
    <row r="2" spans="1:27" ht="17.25" customHeight="1" x14ac:dyDescent="0.3">
      <c r="A2" s="312"/>
      <c r="B2" s="428" t="s">
        <v>58</v>
      </c>
      <c r="C2" s="428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153" t="s">
        <v>145</v>
      </c>
      <c r="Y2" s="34"/>
    </row>
    <row r="3" spans="1:27" ht="15.75" customHeight="1" x14ac:dyDescent="0.3">
      <c r="A3" s="312"/>
      <c r="B3" s="428" t="s">
        <v>60</v>
      </c>
      <c r="C3" s="428"/>
      <c r="D3" s="42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154">
        <v>45539</v>
      </c>
      <c r="Y3" s="34"/>
    </row>
    <row r="4" spans="1:27" ht="2.25" customHeigh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/>
    </row>
    <row r="5" spans="1:27" ht="2.25" customHeight="1" x14ac:dyDescent="0.3">
      <c r="A5" s="4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34"/>
    </row>
    <row r="6" spans="1:27" ht="26.25" customHeight="1" x14ac:dyDescent="0.3">
      <c r="A6" s="312"/>
      <c r="B6" s="156" t="s">
        <v>61</v>
      </c>
      <c r="C6" s="312" t="s">
        <v>62</v>
      </c>
      <c r="D6" s="312" t="s">
        <v>63</v>
      </c>
      <c r="E6" s="312" t="s">
        <v>64</v>
      </c>
      <c r="F6" s="157"/>
      <c r="G6" s="429" t="s">
        <v>65</v>
      </c>
      <c r="H6" s="429"/>
      <c r="I6" s="429"/>
      <c r="J6" s="429"/>
      <c r="K6" s="429"/>
      <c r="L6" s="429"/>
      <c r="M6" s="429"/>
      <c r="N6" s="429"/>
      <c r="O6" s="429"/>
      <c r="P6" s="157"/>
      <c r="Q6" s="429" t="s">
        <v>66</v>
      </c>
      <c r="R6" s="429"/>
      <c r="S6" s="429"/>
      <c r="T6" s="312" t="s">
        <v>67</v>
      </c>
      <c r="U6" s="312" t="s">
        <v>68</v>
      </c>
      <c r="V6" s="312" t="s">
        <v>69</v>
      </c>
      <c r="W6" s="312"/>
      <c r="X6" s="44" t="s">
        <v>70</v>
      </c>
      <c r="Y6" s="304"/>
    </row>
    <row r="7" spans="1:27" ht="2.25" customHeight="1" x14ac:dyDescent="0.3">
      <c r="A7" s="4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34"/>
    </row>
    <row r="8" spans="1:27" ht="2.2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34"/>
    </row>
    <row r="9" spans="1:27" x14ac:dyDescent="0.3">
      <c r="A9" s="312"/>
      <c r="B9" s="158" t="s">
        <v>71</v>
      </c>
      <c r="C9" s="47">
        <v>47</v>
      </c>
      <c r="D9" s="159">
        <v>4</v>
      </c>
      <c r="E9" s="47">
        <v>4.5</v>
      </c>
      <c r="F9" s="312"/>
      <c r="G9" s="47">
        <v>5</v>
      </c>
      <c r="H9" s="312"/>
      <c r="I9" s="47" t="s">
        <v>72</v>
      </c>
      <c r="J9" s="47" t="s">
        <v>73</v>
      </c>
      <c r="K9" s="47" t="s">
        <v>74</v>
      </c>
      <c r="L9" s="47" t="s">
        <v>75</v>
      </c>
      <c r="M9" s="47" t="s">
        <v>76</v>
      </c>
      <c r="N9" s="47"/>
      <c r="O9" s="48"/>
      <c r="P9" s="312"/>
      <c r="Q9" s="160">
        <v>0.72916666666666663</v>
      </c>
      <c r="R9" s="161" t="s">
        <v>77</v>
      </c>
      <c r="S9" s="162">
        <v>0.91666666666666663</v>
      </c>
      <c r="T9" s="47">
        <f t="shared" ref="T9:T10" si="0">+E9*D9</f>
        <v>18</v>
      </c>
      <c r="U9" s="47">
        <f t="shared" ref="U9:U10" si="1">+T9*G9</f>
        <v>90</v>
      </c>
      <c r="V9" s="163">
        <f t="shared" ref="V9:V10" si="2">+U9*C9</f>
        <v>4230</v>
      </c>
      <c r="W9" s="312"/>
      <c r="X9" s="47"/>
      <c r="Y9" s="304"/>
    </row>
    <row r="10" spans="1:27" x14ac:dyDescent="0.3">
      <c r="A10" s="312"/>
      <c r="B10" s="158" t="s">
        <v>85</v>
      </c>
      <c r="C10" s="47">
        <v>47</v>
      </c>
      <c r="D10" s="159">
        <v>3</v>
      </c>
      <c r="E10" s="47">
        <v>4</v>
      </c>
      <c r="F10" s="312"/>
      <c r="G10" s="47">
        <v>5</v>
      </c>
      <c r="H10" s="312"/>
      <c r="I10" s="47" t="s">
        <v>72</v>
      </c>
      <c r="J10" s="47" t="s">
        <v>73</v>
      </c>
      <c r="K10" s="47" t="s">
        <v>74</v>
      </c>
      <c r="L10" s="47" t="s">
        <v>75</v>
      </c>
      <c r="M10" s="47" t="s">
        <v>76</v>
      </c>
      <c r="N10" s="47"/>
      <c r="O10" s="48"/>
      <c r="P10" s="312"/>
      <c r="Q10" s="160">
        <v>0.72916666666666663</v>
      </c>
      <c r="R10" s="161" t="s">
        <v>77</v>
      </c>
      <c r="S10" s="162">
        <v>0.89583333333333337</v>
      </c>
      <c r="T10" s="47">
        <f t="shared" si="0"/>
        <v>12</v>
      </c>
      <c r="U10" s="47">
        <f t="shared" si="1"/>
        <v>60</v>
      </c>
      <c r="V10" s="163">
        <f t="shared" si="2"/>
        <v>2820</v>
      </c>
      <c r="W10" s="312"/>
      <c r="X10" s="47"/>
      <c r="Y10" s="304"/>
    </row>
    <row r="11" spans="1:27" x14ac:dyDescent="0.3">
      <c r="A11" s="312"/>
      <c r="B11" s="50"/>
      <c r="C11" s="50"/>
      <c r="D11" s="50"/>
      <c r="E11" s="50"/>
      <c r="F11" s="312"/>
      <c r="G11" s="50"/>
      <c r="H11" s="312"/>
      <c r="I11" s="50"/>
      <c r="J11" s="50"/>
      <c r="K11" s="50"/>
      <c r="L11" s="50"/>
      <c r="M11" s="50"/>
      <c r="N11" s="50"/>
      <c r="O11" s="50"/>
      <c r="P11" s="312"/>
      <c r="Q11" s="50"/>
      <c r="R11" s="50"/>
      <c r="S11" s="50"/>
      <c r="T11" s="50"/>
      <c r="U11" s="50"/>
      <c r="V11" s="50"/>
      <c r="W11" s="312"/>
      <c r="X11" s="50"/>
      <c r="Y11" s="304"/>
    </row>
    <row r="12" spans="1:27" x14ac:dyDescent="0.3">
      <c r="A12" s="312"/>
      <c r="B12" s="164" t="s">
        <v>87</v>
      </c>
      <c r="C12" s="51">
        <v>48</v>
      </c>
      <c r="D12" s="51">
        <v>1</v>
      </c>
      <c r="E12" s="51">
        <v>1.5</v>
      </c>
      <c r="F12" s="312"/>
      <c r="G12" s="51">
        <v>5</v>
      </c>
      <c r="H12" s="312"/>
      <c r="I12" s="51" t="s">
        <v>72</v>
      </c>
      <c r="J12" s="51" t="s">
        <v>73</v>
      </c>
      <c r="K12" s="51" t="s">
        <v>74</v>
      </c>
      <c r="L12" s="51" t="s">
        <v>75</v>
      </c>
      <c r="M12" s="51" t="s">
        <v>76</v>
      </c>
      <c r="N12" s="51"/>
      <c r="O12" s="306"/>
      <c r="P12" s="312"/>
      <c r="Q12" s="165">
        <v>0.27083333333333331</v>
      </c>
      <c r="R12" s="307" t="s">
        <v>77</v>
      </c>
      <c r="S12" s="166">
        <v>0.33333333333333331</v>
      </c>
      <c r="T12" s="51">
        <f>+E12*D12</f>
        <v>1.5</v>
      </c>
      <c r="U12" s="51">
        <f>+T12*G12</f>
        <v>7.5</v>
      </c>
      <c r="V12" s="167">
        <f>+U12*C12</f>
        <v>360</v>
      </c>
      <c r="W12" s="312"/>
      <c r="X12" s="51">
        <v>10</v>
      </c>
      <c r="Y12" s="304"/>
    </row>
    <row r="13" spans="1:27" x14ac:dyDescent="0.3">
      <c r="A13" s="312"/>
      <c r="B13" s="164" t="s">
        <v>88</v>
      </c>
      <c r="C13" s="51">
        <v>52</v>
      </c>
      <c r="D13" s="51">
        <v>1</v>
      </c>
      <c r="E13" s="51">
        <v>1.5</v>
      </c>
      <c r="F13" s="312"/>
      <c r="G13" s="51">
        <v>5</v>
      </c>
      <c r="H13" s="312"/>
      <c r="I13" s="51" t="s">
        <v>72</v>
      </c>
      <c r="J13" s="51" t="s">
        <v>73</v>
      </c>
      <c r="K13" s="51" t="s">
        <v>74</v>
      </c>
      <c r="L13" s="51" t="s">
        <v>75</v>
      </c>
      <c r="M13" s="51" t="s">
        <v>76</v>
      </c>
      <c r="N13" s="51"/>
      <c r="O13" s="306"/>
      <c r="P13" s="312"/>
      <c r="Q13" s="165">
        <v>0.25</v>
      </c>
      <c r="R13" s="307" t="s">
        <v>77</v>
      </c>
      <c r="S13" s="166">
        <v>0.3125</v>
      </c>
      <c r="T13" s="51">
        <f>+E13*D13</f>
        <v>1.5</v>
      </c>
      <c r="U13" s="51">
        <f>+T13*G13</f>
        <v>7.5</v>
      </c>
      <c r="V13" s="167">
        <f>+U13*C13</f>
        <v>390</v>
      </c>
      <c r="W13" s="312"/>
      <c r="X13" s="51">
        <v>10</v>
      </c>
      <c r="Y13" s="304"/>
    </row>
    <row r="14" spans="1:27" ht="9.75" customHeight="1" x14ac:dyDescent="0.3">
      <c r="A14" s="312"/>
      <c r="B14" s="50"/>
      <c r="C14" s="50"/>
      <c r="D14" s="50"/>
      <c r="E14" s="50"/>
      <c r="F14" s="312"/>
      <c r="G14" s="50"/>
      <c r="H14" s="312"/>
      <c r="I14" s="50"/>
      <c r="J14" s="50"/>
      <c r="K14" s="50"/>
      <c r="L14" s="50"/>
      <c r="M14" s="50"/>
      <c r="N14" s="50"/>
      <c r="O14" s="50"/>
      <c r="P14" s="312"/>
      <c r="Q14" s="50"/>
      <c r="R14" s="50"/>
      <c r="S14" s="50"/>
      <c r="T14" s="50"/>
      <c r="U14" s="50"/>
      <c r="V14" s="50"/>
      <c r="W14" s="312"/>
      <c r="X14" s="50"/>
      <c r="Y14" s="304"/>
      <c r="AA14" s="104"/>
    </row>
    <row r="15" spans="1:27" x14ac:dyDescent="0.3">
      <c r="A15" s="312"/>
      <c r="B15" s="164" t="s">
        <v>89</v>
      </c>
      <c r="C15" s="51">
        <v>52</v>
      </c>
      <c r="D15" s="51">
        <v>1</v>
      </c>
      <c r="E15" s="51">
        <v>3.6</v>
      </c>
      <c r="F15" s="312"/>
      <c r="G15" s="51">
        <v>5</v>
      </c>
      <c r="H15" s="312"/>
      <c r="I15" s="51" t="s">
        <v>72</v>
      </c>
      <c r="J15" s="51" t="s">
        <v>73</v>
      </c>
      <c r="K15" s="51" t="s">
        <v>74</v>
      </c>
      <c r="L15" s="51" t="s">
        <v>75</v>
      </c>
      <c r="M15" s="51" t="s">
        <v>76</v>
      </c>
      <c r="N15" s="51"/>
      <c r="O15" s="306"/>
      <c r="P15" s="312"/>
      <c r="Q15" s="165">
        <v>0.66666666666666663</v>
      </c>
      <c r="R15" s="307" t="s">
        <v>77</v>
      </c>
      <c r="S15" s="166">
        <v>0.81944444444444453</v>
      </c>
      <c r="T15" s="51">
        <f t="shared" ref="T15:T20" si="3">+E15*D15</f>
        <v>3.6</v>
      </c>
      <c r="U15" s="51">
        <f t="shared" ref="U15:U20" si="4">+T15*G15</f>
        <v>18</v>
      </c>
      <c r="V15" s="167">
        <f t="shared" ref="V15:V20" si="5">+U15*C15</f>
        <v>936</v>
      </c>
      <c r="W15" s="312"/>
      <c r="X15" s="51">
        <v>15</v>
      </c>
      <c r="Y15" s="304"/>
    </row>
    <row r="16" spans="1:27" x14ac:dyDescent="0.3">
      <c r="A16" s="312"/>
      <c r="B16" s="168" t="s">
        <v>90</v>
      </c>
      <c r="C16" s="52">
        <v>52</v>
      </c>
      <c r="D16" s="52">
        <v>1</v>
      </c>
      <c r="E16" s="52">
        <v>2.25</v>
      </c>
      <c r="F16" s="312"/>
      <c r="G16" s="52">
        <v>5</v>
      </c>
      <c r="H16" s="312"/>
      <c r="I16" s="52" t="s">
        <v>72</v>
      </c>
      <c r="J16" s="52" t="s">
        <v>73</v>
      </c>
      <c r="K16" s="52" t="s">
        <v>74</v>
      </c>
      <c r="L16" s="52" t="s">
        <v>75</v>
      </c>
      <c r="M16" s="52" t="s">
        <v>76</v>
      </c>
      <c r="N16" s="52"/>
      <c r="O16" s="53"/>
      <c r="P16" s="312"/>
      <c r="Q16" s="169">
        <v>0.33333333333333331</v>
      </c>
      <c r="R16" s="170" t="s">
        <v>77</v>
      </c>
      <c r="S16" s="171">
        <v>0.42708333333333331</v>
      </c>
      <c r="T16" s="52">
        <f t="shared" si="3"/>
        <v>2.25</v>
      </c>
      <c r="U16" s="52">
        <f t="shared" si="4"/>
        <v>11.25</v>
      </c>
      <c r="V16" s="172">
        <f t="shared" si="5"/>
        <v>585</v>
      </c>
      <c r="W16" s="312"/>
      <c r="X16" s="52">
        <v>15</v>
      </c>
      <c r="Y16" s="304"/>
    </row>
    <row r="17" spans="1:25" x14ac:dyDescent="0.3">
      <c r="A17" s="312"/>
      <c r="B17" s="158" t="s">
        <v>91</v>
      </c>
      <c r="C17" s="47">
        <v>52</v>
      </c>
      <c r="D17" s="47">
        <v>1</v>
      </c>
      <c r="E17" s="47">
        <v>1</v>
      </c>
      <c r="F17" s="312"/>
      <c r="G17" s="47">
        <v>1</v>
      </c>
      <c r="H17" s="312"/>
      <c r="I17" s="47"/>
      <c r="J17" s="47"/>
      <c r="K17" s="47"/>
      <c r="L17" s="47"/>
      <c r="M17" s="47"/>
      <c r="N17" s="47" t="s">
        <v>92</v>
      </c>
      <c r="O17" s="48"/>
      <c r="P17" s="312"/>
      <c r="Q17" s="160">
        <v>0.33333333333333331</v>
      </c>
      <c r="R17" s="161" t="s">
        <v>77</v>
      </c>
      <c r="S17" s="162">
        <v>0.375</v>
      </c>
      <c r="T17" s="47">
        <f t="shared" si="3"/>
        <v>1</v>
      </c>
      <c r="U17" s="47">
        <f t="shared" si="4"/>
        <v>1</v>
      </c>
      <c r="V17" s="163">
        <f t="shared" si="5"/>
        <v>52</v>
      </c>
      <c r="W17" s="312"/>
      <c r="X17" s="47"/>
      <c r="Y17" s="304"/>
    </row>
    <row r="18" spans="1:25" x14ac:dyDescent="0.3">
      <c r="A18" s="312"/>
      <c r="B18" s="164" t="s">
        <v>93</v>
      </c>
      <c r="C18" s="51">
        <v>52</v>
      </c>
      <c r="D18" s="51">
        <v>1</v>
      </c>
      <c r="E18" s="51">
        <v>0.6</v>
      </c>
      <c r="F18" s="312"/>
      <c r="G18" s="52">
        <v>5</v>
      </c>
      <c r="H18" s="312"/>
      <c r="I18" s="51" t="s">
        <v>72</v>
      </c>
      <c r="J18" s="51" t="s">
        <v>73</v>
      </c>
      <c r="K18" s="51" t="s">
        <v>74</v>
      </c>
      <c r="L18" s="51" t="s">
        <v>75</v>
      </c>
      <c r="M18" s="51" t="s">
        <v>76</v>
      </c>
      <c r="N18" s="51"/>
      <c r="O18" s="306"/>
      <c r="P18" s="312"/>
      <c r="Q18" s="165">
        <v>0.625</v>
      </c>
      <c r="R18" s="307" t="s">
        <v>77</v>
      </c>
      <c r="S18" s="166">
        <v>0.65277777777777779</v>
      </c>
      <c r="T18" s="51">
        <f t="shared" si="3"/>
        <v>0.6</v>
      </c>
      <c r="U18" s="51">
        <f t="shared" si="4"/>
        <v>3</v>
      </c>
      <c r="V18" s="167">
        <f t="shared" si="5"/>
        <v>156</v>
      </c>
      <c r="W18" s="312"/>
      <c r="X18" s="51">
        <v>7</v>
      </c>
      <c r="Y18" s="304"/>
    </row>
    <row r="19" spans="1:25" x14ac:dyDescent="0.3">
      <c r="A19" s="312"/>
      <c r="B19" s="164" t="s">
        <v>94</v>
      </c>
      <c r="C19" s="51">
        <v>50</v>
      </c>
      <c r="D19" s="51">
        <v>1</v>
      </c>
      <c r="E19" s="51">
        <v>2.8</v>
      </c>
      <c r="F19" s="312"/>
      <c r="G19" s="173">
        <v>5</v>
      </c>
      <c r="H19" s="312"/>
      <c r="I19" s="51" t="s">
        <v>72</v>
      </c>
      <c r="J19" s="51" t="s">
        <v>73</v>
      </c>
      <c r="K19" s="51" t="s">
        <v>74</v>
      </c>
      <c r="L19" s="51" t="s">
        <v>75</v>
      </c>
      <c r="M19" s="51" t="s">
        <v>76</v>
      </c>
      <c r="N19" s="51"/>
      <c r="O19" s="306"/>
      <c r="P19" s="312"/>
      <c r="Q19" s="165">
        <v>0.33333333333333331</v>
      </c>
      <c r="R19" s="307" t="s">
        <v>77</v>
      </c>
      <c r="S19" s="166">
        <v>0.4513888888888889</v>
      </c>
      <c r="T19" s="51">
        <f t="shared" si="3"/>
        <v>2.8</v>
      </c>
      <c r="U19" s="51">
        <f t="shared" si="4"/>
        <v>14</v>
      </c>
      <c r="V19" s="167">
        <f t="shared" si="5"/>
        <v>700</v>
      </c>
      <c r="W19" s="312"/>
      <c r="X19" s="51">
        <v>20</v>
      </c>
      <c r="Y19" s="304"/>
    </row>
    <row r="20" spans="1:25" x14ac:dyDescent="0.3">
      <c r="A20" s="312"/>
      <c r="B20" s="164" t="s">
        <v>95</v>
      </c>
      <c r="C20" s="51">
        <v>50</v>
      </c>
      <c r="D20" s="51">
        <v>1</v>
      </c>
      <c r="E20" s="51">
        <v>2</v>
      </c>
      <c r="F20" s="312"/>
      <c r="G20" s="51">
        <v>5</v>
      </c>
      <c r="H20" s="312"/>
      <c r="I20" s="51" t="s">
        <v>72</v>
      </c>
      <c r="J20" s="51" t="s">
        <v>73</v>
      </c>
      <c r="K20" s="51" t="s">
        <v>74</v>
      </c>
      <c r="L20" s="51" t="s">
        <v>75</v>
      </c>
      <c r="M20" s="51" t="s">
        <v>76</v>
      </c>
      <c r="N20" s="51"/>
      <c r="O20" s="306"/>
      <c r="P20" s="312"/>
      <c r="Q20" s="165">
        <v>0.25</v>
      </c>
      <c r="R20" s="307" t="s">
        <v>77</v>
      </c>
      <c r="S20" s="166">
        <v>0.33333333333333331</v>
      </c>
      <c r="T20" s="51">
        <f t="shared" si="3"/>
        <v>2</v>
      </c>
      <c r="U20" s="51">
        <f t="shared" si="4"/>
        <v>10</v>
      </c>
      <c r="V20" s="167">
        <f t="shared" si="5"/>
        <v>500</v>
      </c>
      <c r="W20" s="312"/>
      <c r="X20" s="51">
        <v>20</v>
      </c>
      <c r="Y20" s="304"/>
    </row>
    <row r="21" spans="1:25" ht="9.75" customHeight="1" x14ac:dyDescent="0.3">
      <c r="A21" s="312"/>
      <c r="B21" s="50"/>
      <c r="C21" s="54"/>
      <c r="D21" s="54"/>
      <c r="E21" s="54"/>
      <c r="F21" s="312"/>
      <c r="G21" s="54"/>
      <c r="H21" s="312"/>
      <c r="I21" s="54"/>
      <c r="J21" s="54"/>
      <c r="K21" s="54"/>
      <c r="L21" s="54"/>
      <c r="M21" s="54"/>
      <c r="N21" s="54"/>
      <c r="O21" s="54"/>
      <c r="P21" s="312"/>
      <c r="Q21" s="174"/>
      <c r="R21" s="54"/>
      <c r="S21" s="175"/>
      <c r="T21" s="54"/>
      <c r="U21" s="54"/>
      <c r="V21" s="176"/>
      <c r="W21" s="312"/>
      <c r="X21" s="54"/>
      <c r="Y21" s="304"/>
    </row>
    <row r="22" spans="1:25" x14ac:dyDescent="0.3">
      <c r="A22" s="312"/>
      <c r="B22" s="158" t="s">
        <v>133</v>
      </c>
      <c r="C22" s="47">
        <v>52</v>
      </c>
      <c r="D22" s="159">
        <v>2</v>
      </c>
      <c r="E22" s="47">
        <v>2</v>
      </c>
      <c r="F22" s="312"/>
      <c r="G22" s="47">
        <v>5</v>
      </c>
      <c r="H22" s="312"/>
      <c r="I22" s="47" t="s">
        <v>72</v>
      </c>
      <c r="J22" s="47" t="s">
        <v>73</v>
      </c>
      <c r="K22" s="47" t="s">
        <v>74</v>
      </c>
      <c r="L22" s="47" t="s">
        <v>75</v>
      </c>
      <c r="M22" s="47" t="s">
        <v>76</v>
      </c>
      <c r="N22" s="47"/>
      <c r="O22" s="48"/>
      <c r="P22" s="312"/>
      <c r="Q22" s="160">
        <v>0.52083333333333337</v>
      </c>
      <c r="R22" s="161" t="s">
        <v>77</v>
      </c>
      <c r="S22" s="162">
        <v>0.60416666666666663</v>
      </c>
      <c r="T22" s="47">
        <f>+E22*D22</f>
        <v>4</v>
      </c>
      <c r="U22" s="47">
        <f>+T22*G22</f>
        <v>20</v>
      </c>
      <c r="V22" s="163">
        <f>+U22*C22</f>
        <v>1040</v>
      </c>
      <c r="W22" s="312"/>
      <c r="X22" s="47"/>
      <c r="Y22" s="304"/>
    </row>
    <row r="23" spans="1:25" x14ac:dyDescent="0.3">
      <c r="A23" s="312"/>
      <c r="B23" s="158" t="s">
        <v>134</v>
      </c>
      <c r="C23" s="47">
        <v>52</v>
      </c>
      <c r="D23" s="159">
        <v>2</v>
      </c>
      <c r="E23" s="47">
        <v>2</v>
      </c>
      <c r="F23" s="312"/>
      <c r="G23" s="47">
        <v>5</v>
      </c>
      <c r="H23" s="312"/>
      <c r="I23" s="47" t="s">
        <v>72</v>
      </c>
      <c r="J23" s="47" t="s">
        <v>73</v>
      </c>
      <c r="K23" s="47" t="s">
        <v>74</v>
      </c>
      <c r="L23" s="47" t="s">
        <v>75</v>
      </c>
      <c r="M23" s="47" t="s">
        <v>76</v>
      </c>
      <c r="N23" s="47"/>
      <c r="O23" s="48"/>
      <c r="P23" s="312"/>
      <c r="Q23" s="160">
        <v>0.83333333333333337</v>
      </c>
      <c r="R23" s="161" t="s">
        <v>77</v>
      </c>
      <c r="S23" s="162">
        <v>0.91666666666666663</v>
      </c>
      <c r="T23" s="47">
        <f>+E23*D23</f>
        <v>4</v>
      </c>
      <c r="U23" s="47">
        <f>+T23*G23</f>
        <v>20</v>
      </c>
      <c r="V23" s="163">
        <f>+U23*C23</f>
        <v>1040</v>
      </c>
      <c r="W23" s="312"/>
      <c r="X23" s="47"/>
      <c r="Y23" s="304"/>
    </row>
    <row r="24" spans="1:25" x14ac:dyDescent="0.3">
      <c r="A24" s="312"/>
      <c r="B24" s="158" t="s">
        <v>135</v>
      </c>
      <c r="C24" s="47">
        <v>52</v>
      </c>
      <c r="D24" s="159">
        <v>1</v>
      </c>
      <c r="E24" s="47">
        <v>3</v>
      </c>
      <c r="F24" s="312"/>
      <c r="G24" s="47">
        <v>1</v>
      </c>
      <c r="H24" s="312"/>
      <c r="I24" s="47"/>
      <c r="J24" s="47"/>
      <c r="K24" s="47"/>
      <c r="L24" s="47"/>
      <c r="M24" s="47"/>
      <c r="N24" s="47" t="s">
        <v>92</v>
      </c>
      <c r="O24" s="48"/>
      <c r="P24" s="312"/>
      <c r="Q24" s="160">
        <v>0.70833333333333337</v>
      </c>
      <c r="R24" s="161" t="s">
        <v>77</v>
      </c>
      <c r="S24" s="162">
        <v>0.83333333333333337</v>
      </c>
      <c r="T24" s="47">
        <f>+E24*D24</f>
        <v>3</v>
      </c>
      <c r="U24" s="47">
        <f>+T24*G24</f>
        <v>3</v>
      </c>
      <c r="V24" s="163">
        <f>+U24*C24</f>
        <v>156</v>
      </c>
      <c r="W24" s="312"/>
      <c r="X24" s="47"/>
      <c r="Y24" s="304"/>
    </row>
    <row r="25" spans="1:25" x14ac:dyDescent="0.3">
      <c r="A25" s="312"/>
      <c r="B25" s="158" t="s">
        <v>136</v>
      </c>
      <c r="C25" s="47">
        <v>14</v>
      </c>
      <c r="D25" s="159">
        <v>1</v>
      </c>
      <c r="E25" s="47">
        <v>2</v>
      </c>
      <c r="F25" s="312"/>
      <c r="G25" s="47">
        <v>1</v>
      </c>
      <c r="H25" s="312"/>
      <c r="I25" s="47"/>
      <c r="J25" s="47"/>
      <c r="K25" s="47"/>
      <c r="L25" s="47"/>
      <c r="M25" s="47"/>
      <c r="N25" s="47"/>
      <c r="O25" s="48" t="s">
        <v>100</v>
      </c>
      <c r="P25" s="312"/>
      <c r="Q25" s="160">
        <v>0.70833333333333337</v>
      </c>
      <c r="R25" s="161" t="s">
        <v>77</v>
      </c>
      <c r="S25" s="162">
        <v>0.83333333333333337</v>
      </c>
      <c r="T25" s="47">
        <f>+E25*D25</f>
        <v>2</v>
      </c>
      <c r="U25" s="47">
        <f>+T25*G25</f>
        <v>2</v>
      </c>
      <c r="V25" s="163">
        <f>+U25*C25</f>
        <v>28</v>
      </c>
      <c r="W25" s="312"/>
      <c r="X25" s="47"/>
      <c r="Y25" s="304"/>
    </row>
    <row r="26" spans="1:25" ht="9.75" customHeight="1" x14ac:dyDescent="0.3">
      <c r="A26" s="312"/>
      <c r="B26" s="50"/>
      <c r="C26" s="54"/>
      <c r="D26" s="54"/>
      <c r="E26" s="54"/>
      <c r="F26" s="312"/>
      <c r="G26" s="54"/>
      <c r="H26" s="312"/>
      <c r="I26" s="54"/>
      <c r="J26" s="54"/>
      <c r="K26" s="54"/>
      <c r="L26" s="54"/>
      <c r="M26" s="54"/>
      <c r="N26" s="54"/>
      <c r="O26" s="54"/>
      <c r="P26" s="312"/>
      <c r="Q26" s="174"/>
      <c r="R26" s="54"/>
      <c r="S26" s="175"/>
      <c r="T26" s="54"/>
      <c r="U26" s="54"/>
      <c r="V26" s="176"/>
      <c r="W26" s="312"/>
      <c r="X26" s="54"/>
      <c r="Y26" s="304"/>
    </row>
    <row r="27" spans="1:25" x14ac:dyDescent="0.3">
      <c r="A27" s="312"/>
      <c r="B27" s="164" t="s">
        <v>101</v>
      </c>
      <c r="C27" s="51">
        <v>52</v>
      </c>
      <c r="D27" s="51">
        <v>1</v>
      </c>
      <c r="E27" s="51">
        <v>2</v>
      </c>
      <c r="F27" s="312"/>
      <c r="G27" s="51">
        <v>5</v>
      </c>
      <c r="H27" s="312"/>
      <c r="I27" s="51" t="s">
        <v>72</v>
      </c>
      <c r="J27" s="51" t="s">
        <v>73</v>
      </c>
      <c r="K27" s="51" t="s">
        <v>74</v>
      </c>
      <c r="L27" s="51" t="s">
        <v>75</v>
      </c>
      <c r="M27" s="51" t="s">
        <v>76</v>
      </c>
      <c r="N27" s="51"/>
      <c r="O27" s="306"/>
      <c r="P27" s="312"/>
      <c r="Q27" s="165">
        <v>0.625</v>
      </c>
      <c r="R27" s="307" t="s">
        <v>77</v>
      </c>
      <c r="S27" s="166">
        <v>0.70833333333333337</v>
      </c>
      <c r="T27" s="51">
        <f>+E27*D27</f>
        <v>2</v>
      </c>
      <c r="U27" s="51">
        <f>+T27*G27</f>
        <v>10</v>
      </c>
      <c r="V27" s="167">
        <f>+U27*C27</f>
        <v>520</v>
      </c>
      <c r="W27" s="312"/>
      <c r="X27" s="51">
        <v>10</v>
      </c>
      <c r="Y27" s="304"/>
    </row>
    <row r="28" spans="1:25" x14ac:dyDescent="0.3">
      <c r="A28" s="312"/>
      <c r="B28" s="164" t="s">
        <v>102</v>
      </c>
      <c r="C28" s="51">
        <v>48</v>
      </c>
      <c r="D28" s="51">
        <v>1</v>
      </c>
      <c r="E28" s="51">
        <v>2</v>
      </c>
      <c r="F28" s="312"/>
      <c r="G28" s="51">
        <v>3</v>
      </c>
      <c r="H28" s="312"/>
      <c r="I28" s="51" t="s">
        <v>72</v>
      </c>
      <c r="J28" s="51"/>
      <c r="K28" s="51" t="s">
        <v>74</v>
      </c>
      <c r="L28" s="51"/>
      <c r="M28" s="51" t="s">
        <v>76</v>
      </c>
      <c r="N28" s="51"/>
      <c r="O28" s="306"/>
      <c r="P28" s="312"/>
      <c r="Q28" s="165">
        <v>0.625</v>
      </c>
      <c r="R28" s="307" t="s">
        <v>77</v>
      </c>
      <c r="S28" s="166">
        <v>0.70833333333333337</v>
      </c>
      <c r="T28" s="51">
        <f t="shared" ref="T28:T35" si="6">+E28*D28</f>
        <v>2</v>
      </c>
      <c r="U28" s="51">
        <f t="shared" ref="U28:U35" si="7">+T28*G28</f>
        <v>6</v>
      </c>
      <c r="V28" s="167">
        <f>+U28*C28</f>
        <v>288</v>
      </c>
      <c r="W28" s="312"/>
      <c r="X28" s="51">
        <v>15</v>
      </c>
      <c r="Y28" s="304"/>
    </row>
    <row r="29" spans="1:25" x14ac:dyDescent="0.3">
      <c r="A29" s="312"/>
      <c r="B29" s="164" t="s">
        <v>103</v>
      </c>
      <c r="C29" s="51">
        <v>48</v>
      </c>
      <c r="D29" s="51">
        <v>1</v>
      </c>
      <c r="E29" s="51">
        <v>1</v>
      </c>
      <c r="F29" s="312"/>
      <c r="G29" s="51">
        <v>1</v>
      </c>
      <c r="H29" s="312"/>
      <c r="I29" s="51"/>
      <c r="J29" s="51"/>
      <c r="K29" s="51"/>
      <c r="L29" s="51" t="s">
        <v>75</v>
      </c>
      <c r="M29" s="51"/>
      <c r="N29" s="51"/>
      <c r="O29" s="306"/>
      <c r="P29" s="312"/>
      <c r="Q29" s="165">
        <v>0.33333333333333331</v>
      </c>
      <c r="R29" s="307" t="s">
        <v>77</v>
      </c>
      <c r="S29" s="166">
        <v>0.375</v>
      </c>
      <c r="T29" s="51">
        <f>+E29*D29</f>
        <v>1</v>
      </c>
      <c r="U29" s="51">
        <f>+T29*G29</f>
        <v>1</v>
      </c>
      <c r="V29" s="167">
        <f>+U29*C29</f>
        <v>48</v>
      </c>
      <c r="W29" s="312"/>
      <c r="X29" s="51"/>
      <c r="Y29" s="304"/>
    </row>
    <row r="30" spans="1:25" x14ac:dyDescent="0.3">
      <c r="A30" s="312"/>
      <c r="B30" s="164" t="s">
        <v>104</v>
      </c>
      <c r="C30" s="51">
        <v>48</v>
      </c>
      <c r="D30" s="51">
        <v>1</v>
      </c>
      <c r="E30" s="51">
        <v>1</v>
      </c>
      <c r="F30" s="312"/>
      <c r="G30" s="51">
        <v>1</v>
      </c>
      <c r="H30" s="312"/>
      <c r="I30" s="51"/>
      <c r="J30" s="51"/>
      <c r="K30" s="51"/>
      <c r="L30" s="51" t="s">
        <v>75</v>
      </c>
      <c r="M30" s="51"/>
      <c r="N30" s="51"/>
      <c r="O30" s="306"/>
      <c r="P30" s="312"/>
      <c r="Q30" s="165">
        <v>0.375</v>
      </c>
      <c r="R30" s="307" t="s">
        <v>77</v>
      </c>
      <c r="S30" s="166">
        <v>0.41666666666666669</v>
      </c>
      <c r="T30" s="51">
        <f>+E30*D30</f>
        <v>1</v>
      </c>
      <c r="U30" s="51">
        <f>+T30*G30</f>
        <v>1</v>
      </c>
      <c r="V30" s="167">
        <f>+U30*C30</f>
        <v>48</v>
      </c>
      <c r="W30" s="312"/>
      <c r="X30" s="51"/>
      <c r="Y30" s="304"/>
    </row>
    <row r="31" spans="1:25" ht="9.75" customHeight="1" x14ac:dyDescent="0.3">
      <c r="A31" s="312"/>
      <c r="B31" s="50"/>
      <c r="C31" s="54"/>
      <c r="D31" s="54"/>
      <c r="E31" s="54"/>
      <c r="F31" s="312"/>
      <c r="G31" s="54"/>
      <c r="H31" s="312"/>
      <c r="I31" s="54"/>
      <c r="J31" s="54"/>
      <c r="K31" s="54"/>
      <c r="L31" s="54"/>
      <c r="M31" s="54"/>
      <c r="N31" s="54"/>
      <c r="O31" s="54"/>
      <c r="P31" s="312"/>
      <c r="Q31" s="174"/>
      <c r="R31" s="54"/>
      <c r="S31" s="175"/>
      <c r="T31" s="54"/>
      <c r="U31" s="54"/>
      <c r="V31" s="176"/>
      <c r="W31" s="312"/>
      <c r="X31" s="54"/>
      <c r="Y31" s="304"/>
    </row>
    <row r="32" spans="1:25" x14ac:dyDescent="0.3">
      <c r="A32" s="312"/>
      <c r="B32" s="164" t="s">
        <v>137</v>
      </c>
      <c r="C32" s="51">
        <v>52</v>
      </c>
      <c r="D32" s="51">
        <v>1</v>
      </c>
      <c r="E32" s="51">
        <v>1</v>
      </c>
      <c r="F32" s="312"/>
      <c r="G32" s="51">
        <v>1</v>
      </c>
      <c r="H32" s="312"/>
      <c r="I32" s="51"/>
      <c r="J32" s="51" t="s">
        <v>73</v>
      </c>
      <c r="K32" s="51"/>
      <c r="L32" s="51"/>
      <c r="M32" s="51"/>
      <c r="N32" s="51"/>
      <c r="O32" s="306"/>
      <c r="P32" s="312"/>
      <c r="Q32" s="165">
        <v>0.375</v>
      </c>
      <c r="R32" s="307" t="s">
        <v>77</v>
      </c>
      <c r="S32" s="166">
        <v>0.41666666666666669</v>
      </c>
      <c r="T32" s="51">
        <f t="shared" si="6"/>
        <v>1</v>
      </c>
      <c r="U32" s="51">
        <f t="shared" si="7"/>
        <v>1</v>
      </c>
      <c r="V32" s="167">
        <f>+U32*C32</f>
        <v>52</v>
      </c>
      <c r="W32" s="312"/>
      <c r="X32" s="51"/>
      <c r="Y32" s="304"/>
    </row>
    <row r="33" spans="1:26" x14ac:dyDescent="0.3">
      <c r="A33" s="312"/>
      <c r="B33" s="164" t="s">
        <v>107</v>
      </c>
      <c r="C33" s="51">
        <v>48</v>
      </c>
      <c r="D33" s="51">
        <v>1</v>
      </c>
      <c r="E33" s="51">
        <v>0.5</v>
      </c>
      <c r="F33" s="312"/>
      <c r="G33" s="51">
        <v>1</v>
      </c>
      <c r="H33" s="312"/>
      <c r="I33" s="51"/>
      <c r="J33" s="51" t="s">
        <v>73</v>
      </c>
      <c r="K33" s="51"/>
      <c r="L33" s="51"/>
      <c r="M33" s="51"/>
      <c r="N33" s="51"/>
      <c r="O33" s="306"/>
      <c r="P33" s="312"/>
      <c r="Q33" s="165">
        <v>0.41666666666666669</v>
      </c>
      <c r="R33" s="307" t="s">
        <v>77</v>
      </c>
      <c r="S33" s="166">
        <v>0.4375</v>
      </c>
      <c r="T33" s="51">
        <f t="shared" si="6"/>
        <v>0.5</v>
      </c>
      <c r="U33" s="51">
        <f t="shared" si="7"/>
        <v>0.5</v>
      </c>
      <c r="V33" s="167">
        <f>+U33*C33</f>
        <v>24</v>
      </c>
      <c r="W33" s="312"/>
      <c r="X33" s="51"/>
      <c r="Y33" s="304"/>
    </row>
    <row r="34" spans="1:26" ht="9.75" customHeight="1" x14ac:dyDescent="0.3">
      <c r="A34" s="312"/>
      <c r="B34" s="50"/>
      <c r="C34" s="54"/>
      <c r="D34" s="54"/>
      <c r="E34" s="54"/>
      <c r="F34" s="312"/>
      <c r="G34" s="54"/>
      <c r="H34" s="312"/>
      <c r="I34" s="54"/>
      <c r="J34" s="54"/>
      <c r="K34" s="54"/>
      <c r="L34" s="54"/>
      <c r="M34" s="54"/>
      <c r="N34" s="54"/>
      <c r="O34" s="54"/>
      <c r="P34" s="312"/>
      <c r="Q34" s="174"/>
      <c r="R34" s="54"/>
      <c r="S34" s="175"/>
      <c r="T34" s="54"/>
      <c r="U34" s="54"/>
      <c r="V34" s="176"/>
      <c r="W34" s="312"/>
      <c r="X34" s="54"/>
      <c r="Y34" s="304"/>
    </row>
    <row r="35" spans="1:26" x14ac:dyDescent="0.3">
      <c r="A35" s="312"/>
      <c r="B35" s="164" t="s">
        <v>108</v>
      </c>
      <c r="C35" s="51">
        <v>48</v>
      </c>
      <c r="D35" s="51">
        <v>1</v>
      </c>
      <c r="E35" s="51">
        <v>0.5</v>
      </c>
      <c r="F35" s="312"/>
      <c r="G35" s="51">
        <v>1</v>
      </c>
      <c r="H35" s="312"/>
      <c r="I35" s="51"/>
      <c r="J35" s="51" t="s">
        <v>73</v>
      </c>
      <c r="K35" s="51"/>
      <c r="L35" s="51"/>
      <c r="M35" s="51"/>
      <c r="N35" s="51"/>
      <c r="O35" s="306"/>
      <c r="P35" s="312"/>
      <c r="Q35" s="165">
        <v>0.45833333333333331</v>
      </c>
      <c r="R35" s="307" t="s">
        <v>77</v>
      </c>
      <c r="S35" s="166">
        <v>0.47916666666666669</v>
      </c>
      <c r="T35" s="51">
        <f t="shared" si="6"/>
        <v>0.5</v>
      </c>
      <c r="U35" s="51">
        <f t="shared" si="7"/>
        <v>0.5</v>
      </c>
      <c r="V35" s="167">
        <f>+U35*C35</f>
        <v>24</v>
      </c>
      <c r="W35" s="312"/>
      <c r="X35" s="51"/>
      <c r="Y35" s="304"/>
    </row>
    <row r="36" spans="1:26" x14ac:dyDescent="0.3">
      <c r="A36" s="312"/>
      <c r="B36" s="164" t="s">
        <v>109</v>
      </c>
      <c r="C36" s="416" t="s">
        <v>110</v>
      </c>
      <c r="D36" s="417"/>
      <c r="E36" s="418"/>
      <c r="F36" s="312"/>
      <c r="G36" s="416"/>
      <c r="H36" s="417"/>
      <c r="I36" s="417"/>
      <c r="J36" s="417"/>
      <c r="K36" s="417"/>
      <c r="L36" s="417"/>
      <c r="M36" s="417"/>
      <c r="N36" s="417"/>
      <c r="O36" s="417"/>
      <c r="P36" s="312"/>
      <c r="Q36" s="165"/>
      <c r="R36" s="307"/>
      <c r="S36" s="308"/>
      <c r="T36" s="51"/>
      <c r="U36" s="51"/>
      <c r="V36" s="167">
        <v>0</v>
      </c>
      <c r="W36" s="312"/>
      <c r="X36" s="45"/>
      <c r="Y36" s="304"/>
    </row>
    <row r="37" spans="1:26" x14ac:dyDescent="0.3">
      <c r="A37" s="312"/>
      <c r="B37" s="164" t="s">
        <v>111</v>
      </c>
      <c r="C37" s="416" t="s">
        <v>110</v>
      </c>
      <c r="D37" s="417"/>
      <c r="E37" s="418"/>
      <c r="F37" s="312"/>
      <c r="G37" s="416"/>
      <c r="H37" s="417"/>
      <c r="I37" s="417"/>
      <c r="J37" s="417"/>
      <c r="K37" s="417"/>
      <c r="L37" s="417"/>
      <c r="M37" s="417"/>
      <c r="N37" s="417"/>
      <c r="O37" s="417"/>
      <c r="P37" s="312"/>
      <c r="Q37" s="165"/>
      <c r="R37" s="307"/>
      <c r="S37" s="308"/>
      <c r="T37" s="51"/>
      <c r="U37" s="51"/>
      <c r="V37" s="167">
        <v>0</v>
      </c>
      <c r="W37" s="312"/>
      <c r="X37" s="45"/>
      <c r="Y37" s="304"/>
    </row>
    <row r="38" spans="1:26" x14ac:dyDescent="0.3">
      <c r="A38" s="312"/>
      <c r="B38" s="164" t="s">
        <v>112</v>
      </c>
      <c r="C38" s="416" t="s">
        <v>110</v>
      </c>
      <c r="D38" s="417"/>
      <c r="E38" s="418"/>
      <c r="F38" s="312"/>
      <c r="G38" s="51"/>
      <c r="H38" s="312"/>
      <c r="I38" s="51"/>
      <c r="J38" s="51"/>
      <c r="K38" s="51"/>
      <c r="L38" s="51"/>
      <c r="M38" s="51"/>
      <c r="N38" s="51"/>
      <c r="O38" s="306"/>
      <c r="P38" s="312"/>
      <c r="Q38" s="165"/>
      <c r="R38" s="307"/>
      <c r="S38" s="166"/>
      <c r="T38" s="51"/>
      <c r="U38" s="51"/>
      <c r="V38" s="167">
        <v>0</v>
      </c>
      <c r="W38" s="312"/>
      <c r="X38" s="51"/>
      <c r="Y38" s="304"/>
    </row>
    <row r="39" spans="1:26" ht="9.75" customHeight="1" x14ac:dyDescent="0.3">
      <c r="A39" s="312"/>
      <c r="B39" s="50"/>
      <c r="C39" s="54"/>
      <c r="D39" s="54"/>
      <c r="E39" s="54"/>
      <c r="F39" s="312"/>
      <c r="G39" s="54"/>
      <c r="H39" s="54"/>
      <c r="I39" s="54"/>
      <c r="J39" s="54"/>
      <c r="K39" s="54"/>
      <c r="L39" s="54"/>
      <c r="M39" s="54"/>
      <c r="N39" s="54"/>
      <c r="O39" s="54"/>
      <c r="P39" s="312"/>
      <c r="Q39" s="174"/>
      <c r="R39" s="54"/>
      <c r="S39" s="175"/>
      <c r="T39" s="54"/>
      <c r="U39" s="54"/>
      <c r="V39" s="176"/>
      <c r="W39" s="312"/>
      <c r="X39" s="54"/>
      <c r="Y39" s="304"/>
    </row>
    <row r="40" spans="1:26" ht="14.4" customHeight="1" x14ac:dyDescent="0.3">
      <c r="A40" s="312"/>
      <c r="B40" s="164" t="s">
        <v>113</v>
      </c>
      <c r="C40" s="51">
        <v>52</v>
      </c>
      <c r="D40" s="51">
        <v>1</v>
      </c>
      <c r="E40" s="51">
        <v>2</v>
      </c>
      <c r="F40" s="312"/>
      <c r="G40" s="51">
        <v>1</v>
      </c>
      <c r="H40" s="312"/>
      <c r="I40" s="51" t="s">
        <v>72</v>
      </c>
      <c r="J40" s="51"/>
      <c r="K40" s="51"/>
      <c r="L40" s="51"/>
      <c r="M40" s="51"/>
      <c r="N40" s="51"/>
      <c r="O40" s="306"/>
      <c r="P40" s="312"/>
      <c r="Q40" s="165"/>
      <c r="R40" s="307"/>
      <c r="S40" s="166"/>
      <c r="T40" s="51">
        <f t="shared" ref="T40:T41" si="8">+E40*D40</f>
        <v>2</v>
      </c>
      <c r="U40" s="51" t="s">
        <v>114</v>
      </c>
      <c r="V40" s="167">
        <f>12*E40*D40</f>
        <v>24</v>
      </c>
      <c r="W40" s="312"/>
      <c r="X40" s="51"/>
      <c r="Y40" s="304"/>
    </row>
    <row r="41" spans="1:26" x14ac:dyDescent="0.3">
      <c r="A41" s="312"/>
      <c r="B41" s="164" t="s">
        <v>115</v>
      </c>
      <c r="C41" s="51">
        <v>52</v>
      </c>
      <c r="D41" s="51">
        <v>1</v>
      </c>
      <c r="E41" s="51">
        <v>2</v>
      </c>
      <c r="F41" s="312"/>
      <c r="G41" s="51">
        <v>1</v>
      </c>
      <c r="H41" s="312"/>
      <c r="I41" s="51" t="s">
        <v>72</v>
      </c>
      <c r="J41" s="51"/>
      <c r="K41" s="51"/>
      <c r="L41" s="51"/>
      <c r="M41" s="51"/>
      <c r="N41" s="51"/>
      <c r="O41" s="306"/>
      <c r="P41" s="312"/>
      <c r="Q41" s="165"/>
      <c r="R41" s="307"/>
      <c r="S41" s="166"/>
      <c r="T41" s="51">
        <f t="shared" si="8"/>
        <v>2</v>
      </c>
      <c r="U41" s="51" t="s">
        <v>114</v>
      </c>
      <c r="V41" s="167">
        <f>12*E41*D41</f>
        <v>24</v>
      </c>
      <c r="W41" s="312"/>
      <c r="X41" s="51"/>
      <c r="Y41" s="304"/>
    </row>
    <row r="42" spans="1:26" ht="9.75" customHeight="1" x14ac:dyDescent="0.3">
      <c r="A42" s="45"/>
      <c r="B42" s="45"/>
      <c r="C42" s="45"/>
      <c r="D42" s="45"/>
      <c r="E42" s="45"/>
      <c r="F42" s="312"/>
      <c r="G42" s="54"/>
      <c r="H42" s="54"/>
      <c r="I42" s="54"/>
      <c r="J42" s="54"/>
      <c r="K42" s="54"/>
      <c r="L42" s="54"/>
      <c r="M42" s="54"/>
      <c r="N42" s="54"/>
      <c r="O42" s="54"/>
      <c r="P42" s="312"/>
      <c r="Q42" s="174"/>
      <c r="R42" s="54"/>
      <c r="S42" s="175"/>
      <c r="T42" s="54"/>
      <c r="U42" s="54"/>
      <c r="V42" s="176"/>
      <c r="W42" s="312"/>
      <c r="X42" s="54"/>
      <c r="Y42" s="304"/>
      <c r="Z42" s="105"/>
    </row>
    <row r="43" spans="1:26" x14ac:dyDescent="0.3">
      <c r="A43" s="45"/>
      <c r="B43" s="45"/>
      <c r="C43" s="45"/>
      <c r="D43" s="45"/>
      <c r="E43" s="45"/>
      <c r="F43" s="312"/>
      <c r="G43" s="54"/>
      <c r="H43" s="54"/>
      <c r="I43" s="54"/>
      <c r="J43" s="54"/>
      <c r="K43" s="54"/>
      <c r="L43" s="54"/>
      <c r="M43" s="54"/>
      <c r="N43" s="54"/>
      <c r="O43" s="54"/>
      <c r="P43" s="312"/>
      <c r="Q43" s="174"/>
      <c r="R43" s="54"/>
      <c r="S43" s="175"/>
      <c r="T43" s="177" t="s">
        <v>116</v>
      </c>
      <c r="U43" s="54"/>
      <c r="V43" s="178">
        <f>+SUM(V9:V42)</f>
        <v>14045</v>
      </c>
      <c r="W43" s="179"/>
      <c r="X43" s="178">
        <f>+SUM(X9:X42)</f>
        <v>122</v>
      </c>
      <c r="Y43" s="304"/>
      <c r="Z43" s="105"/>
    </row>
    <row r="44" spans="1:26" ht="1.5" customHeight="1" x14ac:dyDescent="0.3">
      <c r="A44" s="45"/>
      <c r="B44" s="45"/>
      <c r="C44" s="45"/>
      <c r="D44" s="45"/>
      <c r="E44" s="45"/>
      <c r="F44" s="54"/>
      <c r="G44" s="180"/>
      <c r="H44" s="180"/>
      <c r="I44" s="180"/>
      <c r="J44" s="180"/>
      <c r="K44" s="180"/>
      <c r="L44" s="180"/>
      <c r="M44" s="180"/>
      <c r="N44" s="180"/>
      <c r="O44" s="180"/>
      <c r="P44" s="157"/>
      <c r="Q44" s="181"/>
      <c r="R44" s="180"/>
      <c r="S44" s="182"/>
      <c r="T44" s="180"/>
      <c r="U44" s="180"/>
      <c r="V44" s="183"/>
      <c r="W44" s="184"/>
      <c r="X44" s="183"/>
      <c r="Y44" s="304"/>
      <c r="Z44" s="105"/>
    </row>
    <row r="45" spans="1:26" x14ac:dyDescent="0.3">
      <c r="A45" s="45"/>
      <c r="B45" s="45"/>
      <c r="C45" s="45"/>
      <c r="D45" s="45"/>
      <c r="E45" s="45"/>
      <c r="F45" s="312"/>
      <c r="G45" s="54"/>
      <c r="H45" s="54"/>
      <c r="I45" s="54"/>
      <c r="J45" s="54"/>
      <c r="K45" s="54"/>
      <c r="L45" s="54"/>
      <c r="M45" s="54"/>
      <c r="N45" s="54"/>
      <c r="O45" s="54"/>
      <c r="P45" s="312"/>
      <c r="Q45" s="174"/>
      <c r="R45" s="54"/>
      <c r="S45" s="175"/>
      <c r="T45" s="177" t="s">
        <v>117</v>
      </c>
      <c r="U45" s="185" t="s">
        <v>118</v>
      </c>
      <c r="V45" s="178">
        <v>200</v>
      </c>
      <c r="W45" s="179"/>
      <c r="X45" s="178"/>
      <c r="Y45" s="304"/>
      <c r="Z45" s="105"/>
    </row>
    <row r="46" spans="1:26" ht="3" customHeight="1" x14ac:dyDescent="0.3">
      <c r="A46" s="45"/>
      <c r="B46" s="45"/>
      <c r="C46" s="45"/>
      <c r="D46" s="45"/>
      <c r="E46" s="45"/>
      <c r="F46" s="312"/>
      <c r="G46" s="54"/>
      <c r="H46" s="54"/>
      <c r="I46" s="54"/>
      <c r="J46" s="54"/>
      <c r="K46" s="54"/>
      <c r="L46" s="54"/>
      <c r="M46" s="54"/>
      <c r="N46" s="54"/>
      <c r="O46" s="54"/>
      <c r="P46" s="312"/>
      <c r="Q46" s="174"/>
      <c r="R46" s="54"/>
      <c r="S46" s="175"/>
      <c r="T46" s="186"/>
      <c r="U46" s="54"/>
      <c r="V46" s="183"/>
      <c r="W46" s="179"/>
      <c r="X46" s="178"/>
      <c r="Y46" s="304"/>
      <c r="Z46" s="105"/>
    </row>
    <row r="47" spans="1:26" x14ac:dyDescent="0.3">
      <c r="A47" s="45"/>
      <c r="B47" s="45"/>
      <c r="C47" s="45"/>
      <c r="D47" s="45"/>
      <c r="E47" s="45"/>
      <c r="F47" s="312"/>
      <c r="G47" s="54"/>
      <c r="H47" s="54"/>
      <c r="I47" s="54"/>
      <c r="J47" s="54"/>
      <c r="K47" s="54"/>
      <c r="L47" s="54"/>
      <c r="M47" s="54"/>
      <c r="N47" s="54"/>
      <c r="O47" s="54"/>
      <c r="P47" s="312"/>
      <c r="Q47" s="174"/>
      <c r="R47" s="54"/>
      <c r="S47" s="175"/>
      <c r="T47" s="177" t="s">
        <v>119</v>
      </c>
      <c r="U47" s="54"/>
      <c r="V47" s="153">
        <f>+SUM(V43:X46)</f>
        <v>14367</v>
      </c>
      <c r="W47" s="179"/>
      <c r="X47" s="178"/>
      <c r="Y47" s="304"/>
      <c r="Z47" s="105"/>
    </row>
    <row r="48" spans="1:26" x14ac:dyDescent="0.3">
      <c r="A48" s="45"/>
      <c r="B48" s="45"/>
      <c r="C48" s="45"/>
      <c r="D48" s="45"/>
      <c r="E48" s="45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12"/>
      <c r="Q48" s="174"/>
      <c r="R48" s="54"/>
      <c r="S48" s="175"/>
      <c r="T48" s="177" t="s">
        <v>121</v>
      </c>
      <c r="U48" s="54"/>
      <c r="V48" s="187">
        <v>21.5</v>
      </c>
      <c r="W48" s="312"/>
      <c r="X48" s="188"/>
      <c r="Y48" s="304"/>
      <c r="Z48" s="105"/>
    </row>
    <row r="49" spans="1:26" ht="1.5" customHeight="1" x14ac:dyDescent="0.3">
      <c r="A49" s="45"/>
      <c r="B49" s="45"/>
      <c r="C49" s="45"/>
      <c r="D49" s="45"/>
      <c r="E49" s="45"/>
      <c r="F49" s="54"/>
      <c r="G49" s="180"/>
      <c r="H49" s="180"/>
      <c r="I49" s="180"/>
      <c r="J49" s="180"/>
      <c r="K49" s="180"/>
      <c r="L49" s="180"/>
      <c r="M49" s="180"/>
      <c r="N49" s="180"/>
      <c r="O49" s="180"/>
      <c r="P49" s="157"/>
      <c r="Q49" s="181"/>
      <c r="R49" s="180"/>
      <c r="S49" s="182"/>
      <c r="T49" s="180"/>
      <c r="U49" s="180"/>
      <c r="V49" s="189"/>
      <c r="W49" s="157"/>
      <c r="X49" s="189"/>
      <c r="Y49" s="304"/>
      <c r="Z49" s="105"/>
    </row>
    <row r="50" spans="1:26" x14ac:dyDescent="0.3">
      <c r="A50" s="45"/>
      <c r="B50" s="45"/>
      <c r="C50" s="45"/>
      <c r="D50" s="45"/>
      <c r="E50" s="45"/>
      <c r="F50" s="54"/>
      <c r="G50" s="54"/>
      <c r="H50" s="54"/>
      <c r="I50" s="190"/>
      <c r="J50" s="190"/>
      <c r="K50" s="190"/>
      <c r="L50" s="190"/>
      <c r="M50" s="190"/>
      <c r="N50" s="190"/>
      <c r="O50" s="190"/>
      <c r="P50" s="191"/>
      <c r="Q50" s="192"/>
      <c r="R50" s="190"/>
      <c r="S50" s="193"/>
      <c r="T50" s="194"/>
      <c r="U50" s="195" t="s">
        <v>123</v>
      </c>
      <c r="V50" s="196">
        <f>+V48*V47</f>
        <v>308890.5</v>
      </c>
      <c r="W50" s="312"/>
      <c r="X50" s="197" t="s">
        <v>124</v>
      </c>
      <c r="Y50" s="304"/>
      <c r="Z50" s="105"/>
    </row>
    <row r="51" spans="1:26" x14ac:dyDescent="0.3">
      <c r="A51" s="45"/>
      <c r="B51" s="45"/>
      <c r="C51" s="45"/>
      <c r="D51" s="45"/>
      <c r="E51" s="4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312"/>
      <c r="Q51" s="174"/>
      <c r="R51" s="54"/>
      <c r="S51" s="175"/>
      <c r="T51" s="54"/>
      <c r="U51" s="177" t="s">
        <v>126</v>
      </c>
      <c r="V51" s="198">
        <f>+'Dades Contracte'!F21</f>
        <v>279579.72000000003</v>
      </c>
      <c r="W51" s="312"/>
      <c r="X51" s="199" t="s">
        <v>127</v>
      </c>
      <c r="Y51" s="304"/>
      <c r="Z51" s="105"/>
    </row>
    <row r="52" spans="1:26" x14ac:dyDescent="0.3">
      <c r="A52" s="45"/>
      <c r="B52" s="45"/>
      <c r="C52" s="45"/>
      <c r="D52" s="45"/>
      <c r="E52" s="45"/>
      <c r="F52" s="5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200" t="s">
        <v>129</v>
      </c>
      <c r="V52" s="198">
        <f>+V50-V51</f>
        <v>29310.77999999997</v>
      </c>
      <c r="W52" s="312"/>
      <c r="X52" s="201">
        <f>+V52/V51</f>
        <v>0.1048387200616696</v>
      </c>
      <c r="Y52" s="304"/>
    </row>
    <row r="53" spans="1:26" x14ac:dyDescent="0.3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</sheetData>
  <mergeCells count="9">
    <mergeCell ref="C38:E38"/>
    <mergeCell ref="B2:C2"/>
    <mergeCell ref="B3:D3"/>
    <mergeCell ref="G6:O6"/>
    <mergeCell ref="Q6:S6"/>
    <mergeCell ref="C36:E36"/>
    <mergeCell ref="G36:O36"/>
    <mergeCell ref="C37:E37"/>
    <mergeCell ref="G37:O37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Proposta DEFINITIVA</vt:lpstr>
      <vt:lpstr>Càlculs</vt:lpstr>
      <vt:lpstr>Proposta 1</vt:lpstr>
      <vt:lpstr>Proposta 3</vt:lpstr>
      <vt:lpstr>Dades Contracte</vt:lpstr>
      <vt:lpstr>Taula v01</vt:lpstr>
      <vt:lpstr>Taula v02</vt:lpstr>
      <vt:lpstr>Taula v03</vt:lpstr>
      <vt:lpstr>Taula v04</vt:lpstr>
      <vt:lpstr>Taula Personal Propi</vt:lpstr>
      <vt:lpstr>Taula v05</vt:lpstr>
      <vt:lpstr>Taula Cost Servei</vt:lpstr>
      <vt:lpstr>Hoja1</vt:lpstr>
      <vt:lpstr>docs comptables</vt:lpstr>
      <vt:lpstr>'Taula v05'!Área_de_impresión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2025-10-15T10:07:33Z</dcterms:modified>
  <cp:category/>
  <cp:contentStatus/>
</cp:coreProperties>
</file>