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Ofimatica\ICUB_MUHBA\4_ADMINISTRACIÓ\ADMINIST\2025\CONCURSOS\BORN\MANTENIMENT BORN\2-SIMPLIFICAT. Febrer-Abril\"/>
    </mc:Choice>
  </mc:AlternateContent>
  <xr:revisionPtr revIDLastSave="0" documentId="13_ncr:1_{624F3C7E-188F-4655-9CC6-C8D9CAB6A983}" xr6:coauthVersionLast="47" xr6:coauthVersionMax="47" xr10:uidLastSave="{00000000-0000-0000-0000-000000000000}"/>
  <bookViews>
    <workbookView xWindow="-48" yWindow="-48" windowWidth="23136" windowHeight="12456" xr2:uid="{7BA55062-C51E-4663-9BCF-E427DDC4EEA7}"/>
  </bookViews>
  <sheets>
    <sheet name="Costos Simplificat" sheetId="2" r:id="rId1"/>
    <sheet name="taula inform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M37" i="2"/>
  <c r="E27" i="3"/>
  <c r="E29" i="3" s="1"/>
  <c r="E25" i="3"/>
  <c r="D47" i="2"/>
  <c r="D44" i="2" l="1"/>
  <c r="E44" i="2" s="1"/>
  <c r="D48" i="2"/>
  <c r="K58" i="2"/>
  <c r="L65" i="2" s="1"/>
  <c r="E13" i="2"/>
  <c r="E30" i="2"/>
  <c r="E35" i="2"/>
  <c r="I58" i="2"/>
  <c r="L66" i="2" l="1"/>
  <c r="M62" i="2"/>
  <c r="M63" i="2"/>
  <c r="N62" i="2" s="1"/>
  <c r="M64" i="2"/>
  <c r="N63" i="2" s="1"/>
  <c r="E48" i="2"/>
  <c r="C6" i="3" s="1"/>
  <c r="L67" i="2"/>
  <c r="E36" i="2"/>
  <c r="M66" i="2" l="1"/>
  <c r="N65" i="2" s="1"/>
  <c r="M65" i="2"/>
  <c r="N61" i="2"/>
  <c r="C13" i="3"/>
  <c r="C14" i="3"/>
  <c r="E40" i="2"/>
  <c r="C5" i="3" l="1"/>
  <c r="C12" i="3"/>
  <c r="N64" i="2"/>
  <c r="N66" i="2" s="1"/>
  <c r="M67" i="2"/>
  <c r="C15" i="3" l="1"/>
  <c r="C17" i="3" s="1"/>
  <c r="C18" i="3" s="1"/>
  <c r="C19" i="3" s="1"/>
  <c r="C20" i="3" s="1"/>
  <c r="C4" i="3"/>
  <c r="C7" i="3" s="1"/>
  <c r="C9" i="3" s="1"/>
  <c r="C8" i="3" l="1"/>
</calcChain>
</file>

<file path=xl/sharedStrings.xml><?xml version="1.0" encoding="utf-8"?>
<sst xmlns="http://schemas.openxmlformats.org/spreadsheetml/2006/main" count="136" uniqueCount="92">
  <si>
    <t>Capitol 1.-Manteniment Preventiu i Normatiu</t>
  </si>
  <si>
    <t>TOTAL</t>
  </si>
  <si>
    <t>INSTAL·LACIONS</t>
  </si>
  <si>
    <t>OBRA CIVIL</t>
  </si>
  <si>
    <t>TOTAL PARCIAL PREV + NORM</t>
  </si>
  <si>
    <t>Capitol 2.-Manteniment Conductiu</t>
  </si>
  <si>
    <t>Previsió de despesa</t>
  </si>
  <si>
    <t>TOTAL PARCIAL CONDUCTIU</t>
  </si>
  <si>
    <t>Capitol 3.-Assistència personalitzada 24h</t>
  </si>
  <si>
    <t>TOTAL PARCIAL CORRECTIU</t>
  </si>
  <si>
    <t>Dilluns</t>
  </si>
  <si>
    <t>Dimarts</t>
  </si>
  <si>
    <t>Dimecres</t>
  </si>
  <si>
    <t>Dijous</t>
  </si>
  <si>
    <t>Divendres</t>
  </si>
  <si>
    <t>Dissabte</t>
  </si>
  <si>
    <t>Dge/festiu</t>
  </si>
  <si>
    <t>Esdev.</t>
  </si>
  <si>
    <t>H setmana</t>
  </si>
  <si>
    <t>H Fes/Noc</t>
  </si>
  <si>
    <t>H T. M/T</t>
  </si>
  <si>
    <t>Hores Totals</t>
  </si>
  <si>
    <t>Lab. (matí-tarda)</t>
  </si>
  <si>
    <t>Festiu/nocturn</t>
  </si>
  <si>
    <t>M/T/N</t>
  </si>
  <si>
    <t>5/3/-</t>
  </si>
  <si>
    <t>operari 2 - tècnic 4</t>
  </si>
  <si>
    <t>operari 3 - tècnic 4</t>
  </si>
  <si>
    <t>operari 4 - tècnic 5</t>
  </si>
  <si>
    <t>-/6/2</t>
  </si>
  <si>
    <t>operari 5 - tècnic 5</t>
  </si>
  <si>
    <t>6/6/-</t>
  </si>
  <si>
    <t>TOTALS</t>
  </si>
  <si>
    <t>operari 1 encarregat</t>
  </si>
  <si>
    <r>
      <t xml:space="preserve">2026 </t>
    </r>
    <r>
      <rPr>
        <b/>
        <sz val="7.5"/>
        <color theme="1"/>
        <rFont val="Calibri"/>
        <family val="2"/>
      </rPr>
      <t>Manteniment Conductiu</t>
    </r>
  </si>
  <si>
    <t>Periode del 1 de Febrer al 30 d'abril de 2026</t>
  </si>
  <si>
    <t>Electricitat de BT, MT, parallamps</t>
  </si>
  <si>
    <t>Climatització</t>
  </si>
  <si>
    <t>Fontaneria</t>
  </si>
  <si>
    <t>Sanejament i accessoris per a banys</t>
  </si>
  <si>
    <t>Gas</t>
  </si>
  <si>
    <t>Protecció contra incendis</t>
  </si>
  <si>
    <t>Elements de seguretat</t>
  </si>
  <si>
    <t>Xarxa de veu i dades i informàtica</t>
  </si>
  <si>
    <t>Megafonía, CCTV, televisió</t>
  </si>
  <si>
    <t>Murs, pilars, jaceres de formigó</t>
  </si>
  <si>
    <t>Estructura metàl·lica i pilars de fosa</t>
  </si>
  <si>
    <t>Cobertes</t>
  </si>
  <si>
    <t>Façanes</t>
  </si>
  <si>
    <t>Escales</t>
  </si>
  <si>
    <t>Tancaments i divisories</t>
  </si>
  <si>
    <t>Revestiments</t>
  </si>
  <si>
    <t>Sostres</t>
  </si>
  <si>
    <t>Paviments</t>
  </si>
  <si>
    <t>Entramats metàl·lics</t>
  </si>
  <si>
    <t>Fusteria de fosa i elements de fosa</t>
  </si>
  <si>
    <t>Portes, finestres, lluernaris i tancaments practicables</t>
  </si>
  <si>
    <t>Baranes, linies de vida i sistemes antiocells</t>
  </si>
  <si>
    <t>Pintures d'interior i exterior i neteja de graffitis</t>
  </si>
  <si>
    <t>Pintures ignífugues i intumescents</t>
  </si>
  <si>
    <t>VARIS</t>
  </si>
  <si>
    <t>Gestió subcontractes manteniment.</t>
  </si>
  <si>
    <t>Neteja sales tècniques</t>
  </si>
  <si>
    <t>Entitats d'inspecció i control</t>
  </si>
  <si>
    <t>dies</t>
  </si>
  <si>
    <t>setmanes</t>
  </si>
  <si>
    <t>n. operaris</t>
  </si>
  <si>
    <t>Taules conveni</t>
  </si>
  <si>
    <t>x1.33 Seg Social</t>
  </si>
  <si>
    <t>Costos directes</t>
  </si>
  <si>
    <t>Contractació serveis externs (Manteniment preventiu)</t>
  </si>
  <si>
    <t>Total</t>
  </si>
  <si>
    <t>Costos indirectes</t>
  </si>
  <si>
    <t>Despeses generals d’estructura (10% dels costos directes)</t>
  </si>
  <si>
    <t>Benefici industrial (6% CD+CI)</t>
  </si>
  <si>
    <t>TOTAL PRESSUPOST NET</t>
  </si>
  <si>
    <t>MANTENIMENT INTEGRAL</t>
  </si>
  <si>
    <t>Manteniment Preventiu</t>
  </si>
  <si>
    <t>Manteniment Conductiu+ Assistència personalitzada 24h</t>
  </si>
  <si>
    <t>SUMA</t>
  </si>
  <si>
    <t>IVA 21%</t>
  </si>
  <si>
    <t>Manteniment Correctiu</t>
  </si>
  <si>
    <t>operari</t>
  </si>
  <si>
    <t>Encarregat</t>
  </si>
  <si>
    <t>Previsió de despesa: Costes laborals</t>
  </si>
  <si>
    <t>TOTAL PARCIAL Assistència personalitzada 24h</t>
  </si>
  <si>
    <t>EL BORN-Museu Història de Barcelona</t>
  </si>
  <si>
    <t>Manteniment Correctiu (serveis externs)</t>
  </si>
  <si>
    <t>Costos salarials (Manteniment Conductiu + assistència + tècnic)</t>
  </si>
  <si>
    <t>Capitol 4.-MANTENIMENT CORRECTIU</t>
  </si>
  <si>
    <t>Assistència personalitzada 24h</t>
  </si>
  <si>
    <t>Preu conductiu i assistència personalitzada 24 hores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</si>
</sst>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€-2]\ #,##0.00;[Red]\-[$€-2]\ #,##0.00"/>
    <numFmt numFmtId="165" formatCode="_-[$€-2]\ * #,##0.00_-;\-[$€-2]\ * #,##0.00_-;_-[$€-2]\ * &quot;-&quot;??_-;_-@_-"/>
    <numFmt numFmtId="166" formatCode="#,##0.00\ &quot;€&quot;"/>
    <numFmt numFmtId="168" formatCode="0.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FFFF"/>
      <name val="Arial"/>
      <family val="2"/>
    </font>
    <font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7.5"/>
      <color theme="1"/>
      <name val="Trebuchet MS"/>
      <family val="2"/>
    </font>
    <font>
      <b/>
      <sz val="7.5"/>
      <color theme="1"/>
      <name val="Trebuchet MS"/>
      <family val="2"/>
    </font>
    <font>
      <b/>
      <sz val="7.5"/>
      <color theme="1"/>
      <name val="Calibri"/>
      <family val="2"/>
    </font>
    <font>
      <sz val="7.5"/>
      <color theme="1"/>
      <name val="Calibri"/>
      <family val="2"/>
    </font>
    <font>
      <b/>
      <sz val="7"/>
      <color theme="1"/>
      <name val="Times New Roman"/>
      <family val="1"/>
    </font>
    <font>
      <b/>
      <sz val="5.5"/>
      <color theme="1"/>
      <name val="Calibri"/>
      <family val="2"/>
    </font>
    <font>
      <sz val="6"/>
      <color theme="1"/>
      <name val="Calibri"/>
      <family val="2"/>
    </font>
    <font>
      <sz val="6"/>
      <color theme="1"/>
      <name val="Times New Roman"/>
      <family val="1"/>
    </font>
    <font>
      <sz val="7.5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94DCF8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7"/>
    </xf>
    <xf numFmtId="0" fontId="0" fillId="0" borderId="0" xfId="0" applyAlignment="1">
      <alignment horizontal="left" vertical="center" indent="15"/>
    </xf>
    <xf numFmtId="0" fontId="8" fillId="0" borderId="0" xfId="0" applyFont="1" applyAlignment="1">
      <alignment horizontal="left" vertical="center" indent="15"/>
    </xf>
    <xf numFmtId="0" fontId="10" fillId="0" borderId="0" xfId="0" applyFont="1" applyAlignment="1">
      <alignment horizontal="left" vertical="center" indent="15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5" fillId="5" borderId="1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2" fontId="17" fillId="0" borderId="13" xfId="0" applyNumberFormat="1" applyFont="1" applyBorder="1" applyAlignment="1">
      <alignment vertical="center" wrapText="1"/>
    </xf>
    <xf numFmtId="165" fontId="0" fillId="0" borderId="14" xfId="0" applyNumberFormat="1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right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 indent="2"/>
    </xf>
    <xf numFmtId="2" fontId="0" fillId="0" borderId="0" xfId="0" applyNumberFormat="1"/>
    <xf numFmtId="0" fontId="5" fillId="2" borderId="20" xfId="0" applyFont="1" applyFill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16" fillId="0" borderId="0" xfId="0" applyFont="1"/>
    <xf numFmtId="0" fontId="0" fillId="0" borderId="21" xfId="0" applyBorder="1"/>
    <xf numFmtId="0" fontId="19" fillId="6" borderId="22" xfId="0" applyFont="1" applyFill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19" fillId="6" borderId="4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right" vertical="center" wrapText="1"/>
    </xf>
    <xf numFmtId="0" fontId="19" fillId="7" borderId="4" xfId="0" applyFont="1" applyFill="1" applyBorder="1" applyAlignment="1">
      <alignment horizontal="justify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166" fontId="19" fillId="6" borderId="1" xfId="0" applyNumberFormat="1" applyFont="1" applyFill="1" applyBorder="1" applyAlignment="1">
      <alignment horizontal="right" vertical="center" wrapText="1"/>
    </xf>
    <xf numFmtId="166" fontId="19" fillId="7" borderId="1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4" fillId="3" borderId="2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4" fillId="8" borderId="15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166" fontId="17" fillId="0" borderId="26" xfId="1" applyNumberFormat="1" applyFont="1" applyBorder="1" applyAlignment="1">
      <alignment horizontal="right" vertical="center" wrapText="1"/>
    </xf>
    <xf numFmtId="166" fontId="4" fillId="3" borderId="26" xfId="1" applyNumberFormat="1" applyFont="1" applyFill="1" applyBorder="1" applyAlignment="1">
      <alignment horizontal="right" vertical="center" wrapText="1"/>
    </xf>
    <xf numFmtId="166" fontId="17" fillId="0" borderId="27" xfId="1" applyNumberFormat="1" applyFont="1" applyBorder="1" applyAlignment="1">
      <alignment horizontal="right" vertical="center" wrapText="1"/>
    </xf>
    <xf numFmtId="166" fontId="4" fillId="8" borderId="28" xfId="1" applyNumberFormat="1" applyFont="1" applyFill="1" applyBorder="1" applyAlignment="1">
      <alignment horizontal="right" vertical="center" wrapText="1"/>
    </xf>
    <xf numFmtId="0" fontId="22" fillId="0" borderId="30" xfId="0" applyFont="1" applyBorder="1" applyAlignment="1">
      <alignment horizontal="justify" vertical="center" wrapText="1"/>
    </xf>
    <xf numFmtId="0" fontId="20" fillId="0" borderId="29" xfId="0" applyFont="1" applyBorder="1" applyAlignment="1">
      <alignment horizontal="justify" vertical="center" wrapText="1"/>
    </xf>
    <xf numFmtId="0" fontId="21" fillId="6" borderId="9" xfId="0" applyFont="1" applyFill="1" applyBorder="1" applyAlignment="1">
      <alignment horizontal="justify" vertical="center" wrapText="1"/>
    </xf>
    <xf numFmtId="166" fontId="22" fillId="0" borderId="26" xfId="1" applyNumberFormat="1" applyFont="1" applyBorder="1" applyAlignment="1">
      <alignment horizontal="right" vertical="center" wrapText="1"/>
    </xf>
    <xf numFmtId="166" fontId="20" fillId="0" borderId="28" xfId="1" applyNumberFormat="1" applyFont="1" applyBorder="1" applyAlignment="1">
      <alignment horizontal="right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vertical="center" wrapText="1"/>
    </xf>
    <xf numFmtId="8" fontId="17" fillId="0" borderId="34" xfId="0" applyNumberFormat="1" applyFont="1" applyBorder="1" applyAlignment="1">
      <alignment horizontal="right" vertical="center" wrapText="1"/>
    </xf>
    <xf numFmtId="0" fontId="4" fillId="3" borderId="33" xfId="0" applyFont="1" applyFill="1" applyBorder="1" applyAlignment="1">
      <alignment vertical="center" wrapText="1"/>
    </xf>
    <xf numFmtId="8" fontId="4" fillId="3" borderId="34" xfId="0" applyNumberFormat="1" applyFont="1" applyFill="1" applyBorder="1" applyAlignment="1">
      <alignment horizontal="right" vertical="center" wrapText="1"/>
    </xf>
    <xf numFmtId="0" fontId="17" fillId="0" borderId="35" xfId="0" applyFont="1" applyBorder="1" applyAlignment="1">
      <alignment vertical="center" wrapText="1"/>
    </xf>
    <xf numFmtId="8" fontId="17" fillId="0" borderId="36" xfId="0" applyNumberFormat="1" applyFont="1" applyBorder="1" applyAlignment="1">
      <alignment horizontal="right" vertical="center" wrapText="1"/>
    </xf>
    <xf numFmtId="0" fontId="4" fillId="8" borderId="35" xfId="0" applyFont="1" applyFill="1" applyBorder="1" applyAlignment="1">
      <alignment vertical="center" wrapText="1"/>
    </xf>
    <xf numFmtId="8" fontId="4" fillId="8" borderId="36" xfId="0" applyNumberFormat="1" applyFont="1" applyFill="1" applyBorder="1" applyAlignment="1">
      <alignment horizontal="right" vertical="center" wrapText="1"/>
    </xf>
    <xf numFmtId="44" fontId="0" fillId="0" borderId="21" xfId="1" applyFont="1" applyBorder="1"/>
    <xf numFmtId="0" fontId="0" fillId="0" borderId="21" xfId="0" applyBorder="1" applyAlignment="1">
      <alignment horizontal="center"/>
    </xf>
    <xf numFmtId="0" fontId="16" fillId="9" borderId="21" xfId="0" applyFont="1" applyFill="1" applyBorder="1" applyAlignment="1">
      <alignment horizontal="center"/>
    </xf>
    <xf numFmtId="0" fontId="16" fillId="10" borderId="21" xfId="0" applyFont="1" applyFill="1" applyBorder="1"/>
    <xf numFmtId="44" fontId="16" fillId="10" borderId="21" xfId="1" applyFont="1" applyFill="1" applyBorder="1"/>
    <xf numFmtId="44" fontId="1" fillId="0" borderId="0" xfId="1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17" fillId="0" borderId="26" xfId="1" applyFont="1" applyBorder="1" applyAlignment="1">
      <alignment horizontal="right" vertical="center" wrapText="1"/>
    </xf>
    <xf numFmtId="166" fontId="22" fillId="0" borderId="37" xfId="1" applyNumberFormat="1" applyFont="1" applyBorder="1" applyAlignment="1">
      <alignment horizontal="right" vertical="center" wrapText="1"/>
    </xf>
    <xf numFmtId="0" fontId="22" fillId="0" borderId="13" xfId="0" applyFont="1" applyBorder="1"/>
    <xf numFmtId="0" fontId="22" fillId="0" borderId="38" xfId="0" applyFont="1" applyBorder="1" applyAlignment="1">
      <alignment horizontal="justify" vertical="center" wrapText="1"/>
    </xf>
    <xf numFmtId="166" fontId="22" fillId="0" borderId="9" xfId="0" applyNumberFormat="1" applyFont="1" applyBorder="1" applyAlignment="1">
      <alignment horizontal="right" vertical="center" wrapText="1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168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54</xdr:row>
      <xdr:rowOff>66675</xdr:rowOff>
    </xdr:from>
    <xdr:to>
      <xdr:col>3</xdr:col>
      <xdr:colOff>24765</xdr:colOff>
      <xdr:row>55</xdr:row>
      <xdr:rowOff>3175</xdr:rowOff>
    </xdr:to>
    <xdr:sp macro="" textlink="">
      <xdr:nvSpPr>
        <xdr:cNvPr id="2" name="Quadre de text 1">
          <a:extLst>
            <a:ext uri="{FF2B5EF4-FFF2-40B4-BE49-F238E27FC236}">
              <a16:creationId xmlns:a16="http://schemas.microsoft.com/office/drawing/2014/main" id="{0DC1CC3E-9321-4D81-B327-E74901718DB5}"/>
            </a:ext>
          </a:extLst>
        </xdr:cNvPr>
        <xdr:cNvSpPr txBox="1">
          <a:spLocks noChangeArrowheads="1"/>
        </xdr:cNvSpPr>
      </xdr:nvSpPr>
      <xdr:spPr bwMode="auto">
        <a:xfrm>
          <a:off x="647700" y="8477250"/>
          <a:ext cx="4558665" cy="127000"/>
        </a:xfrm>
        <a:prstGeom prst="rect">
          <a:avLst/>
        </a:prstGeom>
        <a:solidFill>
          <a:srgbClr val="00B0F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12065">
            <a:lnSpc>
              <a:spcPts val="865"/>
            </a:lnSpc>
          </a:pP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calendari</a:t>
          </a:r>
          <a:r>
            <a:rPr lang="ca-ES" sz="750" spc="2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hores</a:t>
          </a:r>
          <a:r>
            <a:rPr lang="ca-ES" sz="750" spc="2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 </a:t>
          </a:r>
          <a:r>
            <a:rPr lang="ca-ES" sz="750">
              <a:effectLst/>
              <a:latin typeface="Trebuchet MS" panose="020B0603020202020204" pitchFamily="34" charset="0"/>
              <a:ea typeface="Trebuchet MS" panose="020B0603020202020204" pitchFamily="34" charset="0"/>
              <a:cs typeface="Trebuchet MS" panose="020B0603020202020204" pitchFamily="34" charset="0"/>
            </a:rPr>
            <a:t>totals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46A2D-0A1F-4472-85EF-6173266365C6}">
  <dimension ref="B1:P67"/>
  <sheetViews>
    <sheetView tabSelected="1" topLeftCell="A28" workbookViewId="0">
      <selection activeCell="K42" sqref="K42"/>
    </sheetView>
  </sheetViews>
  <sheetFormatPr defaultColWidth="11.5546875" defaultRowHeight="14.4" x14ac:dyDescent="0.3"/>
  <cols>
    <col min="2" max="2" width="44.6640625" bestFit="1" customWidth="1"/>
    <col min="4" max="4" width="15.88671875" customWidth="1"/>
    <col min="5" max="5" width="13.33203125" bestFit="1" customWidth="1"/>
    <col min="9" max="9" width="12.5546875" bestFit="1" customWidth="1"/>
    <col min="10" max="10" width="14.6640625" customWidth="1"/>
    <col min="11" max="11" width="13" bestFit="1" customWidth="1"/>
    <col min="12" max="12" width="14.77734375" bestFit="1" customWidth="1"/>
    <col min="13" max="13" width="11.77734375" bestFit="1" customWidth="1"/>
    <col min="16" max="16" width="13.33203125" bestFit="1" customWidth="1"/>
  </cols>
  <sheetData>
    <row r="1" spans="2:5" ht="15" thickBot="1" x14ac:dyDescent="0.35"/>
    <row r="2" spans="2:5" ht="39.6" x14ac:dyDescent="0.3">
      <c r="B2" s="86" t="s">
        <v>0</v>
      </c>
      <c r="C2" s="87"/>
      <c r="D2" s="88" t="s">
        <v>86</v>
      </c>
      <c r="E2" s="89" t="s">
        <v>1</v>
      </c>
    </row>
    <row r="3" spans="2:5" x14ac:dyDescent="0.3">
      <c r="B3" s="101" t="s">
        <v>2</v>
      </c>
      <c r="C3" s="102"/>
      <c r="D3" s="102"/>
      <c r="E3" s="103"/>
    </row>
    <row r="4" spans="2:5" x14ac:dyDescent="0.3">
      <c r="B4" s="29" t="s">
        <v>36</v>
      </c>
      <c r="E4" s="30">
        <v>2782.037589041096</v>
      </c>
    </row>
    <row r="5" spans="2:5" x14ac:dyDescent="0.3">
      <c r="B5" s="29" t="s">
        <v>37</v>
      </c>
      <c r="E5" s="30">
        <v>10148.132342465753</v>
      </c>
    </row>
    <row r="6" spans="2:5" x14ac:dyDescent="0.3">
      <c r="B6" s="29" t="s">
        <v>38</v>
      </c>
      <c r="E6" s="30">
        <v>990.31653287671236</v>
      </c>
    </row>
    <row r="7" spans="2:5" x14ac:dyDescent="0.3">
      <c r="B7" s="29" t="s">
        <v>39</v>
      </c>
      <c r="E7" s="30">
        <v>321.28878082191784</v>
      </c>
    </row>
    <row r="8" spans="2:5" x14ac:dyDescent="0.3">
      <c r="B8" s="29" t="s">
        <v>40</v>
      </c>
      <c r="E8" s="30">
        <v>108.82956575342466</v>
      </c>
    </row>
    <row r="9" spans="2:5" x14ac:dyDescent="0.3">
      <c r="B9" s="29" t="s">
        <v>41</v>
      </c>
      <c r="E9" s="30">
        <v>1077.6730808219179</v>
      </c>
    </row>
    <row r="10" spans="2:5" x14ac:dyDescent="0.3">
      <c r="B10" s="29" t="s">
        <v>42</v>
      </c>
      <c r="E10" s="30">
        <v>55.027968493150688</v>
      </c>
    </row>
    <row r="11" spans="2:5" x14ac:dyDescent="0.3">
      <c r="B11" s="29" t="s">
        <v>43</v>
      </c>
      <c r="E11" s="30">
        <v>81.416712328767133</v>
      </c>
    </row>
    <row r="12" spans="2:5" x14ac:dyDescent="0.3">
      <c r="B12" s="29" t="s">
        <v>44</v>
      </c>
      <c r="E12" s="30">
        <v>446.34024246575342</v>
      </c>
    </row>
    <row r="13" spans="2:5" x14ac:dyDescent="0.3">
      <c r="B13" s="31"/>
      <c r="D13" s="32" t="s">
        <v>1</v>
      </c>
      <c r="E13" s="30">
        <f>SUM(E4:E12)</f>
        <v>16011.062815068495</v>
      </c>
    </row>
    <row r="14" spans="2:5" x14ac:dyDescent="0.3">
      <c r="B14" s="101" t="s">
        <v>3</v>
      </c>
      <c r="C14" s="102"/>
      <c r="D14" s="102"/>
      <c r="E14" s="103"/>
    </row>
    <row r="15" spans="2:5" x14ac:dyDescent="0.3">
      <c r="B15" s="33" t="s">
        <v>45</v>
      </c>
      <c r="E15" s="30">
        <v>118.08239589041096</v>
      </c>
    </row>
    <row r="16" spans="2:5" x14ac:dyDescent="0.3">
      <c r="B16" s="33" t="s">
        <v>46</v>
      </c>
      <c r="E16" s="30">
        <v>319.47610684931504</v>
      </c>
    </row>
    <row r="17" spans="2:16" x14ac:dyDescent="0.3">
      <c r="B17" s="33" t="s">
        <v>47</v>
      </c>
      <c r="E17" s="30">
        <v>1828.8549041095889</v>
      </c>
    </row>
    <row r="18" spans="2:16" x14ac:dyDescent="0.3">
      <c r="B18" s="33" t="s">
        <v>48</v>
      </c>
      <c r="E18" s="30">
        <v>546.0040273972603</v>
      </c>
    </row>
    <row r="19" spans="2:16" x14ac:dyDescent="0.3">
      <c r="B19" s="33" t="s">
        <v>49</v>
      </c>
      <c r="E19" s="30">
        <v>31.729475342465758</v>
      </c>
    </row>
    <row r="20" spans="2:16" x14ac:dyDescent="0.3">
      <c r="B20" s="33" t="s">
        <v>50</v>
      </c>
      <c r="E20" s="30">
        <v>170.7267493150685</v>
      </c>
    </row>
    <row r="21" spans="2:16" x14ac:dyDescent="0.3">
      <c r="B21" s="33" t="s">
        <v>51</v>
      </c>
      <c r="E21" s="30">
        <v>484.70338767123286</v>
      </c>
    </row>
    <row r="22" spans="2:16" x14ac:dyDescent="0.3">
      <c r="B22" s="33" t="s">
        <v>52</v>
      </c>
      <c r="E22" s="30">
        <v>269.72998356164391</v>
      </c>
    </row>
    <row r="23" spans="2:16" x14ac:dyDescent="0.3">
      <c r="B23" s="33" t="s">
        <v>53</v>
      </c>
      <c r="E23" s="30">
        <v>1174.4591178082192</v>
      </c>
    </row>
    <row r="24" spans="2:16" x14ac:dyDescent="0.3">
      <c r="B24" s="33" t="s">
        <v>54</v>
      </c>
      <c r="E24" s="30">
        <v>133.87416575342465</v>
      </c>
    </row>
    <row r="25" spans="2:16" x14ac:dyDescent="0.3">
      <c r="B25" s="33" t="s">
        <v>55</v>
      </c>
      <c r="E25" s="30">
        <v>110.14042602739725</v>
      </c>
    </row>
    <row r="26" spans="2:16" x14ac:dyDescent="0.3">
      <c r="B26" s="33" t="s">
        <v>56</v>
      </c>
      <c r="E26" s="30">
        <v>2184.894283561644</v>
      </c>
    </row>
    <row r="27" spans="2:16" x14ac:dyDescent="0.3">
      <c r="B27" s="33" t="s">
        <v>57</v>
      </c>
      <c r="E27" s="30">
        <v>387.22351643835617</v>
      </c>
    </row>
    <row r="28" spans="2:16" x14ac:dyDescent="0.3">
      <c r="B28" s="33" t="s">
        <v>58</v>
      </c>
      <c r="E28" s="30">
        <v>863.20917123287677</v>
      </c>
    </row>
    <row r="29" spans="2:16" x14ac:dyDescent="0.3">
      <c r="B29" s="33" t="s">
        <v>59</v>
      </c>
      <c r="E29" s="30">
        <v>1086.4855438356167</v>
      </c>
    </row>
    <row r="30" spans="2:16" x14ac:dyDescent="0.3">
      <c r="B30" s="31"/>
      <c r="D30" s="32" t="s">
        <v>1</v>
      </c>
      <c r="E30" s="30">
        <f>SUM(E15:E29)</f>
        <v>9709.5932547945213</v>
      </c>
    </row>
    <row r="31" spans="2:16" x14ac:dyDescent="0.3">
      <c r="B31" s="101" t="s">
        <v>60</v>
      </c>
      <c r="C31" s="102"/>
      <c r="D31" s="102"/>
      <c r="E31" s="103"/>
    </row>
    <row r="32" spans="2:16" x14ac:dyDescent="0.3">
      <c r="B32" s="33" t="s">
        <v>61</v>
      </c>
      <c r="E32" s="30">
        <v>3500.2602739726026</v>
      </c>
      <c r="H32" s="42" t="s">
        <v>91</v>
      </c>
      <c r="P32" s="38"/>
    </row>
    <row r="33" spans="2:15" x14ac:dyDescent="0.3">
      <c r="B33" s="33" t="s">
        <v>62</v>
      </c>
      <c r="E33" s="30">
        <v>294.28045068493157</v>
      </c>
      <c r="H33" s="82" t="s">
        <v>66</v>
      </c>
      <c r="I33" s="82"/>
      <c r="J33" s="82" t="s">
        <v>67</v>
      </c>
      <c r="K33" s="82" t="s">
        <v>1</v>
      </c>
      <c r="L33" s="82" t="s">
        <v>68</v>
      </c>
      <c r="M33" s="82" t="s">
        <v>1</v>
      </c>
    </row>
    <row r="34" spans="2:15" x14ac:dyDescent="0.3">
      <c r="B34" s="33" t="s">
        <v>63</v>
      </c>
      <c r="E34" s="30">
        <v>455.02981232876715</v>
      </c>
      <c r="H34" s="81">
        <v>1</v>
      </c>
      <c r="I34" s="43" t="s">
        <v>83</v>
      </c>
      <c r="J34" s="80">
        <v>7049.9874794520547</v>
      </c>
      <c r="K34" s="80">
        <v>7049.9874794520547</v>
      </c>
      <c r="L34" s="80">
        <v>9376.4833476712338</v>
      </c>
      <c r="M34" s="80">
        <v>9376.49</v>
      </c>
    </row>
    <row r="35" spans="2:15" x14ac:dyDescent="0.3">
      <c r="B35" s="31"/>
      <c r="D35" s="32" t="s">
        <v>1</v>
      </c>
      <c r="E35" s="30">
        <f>SUM(E32:E34)</f>
        <v>4249.5705369863017</v>
      </c>
      <c r="H35" s="81">
        <v>4</v>
      </c>
      <c r="I35" s="43" t="s">
        <v>82</v>
      </c>
      <c r="J35" s="80">
        <v>6575.5906575342469</v>
      </c>
      <c r="K35" s="80">
        <v>6575.5906575342469</v>
      </c>
      <c r="L35" s="80">
        <v>8745.5355745205488</v>
      </c>
      <c r="M35" s="80">
        <v>34982.142298082195</v>
      </c>
    </row>
    <row r="36" spans="2:15" ht="15" thickBot="1" x14ac:dyDescent="0.35">
      <c r="B36" s="34" t="s">
        <v>4</v>
      </c>
      <c r="C36" s="35"/>
      <c r="D36" s="36"/>
      <c r="E36" s="37">
        <f>SUM(E13,E30,E35)</f>
        <v>29970.226606849319</v>
      </c>
      <c r="G36" s="2"/>
      <c r="H36" s="95" t="s">
        <v>90</v>
      </c>
      <c r="I36" s="96"/>
      <c r="J36" s="96"/>
      <c r="K36" s="97"/>
      <c r="L36" s="80"/>
      <c r="M36" s="80">
        <v>1500</v>
      </c>
    </row>
    <row r="37" spans="2:15" ht="15" thickBot="1" x14ac:dyDescent="0.35">
      <c r="B37" s="1"/>
      <c r="C37" s="1"/>
      <c r="D37" s="1"/>
      <c r="E37" s="1"/>
      <c r="G37" s="2"/>
      <c r="H37" s="83"/>
      <c r="I37" s="83"/>
      <c r="J37" s="84"/>
      <c r="K37" s="84"/>
      <c r="L37" s="84"/>
      <c r="M37" s="84">
        <f>SUM(M34:M36)</f>
        <v>45858.632298082193</v>
      </c>
    </row>
    <row r="38" spans="2:15" ht="15" thickBot="1" x14ac:dyDescent="0.35">
      <c r="B38" s="98" t="s">
        <v>5</v>
      </c>
      <c r="C38" s="99"/>
      <c r="D38" s="100"/>
      <c r="E38" s="40"/>
      <c r="G38" s="2"/>
      <c r="I38" s="2"/>
    </row>
    <row r="39" spans="2:15" x14ac:dyDescent="0.3">
      <c r="B39" s="41" t="s">
        <v>6</v>
      </c>
      <c r="C39" s="1"/>
      <c r="D39" s="3"/>
      <c r="E39" s="28"/>
      <c r="G39" s="2"/>
      <c r="I39" s="2"/>
      <c r="O39" s="39"/>
    </row>
    <row r="40" spans="2:15" ht="15" thickBot="1" x14ac:dyDescent="0.35">
      <c r="B40" s="34" t="s">
        <v>7</v>
      </c>
      <c r="C40" s="35"/>
      <c r="D40" s="37">
        <f>M34+M35</f>
        <v>44358.632298082193</v>
      </c>
      <c r="E40" s="37">
        <f>D40</f>
        <v>44358.632298082193</v>
      </c>
      <c r="G40" s="2"/>
      <c r="I40" s="2"/>
      <c r="O40" s="39"/>
    </row>
    <row r="41" spans="2:15" ht="15" thickBot="1" x14ac:dyDescent="0.35">
      <c r="B41" s="3"/>
      <c r="C41" s="3"/>
      <c r="D41" s="3"/>
      <c r="E41" s="3"/>
      <c r="G41" s="2"/>
      <c r="I41" s="2"/>
      <c r="K41" s="39"/>
      <c r="O41" s="39"/>
    </row>
    <row r="42" spans="2:15" ht="15" thickBot="1" x14ac:dyDescent="0.35">
      <c r="B42" s="67" t="s">
        <v>8</v>
      </c>
      <c r="C42" s="68"/>
      <c r="D42" s="69"/>
      <c r="E42" s="40"/>
      <c r="G42" s="2"/>
      <c r="I42" s="2"/>
      <c r="K42" s="104"/>
      <c r="O42" s="39"/>
    </row>
    <row r="43" spans="2:15" x14ac:dyDescent="0.3">
      <c r="B43" s="41" t="s">
        <v>84</v>
      </c>
      <c r="C43" s="1"/>
      <c r="D43" s="85">
        <v>1500</v>
      </c>
      <c r="E43" s="28"/>
      <c r="G43" s="2"/>
      <c r="I43" s="2"/>
      <c r="O43" s="39"/>
    </row>
    <row r="44" spans="2:15" ht="15" thickBot="1" x14ac:dyDescent="0.35">
      <c r="B44" s="34" t="s">
        <v>85</v>
      </c>
      <c r="C44" s="35"/>
      <c r="D44" s="37">
        <f>D43</f>
        <v>1500</v>
      </c>
      <c r="E44" s="37">
        <f>D44</f>
        <v>1500</v>
      </c>
      <c r="G44" s="2"/>
      <c r="I44" s="2"/>
      <c r="O44" s="39"/>
    </row>
    <row r="45" spans="2:15" ht="15" thickBot="1" x14ac:dyDescent="0.35">
      <c r="B45" s="3"/>
      <c r="C45" s="3"/>
      <c r="D45" s="3"/>
      <c r="E45" s="1"/>
      <c r="G45" s="2"/>
      <c r="I45" s="2"/>
    </row>
    <row r="46" spans="2:15" ht="15" thickBot="1" x14ac:dyDescent="0.35">
      <c r="B46" s="98" t="s">
        <v>89</v>
      </c>
      <c r="C46" s="99"/>
      <c r="D46" s="100"/>
      <c r="E46" s="40"/>
      <c r="G46" s="2"/>
      <c r="I46" s="2"/>
    </row>
    <row r="47" spans="2:15" x14ac:dyDescent="0.3">
      <c r="B47" s="41" t="s">
        <v>6</v>
      </c>
      <c r="C47" s="1"/>
      <c r="D47" s="30">
        <f>40500*89/365</f>
        <v>9875.3424657534251</v>
      </c>
      <c r="E47" s="28"/>
      <c r="G47" s="2"/>
      <c r="I47" s="2"/>
    </row>
    <row r="48" spans="2:15" ht="15" thickBot="1" x14ac:dyDescent="0.35">
      <c r="B48" s="34" t="s">
        <v>9</v>
      </c>
      <c r="C48" s="35"/>
      <c r="D48" s="37">
        <f>D47</f>
        <v>9875.3424657534251</v>
      </c>
      <c r="E48" s="37">
        <f>D48</f>
        <v>9875.3424657534251</v>
      </c>
      <c r="G48" s="2"/>
      <c r="I48" s="2"/>
    </row>
    <row r="49" spans="2:16" x14ac:dyDescent="0.3">
      <c r="B49" s="3"/>
      <c r="C49" s="3"/>
      <c r="D49" s="3"/>
      <c r="E49" s="1"/>
      <c r="I49" s="2"/>
    </row>
    <row r="50" spans="2:16" x14ac:dyDescent="0.3">
      <c r="B50" s="4"/>
    </row>
    <row r="51" spans="2:16" x14ac:dyDescent="0.3">
      <c r="B51" s="4"/>
    </row>
    <row r="52" spans="2:16" x14ac:dyDescent="0.3">
      <c r="B52" s="4"/>
    </row>
    <row r="53" spans="2:16" x14ac:dyDescent="0.3">
      <c r="B53" s="4"/>
    </row>
    <row r="54" spans="2:16" x14ac:dyDescent="0.3">
      <c r="B54" s="4"/>
    </row>
    <row r="55" spans="2:16" x14ac:dyDescent="0.3">
      <c r="B55" s="5"/>
    </row>
    <row r="56" spans="2:16" x14ac:dyDescent="0.3">
      <c r="B56" s="6"/>
    </row>
    <row r="57" spans="2:16" x14ac:dyDescent="0.3">
      <c r="B57" s="7" t="s">
        <v>34</v>
      </c>
      <c r="D57" t="s">
        <v>35</v>
      </c>
    </row>
    <row r="58" spans="2:16" ht="15" thickBot="1" x14ac:dyDescent="0.35">
      <c r="B58" s="8"/>
      <c r="I58">
        <f>28+31+30</f>
        <v>89</v>
      </c>
      <c r="J58" t="s">
        <v>64</v>
      </c>
      <c r="K58" s="39">
        <f>ROUNDUP(89/7,2)</f>
        <v>12.72</v>
      </c>
      <c r="L58" t="s">
        <v>65</v>
      </c>
    </row>
    <row r="59" spans="2:16" ht="15" thickBot="1" x14ac:dyDescent="0.35">
      <c r="B59" s="24"/>
      <c r="C59" s="9" t="s">
        <v>10</v>
      </c>
      <c r="D59" s="10" t="s">
        <v>11</v>
      </c>
      <c r="E59" s="10" t="s">
        <v>12</v>
      </c>
      <c r="F59" s="10" t="s">
        <v>13</v>
      </c>
      <c r="G59" s="9" t="s">
        <v>14</v>
      </c>
      <c r="N59" s="11" t="s">
        <v>21</v>
      </c>
      <c r="O59" s="10" t="s">
        <v>22</v>
      </c>
      <c r="P59" s="10" t="s">
        <v>23</v>
      </c>
    </row>
    <row r="60" spans="2:16" ht="15" thickBot="1" x14ac:dyDescent="0.35">
      <c r="B60" s="25"/>
      <c r="C60" s="12" t="s">
        <v>24</v>
      </c>
      <c r="D60" s="13" t="s">
        <v>24</v>
      </c>
      <c r="E60" s="13" t="s">
        <v>24</v>
      </c>
      <c r="F60" s="13" t="s">
        <v>24</v>
      </c>
      <c r="G60" s="12" t="s">
        <v>24</v>
      </c>
      <c r="H60" s="10" t="s">
        <v>15</v>
      </c>
      <c r="I60" s="10" t="s">
        <v>16</v>
      </c>
      <c r="J60" s="10" t="s">
        <v>17</v>
      </c>
      <c r="K60" s="11" t="s">
        <v>18</v>
      </c>
      <c r="L60" s="11" t="s">
        <v>19</v>
      </c>
      <c r="M60" s="11" t="s">
        <v>20</v>
      </c>
      <c r="N60" s="14"/>
      <c r="O60" s="26"/>
      <c r="P60" s="27"/>
    </row>
    <row r="61" spans="2:16" ht="15" thickBot="1" x14ac:dyDescent="0.35">
      <c r="B61" s="15" t="s">
        <v>33</v>
      </c>
      <c r="C61" s="16" t="s">
        <v>25</v>
      </c>
      <c r="D61" s="17" t="s">
        <v>25</v>
      </c>
      <c r="E61" s="17" t="s">
        <v>25</v>
      </c>
      <c r="F61" s="17" t="s">
        <v>25</v>
      </c>
      <c r="G61" s="16" t="s">
        <v>25</v>
      </c>
      <c r="H61" s="13" t="s">
        <v>24</v>
      </c>
      <c r="I61" s="13" t="s">
        <v>24</v>
      </c>
      <c r="J61" s="13" t="s">
        <v>24</v>
      </c>
      <c r="K61" s="14"/>
      <c r="L61" s="14"/>
      <c r="M61" s="14"/>
      <c r="N61" s="18">
        <f>M62</f>
        <v>508.8</v>
      </c>
      <c r="O61" s="19">
        <v>20</v>
      </c>
      <c r="P61" s="19">
        <v>25</v>
      </c>
    </row>
    <row r="62" spans="2:16" ht="15" thickBot="1" x14ac:dyDescent="0.35">
      <c r="B62" s="15" t="s">
        <v>26</v>
      </c>
      <c r="C62" s="16" t="s">
        <v>25</v>
      </c>
      <c r="D62" s="17" t="s">
        <v>25</v>
      </c>
      <c r="E62" s="17" t="s">
        <v>25</v>
      </c>
      <c r="F62" s="17" t="s">
        <v>25</v>
      </c>
      <c r="G62" s="16" t="s">
        <v>25</v>
      </c>
      <c r="H62" s="14"/>
      <c r="I62" s="14"/>
      <c r="J62" s="14"/>
      <c r="K62" s="18">
        <v>40</v>
      </c>
      <c r="L62" s="14"/>
      <c r="M62" s="18">
        <f>40*K58</f>
        <v>508.8</v>
      </c>
      <c r="N62" s="18">
        <f t="shared" ref="N62:N63" si="0">M63</f>
        <v>508.8</v>
      </c>
      <c r="O62" s="19">
        <v>17</v>
      </c>
      <c r="P62" s="19">
        <v>21</v>
      </c>
    </row>
    <row r="63" spans="2:16" ht="15" thickBot="1" x14ac:dyDescent="0.35">
      <c r="B63" s="15" t="s">
        <v>27</v>
      </c>
      <c r="C63" s="16" t="s">
        <v>25</v>
      </c>
      <c r="D63" s="17" t="s">
        <v>25</v>
      </c>
      <c r="E63" s="17" t="s">
        <v>25</v>
      </c>
      <c r="F63" s="17" t="s">
        <v>25</v>
      </c>
      <c r="G63" s="16" t="s">
        <v>25</v>
      </c>
      <c r="H63" s="14"/>
      <c r="I63" s="14"/>
      <c r="J63" s="14"/>
      <c r="K63" s="18">
        <v>40</v>
      </c>
      <c r="L63" s="14"/>
      <c r="M63" s="18">
        <f>40*K58</f>
        <v>508.8</v>
      </c>
      <c r="N63" s="18">
        <f t="shared" si="0"/>
        <v>508.8</v>
      </c>
      <c r="O63" s="19">
        <v>17</v>
      </c>
      <c r="P63" s="19">
        <v>21</v>
      </c>
    </row>
    <row r="64" spans="2:16" ht="15" thickBot="1" x14ac:dyDescent="0.35">
      <c r="B64" s="15" t="s">
        <v>28</v>
      </c>
      <c r="C64" s="16" t="s">
        <v>29</v>
      </c>
      <c r="D64" s="17" t="s">
        <v>29</v>
      </c>
      <c r="E64" s="17" t="s">
        <v>29</v>
      </c>
      <c r="F64" s="17" t="s">
        <v>29</v>
      </c>
      <c r="G64" s="16" t="s">
        <v>29</v>
      </c>
      <c r="H64" s="14"/>
      <c r="I64" s="14"/>
      <c r="J64" s="14"/>
      <c r="K64" s="18">
        <v>40</v>
      </c>
      <c r="L64" s="14"/>
      <c r="M64" s="18">
        <f>40*K58</f>
        <v>508.8</v>
      </c>
      <c r="N64" s="18">
        <f>M65+L65</f>
        <v>508.8</v>
      </c>
      <c r="O64" s="19">
        <v>17</v>
      </c>
      <c r="P64" s="19">
        <v>21</v>
      </c>
    </row>
    <row r="65" spans="2:16" ht="15" thickBot="1" x14ac:dyDescent="0.35">
      <c r="B65" s="15" t="s">
        <v>30</v>
      </c>
      <c r="C65" s="16" t="s">
        <v>29</v>
      </c>
      <c r="D65" s="14"/>
      <c r="E65" s="14"/>
      <c r="F65" s="14"/>
      <c r="G65" s="16" t="s">
        <v>29</v>
      </c>
      <c r="H65" s="14"/>
      <c r="I65" s="14"/>
      <c r="J65" s="14"/>
      <c r="K65" s="18">
        <v>40</v>
      </c>
      <c r="L65" s="18">
        <f>10*K58</f>
        <v>127.2</v>
      </c>
      <c r="M65" s="18">
        <f>M62-L65</f>
        <v>381.6</v>
      </c>
      <c r="N65" s="18">
        <f>M66+L66</f>
        <v>508.8</v>
      </c>
      <c r="O65" s="19">
        <v>17</v>
      </c>
      <c r="P65" s="19">
        <v>21</v>
      </c>
    </row>
    <row r="66" spans="2:16" ht="15" thickBot="1" x14ac:dyDescent="0.35">
      <c r="B66" s="20" t="s">
        <v>32</v>
      </c>
      <c r="C66" s="21"/>
      <c r="D66" s="22"/>
      <c r="E66" s="22"/>
      <c r="F66" s="22"/>
      <c r="G66" s="22"/>
      <c r="H66" s="17" t="s">
        <v>31</v>
      </c>
      <c r="I66" s="17" t="s">
        <v>31</v>
      </c>
      <c r="J66" s="14"/>
      <c r="K66" s="18">
        <v>40</v>
      </c>
      <c r="L66" s="18">
        <f>4*K58</f>
        <v>50.88</v>
      </c>
      <c r="M66" s="18">
        <f>M62-L66</f>
        <v>457.92</v>
      </c>
      <c r="N66" s="18">
        <f>SUM(N61:N65)</f>
        <v>2544</v>
      </c>
      <c r="O66" s="21"/>
      <c r="P66" s="22"/>
    </row>
    <row r="67" spans="2:16" ht="15" thickBot="1" x14ac:dyDescent="0.35">
      <c r="B67" s="4"/>
      <c r="H67" s="22"/>
      <c r="I67" s="22"/>
      <c r="J67" s="23"/>
      <c r="K67" s="18">
        <v>200</v>
      </c>
      <c r="L67" s="18">
        <f t="shared" ref="L67:M67" si="1">SUM(L62:L66)</f>
        <v>178.08</v>
      </c>
      <c r="M67" s="18">
        <f t="shared" si="1"/>
        <v>2365.92</v>
      </c>
    </row>
  </sheetData>
  <mergeCells count="6">
    <mergeCell ref="B46:D46"/>
    <mergeCell ref="H36:K36"/>
    <mergeCell ref="B38:D38"/>
    <mergeCell ref="B14:E14"/>
    <mergeCell ref="B3:E3"/>
    <mergeCell ref="B31:E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0030-3587-4168-9AF4-7E1418BF9A80}">
  <dimension ref="B2:F30"/>
  <sheetViews>
    <sheetView workbookViewId="0">
      <selection activeCell="E20" sqref="E20"/>
    </sheetView>
  </sheetViews>
  <sheetFormatPr defaultColWidth="11.5546875" defaultRowHeight="14.4" x14ac:dyDescent="0.3"/>
  <cols>
    <col min="2" max="2" width="59.88671875" customWidth="1"/>
    <col min="3" max="3" width="16.6640625" bestFit="1" customWidth="1"/>
  </cols>
  <sheetData>
    <row r="2" spans="2:6" ht="15" thickBot="1" x14ac:dyDescent="0.35"/>
    <row r="3" spans="2:6" ht="15" thickBot="1" x14ac:dyDescent="0.35">
      <c r="B3" s="53" t="s">
        <v>76</v>
      </c>
      <c r="C3" s="57" t="s">
        <v>71</v>
      </c>
    </row>
    <row r="4" spans="2:6" ht="15" thickTop="1" x14ac:dyDescent="0.3">
      <c r="B4" s="33" t="s">
        <v>77</v>
      </c>
      <c r="C4" s="58">
        <f>'Costos Simplificat'!E36*$F$12</f>
        <v>34945.284223586306</v>
      </c>
    </row>
    <row r="5" spans="2:6" x14ac:dyDescent="0.3">
      <c r="B5" s="33" t="s">
        <v>78</v>
      </c>
      <c r="C5" s="90">
        <f>('Costos Simplificat'!E40+'Costos Simplificat'!E44)*F12</f>
        <v>53471.165259563837</v>
      </c>
    </row>
    <row r="6" spans="2:6" x14ac:dyDescent="0.3">
      <c r="B6" s="31" t="s">
        <v>81</v>
      </c>
      <c r="C6" s="90">
        <f>'Costos Simplificat'!E48*F12</f>
        <v>11514.649315068493</v>
      </c>
    </row>
    <row r="7" spans="2:6" x14ac:dyDescent="0.3">
      <c r="B7" s="54" t="s">
        <v>79</v>
      </c>
      <c r="C7" s="59">
        <f>SUM(C4:C6)</f>
        <v>99931.098798218649</v>
      </c>
      <c r="D7" s="52"/>
    </row>
    <row r="8" spans="2:6" ht="15" thickBot="1" x14ac:dyDescent="0.35">
      <c r="B8" s="55" t="s">
        <v>80</v>
      </c>
      <c r="C8" s="60">
        <f>C7*0.21</f>
        <v>20985.530747625915</v>
      </c>
    </row>
    <row r="9" spans="2:6" ht="15.6" thickTop="1" thickBot="1" x14ac:dyDescent="0.35">
      <c r="B9" s="56" t="s">
        <v>1</v>
      </c>
      <c r="C9" s="61">
        <f>C7*1.21</f>
        <v>120916.62954584457</v>
      </c>
    </row>
    <row r="10" spans="2:6" ht="15" thickBot="1" x14ac:dyDescent="0.35"/>
    <row r="11" spans="2:6" ht="15" thickBot="1" x14ac:dyDescent="0.35">
      <c r="B11" s="44" t="s">
        <v>69</v>
      </c>
      <c r="C11" s="64"/>
    </row>
    <row r="12" spans="2:6" x14ac:dyDescent="0.3">
      <c r="B12" s="62" t="s">
        <v>88</v>
      </c>
      <c r="C12" s="91">
        <f>'Costos Simplificat'!E40+'Costos Simplificat'!E44</f>
        <v>45858.632298082193</v>
      </c>
      <c r="F12">
        <v>1.1659999999999999</v>
      </c>
    </row>
    <row r="13" spans="2:6" x14ac:dyDescent="0.3">
      <c r="B13" s="62" t="s">
        <v>70</v>
      </c>
      <c r="C13" s="65">
        <f>'Costos Simplificat'!E36</f>
        <v>29970.226606849319</v>
      </c>
    </row>
    <row r="14" spans="2:6" x14ac:dyDescent="0.3">
      <c r="B14" s="92" t="s">
        <v>87</v>
      </c>
      <c r="C14" s="65">
        <f>'Costos Simplificat'!E48</f>
        <v>9875.3424657534251</v>
      </c>
    </row>
    <row r="15" spans="2:6" ht="15" thickBot="1" x14ac:dyDescent="0.35">
      <c r="B15" s="63" t="s">
        <v>71</v>
      </c>
      <c r="C15" s="66">
        <f>SUM(C12:C14)+0.01</f>
        <v>85704.211370684934</v>
      </c>
    </row>
    <row r="16" spans="2:6" ht="15" thickBot="1" x14ac:dyDescent="0.35">
      <c r="B16" s="46" t="s">
        <v>72</v>
      </c>
      <c r="C16" s="47"/>
    </row>
    <row r="17" spans="2:5" x14ac:dyDescent="0.3">
      <c r="B17" s="93" t="s">
        <v>73</v>
      </c>
      <c r="C17" s="94">
        <f>C15*0.1</f>
        <v>8570.4211370684934</v>
      </c>
    </row>
    <row r="18" spans="2:5" ht="15" thickBot="1" x14ac:dyDescent="0.35">
      <c r="B18" s="45" t="s">
        <v>71</v>
      </c>
      <c r="C18" s="49">
        <f>SUM(C17)</f>
        <v>8570.4211370684934</v>
      </c>
    </row>
    <row r="19" spans="2:5" ht="15" thickBot="1" x14ac:dyDescent="0.35">
      <c r="B19" s="46" t="s">
        <v>74</v>
      </c>
      <c r="C19" s="50">
        <f>(C15+C18)*0.06</f>
        <v>5656.4779504652051</v>
      </c>
    </row>
    <row r="20" spans="2:5" ht="15" thickBot="1" x14ac:dyDescent="0.35">
      <c r="B20" s="48" t="s">
        <v>75</v>
      </c>
      <c r="C20" s="51">
        <f>C19+C15+C18</f>
        <v>99931.110458218638</v>
      </c>
    </row>
    <row r="23" spans="2:5" ht="15" thickBot="1" x14ac:dyDescent="0.35"/>
    <row r="24" spans="2:5" ht="15.6" thickTop="1" thickBot="1" x14ac:dyDescent="0.35">
      <c r="B24" s="70" t="s">
        <v>76</v>
      </c>
      <c r="C24" s="71">
        <v>2025</v>
      </c>
      <c r="D24" s="71">
        <v>2026</v>
      </c>
      <c r="E24" s="71" t="s">
        <v>71</v>
      </c>
    </row>
    <row r="25" spans="2:5" ht="15" thickTop="1" x14ac:dyDescent="0.3">
      <c r="B25" s="72" t="s">
        <v>77</v>
      </c>
      <c r="C25" s="73">
        <v>10706.03</v>
      </c>
      <c r="D25" s="73">
        <v>8509.92</v>
      </c>
      <c r="E25" s="73">
        <f>SUM(C25:D25)</f>
        <v>19215.95</v>
      </c>
    </row>
    <row r="26" spans="2:5" x14ac:dyDescent="0.3">
      <c r="B26" s="72" t="s">
        <v>78</v>
      </c>
      <c r="C26" s="73">
        <v>22494.35</v>
      </c>
      <c r="D26" s="73">
        <v>17880.13</v>
      </c>
      <c r="E26" s="73">
        <v>40374.480000000003</v>
      </c>
    </row>
    <row r="27" spans="2:5" x14ac:dyDescent="0.3">
      <c r="B27" s="74" t="s">
        <v>79</v>
      </c>
      <c r="C27" s="75">
        <v>33200.39</v>
      </c>
      <c r="D27" s="75">
        <v>26390.05</v>
      </c>
      <c r="E27" s="75">
        <f>SUM(E25:E26)</f>
        <v>59590.430000000008</v>
      </c>
    </row>
    <row r="28" spans="2:5" ht="15" thickBot="1" x14ac:dyDescent="0.35">
      <c r="B28" s="76" t="s">
        <v>80</v>
      </c>
      <c r="C28" s="77">
        <v>6972.08</v>
      </c>
      <c r="D28" s="77">
        <v>5541.91</v>
      </c>
      <c r="E28" s="77">
        <v>12513.99</v>
      </c>
    </row>
    <row r="29" spans="2:5" ht="15.6" thickTop="1" thickBot="1" x14ac:dyDescent="0.35">
      <c r="B29" s="78" t="s">
        <v>1</v>
      </c>
      <c r="C29" s="79">
        <v>40172.47</v>
      </c>
      <c r="D29" s="79">
        <v>31931.96</v>
      </c>
      <c r="E29" s="79">
        <f>SUM(E27:E28)</f>
        <v>72104.420000000013</v>
      </c>
    </row>
    <row r="30" spans="2:5" ht="15" thickTop="1" x14ac:dyDescent="0.3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1c963f-3587-4187-9cf1-c630647e51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B427C3D605C64DBD2CFC655E8171D1" ma:contentTypeVersion="5" ma:contentTypeDescription="Crear nuevo documento." ma:contentTypeScope="" ma:versionID="05715563a79815d5ec1a3a556cd059d0">
  <xsd:schema xmlns:xsd="http://www.w3.org/2001/XMLSchema" xmlns:xs="http://www.w3.org/2001/XMLSchema" xmlns:p="http://schemas.microsoft.com/office/2006/metadata/properties" xmlns:ns3="841c963f-3587-4187-9cf1-c630647e51ed" targetNamespace="http://schemas.microsoft.com/office/2006/metadata/properties" ma:root="true" ma:fieldsID="23c7cd4994c7a530df88afc320c51bf6" ns3:_="">
    <xsd:import namespace="841c963f-3587-4187-9cf1-c630647e51e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c963f-3587-4187-9cf1-c630647e51e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E3ED5C-3E85-45DA-AD7C-C8A8DD3DFE3C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841c963f-3587-4187-9cf1-c630647e51e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2B93AF-5203-46AC-A93F-BE337A52D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c963f-3587-4187-9cf1-c630647e5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92FF9-4692-4C1E-99EF-194547CA8F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Costos Simplificat</vt:lpstr>
      <vt:lpstr>taula informe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ALARCON, SERGIO</dc:creator>
  <cp:lastModifiedBy>BAYARRI VALCARCEL, PASCUAL</cp:lastModifiedBy>
  <dcterms:created xsi:type="dcterms:W3CDTF">2025-09-29T05:22:07Z</dcterms:created>
  <dcterms:modified xsi:type="dcterms:W3CDTF">2025-11-10T11:03:24Z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0x0101005AB427C3D605C64DBD2CFC655E8171D1</vt:lpwstr>
  </property>
</Properties>
</file>